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tables/table1.xml" ContentType="application/vnd.openxmlformats-officedocument.spreadsheetml.table+xml"/>
  <Override PartName="/xl/charts/chart18.xml" ContentType="application/vnd.openxmlformats-officedocument.drawingml.chart+xml"/>
  <Override PartName="/xl/charts/style21.xml" ContentType="application/vnd.ms-office.chartstyle+xml"/>
  <Override PartName="/xl/charts/colors21.xml" ContentType="application/vnd.ms-office.chartcolorstyle+xml"/>
  <Override PartName="/xl/charts/chart19.xml" ContentType="application/vnd.openxmlformats-officedocument.drawingml.chart+xml"/>
  <Override PartName="/xl/charts/style22.xml" ContentType="application/vnd.ms-office.chartstyle+xml"/>
  <Override PartName="/xl/charts/colors22.xml" ContentType="application/vnd.ms-office.chartcolorstyle+xml"/>
  <Override PartName="/xl/charts/chart20.xml" ContentType="application/vnd.openxmlformats-officedocument.drawingml.chart+xml"/>
  <Override PartName="/xl/charts/style23.xml" ContentType="application/vnd.ms-office.chartstyle+xml"/>
  <Override PartName="/xl/charts/colors23.xml" ContentType="application/vnd.ms-office.chartcolorstyle+xml"/>
  <Override PartName="/xl/charts/chart21.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22.xml" ContentType="application/vnd.openxmlformats-officedocument.drawingml.chart+xml"/>
  <Override PartName="/xl/charts/style25.xml" ContentType="application/vnd.ms-office.chartstyle+xml"/>
  <Override PartName="/xl/charts/colors25.xml" ContentType="application/vnd.ms-office.chartcolorstyle+xml"/>
  <Override PartName="/xl/charts/chart23.xml" ContentType="application/vnd.openxmlformats-officedocument.drawingml.chart+xml"/>
  <Override PartName="/xl/charts/style26.xml" ContentType="application/vnd.ms-office.chartstyle+xml"/>
  <Override PartName="/xl/charts/colors26.xml" ContentType="application/vnd.ms-office.chartcolorstyle+xml"/>
  <Override PartName="/xl/charts/chart24.xml" ContentType="application/vnd.openxmlformats-officedocument.drawingml.chart+xml"/>
  <Override PartName="/xl/charts/style27.xml" ContentType="application/vnd.ms-office.chartstyle+xml"/>
  <Override PartName="/xl/charts/colors27.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vtng/Desktop/Project for Job Application/1. Excel - Coffee Sales Analysis/"/>
    </mc:Choice>
  </mc:AlternateContent>
  <xr:revisionPtr revIDLastSave="0" documentId="13_ncr:1_{FA22EC5F-CE81-0E46-9F4D-65D795D57934}" xr6:coauthVersionLast="47" xr6:coauthVersionMax="47" xr10:uidLastSave="{00000000-0000-0000-0000-000000000000}"/>
  <bookViews>
    <workbookView xWindow="0" yWindow="0" windowWidth="28800" windowHeight="18000" xr2:uid="{00000000-000D-0000-FFFF-FFFF00000000}"/>
  </bookViews>
  <sheets>
    <sheet name="Dasboard" sheetId="28" r:id="rId1"/>
    <sheet name="Analysis (Coffee type)" sheetId="19" r:id="rId2"/>
    <sheet name="Analyis (Country)" sheetId="25" r:id="rId3"/>
    <sheet name="Analysis (Customer)" sheetId="26" r:id="rId4"/>
    <sheet name="Analysis (Size)" sheetId="29" r:id="rId5"/>
    <sheet name="Analysis (Loyalty)" sheetId="38" r:id="rId6"/>
    <sheet name="Analysis (Roast)" sheetId="31" r:id="rId7"/>
    <sheet name="Analysis (sale per cus)" sheetId="33" r:id="rId8"/>
    <sheet name="Data_orders" sheetId="17" r:id="rId9"/>
    <sheet name="Data_customers" sheetId="13" r:id="rId10"/>
    <sheet name="Data_products" sheetId="2" r:id="rId11"/>
  </sheets>
  <definedNames>
    <definedName name="_xlnm._FilterDatabase" localSheetId="8" hidden="1">Data_orders!$A$1:$M$1001</definedName>
    <definedName name="_xlnm._FilterDatabase" localSheetId="10" hidden="1">Data_products!$A$1:$G$49</definedName>
    <definedName name="_xlchart.v2.10" hidden="1">'Analyis (Country)'!$D$11:$D$13</definedName>
    <definedName name="_xlchart.v2.8" hidden="1">'Analyis (Country)'!$C$11:$C$13</definedName>
    <definedName name="_xlchart.v2.9" hidden="1">'Analyis (Country)'!$D$10</definedName>
    <definedName name="_xlchart.v5.0" hidden="1">'Analyis (Country)'!$C$10</definedName>
    <definedName name="_xlchart.v5.1" hidden="1">'Analyis (Country)'!$C$11:$C$13</definedName>
    <definedName name="_xlchart.v5.2" hidden="1">'Analyis (Country)'!$D$10</definedName>
    <definedName name="_xlchart.v5.3" hidden="1">'Analyis (Country)'!$D$11:$D$13</definedName>
    <definedName name="_xlchart.v5.4" hidden="1">'Analyis (Country)'!$C$10</definedName>
    <definedName name="_xlchart.v5.5" hidden="1">'Analyis (Country)'!$C$11:$C$13</definedName>
    <definedName name="_xlchart.v5.6" hidden="1">'Analyis (Country)'!$D$10</definedName>
    <definedName name="_xlchart.v5.7" hidden="1">'Analyis (Country)'!$D$11:$D$13</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25" l="1"/>
  <c r="C13" i="25"/>
  <c r="C11" i="25"/>
  <c r="G4" i="33"/>
  <c r="F4" i="33"/>
  <c r="E4" i="33"/>
  <c r="D13" i="25"/>
  <c r="B7" i="33"/>
  <c r="F5" i="33"/>
  <c r="D12" i="25"/>
  <c r="D11" i="25"/>
  <c r="G9" i="33"/>
  <c r="G5" i="33"/>
  <c r="C7" i="33"/>
  <c r="F9" i="33"/>
  <c r="G6" i="33" l="1"/>
  <c r="F6" i="33"/>
  <c r="E6" i="33"/>
  <c r="E5" i="33"/>
  <c r="E9" i="33"/>
  <c r="G8" i="33"/>
  <c r="E4" i="31"/>
  <c r="D5" i="31"/>
  <c r="E5" i="31"/>
  <c r="D6" i="31"/>
  <c r="E6" i="31"/>
  <c r="D4" i="31"/>
  <c r="F2" i="17" l="1"/>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I3" i="17"/>
  <c r="N3" i="17" s="1" a="1"/>
  <c r="N3" i="17" s="1"/>
  <c r="J3" i="17"/>
  <c r="O3" i="17" s="1"/>
  <c r="K3" i="17"/>
  <c r="L3" i="17"/>
  <c r="M3" i="17" s="1"/>
  <c r="I4" i="17"/>
  <c r="N4" i="17" s="1" a="1"/>
  <c r="N4" i="17" s="1"/>
  <c r="J4" i="17"/>
  <c r="O4" i="17" s="1"/>
  <c r="K4" i="17"/>
  <c r="L4" i="17"/>
  <c r="M4" i="17" s="1"/>
  <c r="I5" i="17"/>
  <c r="N5" i="17" s="1" a="1"/>
  <c r="N5" i="17" s="1"/>
  <c r="J5" i="17"/>
  <c r="O5" i="17" s="1"/>
  <c r="K5" i="17"/>
  <c r="L5" i="17"/>
  <c r="M5" i="17" s="1"/>
  <c r="I6" i="17"/>
  <c r="N6" i="17" s="1" a="1"/>
  <c r="N6" i="17" s="1"/>
  <c r="J6" i="17"/>
  <c r="O6" i="17" s="1"/>
  <c r="K6" i="17"/>
  <c r="L6" i="17"/>
  <c r="M6" i="17" s="1"/>
  <c r="I7" i="17"/>
  <c r="N7" i="17" s="1" a="1"/>
  <c r="N7" i="17" s="1"/>
  <c r="J7" i="17"/>
  <c r="O7" i="17" s="1"/>
  <c r="K7" i="17"/>
  <c r="L7" i="17"/>
  <c r="M7" i="17" s="1"/>
  <c r="I8" i="17"/>
  <c r="N8" i="17" s="1" a="1"/>
  <c r="N8" i="17" s="1"/>
  <c r="J8" i="17"/>
  <c r="O8" i="17" s="1"/>
  <c r="K8" i="17"/>
  <c r="L8" i="17"/>
  <c r="M8" i="17" s="1"/>
  <c r="I9" i="17"/>
  <c r="N9" i="17" s="1" a="1"/>
  <c r="N9" i="17" s="1"/>
  <c r="J9" i="17"/>
  <c r="O9" i="17" s="1"/>
  <c r="K9" i="17"/>
  <c r="L9" i="17"/>
  <c r="M9" i="17" s="1"/>
  <c r="I10" i="17"/>
  <c r="N10" i="17" s="1" a="1"/>
  <c r="N10" i="17" s="1"/>
  <c r="J10" i="17"/>
  <c r="O10" i="17" s="1"/>
  <c r="K10" i="17"/>
  <c r="L10" i="17"/>
  <c r="M10" i="17" s="1"/>
  <c r="I11" i="17"/>
  <c r="N11" i="17" s="1" a="1"/>
  <c r="N11" i="17" s="1"/>
  <c r="J11" i="17"/>
  <c r="O11" i="17" s="1"/>
  <c r="K11" i="17"/>
  <c r="L11" i="17"/>
  <c r="M11" i="17" s="1"/>
  <c r="I12" i="17"/>
  <c r="N12" i="17" s="1" a="1"/>
  <c r="N12" i="17" s="1"/>
  <c r="J12" i="17"/>
  <c r="O12" i="17" s="1"/>
  <c r="K12" i="17"/>
  <c r="L12" i="17"/>
  <c r="M12" i="17" s="1"/>
  <c r="I13" i="17"/>
  <c r="N13" i="17" s="1" a="1"/>
  <c r="N13" i="17" s="1"/>
  <c r="J13" i="17"/>
  <c r="O13" i="17" s="1"/>
  <c r="K13" i="17"/>
  <c r="L13" i="17"/>
  <c r="M13" i="17" s="1"/>
  <c r="I14" i="17"/>
  <c r="N14" i="17" s="1" a="1"/>
  <c r="N14" i="17" s="1"/>
  <c r="J14" i="17"/>
  <c r="O14" i="17" s="1"/>
  <c r="K14" i="17"/>
  <c r="L14" i="17"/>
  <c r="M14" i="17" s="1"/>
  <c r="I15" i="17"/>
  <c r="N15" i="17" s="1" a="1"/>
  <c r="N15" i="17" s="1"/>
  <c r="J15" i="17"/>
  <c r="O15" i="17" s="1"/>
  <c r="K15" i="17"/>
  <c r="L15" i="17"/>
  <c r="M15" i="17" s="1"/>
  <c r="I16" i="17"/>
  <c r="N16" i="17" s="1" a="1"/>
  <c r="N16" i="17" s="1"/>
  <c r="J16" i="17"/>
  <c r="O16" i="17" s="1"/>
  <c r="K16" i="17"/>
  <c r="L16" i="17"/>
  <c r="M16" i="17" s="1"/>
  <c r="I17" i="17"/>
  <c r="N17" i="17" s="1" a="1"/>
  <c r="N17" i="17" s="1"/>
  <c r="J17" i="17"/>
  <c r="O17" i="17" s="1"/>
  <c r="K17" i="17"/>
  <c r="L17" i="17"/>
  <c r="M17" i="17" s="1"/>
  <c r="I18" i="17"/>
  <c r="N18" i="17" s="1" a="1"/>
  <c r="N18" i="17" s="1"/>
  <c r="J18" i="17"/>
  <c r="O18" i="17" s="1"/>
  <c r="K18" i="17"/>
  <c r="L18" i="17"/>
  <c r="M18" i="17" s="1"/>
  <c r="I19" i="17"/>
  <c r="N19" i="17" s="1" a="1"/>
  <c r="N19" i="17" s="1"/>
  <c r="J19" i="17"/>
  <c r="O19" i="17" s="1"/>
  <c r="K19" i="17"/>
  <c r="L19" i="17"/>
  <c r="M19" i="17" s="1"/>
  <c r="I20" i="17"/>
  <c r="N20" i="17" s="1" a="1"/>
  <c r="N20" i="17" s="1"/>
  <c r="J20" i="17"/>
  <c r="O20" i="17" s="1"/>
  <c r="K20" i="17"/>
  <c r="L20" i="17"/>
  <c r="M20" i="17" s="1"/>
  <c r="I21" i="17"/>
  <c r="N21" i="17" s="1" a="1"/>
  <c r="N21" i="17" s="1"/>
  <c r="J21" i="17"/>
  <c r="O21" i="17" s="1"/>
  <c r="K21" i="17"/>
  <c r="L21" i="17"/>
  <c r="M21" i="17" s="1"/>
  <c r="I22" i="17"/>
  <c r="N22" i="17" s="1" a="1"/>
  <c r="N22" i="17" s="1"/>
  <c r="J22" i="17"/>
  <c r="O22" i="17" s="1"/>
  <c r="K22" i="17"/>
  <c r="L22" i="17"/>
  <c r="M22" i="17" s="1"/>
  <c r="I23" i="17"/>
  <c r="N23" i="17" s="1" a="1"/>
  <c r="N23" i="17" s="1"/>
  <c r="J23" i="17"/>
  <c r="O23" i="17" s="1"/>
  <c r="K23" i="17"/>
  <c r="L23" i="17"/>
  <c r="M23" i="17" s="1"/>
  <c r="I24" i="17"/>
  <c r="N24" i="17" s="1" a="1"/>
  <c r="N24" i="17" s="1"/>
  <c r="J24" i="17"/>
  <c r="O24" i="17" s="1"/>
  <c r="K24" i="17"/>
  <c r="L24" i="17"/>
  <c r="M24" i="17" s="1"/>
  <c r="I25" i="17"/>
  <c r="N25" i="17" s="1" a="1"/>
  <c r="N25" i="17" s="1"/>
  <c r="J25" i="17"/>
  <c r="O25" i="17" s="1"/>
  <c r="K25" i="17"/>
  <c r="L25" i="17"/>
  <c r="M25" i="17" s="1"/>
  <c r="I26" i="17"/>
  <c r="N26" i="17" s="1" a="1"/>
  <c r="N26" i="17" s="1"/>
  <c r="J26" i="17"/>
  <c r="O26" i="17" s="1"/>
  <c r="K26" i="17"/>
  <c r="L26" i="17"/>
  <c r="M26" i="17" s="1"/>
  <c r="I27" i="17"/>
  <c r="N27" i="17" s="1" a="1"/>
  <c r="N27" i="17" s="1"/>
  <c r="J27" i="17"/>
  <c r="O27" i="17" s="1"/>
  <c r="K27" i="17"/>
  <c r="L27" i="17"/>
  <c r="M27" i="17" s="1"/>
  <c r="I28" i="17"/>
  <c r="N28" i="17" s="1" a="1"/>
  <c r="N28" i="17" s="1"/>
  <c r="J28" i="17"/>
  <c r="O28" i="17" s="1"/>
  <c r="K28" i="17"/>
  <c r="L28" i="17"/>
  <c r="M28" i="17" s="1"/>
  <c r="I29" i="17"/>
  <c r="N29" i="17" s="1" a="1"/>
  <c r="N29" i="17" s="1"/>
  <c r="J29" i="17"/>
  <c r="O29" i="17" s="1"/>
  <c r="K29" i="17"/>
  <c r="L29" i="17"/>
  <c r="M29" i="17" s="1"/>
  <c r="I30" i="17"/>
  <c r="N30" i="17" s="1" a="1"/>
  <c r="N30" i="17" s="1"/>
  <c r="J30" i="17"/>
  <c r="O30" i="17" s="1"/>
  <c r="K30" i="17"/>
  <c r="L30" i="17"/>
  <c r="M30" i="17" s="1"/>
  <c r="I31" i="17"/>
  <c r="N31" i="17" s="1" a="1"/>
  <c r="N31" i="17" s="1"/>
  <c r="J31" i="17"/>
  <c r="O31" i="17" s="1"/>
  <c r="K31" i="17"/>
  <c r="L31" i="17"/>
  <c r="M31" i="17" s="1"/>
  <c r="I32" i="17"/>
  <c r="N32" i="17" s="1" a="1"/>
  <c r="N32" i="17" s="1"/>
  <c r="J32" i="17"/>
  <c r="O32" i="17" s="1"/>
  <c r="K32" i="17"/>
  <c r="L32" i="17"/>
  <c r="M32" i="17" s="1"/>
  <c r="I33" i="17"/>
  <c r="N33" i="17" s="1" a="1"/>
  <c r="N33" i="17" s="1"/>
  <c r="J33" i="17"/>
  <c r="O33" i="17" s="1"/>
  <c r="K33" i="17"/>
  <c r="L33" i="17"/>
  <c r="M33" i="17" s="1"/>
  <c r="I34" i="17"/>
  <c r="N34" i="17" s="1" a="1"/>
  <c r="N34" i="17" s="1"/>
  <c r="J34" i="17"/>
  <c r="O34" i="17" s="1"/>
  <c r="K34" i="17"/>
  <c r="L34" i="17"/>
  <c r="M34" i="17" s="1"/>
  <c r="I35" i="17"/>
  <c r="N35" i="17" s="1" a="1"/>
  <c r="N35" i="17" s="1"/>
  <c r="J35" i="17"/>
  <c r="O35" i="17" s="1"/>
  <c r="K35" i="17"/>
  <c r="L35" i="17"/>
  <c r="M35" i="17" s="1"/>
  <c r="I36" i="17"/>
  <c r="N36" i="17" s="1" a="1"/>
  <c r="N36" i="17" s="1"/>
  <c r="J36" i="17"/>
  <c r="O36" i="17" s="1"/>
  <c r="K36" i="17"/>
  <c r="L36" i="17"/>
  <c r="M36" i="17" s="1"/>
  <c r="I37" i="17"/>
  <c r="N37" i="17" s="1" a="1"/>
  <c r="N37" i="17" s="1"/>
  <c r="J37" i="17"/>
  <c r="O37" i="17" s="1"/>
  <c r="K37" i="17"/>
  <c r="L37" i="17"/>
  <c r="M37" i="17" s="1"/>
  <c r="I38" i="17"/>
  <c r="N38" i="17" s="1" a="1"/>
  <c r="N38" i="17" s="1"/>
  <c r="J38" i="17"/>
  <c r="O38" i="17" s="1"/>
  <c r="K38" i="17"/>
  <c r="L38" i="17"/>
  <c r="M38" i="17" s="1"/>
  <c r="I39" i="17"/>
  <c r="N39" i="17" s="1" a="1"/>
  <c r="N39" i="17" s="1"/>
  <c r="J39" i="17"/>
  <c r="O39" i="17" s="1"/>
  <c r="K39" i="17"/>
  <c r="L39" i="17"/>
  <c r="M39" i="17" s="1"/>
  <c r="I40" i="17"/>
  <c r="N40" i="17" s="1" a="1"/>
  <c r="N40" i="17" s="1"/>
  <c r="J40" i="17"/>
  <c r="O40" i="17" s="1"/>
  <c r="K40" i="17"/>
  <c r="L40" i="17"/>
  <c r="M40" i="17" s="1"/>
  <c r="I41" i="17"/>
  <c r="N41" i="17" s="1" a="1"/>
  <c r="N41" i="17" s="1"/>
  <c r="J41" i="17"/>
  <c r="O41" i="17" s="1"/>
  <c r="K41" i="17"/>
  <c r="L41" i="17"/>
  <c r="M41" i="17" s="1"/>
  <c r="I42" i="17"/>
  <c r="N42" i="17" s="1" a="1"/>
  <c r="N42" i="17" s="1"/>
  <c r="J42" i="17"/>
  <c r="O42" i="17" s="1"/>
  <c r="K42" i="17"/>
  <c r="L42" i="17"/>
  <c r="M42" i="17" s="1"/>
  <c r="I43" i="17"/>
  <c r="N43" i="17" s="1" a="1"/>
  <c r="N43" i="17" s="1"/>
  <c r="J43" i="17"/>
  <c r="O43" i="17" s="1"/>
  <c r="K43" i="17"/>
  <c r="L43" i="17"/>
  <c r="M43" i="17" s="1"/>
  <c r="I44" i="17"/>
  <c r="N44" i="17" s="1" a="1"/>
  <c r="N44" i="17" s="1"/>
  <c r="J44" i="17"/>
  <c r="O44" i="17" s="1"/>
  <c r="K44" i="17"/>
  <c r="L44" i="17"/>
  <c r="M44" i="17" s="1"/>
  <c r="I45" i="17"/>
  <c r="N45" i="17" s="1" a="1"/>
  <c r="N45" i="17" s="1"/>
  <c r="J45" i="17"/>
  <c r="O45" i="17" s="1"/>
  <c r="K45" i="17"/>
  <c r="L45" i="17"/>
  <c r="M45" i="17" s="1"/>
  <c r="I46" i="17"/>
  <c r="N46" i="17" s="1" a="1"/>
  <c r="N46" i="17" s="1"/>
  <c r="J46" i="17"/>
  <c r="O46" i="17" s="1"/>
  <c r="K46" i="17"/>
  <c r="L46" i="17"/>
  <c r="M46" i="17" s="1"/>
  <c r="I47" i="17"/>
  <c r="N47" i="17" s="1" a="1"/>
  <c r="N47" i="17" s="1"/>
  <c r="J47" i="17"/>
  <c r="O47" i="17" s="1"/>
  <c r="K47" i="17"/>
  <c r="L47" i="17"/>
  <c r="M47" i="17" s="1"/>
  <c r="I48" i="17"/>
  <c r="N48" i="17" s="1" a="1"/>
  <c r="N48" i="17" s="1"/>
  <c r="J48" i="17"/>
  <c r="O48" i="17" s="1"/>
  <c r="K48" i="17"/>
  <c r="L48" i="17"/>
  <c r="M48" i="17" s="1"/>
  <c r="I49" i="17"/>
  <c r="N49" i="17" s="1" a="1"/>
  <c r="N49" i="17" s="1"/>
  <c r="J49" i="17"/>
  <c r="O49" i="17" s="1"/>
  <c r="K49" i="17"/>
  <c r="L49" i="17"/>
  <c r="M49" i="17" s="1"/>
  <c r="I50" i="17"/>
  <c r="N50" i="17" s="1" a="1"/>
  <c r="N50" i="17" s="1"/>
  <c r="J50" i="17"/>
  <c r="O50" i="17" s="1"/>
  <c r="K50" i="17"/>
  <c r="L50" i="17"/>
  <c r="M50" i="17" s="1"/>
  <c r="I51" i="17"/>
  <c r="N51" i="17" s="1" a="1"/>
  <c r="N51" i="17" s="1"/>
  <c r="J51" i="17"/>
  <c r="O51" i="17" s="1"/>
  <c r="K51" i="17"/>
  <c r="L51" i="17"/>
  <c r="M51" i="17" s="1"/>
  <c r="I52" i="17"/>
  <c r="N52" i="17" s="1" a="1"/>
  <c r="N52" i="17" s="1"/>
  <c r="J52" i="17"/>
  <c r="O52" i="17" s="1"/>
  <c r="K52" i="17"/>
  <c r="L52" i="17"/>
  <c r="M52" i="17" s="1"/>
  <c r="I53" i="17"/>
  <c r="N53" i="17" s="1" a="1"/>
  <c r="N53" i="17" s="1"/>
  <c r="J53" i="17"/>
  <c r="O53" i="17" s="1"/>
  <c r="K53" i="17"/>
  <c r="L53" i="17"/>
  <c r="M53" i="17" s="1"/>
  <c r="I54" i="17"/>
  <c r="N54" i="17" s="1" a="1"/>
  <c r="N54" i="17" s="1"/>
  <c r="J54" i="17"/>
  <c r="O54" i="17" s="1"/>
  <c r="K54" i="17"/>
  <c r="L54" i="17"/>
  <c r="M54" i="17" s="1"/>
  <c r="I55" i="17"/>
  <c r="N55" i="17" s="1" a="1"/>
  <c r="N55" i="17" s="1"/>
  <c r="J55" i="17"/>
  <c r="O55" i="17" s="1"/>
  <c r="K55" i="17"/>
  <c r="L55" i="17"/>
  <c r="M55" i="17" s="1"/>
  <c r="I56" i="17"/>
  <c r="N56" i="17" s="1" a="1"/>
  <c r="N56" i="17" s="1"/>
  <c r="J56" i="17"/>
  <c r="O56" i="17" s="1"/>
  <c r="K56" i="17"/>
  <c r="L56" i="17"/>
  <c r="M56" i="17" s="1"/>
  <c r="I57" i="17"/>
  <c r="N57" i="17" s="1" a="1"/>
  <c r="N57" i="17" s="1"/>
  <c r="J57" i="17"/>
  <c r="O57" i="17" s="1"/>
  <c r="K57" i="17"/>
  <c r="L57" i="17"/>
  <c r="M57" i="17" s="1"/>
  <c r="I58" i="17"/>
  <c r="N58" i="17" s="1" a="1"/>
  <c r="N58" i="17" s="1"/>
  <c r="J58" i="17"/>
  <c r="O58" i="17" s="1"/>
  <c r="K58" i="17"/>
  <c r="L58" i="17"/>
  <c r="M58" i="17" s="1"/>
  <c r="I59" i="17"/>
  <c r="N59" i="17" s="1" a="1"/>
  <c r="N59" i="17" s="1"/>
  <c r="J59" i="17"/>
  <c r="O59" i="17" s="1"/>
  <c r="K59" i="17"/>
  <c r="L59" i="17"/>
  <c r="M59" i="17" s="1"/>
  <c r="I60" i="17"/>
  <c r="N60" i="17" s="1" a="1"/>
  <c r="N60" i="17" s="1"/>
  <c r="J60" i="17"/>
  <c r="O60" i="17" s="1"/>
  <c r="K60" i="17"/>
  <c r="L60" i="17"/>
  <c r="M60" i="17" s="1"/>
  <c r="I61" i="17"/>
  <c r="N61" i="17" s="1" a="1"/>
  <c r="N61" i="17" s="1"/>
  <c r="J61" i="17"/>
  <c r="O61" i="17" s="1"/>
  <c r="K61" i="17"/>
  <c r="L61" i="17"/>
  <c r="M61" i="17" s="1"/>
  <c r="I62" i="17"/>
  <c r="N62" i="17" s="1" a="1"/>
  <c r="N62" i="17" s="1"/>
  <c r="J62" i="17"/>
  <c r="O62" i="17" s="1"/>
  <c r="K62" i="17"/>
  <c r="L62" i="17"/>
  <c r="M62" i="17" s="1"/>
  <c r="I63" i="17"/>
  <c r="N63" i="17" s="1" a="1"/>
  <c r="N63" i="17" s="1"/>
  <c r="J63" i="17"/>
  <c r="O63" i="17" s="1"/>
  <c r="K63" i="17"/>
  <c r="L63" i="17"/>
  <c r="M63" i="17" s="1"/>
  <c r="I64" i="17"/>
  <c r="N64" i="17" s="1" a="1"/>
  <c r="N64" i="17" s="1"/>
  <c r="J64" i="17"/>
  <c r="O64" i="17" s="1"/>
  <c r="K64" i="17"/>
  <c r="L64" i="17"/>
  <c r="M64" i="17" s="1"/>
  <c r="I65" i="17"/>
  <c r="N65" i="17" s="1" a="1"/>
  <c r="N65" i="17" s="1"/>
  <c r="J65" i="17"/>
  <c r="O65" i="17" s="1"/>
  <c r="K65" i="17"/>
  <c r="L65" i="17"/>
  <c r="M65" i="17" s="1"/>
  <c r="I66" i="17"/>
  <c r="N66" i="17" s="1" a="1"/>
  <c r="N66" i="17" s="1"/>
  <c r="J66" i="17"/>
  <c r="O66" i="17" s="1"/>
  <c r="K66" i="17"/>
  <c r="L66" i="17"/>
  <c r="M66" i="17" s="1"/>
  <c r="I67" i="17"/>
  <c r="N67" i="17" s="1" a="1"/>
  <c r="N67" i="17" s="1"/>
  <c r="J67" i="17"/>
  <c r="O67" i="17" s="1"/>
  <c r="K67" i="17"/>
  <c r="L67" i="17"/>
  <c r="M67" i="17" s="1"/>
  <c r="I68" i="17"/>
  <c r="N68" i="17" s="1" a="1"/>
  <c r="N68" i="17" s="1"/>
  <c r="J68" i="17"/>
  <c r="O68" i="17" s="1"/>
  <c r="K68" i="17"/>
  <c r="L68" i="17"/>
  <c r="M68" i="17" s="1"/>
  <c r="I69" i="17"/>
  <c r="N69" i="17" s="1" a="1"/>
  <c r="N69" i="17" s="1"/>
  <c r="J69" i="17"/>
  <c r="O69" i="17" s="1"/>
  <c r="K69" i="17"/>
  <c r="L69" i="17"/>
  <c r="M69" i="17" s="1"/>
  <c r="I70" i="17"/>
  <c r="N70" i="17" s="1" a="1"/>
  <c r="N70" i="17" s="1"/>
  <c r="J70" i="17"/>
  <c r="O70" i="17" s="1"/>
  <c r="K70" i="17"/>
  <c r="L70" i="17"/>
  <c r="M70" i="17" s="1"/>
  <c r="I71" i="17"/>
  <c r="N71" i="17" s="1" a="1"/>
  <c r="N71" i="17" s="1"/>
  <c r="J71" i="17"/>
  <c r="O71" i="17" s="1"/>
  <c r="K71" i="17"/>
  <c r="L71" i="17"/>
  <c r="M71" i="17" s="1"/>
  <c r="I72" i="17"/>
  <c r="N72" i="17" s="1" a="1"/>
  <c r="N72" i="17" s="1"/>
  <c r="J72" i="17"/>
  <c r="O72" i="17" s="1"/>
  <c r="K72" i="17"/>
  <c r="L72" i="17"/>
  <c r="M72" i="17" s="1"/>
  <c r="I73" i="17"/>
  <c r="N73" i="17" s="1" a="1"/>
  <c r="N73" i="17" s="1"/>
  <c r="J73" i="17"/>
  <c r="O73" i="17" s="1"/>
  <c r="K73" i="17"/>
  <c r="L73" i="17"/>
  <c r="M73" i="17" s="1"/>
  <c r="I74" i="17"/>
  <c r="N74" i="17" s="1" a="1"/>
  <c r="N74" i="17" s="1"/>
  <c r="J74" i="17"/>
  <c r="O74" i="17" s="1"/>
  <c r="K74" i="17"/>
  <c r="L74" i="17"/>
  <c r="M74" i="17" s="1"/>
  <c r="I75" i="17"/>
  <c r="N75" i="17" s="1" a="1"/>
  <c r="N75" i="17" s="1"/>
  <c r="J75" i="17"/>
  <c r="O75" i="17" s="1"/>
  <c r="K75" i="17"/>
  <c r="L75" i="17"/>
  <c r="M75" i="17" s="1"/>
  <c r="I76" i="17"/>
  <c r="N76" i="17" s="1" a="1"/>
  <c r="N76" i="17" s="1"/>
  <c r="J76" i="17"/>
  <c r="O76" i="17" s="1"/>
  <c r="K76" i="17"/>
  <c r="L76" i="17"/>
  <c r="M76" i="17" s="1"/>
  <c r="I77" i="17"/>
  <c r="N77" i="17" s="1" a="1"/>
  <c r="N77" i="17" s="1"/>
  <c r="J77" i="17"/>
  <c r="O77" i="17" s="1"/>
  <c r="K77" i="17"/>
  <c r="L77" i="17"/>
  <c r="M77" i="17" s="1"/>
  <c r="I78" i="17"/>
  <c r="N78" i="17" s="1" a="1"/>
  <c r="N78" i="17" s="1"/>
  <c r="J78" i="17"/>
  <c r="O78" i="17" s="1"/>
  <c r="K78" i="17"/>
  <c r="L78" i="17"/>
  <c r="M78" i="17" s="1"/>
  <c r="I79" i="17"/>
  <c r="N79" i="17" s="1" a="1"/>
  <c r="N79" i="17" s="1"/>
  <c r="J79" i="17"/>
  <c r="O79" i="17" s="1"/>
  <c r="K79" i="17"/>
  <c r="L79" i="17"/>
  <c r="M79" i="17" s="1"/>
  <c r="I80" i="17"/>
  <c r="N80" i="17" s="1" a="1"/>
  <c r="N80" i="17" s="1"/>
  <c r="J80" i="17"/>
  <c r="O80" i="17" s="1"/>
  <c r="K80" i="17"/>
  <c r="L80" i="17"/>
  <c r="M80" i="17" s="1"/>
  <c r="I81" i="17"/>
  <c r="N81" i="17" s="1" a="1"/>
  <c r="N81" i="17" s="1"/>
  <c r="J81" i="17"/>
  <c r="O81" i="17" s="1"/>
  <c r="K81" i="17"/>
  <c r="L81" i="17"/>
  <c r="M81" i="17" s="1"/>
  <c r="I82" i="17"/>
  <c r="N82" i="17" s="1" a="1"/>
  <c r="N82" i="17" s="1"/>
  <c r="J82" i="17"/>
  <c r="O82" i="17" s="1"/>
  <c r="K82" i="17"/>
  <c r="L82" i="17"/>
  <c r="M82" i="17" s="1"/>
  <c r="I83" i="17"/>
  <c r="N83" i="17" s="1" a="1"/>
  <c r="N83" i="17" s="1"/>
  <c r="J83" i="17"/>
  <c r="O83" i="17" s="1"/>
  <c r="K83" i="17"/>
  <c r="L83" i="17"/>
  <c r="M83" i="17" s="1"/>
  <c r="I84" i="17"/>
  <c r="N84" i="17" s="1" a="1"/>
  <c r="N84" i="17" s="1"/>
  <c r="J84" i="17"/>
  <c r="O84" i="17" s="1"/>
  <c r="K84" i="17"/>
  <c r="L84" i="17"/>
  <c r="M84" i="17" s="1"/>
  <c r="I85" i="17"/>
  <c r="N85" i="17" s="1" a="1"/>
  <c r="N85" i="17" s="1"/>
  <c r="J85" i="17"/>
  <c r="O85" i="17" s="1"/>
  <c r="K85" i="17"/>
  <c r="L85" i="17"/>
  <c r="M85" i="17" s="1"/>
  <c r="I86" i="17"/>
  <c r="N86" i="17" s="1" a="1"/>
  <c r="N86" i="17" s="1"/>
  <c r="J86" i="17"/>
  <c r="O86" i="17" s="1"/>
  <c r="K86" i="17"/>
  <c r="L86" i="17"/>
  <c r="M86" i="17" s="1"/>
  <c r="I87" i="17"/>
  <c r="N87" i="17" s="1" a="1"/>
  <c r="N87" i="17" s="1"/>
  <c r="J87" i="17"/>
  <c r="O87" i="17" s="1"/>
  <c r="K87" i="17"/>
  <c r="L87" i="17"/>
  <c r="M87" i="17" s="1"/>
  <c r="I88" i="17"/>
  <c r="N88" i="17" s="1" a="1"/>
  <c r="N88" i="17" s="1"/>
  <c r="J88" i="17"/>
  <c r="O88" i="17" s="1"/>
  <c r="K88" i="17"/>
  <c r="L88" i="17"/>
  <c r="M88" i="17" s="1"/>
  <c r="I89" i="17"/>
  <c r="N89" i="17" s="1" a="1"/>
  <c r="N89" i="17" s="1"/>
  <c r="J89" i="17"/>
  <c r="O89" i="17" s="1"/>
  <c r="K89" i="17"/>
  <c r="L89" i="17"/>
  <c r="M89" i="17" s="1"/>
  <c r="I90" i="17"/>
  <c r="N90" i="17" s="1" a="1"/>
  <c r="N90" i="17" s="1"/>
  <c r="J90" i="17"/>
  <c r="O90" i="17" s="1"/>
  <c r="K90" i="17"/>
  <c r="L90" i="17"/>
  <c r="M90" i="17" s="1"/>
  <c r="I91" i="17"/>
  <c r="N91" i="17" s="1" a="1"/>
  <c r="N91" i="17" s="1"/>
  <c r="J91" i="17"/>
  <c r="O91" i="17" s="1"/>
  <c r="K91" i="17"/>
  <c r="L91" i="17"/>
  <c r="M91" i="17" s="1"/>
  <c r="I92" i="17"/>
  <c r="N92" i="17" s="1" a="1"/>
  <c r="N92" i="17" s="1"/>
  <c r="J92" i="17"/>
  <c r="O92" i="17" s="1"/>
  <c r="K92" i="17"/>
  <c r="L92" i="17"/>
  <c r="M92" i="17" s="1"/>
  <c r="I93" i="17"/>
  <c r="N93" i="17" s="1" a="1"/>
  <c r="N93" i="17" s="1"/>
  <c r="J93" i="17"/>
  <c r="O93" i="17" s="1"/>
  <c r="K93" i="17"/>
  <c r="L93" i="17"/>
  <c r="M93" i="17" s="1"/>
  <c r="I94" i="17"/>
  <c r="N94" i="17" s="1" a="1"/>
  <c r="N94" i="17" s="1"/>
  <c r="J94" i="17"/>
  <c r="O94" i="17" s="1"/>
  <c r="K94" i="17"/>
  <c r="L94" i="17"/>
  <c r="M94" i="17" s="1"/>
  <c r="I95" i="17"/>
  <c r="N95" i="17" s="1" a="1"/>
  <c r="N95" i="17" s="1"/>
  <c r="J95" i="17"/>
  <c r="O95" i="17" s="1"/>
  <c r="K95" i="17"/>
  <c r="L95" i="17"/>
  <c r="M95" i="17" s="1"/>
  <c r="I96" i="17"/>
  <c r="N96" i="17" s="1" a="1"/>
  <c r="N96" i="17" s="1"/>
  <c r="J96" i="17"/>
  <c r="O96" i="17" s="1"/>
  <c r="K96" i="17"/>
  <c r="L96" i="17"/>
  <c r="M96" i="17" s="1"/>
  <c r="I97" i="17"/>
  <c r="N97" i="17" s="1" a="1"/>
  <c r="N97" i="17" s="1"/>
  <c r="J97" i="17"/>
  <c r="O97" i="17" s="1"/>
  <c r="K97" i="17"/>
  <c r="L97" i="17"/>
  <c r="M97" i="17" s="1"/>
  <c r="I98" i="17"/>
  <c r="N98" i="17" s="1" a="1"/>
  <c r="N98" i="17" s="1"/>
  <c r="J98" i="17"/>
  <c r="O98" i="17" s="1"/>
  <c r="K98" i="17"/>
  <c r="L98" i="17"/>
  <c r="M98" i="17" s="1"/>
  <c r="I99" i="17"/>
  <c r="N99" i="17" s="1" a="1"/>
  <c r="N99" i="17" s="1"/>
  <c r="J99" i="17"/>
  <c r="O99" i="17" s="1"/>
  <c r="K99" i="17"/>
  <c r="L99" i="17"/>
  <c r="M99" i="17" s="1"/>
  <c r="I100" i="17"/>
  <c r="N100" i="17" s="1" a="1"/>
  <c r="N100" i="17" s="1"/>
  <c r="J100" i="17"/>
  <c r="O100" i="17" s="1"/>
  <c r="K100" i="17"/>
  <c r="L100" i="17"/>
  <c r="M100" i="17" s="1"/>
  <c r="I101" i="17"/>
  <c r="N101" i="17" s="1" a="1"/>
  <c r="N101" i="17" s="1"/>
  <c r="J101" i="17"/>
  <c r="O101" i="17" s="1"/>
  <c r="K101" i="17"/>
  <c r="L101" i="17"/>
  <c r="M101" i="17" s="1"/>
  <c r="I102" i="17"/>
  <c r="N102" i="17" s="1" a="1"/>
  <c r="N102" i="17" s="1"/>
  <c r="J102" i="17"/>
  <c r="O102" i="17" s="1"/>
  <c r="K102" i="17"/>
  <c r="L102" i="17"/>
  <c r="M102" i="17" s="1"/>
  <c r="I103" i="17"/>
  <c r="N103" i="17" s="1" a="1"/>
  <c r="N103" i="17" s="1"/>
  <c r="J103" i="17"/>
  <c r="O103" i="17" s="1"/>
  <c r="K103" i="17"/>
  <c r="L103" i="17"/>
  <c r="M103" i="17" s="1"/>
  <c r="I104" i="17"/>
  <c r="N104" i="17" s="1" a="1"/>
  <c r="N104" i="17" s="1"/>
  <c r="J104" i="17"/>
  <c r="O104" i="17" s="1"/>
  <c r="K104" i="17"/>
  <c r="L104" i="17"/>
  <c r="M104" i="17" s="1"/>
  <c r="I105" i="17"/>
  <c r="N105" i="17" s="1" a="1"/>
  <c r="N105" i="17" s="1"/>
  <c r="J105" i="17"/>
  <c r="O105" i="17" s="1"/>
  <c r="K105" i="17"/>
  <c r="L105" i="17"/>
  <c r="M105" i="17" s="1"/>
  <c r="I106" i="17"/>
  <c r="N106" i="17" s="1" a="1"/>
  <c r="N106" i="17" s="1"/>
  <c r="J106" i="17"/>
  <c r="O106" i="17" s="1"/>
  <c r="K106" i="17"/>
  <c r="L106" i="17"/>
  <c r="M106" i="17" s="1"/>
  <c r="I107" i="17"/>
  <c r="N107" i="17" s="1" a="1"/>
  <c r="N107" i="17" s="1"/>
  <c r="J107" i="17"/>
  <c r="O107" i="17" s="1"/>
  <c r="K107" i="17"/>
  <c r="L107" i="17"/>
  <c r="M107" i="17" s="1"/>
  <c r="I108" i="17"/>
  <c r="N108" i="17" s="1" a="1"/>
  <c r="N108" i="17" s="1"/>
  <c r="J108" i="17"/>
  <c r="O108" i="17" s="1"/>
  <c r="K108" i="17"/>
  <c r="L108" i="17"/>
  <c r="M108" i="17" s="1"/>
  <c r="I109" i="17"/>
  <c r="N109" i="17" s="1" a="1"/>
  <c r="N109" i="17" s="1"/>
  <c r="J109" i="17"/>
  <c r="O109" i="17" s="1"/>
  <c r="K109" i="17"/>
  <c r="L109" i="17"/>
  <c r="M109" i="17" s="1"/>
  <c r="I110" i="17"/>
  <c r="N110" i="17" s="1" a="1"/>
  <c r="N110" i="17" s="1"/>
  <c r="J110" i="17"/>
  <c r="O110" i="17" s="1"/>
  <c r="K110" i="17"/>
  <c r="L110" i="17"/>
  <c r="M110" i="17" s="1"/>
  <c r="I111" i="17"/>
  <c r="N111" i="17" s="1" a="1"/>
  <c r="N111" i="17" s="1"/>
  <c r="J111" i="17"/>
  <c r="O111" i="17" s="1"/>
  <c r="K111" i="17"/>
  <c r="L111" i="17"/>
  <c r="M111" i="17" s="1"/>
  <c r="I112" i="17"/>
  <c r="N112" i="17" s="1" a="1"/>
  <c r="N112" i="17" s="1"/>
  <c r="J112" i="17"/>
  <c r="O112" i="17" s="1"/>
  <c r="K112" i="17"/>
  <c r="L112" i="17"/>
  <c r="M112" i="17" s="1"/>
  <c r="I113" i="17"/>
  <c r="N113" i="17" s="1" a="1"/>
  <c r="N113" i="17" s="1"/>
  <c r="J113" i="17"/>
  <c r="O113" i="17" s="1"/>
  <c r="K113" i="17"/>
  <c r="L113" i="17"/>
  <c r="M113" i="17" s="1"/>
  <c r="I114" i="17"/>
  <c r="N114" i="17" s="1" a="1"/>
  <c r="N114" i="17" s="1"/>
  <c r="J114" i="17"/>
  <c r="O114" i="17" s="1"/>
  <c r="K114" i="17"/>
  <c r="L114" i="17"/>
  <c r="M114" i="17" s="1"/>
  <c r="I115" i="17"/>
  <c r="N115" i="17" s="1" a="1"/>
  <c r="N115" i="17" s="1"/>
  <c r="J115" i="17"/>
  <c r="O115" i="17" s="1"/>
  <c r="K115" i="17"/>
  <c r="L115" i="17"/>
  <c r="M115" i="17" s="1"/>
  <c r="I116" i="17"/>
  <c r="N116" i="17" s="1" a="1"/>
  <c r="N116" i="17" s="1"/>
  <c r="J116" i="17"/>
  <c r="O116" i="17" s="1"/>
  <c r="K116" i="17"/>
  <c r="L116" i="17"/>
  <c r="M116" i="17" s="1"/>
  <c r="I117" i="17"/>
  <c r="N117" i="17" s="1" a="1"/>
  <c r="N117" i="17" s="1"/>
  <c r="J117" i="17"/>
  <c r="O117" i="17" s="1"/>
  <c r="K117" i="17"/>
  <c r="L117" i="17"/>
  <c r="M117" i="17" s="1"/>
  <c r="I118" i="17"/>
  <c r="N118" i="17" s="1" a="1"/>
  <c r="N118" i="17" s="1"/>
  <c r="J118" i="17"/>
  <c r="O118" i="17" s="1"/>
  <c r="K118" i="17"/>
  <c r="L118" i="17"/>
  <c r="M118" i="17" s="1"/>
  <c r="I119" i="17"/>
  <c r="N119" i="17" s="1" a="1"/>
  <c r="N119" i="17" s="1"/>
  <c r="J119" i="17"/>
  <c r="O119" i="17" s="1"/>
  <c r="K119" i="17"/>
  <c r="L119" i="17"/>
  <c r="M119" i="17" s="1"/>
  <c r="I120" i="17"/>
  <c r="N120" i="17" s="1" a="1"/>
  <c r="N120" i="17" s="1"/>
  <c r="J120" i="17"/>
  <c r="O120" i="17" s="1"/>
  <c r="K120" i="17"/>
  <c r="L120" i="17"/>
  <c r="M120" i="17" s="1"/>
  <c r="I121" i="17"/>
  <c r="N121" i="17" s="1" a="1"/>
  <c r="N121" i="17" s="1"/>
  <c r="J121" i="17"/>
  <c r="O121" i="17" s="1"/>
  <c r="K121" i="17"/>
  <c r="L121" i="17"/>
  <c r="M121" i="17" s="1"/>
  <c r="I122" i="17"/>
  <c r="N122" i="17" s="1" a="1"/>
  <c r="N122" i="17" s="1"/>
  <c r="J122" i="17"/>
  <c r="O122" i="17" s="1"/>
  <c r="K122" i="17"/>
  <c r="L122" i="17"/>
  <c r="M122" i="17" s="1"/>
  <c r="I123" i="17"/>
  <c r="N123" i="17" s="1" a="1"/>
  <c r="N123" i="17" s="1"/>
  <c r="J123" i="17"/>
  <c r="O123" i="17" s="1"/>
  <c r="K123" i="17"/>
  <c r="L123" i="17"/>
  <c r="M123" i="17" s="1"/>
  <c r="I124" i="17"/>
  <c r="N124" i="17" s="1" a="1"/>
  <c r="N124" i="17" s="1"/>
  <c r="J124" i="17"/>
  <c r="O124" i="17" s="1"/>
  <c r="K124" i="17"/>
  <c r="L124" i="17"/>
  <c r="M124" i="17" s="1"/>
  <c r="I125" i="17"/>
  <c r="N125" i="17" s="1" a="1"/>
  <c r="N125" i="17" s="1"/>
  <c r="J125" i="17"/>
  <c r="O125" i="17" s="1"/>
  <c r="K125" i="17"/>
  <c r="L125" i="17"/>
  <c r="M125" i="17" s="1"/>
  <c r="I126" i="17"/>
  <c r="N126" i="17" s="1" a="1"/>
  <c r="N126" i="17" s="1"/>
  <c r="J126" i="17"/>
  <c r="O126" i="17" s="1"/>
  <c r="K126" i="17"/>
  <c r="L126" i="17"/>
  <c r="M126" i="17" s="1"/>
  <c r="I127" i="17"/>
  <c r="N127" i="17" s="1" a="1"/>
  <c r="N127" i="17" s="1"/>
  <c r="J127" i="17"/>
  <c r="O127" i="17" s="1"/>
  <c r="K127" i="17"/>
  <c r="L127" i="17"/>
  <c r="M127" i="17" s="1"/>
  <c r="I128" i="17"/>
  <c r="N128" i="17" s="1" a="1"/>
  <c r="N128" i="17" s="1"/>
  <c r="J128" i="17"/>
  <c r="O128" i="17" s="1"/>
  <c r="K128" i="17"/>
  <c r="L128" i="17"/>
  <c r="M128" i="17" s="1"/>
  <c r="I129" i="17"/>
  <c r="N129" i="17" s="1" a="1"/>
  <c r="N129" i="17" s="1"/>
  <c r="J129" i="17"/>
  <c r="O129" i="17" s="1"/>
  <c r="K129" i="17"/>
  <c r="L129" i="17"/>
  <c r="M129" i="17" s="1"/>
  <c r="I130" i="17"/>
  <c r="N130" i="17" s="1" a="1"/>
  <c r="N130" i="17" s="1"/>
  <c r="J130" i="17"/>
  <c r="O130" i="17" s="1"/>
  <c r="K130" i="17"/>
  <c r="L130" i="17"/>
  <c r="M130" i="17" s="1"/>
  <c r="I131" i="17"/>
  <c r="N131" i="17" s="1" a="1"/>
  <c r="N131" i="17" s="1"/>
  <c r="J131" i="17"/>
  <c r="O131" i="17" s="1"/>
  <c r="K131" i="17"/>
  <c r="L131" i="17"/>
  <c r="M131" i="17" s="1"/>
  <c r="I132" i="17"/>
  <c r="N132" i="17" s="1" a="1"/>
  <c r="N132" i="17" s="1"/>
  <c r="J132" i="17"/>
  <c r="O132" i="17" s="1"/>
  <c r="K132" i="17"/>
  <c r="L132" i="17"/>
  <c r="M132" i="17" s="1"/>
  <c r="I133" i="17"/>
  <c r="N133" i="17" s="1" a="1"/>
  <c r="N133" i="17" s="1"/>
  <c r="J133" i="17"/>
  <c r="O133" i="17" s="1"/>
  <c r="K133" i="17"/>
  <c r="L133" i="17"/>
  <c r="M133" i="17" s="1"/>
  <c r="I134" i="17"/>
  <c r="N134" i="17" s="1" a="1"/>
  <c r="N134" i="17" s="1"/>
  <c r="J134" i="17"/>
  <c r="O134" i="17" s="1"/>
  <c r="K134" i="17"/>
  <c r="L134" i="17"/>
  <c r="M134" i="17" s="1"/>
  <c r="I135" i="17"/>
  <c r="N135" i="17" s="1" a="1"/>
  <c r="N135" i="17" s="1"/>
  <c r="J135" i="17"/>
  <c r="O135" i="17" s="1"/>
  <c r="K135" i="17"/>
  <c r="L135" i="17"/>
  <c r="M135" i="17" s="1"/>
  <c r="I136" i="17"/>
  <c r="N136" i="17" s="1" a="1"/>
  <c r="N136" i="17" s="1"/>
  <c r="J136" i="17"/>
  <c r="O136" i="17" s="1"/>
  <c r="K136" i="17"/>
  <c r="L136" i="17"/>
  <c r="M136" i="17" s="1"/>
  <c r="I137" i="17"/>
  <c r="N137" i="17" s="1" a="1"/>
  <c r="N137" i="17" s="1"/>
  <c r="J137" i="17"/>
  <c r="O137" i="17" s="1"/>
  <c r="K137" i="17"/>
  <c r="L137" i="17"/>
  <c r="M137" i="17" s="1"/>
  <c r="I138" i="17"/>
  <c r="N138" i="17" s="1" a="1"/>
  <c r="N138" i="17" s="1"/>
  <c r="J138" i="17"/>
  <c r="O138" i="17" s="1"/>
  <c r="K138" i="17"/>
  <c r="L138" i="17"/>
  <c r="M138" i="17" s="1"/>
  <c r="I139" i="17"/>
  <c r="N139" i="17" s="1" a="1"/>
  <c r="N139" i="17" s="1"/>
  <c r="J139" i="17"/>
  <c r="O139" i="17" s="1"/>
  <c r="K139" i="17"/>
  <c r="L139" i="17"/>
  <c r="M139" i="17" s="1"/>
  <c r="I140" i="17"/>
  <c r="N140" i="17" s="1" a="1"/>
  <c r="N140" i="17" s="1"/>
  <c r="J140" i="17"/>
  <c r="O140" i="17" s="1"/>
  <c r="K140" i="17"/>
  <c r="L140" i="17"/>
  <c r="M140" i="17" s="1"/>
  <c r="I141" i="17"/>
  <c r="N141" i="17" s="1" a="1"/>
  <c r="N141" i="17" s="1"/>
  <c r="J141" i="17"/>
  <c r="O141" i="17" s="1"/>
  <c r="K141" i="17"/>
  <c r="L141" i="17"/>
  <c r="M141" i="17" s="1"/>
  <c r="I142" i="17"/>
  <c r="N142" i="17" s="1" a="1"/>
  <c r="N142" i="17" s="1"/>
  <c r="J142" i="17"/>
  <c r="O142" i="17" s="1"/>
  <c r="K142" i="17"/>
  <c r="L142" i="17"/>
  <c r="M142" i="17" s="1"/>
  <c r="I143" i="17"/>
  <c r="N143" i="17" s="1" a="1"/>
  <c r="N143" i="17" s="1"/>
  <c r="J143" i="17"/>
  <c r="O143" i="17" s="1"/>
  <c r="K143" i="17"/>
  <c r="L143" i="17"/>
  <c r="M143" i="17" s="1"/>
  <c r="I144" i="17"/>
  <c r="N144" i="17" s="1" a="1"/>
  <c r="N144" i="17" s="1"/>
  <c r="J144" i="17"/>
  <c r="O144" i="17" s="1"/>
  <c r="K144" i="17"/>
  <c r="L144" i="17"/>
  <c r="M144" i="17" s="1"/>
  <c r="I145" i="17"/>
  <c r="N145" i="17" s="1" a="1"/>
  <c r="N145" i="17" s="1"/>
  <c r="J145" i="17"/>
  <c r="O145" i="17" s="1"/>
  <c r="K145" i="17"/>
  <c r="L145" i="17"/>
  <c r="M145" i="17" s="1"/>
  <c r="I146" i="17"/>
  <c r="N146" i="17" s="1" a="1"/>
  <c r="N146" i="17" s="1"/>
  <c r="J146" i="17"/>
  <c r="O146" i="17" s="1"/>
  <c r="K146" i="17"/>
  <c r="L146" i="17"/>
  <c r="M146" i="17" s="1"/>
  <c r="I147" i="17"/>
  <c r="N147" i="17" s="1" a="1"/>
  <c r="N147" i="17" s="1"/>
  <c r="J147" i="17"/>
  <c r="O147" i="17" s="1"/>
  <c r="K147" i="17"/>
  <c r="L147" i="17"/>
  <c r="M147" i="17" s="1"/>
  <c r="I148" i="17"/>
  <c r="N148" i="17" s="1" a="1"/>
  <c r="N148" i="17" s="1"/>
  <c r="J148" i="17"/>
  <c r="O148" i="17" s="1"/>
  <c r="K148" i="17"/>
  <c r="L148" i="17"/>
  <c r="M148" i="17" s="1"/>
  <c r="I149" i="17"/>
  <c r="N149" i="17" s="1" a="1"/>
  <c r="N149" i="17" s="1"/>
  <c r="J149" i="17"/>
  <c r="O149" i="17" s="1"/>
  <c r="K149" i="17"/>
  <c r="L149" i="17"/>
  <c r="M149" i="17" s="1"/>
  <c r="I150" i="17"/>
  <c r="N150" i="17" s="1" a="1"/>
  <c r="N150" i="17" s="1"/>
  <c r="J150" i="17"/>
  <c r="O150" i="17" s="1"/>
  <c r="K150" i="17"/>
  <c r="L150" i="17"/>
  <c r="M150" i="17" s="1"/>
  <c r="I151" i="17"/>
  <c r="N151" i="17" s="1" a="1"/>
  <c r="N151" i="17" s="1"/>
  <c r="J151" i="17"/>
  <c r="O151" i="17" s="1"/>
  <c r="K151" i="17"/>
  <c r="L151" i="17"/>
  <c r="M151" i="17" s="1"/>
  <c r="I152" i="17"/>
  <c r="N152" i="17" s="1" a="1"/>
  <c r="N152" i="17" s="1"/>
  <c r="J152" i="17"/>
  <c r="O152" i="17" s="1"/>
  <c r="K152" i="17"/>
  <c r="L152" i="17"/>
  <c r="M152" i="17" s="1"/>
  <c r="I153" i="17"/>
  <c r="N153" i="17" s="1" a="1"/>
  <c r="N153" i="17" s="1"/>
  <c r="J153" i="17"/>
  <c r="O153" i="17" s="1"/>
  <c r="K153" i="17"/>
  <c r="L153" i="17"/>
  <c r="M153" i="17" s="1"/>
  <c r="I154" i="17"/>
  <c r="N154" i="17" s="1" a="1"/>
  <c r="N154" i="17" s="1"/>
  <c r="J154" i="17"/>
  <c r="O154" i="17" s="1"/>
  <c r="K154" i="17"/>
  <c r="L154" i="17"/>
  <c r="M154" i="17" s="1"/>
  <c r="I155" i="17"/>
  <c r="N155" i="17" s="1" a="1"/>
  <c r="N155" i="17" s="1"/>
  <c r="J155" i="17"/>
  <c r="O155" i="17" s="1"/>
  <c r="K155" i="17"/>
  <c r="L155" i="17"/>
  <c r="M155" i="17" s="1"/>
  <c r="I156" i="17"/>
  <c r="N156" i="17" s="1" a="1"/>
  <c r="N156" i="17" s="1"/>
  <c r="J156" i="17"/>
  <c r="O156" i="17" s="1"/>
  <c r="K156" i="17"/>
  <c r="L156" i="17"/>
  <c r="M156" i="17" s="1"/>
  <c r="I157" i="17"/>
  <c r="N157" i="17" s="1" a="1"/>
  <c r="N157" i="17" s="1"/>
  <c r="J157" i="17"/>
  <c r="O157" i="17" s="1"/>
  <c r="K157" i="17"/>
  <c r="L157" i="17"/>
  <c r="M157" i="17" s="1"/>
  <c r="I158" i="17"/>
  <c r="N158" i="17" s="1" a="1"/>
  <c r="N158" i="17" s="1"/>
  <c r="J158" i="17"/>
  <c r="O158" i="17" s="1"/>
  <c r="K158" i="17"/>
  <c r="L158" i="17"/>
  <c r="M158" i="17" s="1"/>
  <c r="I159" i="17"/>
  <c r="N159" i="17" s="1" a="1"/>
  <c r="N159" i="17" s="1"/>
  <c r="J159" i="17"/>
  <c r="O159" i="17" s="1"/>
  <c r="K159" i="17"/>
  <c r="L159" i="17"/>
  <c r="M159" i="17" s="1"/>
  <c r="I160" i="17"/>
  <c r="N160" i="17" s="1" a="1"/>
  <c r="N160" i="17" s="1"/>
  <c r="J160" i="17"/>
  <c r="O160" i="17" s="1"/>
  <c r="K160" i="17"/>
  <c r="L160" i="17"/>
  <c r="M160" i="17" s="1"/>
  <c r="I161" i="17"/>
  <c r="N161" i="17" s="1" a="1"/>
  <c r="N161" i="17" s="1"/>
  <c r="J161" i="17"/>
  <c r="O161" i="17" s="1"/>
  <c r="K161" i="17"/>
  <c r="L161" i="17"/>
  <c r="M161" i="17" s="1"/>
  <c r="I162" i="17"/>
  <c r="N162" i="17" s="1" a="1"/>
  <c r="N162" i="17" s="1"/>
  <c r="J162" i="17"/>
  <c r="O162" i="17" s="1"/>
  <c r="K162" i="17"/>
  <c r="L162" i="17"/>
  <c r="M162" i="17" s="1"/>
  <c r="I163" i="17"/>
  <c r="N163" i="17" s="1" a="1"/>
  <c r="N163" i="17" s="1"/>
  <c r="J163" i="17"/>
  <c r="O163" i="17" s="1"/>
  <c r="K163" i="17"/>
  <c r="L163" i="17"/>
  <c r="M163" i="17" s="1"/>
  <c r="I164" i="17"/>
  <c r="N164" i="17" s="1" a="1"/>
  <c r="N164" i="17" s="1"/>
  <c r="J164" i="17"/>
  <c r="O164" i="17" s="1"/>
  <c r="K164" i="17"/>
  <c r="L164" i="17"/>
  <c r="M164" i="17" s="1"/>
  <c r="I165" i="17"/>
  <c r="N165" i="17" s="1" a="1"/>
  <c r="N165" i="17" s="1"/>
  <c r="J165" i="17"/>
  <c r="O165" i="17" s="1"/>
  <c r="K165" i="17"/>
  <c r="L165" i="17"/>
  <c r="M165" i="17" s="1"/>
  <c r="I166" i="17"/>
  <c r="N166" i="17" s="1" a="1"/>
  <c r="N166" i="17" s="1"/>
  <c r="J166" i="17"/>
  <c r="O166" i="17" s="1"/>
  <c r="K166" i="17"/>
  <c r="L166" i="17"/>
  <c r="M166" i="17" s="1"/>
  <c r="I167" i="17"/>
  <c r="N167" i="17" s="1" a="1"/>
  <c r="N167" i="17" s="1"/>
  <c r="J167" i="17"/>
  <c r="O167" i="17" s="1"/>
  <c r="K167" i="17"/>
  <c r="L167" i="17"/>
  <c r="M167" i="17" s="1"/>
  <c r="I168" i="17"/>
  <c r="N168" i="17" s="1" a="1"/>
  <c r="N168" i="17" s="1"/>
  <c r="J168" i="17"/>
  <c r="O168" i="17" s="1"/>
  <c r="K168" i="17"/>
  <c r="L168" i="17"/>
  <c r="M168" i="17" s="1"/>
  <c r="I169" i="17"/>
  <c r="N169" i="17" s="1" a="1"/>
  <c r="N169" i="17" s="1"/>
  <c r="J169" i="17"/>
  <c r="O169" i="17" s="1"/>
  <c r="K169" i="17"/>
  <c r="L169" i="17"/>
  <c r="M169" i="17" s="1"/>
  <c r="I170" i="17"/>
  <c r="N170" i="17" s="1" a="1"/>
  <c r="N170" i="17" s="1"/>
  <c r="J170" i="17"/>
  <c r="O170" i="17" s="1"/>
  <c r="K170" i="17"/>
  <c r="L170" i="17"/>
  <c r="M170" i="17" s="1"/>
  <c r="I171" i="17"/>
  <c r="N171" i="17" s="1" a="1"/>
  <c r="N171" i="17" s="1"/>
  <c r="J171" i="17"/>
  <c r="O171" i="17" s="1"/>
  <c r="K171" i="17"/>
  <c r="L171" i="17"/>
  <c r="M171" i="17" s="1"/>
  <c r="I172" i="17"/>
  <c r="N172" i="17" s="1" a="1"/>
  <c r="N172" i="17" s="1"/>
  <c r="J172" i="17"/>
  <c r="O172" i="17" s="1"/>
  <c r="K172" i="17"/>
  <c r="L172" i="17"/>
  <c r="M172" i="17" s="1"/>
  <c r="I173" i="17"/>
  <c r="N173" i="17" s="1" a="1"/>
  <c r="N173" i="17" s="1"/>
  <c r="J173" i="17"/>
  <c r="O173" i="17" s="1"/>
  <c r="K173" i="17"/>
  <c r="L173" i="17"/>
  <c r="M173" i="17" s="1"/>
  <c r="I174" i="17"/>
  <c r="N174" i="17" s="1" a="1"/>
  <c r="N174" i="17" s="1"/>
  <c r="J174" i="17"/>
  <c r="O174" i="17" s="1"/>
  <c r="K174" i="17"/>
  <c r="L174" i="17"/>
  <c r="M174" i="17" s="1"/>
  <c r="I175" i="17"/>
  <c r="N175" i="17" s="1" a="1"/>
  <c r="N175" i="17" s="1"/>
  <c r="J175" i="17"/>
  <c r="O175" i="17" s="1"/>
  <c r="K175" i="17"/>
  <c r="L175" i="17"/>
  <c r="M175" i="17" s="1"/>
  <c r="I176" i="17"/>
  <c r="N176" i="17" s="1" a="1"/>
  <c r="N176" i="17" s="1"/>
  <c r="J176" i="17"/>
  <c r="O176" i="17" s="1"/>
  <c r="K176" i="17"/>
  <c r="L176" i="17"/>
  <c r="M176" i="17" s="1"/>
  <c r="I177" i="17"/>
  <c r="N177" i="17" s="1" a="1"/>
  <c r="N177" i="17" s="1"/>
  <c r="J177" i="17"/>
  <c r="O177" i="17" s="1"/>
  <c r="K177" i="17"/>
  <c r="L177" i="17"/>
  <c r="M177" i="17" s="1"/>
  <c r="I178" i="17"/>
  <c r="N178" i="17" s="1" a="1"/>
  <c r="N178" i="17" s="1"/>
  <c r="J178" i="17"/>
  <c r="O178" i="17" s="1"/>
  <c r="K178" i="17"/>
  <c r="L178" i="17"/>
  <c r="M178" i="17" s="1"/>
  <c r="I179" i="17"/>
  <c r="N179" i="17" s="1" a="1"/>
  <c r="N179" i="17" s="1"/>
  <c r="J179" i="17"/>
  <c r="O179" i="17" s="1"/>
  <c r="K179" i="17"/>
  <c r="L179" i="17"/>
  <c r="M179" i="17" s="1"/>
  <c r="I180" i="17"/>
  <c r="N180" i="17" s="1" a="1"/>
  <c r="N180" i="17" s="1"/>
  <c r="J180" i="17"/>
  <c r="O180" i="17" s="1"/>
  <c r="K180" i="17"/>
  <c r="L180" i="17"/>
  <c r="M180" i="17" s="1"/>
  <c r="I181" i="17"/>
  <c r="N181" i="17" s="1" a="1"/>
  <c r="N181" i="17" s="1"/>
  <c r="J181" i="17"/>
  <c r="O181" i="17" s="1"/>
  <c r="K181" i="17"/>
  <c r="L181" i="17"/>
  <c r="M181" i="17" s="1"/>
  <c r="I182" i="17"/>
  <c r="N182" i="17" s="1" a="1"/>
  <c r="N182" i="17" s="1"/>
  <c r="J182" i="17"/>
  <c r="O182" i="17" s="1"/>
  <c r="K182" i="17"/>
  <c r="L182" i="17"/>
  <c r="M182" i="17" s="1"/>
  <c r="I183" i="17"/>
  <c r="N183" i="17" s="1" a="1"/>
  <c r="N183" i="17" s="1"/>
  <c r="J183" i="17"/>
  <c r="O183" i="17" s="1"/>
  <c r="K183" i="17"/>
  <c r="L183" i="17"/>
  <c r="M183" i="17" s="1"/>
  <c r="I184" i="17"/>
  <c r="N184" i="17" s="1" a="1"/>
  <c r="N184" i="17" s="1"/>
  <c r="J184" i="17"/>
  <c r="O184" i="17" s="1"/>
  <c r="K184" i="17"/>
  <c r="L184" i="17"/>
  <c r="M184" i="17" s="1"/>
  <c r="I185" i="17"/>
  <c r="N185" i="17" s="1" a="1"/>
  <c r="N185" i="17" s="1"/>
  <c r="J185" i="17"/>
  <c r="O185" i="17" s="1"/>
  <c r="K185" i="17"/>
  <c r="L185" i="17"/>
  <c r="M185" i="17" s="1"/>
  <c r="I186" i="17"/>
  <c r="N186" i="17" s="1" a="1"/>
  <c r="N186" i="17" s="1"/>
  <c r="J186" i="17"/>
  <c r="O186" i="17" s="1"/>
  <c r="K186" i="17"/>
  <c r="L186" i="17"/>
  <c r="M186" i="17" s="1"/>
  <c r="I187" i="17"/>
  <c r="N187" i="17" s="1" a="1"/>
  <c r="N187" i="17" s="1"/>
  <c r="J187" i="17"/>
  <c r="O187" i="17" s="1"/>
  <c r="K187" i="17"/>
  <c r="L187" i="17"/>
  <c r="M187" i="17" s="1"/>
  <c r="I188" i="17"/>
  <c r="N188" i="17" s="1" a="1"/>
  <c r="N188" i="17" s="1"/>
  <c r="J188" i="17"/>
  <c r="O188" i="17" s="1"/>
  <c r="K188" i="17"/>
  <c r="L188" i="17"/>
  <c r="M188" i="17" s="1"/>
  <c r="I189" i="17"/>
  <c r="N189" i="17" s="1" a="1"/>
  <c r="N189" i="17" s="1"/>
  <c r="J189" i="17"/>
  <c r="O189" i="17" s="1"/>
  <c r="K189" i="17"/>
  <c r="L189" i="17"/>
  <c r="M189" i="17" s="1"/>
  <c r="I190" i="17"/>
  <c r="N190" i="17" s="1" a="1"/>
  <c r="N190" i="17" s="1"/>
  <c r="J190" i="17"/>
  <c r="O190" i="17" s="1"/>
  <c r="K190" i="17"/>
  <c r="L190" i="17"/>
  <c r="M190" i="17" s="1"/>
  <c r="I191" i="17"/>
  <c r="N191" i="17" s="1" a="1"/>
  <c r="N191" i="17" s="1"/>
  <c r="J191" i="17"/>
  <c r="O191" i="17" s="1"/>
  <c r="K191" i="17"/>
  <c r="L191" i="17"/>
  <c r="M191" i="17" s="1"/>
  <c r="I192" i="17"/>
  <c r="N192" i="17" s="1" a="1"/>
  <c r="N192" i="17" s="1"/>
  <c r="J192" i="17"/>
  <c r="O192" i="17" s="1"/>
  <c r="K192" i="17"/>
  <c r="L192" i="17"/>
  <c r="M192" i="17" s="1"/>
  <c r="I193" i="17"/>
  <c r="N193" i="17" s="1" a="1"/>
  <c r="N193" i="17" s="1"/>
  <c r="J193" i="17"/>
  <c r="O193" i="17" s="1"/>
  <c r="K193" i="17"/>
  <c r="L193" i="17"/>
  <c r="M193" i="17" s="1"/>
  <c r="I194" i="17"/>
  <c r="N194" i="17" s="1" a="1"/>
  <c r="N194" i="17" s="1"/>
  <c r="J194" i="17"/>
  <c r="O194" i="17" s="1"/>
  <c r="K194" i="17"/>
  <c r="L194" i="17"/>
  <c r="M194" i="17" s="1"/>
  <c r="I195" i="17"/>
  <c r="N195" i="17" s="1" a="1"/>
  <c r="N195" i="17" s="1"/>
  <c r="J195" i="17"/>
  <c r="O195" i="17" s="1"/>
  <c r="K195" i="17"/>
  <c r="L195" i="17"/>
  <c r="M195" i="17" s="1"/>
  <c r="I196" i="17"/>
  <c r="N196" i="17" s="1" a="1"/>
  <c r="N196" i="17" s="1"/>
  <c r="J196" i="17"/>
  <c r="O196" i="17" s="1"/>
  <c r="K196" i="17"/>
  <c r="L196" i="17"/>
  <c r="M196" i="17" s="1"/>
  <c r="I197" i="17"/>
  <c r="N197" i="17" s="1" a="1"/>
  <c r="N197" i="17" s="1"/>
  <c r="J197" i="17"/>
  <c r="O197" i="17" s="1"/>
  <c r="K197" i="17"/>
  <c r="L197" i="17"/>
  <c r="M197" i="17" s="1"/>
  <c r="I198" i="17"/>
  <c r="N198" i="17" s="1" a="1"/>
  <c r="N198" i="17" s="1"/>
  <c r="J198" i="17"/>
  <c r="O198" i="17" s="1"/>
  <c r="K198" i="17"/>
  <c r="L198" i="17"/>
  <c r="M198" i="17" s="1"/>
  <c r="I199" i="17"/>
  <c r="N199" i="17" s="1" a="1"/>
  <c r="N199" i="17" s="1"/>
  <c r="J199" i="17"/>
  <c r="O199" i="17" s="1"/>
  <c r="K199" i="17"/>
  <c r="L199" i="17"/>
  <c r="M199" i="17" s="1"/>
  <c r="I200" i="17"/>
  <c r="N200" i="17" s="1" a="1"/>
  <c r="N200" i="17" s="1"/>
  <c r="J200" i="17"/>
  <c r="O200" i="17" s="1"/>
  <c r="K200" i="17"/>
  <c r="L200" i="17"/>
  <c r="M200" i="17" s="1"/>
  <c r="I201" i="17"/>
  <c r="N201" i="17" s="1" a="1"/>
  <c r="N201" i="17" s="1"/>
  <c r="J201" i="17"/>
  <c r="O201" i="17" s="1"/>
  <c r="K201" i="17"/>
  <c r="L201" i="17"/>
  <c r="M201" i="17" s="1"/>
  <c r="I202" i="17"/>
  <c r="N202" i="17" s="1" a="1"/>
  <c r="N202" i="17" s="1"/>
  <c r="J202" i="17"/>
  <c r="O202" i="17" s="1"/>
  <c r="K202" i="17"/>
  <c r="L202" i="17"/>
  <c r="M202" i="17" s="1"/>
  <c r="I203" i="17"/>
  <c r="N203" i="17" s="1" a="1"/>
  <c r="N203" i="17" s="1"/>
  <c r="J203" i="17"/>
  <c r="O203" i="17" s="1"/>
  <c r="K203" i="17"/>
  <c r="L203" i="17"/>
  <c r="M203" i="17" s="1"/>
  <c r="I204" i="17"/>
  <c r="N204" i="17" s="1" a="1"/>
  <c r="N204" i="17" s="1"/>
  <c r="J204" i="17"/>
  <c r="O204" i="17" s="1"/>
  <c r="K204" i="17"/>
  <c r="L204" i="17"/>
  <c r="M204" i="17" s="1"/>
  <c r="I205" i="17"/>
  <c r="N205" i="17" s="1" a="1"/>
  <c r="N205" i="17" s="1"/>
  <c r="J205" i="17"/>
  <c r="O205" i="17" s="1"/>
  <c r="K205" i="17"/>
  <c r="L205" i="17"/>
  <c r="M205" i="17" s="1"/>
  <c r="I206" i="17"/>
  <c r="N206" i="17" s="1" a="1"/>
  <c r="N206" i="17" s="1"/>
  <c r="J206" i="17"/>
  <c r="O206" i="17" s="1"/>
  <c r="K206" i="17"/>
  <c r="L206" i="17"/>
  <c r="M206" i="17" s="1"/>
  <c r="I207" i="17"/>
  <c r="N207" i="17" s="1" a="1"/>
  <c r="N207" i="17" s="1"/>
  <c r="J207" i="17"/>
  <c r="O207" i="17" s="1"/>
  <c r="K207" i="17"/>
  <c r="L207" i="17"/>
  <c r="M207" i="17" s="1"/>
  <c r="I208" i="17"/>
  <c r="N208" i="17" s="1" a="1"/>
  <c r="N208" i="17" s="1"/>
  <c r="J208" i="17"/>
  <c r="O208" i="17" s="1"/>
  <c r="K208" i="17"/>
  <c r="L208" i="17"/>
  <c r="M208" i="17" s="1"/>
  <c r="I209" i="17"/>
  <c r="N209" i="17" s="1" a="1"/>
  <c r="N209" i="17" s="1"/>
  <c r="J209" i="17"/>
  <c r="O209" i="17" s="1"/>
  <c r="K209" i="17"/>
  <c r="L209" i="17"/>
  <c r="M209" i="17" s="1"/>
  <c r="I210" i="17"/>
  <c r="N210" i="17" s="1" a="1"/>
  <c r="N210" i="17" s="1"/>
  <c r="J210" i="17"/>
  <c r="O210" i="17" s="1"/>
  <c r="K210" i="17"/>
  <c r="L210" i="17"/>
  <c r="M210" i="17" s="1"/>
  <c r="I211" i="17"/>
  <c r="N211" i="17" s="1" a="1"/>
  <c r="N211" i="17" s="1"/>
  <c r="J211" i="17"/>
  <c r="O211" i="17" s="1"/>
  <c r="K211" i="17"/>
  <c r="L211" i="17"/>
  <c r="M211" i="17" s="1"/>
  <c r="I212" i="17"/>
  <c r="N212" i="17" s="1" a="1"/>
  <c r="N212" i="17" s="1"/>
  <c r="J212" i="17"/>
  <c r="O212" i="17" s="1"/>
  <c r="K212" i="17"/>
  <c r="L212" i="17"/>
  <c r="M212" i="17" s="1"/>
  <c r="I213" i="17"/>
  <c r="N213" i="17" s="1" a="1"/>
  <c r="N213" i="17" s="1"/>
  <c r="J213" i="17"/>
  <c r="O213" i="17" s="1"/>
  <c r="K213" i="17"/>
  <c r="L213" i="17"/>
  <c r="M213" i="17" s="1"/>
  <c r="I214" i="17"/>
  <c r="N214" i="17" s="1" a="1"/>
  <c r="N214" i="17" s="1"/>
  <c r="J214" i="17"/>
  <c r="O214" i="17" s="1"/>
  <c r="K214" i="17"/>
  <c r="L214" i="17"/>
  <c r="M214" i="17" s="1"/>
  <c r="I215" i="17"/>
  <c r="N215" i="17" s="1" a="1"/>
  <c r="N215" i="17" s="1"/>
  <c r="J215" i="17"/>
  <c r="O215" i="17" s="1"/>
  <c r="K215" i="17"/>
  <c r="L215" i="17"/>
  <c r="M215" i="17" s="1"/>
  <c r="I216" i="17"/>
  <c r="N216" i="17" s="1" a="1"/>
  <c r="N216" i="17" s="1"/>
  <c r="J216" i="17"/>
  <c r="O216" i="17" s="1"/>
  <c r="K216" i="17"/>
  <c r="L216" i="17"/>
  <c r="M216" i="17" s="1"/>
  <c r="I217" i="17"/>
  <c r="N217" i="17" s="1" a="1"/>
  <c r="N217" i="17" s="1"/>
  <c r="J217" i="17"/>
  <c r="O217" i="17" s="1"/>
  <c r="K217" i="17"/>
  <c r="L217" i="17"/>
  <c r="M217" i="17" s="1"/>
  <c r="I218" i="17"/>
  <c r="N218" i="17" s="1" a="1"/>
  <c r="N218" i="17" s="1"/>
  <c r="J218" i="17"/>
  <c r="O218" i="17" s="1"/>
  <c r="K218" i="17"/>
  <c r="L218" i="17"/>
  <c r="M218" i="17" s="1"/>
  <c r="I219" i="17"/>
  <c r="N219" i="17" s="1" a="1"/>
  <c r="N219" i="17" s="1"/>
  <c r="J219" i="17"/>
  <c r="O219" i="17" s="1"/>
  <c r="K219" i="17"/>
  <c r="L219" i="17"/>
  <c r="M219" i="17" s="1"/>
  <c r="I220" i="17"/>
  <c r="N220" i="17" s="1" a="1"/>
  <c r="N220" i="17" s="1"/>
  <c r="J220" i="17"/>
  <c r="O220" i="17" s="1"/>
  <c r="K220" i="17"/>
  <c r="L220" i="17"/>
  <c r="M220" i="17" s="1"/>
  <c r="I221" i="17"/>
  <c r="N221" i="17" s="1" a="1"/>
  <c r="N221" i="17" s="1"/>
  <c r="J221" i="17"/>
  <c r="O221" i="17" s="1"/>
  <c r="K221" i="17"/>
  <c r="L221" i="17"/>
  <c r="M221" i="17" s="1"/>
  <c r="I222" i="17"/>
  <c r="N222" i="17" s="1" a="1"/>
  <c r="N222" i="17" s="1"/>
  <c r="J222" i="17"/>
  <c r="O222" i="17" s="1"/>
  <c r="K222" i="17"/>
  <c r="L222" i="17"/>
  <c r="M222" i="17" s="1"/>
  <c r="I223" i="17"/>
  <c r="N223" i="17" s="1" a="1"/>
  <c r="N223" i="17" s="1"/>
  <c r="J223" i="17"/>
  <c r="O223" i="17" s="1"/>
  <c r="K223" i="17"/>
  <c r="L223" i="17"/>
  <c r="M223" i="17" s="1"/>
  <c r="I224" i="17"/>
  <c r="N224" i="17" s="1" a="1"/>
  <c r="N224" i="17" s="1"/>
  <c r="J224" i="17"/>
  <c r="O224" i="17" s="1"/>
  <c r="K224" i="17"/>
  <c r="L224" i="17"/>
  <c r="M224" i="17" s="1"/>
  <c r="I225" i="17"/>
  <c r="N225" i="17" s="1" a="1"/>
  <c r="N225" i="17" s="1"/>
  <c r="J225" i="17"/>
  <c r="O225" i="17" s="1"/>
  <c r="K225" i="17"/>
  <c r="L225" i="17"/>
  <c r="M225" i="17" s="1"/>
  <c r="I226" i="17"/>
  <c r="N226" i="17" s="1" a="1"/>
  <c r="N226" i="17" s="1"/>
  <c r="J226" i="17"/>
  <c r="O226" i="17" s="1"/>
  <c r="K226" i="17"/>
  <c r="L226" i="17"/>
  <c r="M226" i="17" s="1"/>
  <c r="I227" i="17"/>
  <c r="N227" i="17" s="1" a="1"/>
  <c r="N227" i="17" s="1"/>
  <c r="J227" i="17"/>
  <c r="O227" i="17" s="1"/>
  <c r="K227" i="17"/>
  <c r="L227" i="17"/>
  <c r="M227" i="17" s="1"/>
  <c r="I228" i="17"/>
  <c r="N228" i="17" s="1" a="1"/>
  <c r="N228" i="17" s="1"/>
  <c r="J228" i="17"/>
  <c r="O228" i="17" s="1"/>
  <c r="K228" i="17"/>
  <c r="L228" i="17"/>
  <c r="M228" i="17" s="1"/>
  <c r="I229" i="17"/>
  <c r="N229" i="17" s="1" a="1"/>
  <c r="N229" i="17" s="1"/>
  <c r="J229" i="17"/>
  <c r="O229" i="17" s="1"/>
  <c r="K229" i="17"/>
  <c r="L229" i="17"/>
  <c r="M229" i="17" s="1"/>
  <c r="I230" i="17"/>
  <c r="N230" i="17" s="1" a="1"/>
  <c r="N230" i="17" s="1"/>
  <c r="J230" i="17"/>
  <c r="O230" i="17" s="1"/>
  <c r="K230" i="17"/>
  <c r="L230" i="17"/>
  <c r="M230" i="17" s="1"/>
  <c r="I231" i="17"/>
  <c r="N231" i="17" s="1" a="1"/>
  <c r="N231" i="17" s="1"/>
  <c r="J231" i="17"/>
  <c r="O231" i="17" s="1"/>
  <c r="K231" i="17"/>
  <c r="L231" i="17"/>
  <c r="M231" i="17" s="1"/>
  <c r="I232" i="17"/>
  <c r="N232" i="17" s="1" a="1"/>
  <c r="N232" i="17" s="1"/>
  <c r="J232" i="17"/>
  <c r="O232" i="17" s="1"/>
  <c r="K232" i="17"/>
  <c r="L232" i="17"/>
  <c r="M232" i="17" s="1"/>
  <c r="I233" i="17"/>
  <c r="N233" i="17" s="1" a="1"/>
  <c r="N233" i="17" s="1"/>
  <c r="J233" i="17"/>
  <c r="O233" i="17" s="1"/>
  <c r="K233" i="17"/>
  <c r="L233" i="17"/>
  <c r="M233" i="17" s="1"/>
  <c r="I234" i="17"/>
  <c r="N234" i="17" s="1" a="1"/>
  <c r="N234" i="17" s="1"/>
  <c r="J234" i="17"/>
  <c r="O234" i="17" s="1"/>
  <c r="K234" i="17"/>
  <c r="L234" i="17"/>
  <c r="M234" i="17" s="1"/>
  <c r="I235" i="17"/>
  <c r="N235" i="17" s="1" a="1"/>
  <c r="N235" i="17" s="1"/>
  <c r="J235" i="17"/>
  <c r="O235" i="17" s="1"/>
  <c r="K235" i="17"/>
  <c r="L235" i="17"/>
  <c r="M235" i="17" s="1"/>
  <c r="I236" i="17"/>
  <c r="N236" i="17" s="1" a="1"/>
  <c r="N236" i="17" s="1"/>
  <c r="J236" i="17"/>
  <c r="O236" i="17" s="1"/>
  <c r="K236" i="17"/>
  <c r="L236" i="17"/>
  <c r="M236" i="17" s="1"/>
  <c r="I237" i="17"/>
  <c r="N237" i="17" s="1" a="1"/>
  <c r="N237" i="17" s="1"/>
  <c r="J237" i="17"/>
  <c r="O237" i="17" s="1"/>
  <c r="K237" i="17"/>
  <c r="L237" i="17"/>
  <c r="M237" i="17" s="1"/>
  <c r="I238" i="17"/>
  <c r="N238" i="17" s="1" a="1"/>
  <c r="N238" i="17" s="1"/>
  <c r="J238" i="17"/>
  <c r="O238" i="17" s="1"/>
  <c r="K238" i="17"/>
  <c r="L238" i="17"/>
  <c r="M238" i="17" s="1"/>
  <c r="I239" i="17"/>
  <c r="N239" i="17" s="1" a="1"/>
  <c r="N239" i="17" s="1"/>
  <c r="J239" i="17"/>
  <c r="O239" i="17" s="1"/>
  <c r="K239" i="17"/>
  <c r="L239" i="17"/>
  <c r="M239" i="17" s="1"/>
  <c r="I240" i="17"/>
  <c r="N240" i="17" s="1" a="1"/>
  <c r="N240" i="17" s="1"/>
  <c r="J240" i="17"/>
  <c r="O240" i="17" s="1"/>
  <c r="K240" i="17"/>
  <c r="L240" i="17"/>
  <c r="M240" i="17" s="1"/>
  <c r="I241" i="17"/>
  <c r="N241" i="17" s="1" a="1"/>
  <c r="N241" i="17" s="1"/>
  <c r="J241" i="17"/>
  <c r="O241" i="17" s="1"/>
  <c r="K241" i="17"/>
  <c r="L241" i="17"/>
  <c r="M241" i="17" s="1"/>
  <c r="I242" i="17"/>
  <c r="N242" i="17" s="1" a="1"/>
  <c r="N242" i="17" s="1"/>
  <c r="J242" i="17"/>
  <c r="O242" i="17" s="1"/>
  <c r="K242" i="17"/>
  <c r="L242" i="17"/>
  <c r="M242" i="17" s="1"/>
  <c r="I243" i="17"/>
  <c r="N243" i="17" s="1" a="1"/>
  <c r="N243" i="17" s="1"/>
  <c r="J243" i="17"/>
  <c r="O243" i="17" s="1"/>
  <c r="K243" i="17"/>
  <c r="L243" i="17"/>
  <c r="M243" i="17" s="1"/>
  <c r="I244" i="17"/>
  <c r="N244" i="17" s="1" a="1"/>
  <c r="N244" i="17" s="1"/>
  <c r="J244" i="17"/>
  <c r="O244" i="17" s="1"/>
  <c r="K244" i="17"/>
  <c r="L244" i="17"/>
  <c r="M244" i="17" s="1"/>
  <c r="I245" i="17"/>
  <c r="N245" i="17" s="1" a="1"/>
  <c r="N245" i="17" s="1"/>
  <c r="J245" i="17"/>
  <c r="O245" i="17" s="1"/>
  <c r="K245" i="17"/>
  <c r="L245" i="17"/>
  <c r="M245" i="17" s="1"/>
  <c r="I246" i="17"/>
  <c r="N246" i="17" s="1" a="1"/>
  <c r="N246" i="17" s="1"/>
  <c r="J246" i="17"/>
  <c r="O246" i="17" s="1"/>
  <c r="K246" i="17"/>
  <c r="L246" i="17"/>
  <c r="M246" i="17" s="1"/>
  <c r="I247" i="17"/>
  <c r="N247" i="17" s="1" a="1"/>
  <c r="N247" i="17" s="1"/>
  <c r="J247" i="17"/>
  <c r="O247" i="17" s="1"/>
  <c r="K247" i="17"/>
  <c r="L247" i="17"/>
  <c r="M247" i="17" s="1"/>
  <c r="I248" i="17"/>
  <c r="N248" i="17" s="1" a="1"/>
  <c r="N248" i="17" s="1"/>
  <c r="J248" i="17"/>
  <c r="O248" i="17" s="1"/>
  <c r="K248" i="17"/>
  <c r="L248" i="17"/>
  <c r="M248" i="17" s="1"/>
  <c r="I249" i="17"/>
  <c r="N249" i="17" s="1" a="1"/>
  <c r="N249" i="17" s="1"/>
  <c r="J249" i="17"/>
  <c r="O249" i="17" s="1"/>
  <c r="K249" i="17"/>
  <c r="L249" i="17"/>
  <c r="M249" i="17" s="1"/>
  <c r="I250" i="17"/>
  <c r="N250" i="17" s="1" a="1"/>
  <c r="N250" i="17" s="1"/>
  <c r="J250" i="17"/>
  <c r="O250" i="17" s="1"/>
  <c r="K250" i="17"/>
  <c r="L250" i="17"/>
  <c r="M250" i="17" s="1"/>
  <c r="I251" i="17"/>
  <c r="N251" i="17" s="1" a="1"/>
  <c r="N251" i="17" s="1"/>
  <c r="J251" i="17"/>
  <c r="O251" i="17" s="1"/>
  <c r="K251" i="17"/>
  <c r="L251" i="17"/>
  <c r="M251" i="17" s="1"/>
  <c r="I252" i="17"/>
  <c r="N252" i="17" s="1" a="1"/>
  <c r="N252" i="17" s="1"/>
  <c r="J252" i="17"/>
  <c r="O252" i="17" s="1"/>
  <c r="K252" i="17"/>
  <c r="L252" i="17"/>
  <c r="M252" i="17" s="1"/>
  <c r="I253" i="17"/>
  <c r="N253" i="17" s="1" a="1"/>
  <c r="N253" i="17" s="1"/>
  <c r="J253" i="17"/>
  <c r="O253" i="17" s="1"/>
  <c r="K253" i="17"/>
  <c r="L253" i="17"/>
  <c r="M253" i="17" s="1"/>
  <c r="I254" i="17"/>
  <c r="N254" i="17" s="1" a="1"/>
  <c r="N254" i="17" s="1"/>
  <c r="J254" i="17"/>
  <c r="O254" i="17" s="1"/>
  <c r="K254" i="17"/>
  <c r="L254" i="17"/>
  <c r="M254" i="17" s="1"/>
  <c r="I255" i="17"/>
  <c r="N255" i="17" s="1" a="1"/>
  <c r="N255" i="17" s="1"/>
  <c r="J255" i="17"/>
  <c r="O255" i="17" s="1"/>
  <c r="K255" i="17"/>
  <c r="L255" i="17"/>
  <c r="M255" i="17" s="1"/>
  <c r="I256" i="17"/>
  <c r="N256" i="17" s="1" a="1"/>
  <c r="N256" i="17" s="1"/>
  <c r="J256" i="17"/>
  <c r="O256" i="17" s="1"/>
  <c r="K256" i="17"/>
  <c r="L256" i="17"/>
  <c r="M256" i="17" s="1"/>
  <c r="I257" i="17"/>
  <c r="N257" i="17" s="1" a="1"/>
  <c r="N257" i="17" s="1"/>
  <c r="J257" i="17"/>
  <c r="O257" i="17" s="1"/>
  <c r="K257" i="17"/>
  <c r="L257" i="17"/>
  <c r="M257" i="17" s="1"/>
  <c r="I258" i="17"/>
  <c r="N258" i="17" s="1" a="1"/>
  <c r="N258" i="17" s="1"/>
  <c r="J258" i="17"/>
  <c r="O258" i="17" s="1"/>
  <c r="K258" i="17"/>
  <c r="L258" i="17"/>
  <c r="M258" i="17" s="1"/>
  <c r="I259" i="17"/>
  <c r="N259" i="17" s="1" a="1"/>
  <c r="N259" i="17" s="1"/>
  <c r="J259" i="17"/>
  <c r="O259" i="17" s="1"/>
  <c r="K259" i="17"/>
  <c r="L259" i="17"/>
  <c r="M259" i="17" s="1"/>
  <c r="I260" i="17"/>
  <c r="N260" i="17" s="1" a="1"/>
  <c r="N260" i="17" s="1"/>
  <c r="J260" i="17"/>
  <c r="O260" i="17" s="1"/>
  <c r="K260" i="17"/>
  <c r="L260" i="17"/>
  <c r="M260" i="17" s="1"/>
  <c r="I261" i="17"/>
  <c r="N261" i="17" s="1" a="1"/>
  <c r="N261" i="17" s="1"/>
  <c r="J261" i="17"/>
  <c r="O261" i="17" s="1"/>
  <c r="K261" i="17"/>
  <c r="L261" i="17"/>
  <c r="M261" i="17" s="1"/>
  <c r="I262" i="17"/>
  <c r="N262" i="17" s="1" a="1"/>
  <c r="N262" i="17" s="1"/>
  <c r="J262" i="17"/>
  <c r="O262" i="17" s="1"/>
  <c r="K262" i="17"/>
  <c r="L262" i="17"/>
  <c r="M262" i="17" s="1"/>
  <c r="I263" i="17"/>
  <c r="N263" i="17" s="1" a="1"/>
  <c r="N263" i="17" s="1"/>
  <c r="J263" i="17"/>
  <c r="O263" i="17" s="1"/>
  <c r="K263" i="17"/>
  <c r="L263" i="17"/>
  <c r="M263" i="17" s="1"/>
  <c r="I264" i="17"/>
  <c r="N264" i="17" s="1" a="1"/>
  <c r="N264" i="17" s="1"/>
  <c r="J264" i="17"/>
  <c r="O264" i="17" s="1"/>
  <c r="K264" i="17"/>
  <c r="L264" i="17"/>
  <c r="M264" i="17" s="1"/>
  <c r="I265" i="17"/>
  <c r="N265" i="17" s="1" a="1"/>
  <c r="N265" i="17" s="1"/>
  <c r="J265" i="17"/>
  <c r="O265" i="17" s="1"/>
  <c r="K265" i="17"/>
  <c r="L265" i="17"/>
  <c r="M265" i="17" s="1"/>
  <c r="I266" i="17"/>
  <c r="N266" i="17" s="1" a="1"/>
  <c r="N266" i="17" s="1"/>
  <c r="J266" i="17"/>
  <c r="O266" i="17" s="1"/>
  <c r="K266" i="17"/>
  <c r="L266" i="17"/>
  <c r="M266" i="17" s="1"/>
  <c r="I267" i="17"/>
  <c r="N267" i="17" s="1" a="1"/>
  <c r="N267" i="17" s="1"/>
  <c r="J267" i="17"/>
  <c r="O267" i="17" s="1"/>
  <c r="K267" i="17"/>
  <c r="L267" i="17"/>
  <c r="M267" i="17" s="1"/>
  <c r="I268" i="17"/>
  <c r="N268" i="17" s="1" a="1"/>
  <c r="N268" i="17" s="1"/>
  <c r="J268" i="17"/>
  <c r="O268" i="17" s="1"/>
  <c r="K268" i="17"/>
  <c r="L268" i="17"/>
  <c r="M268" i="17" s="1"/>
  <c r="I269" i="17"/>
  <c r="N269" i="17" s="1" a="1"/>
  <c r="N269" i="17" s="1"/>
  <c r="J269" i="17"/>
  <c r="O269" i="17" s="1"/>
  <c r="K269" i="17"/>
  <c r="L269" i="17"/>
  <c r="M269" i="17" s="1"/>
  <c r="I270" i="17"/>
  <c r="N270" i="17" s="1" a="1"/>
  <c r="N270" i="17" s="1"/>
  <c r="J270" i="17"/>
  <c r="O270" i="17" s="1"/>
  <c r="K270" i="17"/>
  <c r="L270" i="17"/>
  <c r="M270" i="17" s="1"/>
  <c r="I271" i="17"/>
  <c r="N271" i="17" s="1" a="1"/>
  <c r="N271" i="17" s="1"/>
  <c r="J271" i="17"/>
  <c r="O271" i="17" s="1"/>
  <c r="K271" i="17"/>
  <c r="L271" i="17"/>
  <c r="M271" i="17" s="1"/>
  <c r="I272" i="17"/>
  <c r="N272" i="17" s="1" a="1"/>
  <c r="N272" i="17" s="1"/>
  <c r="J272" i="17"/>
  <c r="O272" i="17" s="1"/>
  <c r="K272" i="17"/>
  <c r="L272" i="17"/>
  <c r="M272" i="17" s="1"/>
  <c r="I273" i="17"/>
  <c r="N273" i="17" s="1" a="1"/>
  <c r="N273" i="17" s="1"/>
  <c r="J273" i="17"/>
  <c r="O273" i="17" s="1"/>
  <c r="K273" i="17"/>
  <c r="L273" i="17"/>
  <c r="M273" i="17" s="1"/>
  <c r="I274" i="17"/>
  <c r="N274" i="17" s="1" a="1"/>
  <c r="N274" i="17" s="1"/>
  <c r="J274" i="17"/>
  <c r="O274" i="17" s="1"/>
  <c r="K274" i="17"/>
  <c r="L274" i="17"/>
  <c r="M274" i="17" s="1"/>
  <c r="I275" i="17"/>
  <c r="N275" i="17" s="1" a="1"/>
  <c r="N275" i="17" s="1"/>
  <c r="J275" i="17"/>
  <c r="O275" i="17" s="1"/>
  <c r="K275" i="17"/>
  <c r="L275" i="17"/>
  <c r="M275" i="17" s="1"/>
  <c r="I276" i="17"/>
  <c r="N276" i="17" s="1" a="1"/>
  <c r="N276" i="17" s="1"/>
  <c r="J276" i="17"/>
  <c r="O276" i="17" s="1"/>
  <c r="K276" i="17"/>
  <c r="L276" i="17"/>
  <c r="M276" i="17" s="1"/>
  <c r="I277" i="17"/>
  <c r="N277" i="17" s="1" a="1"/>
  <c r="N277" i="17" s="1"/>
  <c r="J277" i="17"/>
  <c r="O277" i="17" s="1"/>
  <c r="K277" i="17"/>
  <c r="L277" i="17"/>
  <c r="M277" i="17" s="1"/>
  <c r="I278" i="17"/>
  <c r="N278" i="17" s="1" a="1"/>
  <c r="N278" i="17" s="1"/>
  <c r="J278" i="17"/>
  <c r="O278" i="17" s="1"/>
  <c r="K278" i="17"/>
  <c r="L278" i="17"/>
  <c r="M278" i="17" s="1"/>
  <c r="I279" i="17"/>
  <c r="N279" i="17" s="1" a="1"/>
  <c r="N279" i="17" s="1"/>
  <c r="J279" i="17"/>
  <c r="O279" i="17" s="1"/>
  <c r="K279" i="17"/>
  <c r="L279" i="17"/>
  <c r="M279" i="17" s="1"/>
  <c r="I280" i="17"/>
  <c r="N280" i="17" s="1" a="1"/>
  <c r="N280" i="17" s="1"/>
  <c r="J280" i="17"/>
  <c r="O280" i="17" s="1"/>
  <c r="K280" i="17"/>
  <c r="L280" i="17"/>
  <c r="M280" i="17" s="1"/>
  <c r="I281" i="17"/>
  <c r="N281" i="17" s="1" a="1"/>
  <c r="N281" i="17" s="1"/>
  <c r="J281" i="17"/>
  <c r="O281" i="17" s="1"/>
  <c r="K281" i="17"/>
  <c r="L281" i="17"/>
  <c r="M281" i="17" s="1"/>
  <c r="I282" i="17"/>
  <c r="N282" i="17" s="1" a="1"/>
  <c r="N282" i="17" s="1"/>
  <c r="J282" i="17"/>
  <c r="O282" i="17" s="1"/>
  <c r="K282" i="17"/>
  <c r="L282" i="17"/>
  <c r="M282" i="17" s="1"/>
  <c r="I283" i="17"/>
  <c r="N283" i="17" s="1" a="1"/>
  <c r="N283" i="17" s="1"/>
  <c r="J283" i="17"/>
  <c r="O283" i="17" s="1"/>
  <c r="K283" i="17"/>
  <c r="L283" i="17"/>
  <c r="M283" i="17" s="1"/>
  <c r="I284" i="17"/>
  <c r="N284" i="17" s="1" a="1"/>
  <c r="N284" i="17" s="1"/>
  <c r="J284" i="17"/>
  <c r="O284" i="17" s="1"/>
  <c r="K284" i="17"/>
  <c r="L284" i="17"/>
  <c r="M284" i="17" s="1"/>
  <c r="I285" i="17"/>
  <c r="N285" i="17" s="1" a="1"/>
  <c r="N285" i="17" s="1"/>
  <c r="J285" i="17"/>
  <c r="O285" i="17" s="1"/>
  <c r="K285" i="17"/>
  <c r="L285" i="17"/>
  <c r="M285" i="17" s="1"/>
  <c r="I286" i="17"/>
  <c r="N286" i="17" s="1" a="1"/>
  <c r="N286" i="17" s="1"/>
  <c r="J286" i="17"/>
  <c r="O286" i="17" s="1"/>
  <c r="K286" i="17"/>
  <c r="L286" i="17"/>
  <c r="M286" i="17" s="1"/>
  <c r="I287" i="17"/>
  <c r="N287" i="17" s="1" a="1"/>
  <c r="N287" i="17" s="1"/>
  <c r="J287" i="17"/>
  <c r="O287" i="17" s="1"/>
  <c r="K287" i="17"/>
  <c r="L287" i="17"/>
  <c r="M287" i="17" s="1"/>
  <c r="I288" i="17"/>
  <c r="N288" i="17" s="1" a="1"/>
  <c r="N288" i="17" s="1"/>
  <c r="J288" i="17"/>
  <c r="O288" i="17" s="1"/>
  <c r="K288" i="17"/>
  <c r="L288" i="17"/>
  <c r="M288" i="17" s="1"/>
  <c r="I289" i="17"/>
  <c r="N289" i="17" s="1" a="1"/>
  <c r="N289" i="17" s="1"/>
  <c r="J289" i="17"/>
  <c r="O289" i="17" s="1"/>
  <c r="K289" i="17"/>
  <c r="L289" i="17"/>
  <c r="M289" i="17" s="1"/>
  <c r="I290" i="17"/>
  <c r="N290" i="17" s="1" a="1"/>
  <c r="N290" i="17" s="1"/>
  <c r="J290" i="17"/>
  <c r="O290" i="17" s="1"/>
  <c r="K290" i="17"/>
  <c r="L290" i="17"/>
  <c r="M290" i="17" s="1"/>
  <c r="I291" i="17"/>
  <c r="N291" i="17" s="1" a="1"/>
  <c r="N291" i="17" s="1"/>
  <c r="J291" i="17"/>
  <c r="O291" i="17" s="1"/>
  <c r="K291" i="17"/>
  <c r="L291" i="17"/>
  <c r="M291" i="17" s="1"/>
  <c r="I292" i="17"/>
  <c r="N292" i="17" s="1" a="1"/>
  <c r="N292" i="17" s="1"/>
  <c r="J292" i="17"/>
  <c r="O292" i="17" s="1"/>
  <c r="K292" i="17"/>
  <c r="L292" i="17"/>
  <c r="M292" i="17" s="1"/>
  <c r="I293" i="17"/>
  <c r="N293" i="17" s="1" a="1"/>
  <c r="N293" i="17" s="1"/>
  <c r="J293" i="17"/>
  <c r="O293" i="17" s="1"/>
  <c r="K293" i="17"/>
  <c r="L293" i="17"/>
  <c r="M293" i="17" s="1"/>
  <c r="I294" i="17"/>
  <c r="N294" i="17" s="1" a="1"/>
  <c r="N294" i="17" s="1"/>
  <c r="J294" i="17"/>
  <c r="O294" i="17" s="1"/>
  <c r="K294" i="17"/>
  <c r="L294" i="17"/>
  <c r="M294" i="17" s="1"/>
  <c r="I295" i="17"/>
  <c r="N295" i="17" s="1" a="1"/>
  <c r="N295" i="17" s="1"/>
  <c r="J295" i="17"/>
  <c r="O295" i="17" s="1"/>
  <c r="K295" i="17"/>
  <c r="L295" i="17"/>
  <c r="M295" i="17" s="1"/>
  <c r="I296" i="17"/>
  <c r="N296" i="17" s="1" a="1"/>
  <c r="N296" i="17" s="1"/>
  <c r="J296" i="17"/>
  <c r="O296" i="17" s="1"/>
  <c r="K296" i="17"/>
  <c r="L296" i="17"/>
  <c r="M296" i="17" s="1"/>
  <c r="I297" i="17"/>
  <c r="N297" i="17" s="1" a="1"/>
  <c r="N297" i="17" s="1"/>
  <c r="J297" i="17"/>
  <c r="O297" i="17" s="1"/>
  <c r="K297" i="17"/>
  <c r="L297" i="17"/>
  <c r="M297" i="17" s="1"/>
  <c r="I298" i="17"/>
  <c r="N298" i="17" s="1" a="1"/>
  <c r="N298" i="17" s="1"/>
  <c r="J298" i="17"/>
  <c r="O298" i="17" s="1"/>
  <c r="K298" i="17"/>
  <c r="L298" i="17"/>
  <c r="M298" i="17" s="1"/>
  <c r="I299" i="17"/>
  <c r="N299" i="17" s="1" a="1"/>
  <c r="N299" i="17" s="1"/>
  <c r="J299" i="17"/>
  <c r="O299" i="17" s="1"/>
  <c r="K299" i="17"/>
  <c r="L299" i="17"/>
  <c r="M299" i="17" s="1"/>
  <c r="I300" i="17"/>
  <c r="N300" i="17" s="1" a="1"/>
  <c r="N300" i="17" s="1"/>
  <c r="J300" i="17"/>
  <c r="O300" i="17" s="1"/>
  <c r="K300" i="17"/>
  <c r="L300" i="17"/>
  <c r="M300" i="17" s="1"/>
  <c r="I301" i="17"/>
  <c r="N301" i="17" s="1" a="1"/>
  <c r="N301" i="17" s="1"/>
  <c r="J301" i="17"/>
  <c r="O301" i="17" s="1"/>
  <c r="K301" i="17"/>
  <c r="L301" i="17"/>
  <c r="M301" i="17" s="1"/>
  <c r="I302" i="17"/>
  <c r="N302" i="17" s="1" a="1"/>
  <c r="N302" i="17" s="1"/>
  <c r="J302" i="17"/>
  <c r="O302" i="17" s="1"/>
  <c r="K302" i="17"/>
  <c r="L302" i="17"/>
  <c r="M302" i="17" s="1"/>
  <c r="I303" i="17"/>
  <c r="N303" i="17" s="1" a="1"/>
  <c r="N303" i="17" s="1"/>
  <c r="J303" i="17"/>
  <c r="O303" i="17" s="1"/>
  <c r="K303" i="17"/>
  <c r="L303" i="17"/>
  <c r="M303" i="17" s="1"/>
  <c r="I304" i="17"/>
  <c r="N304" i="17" s="1" a="1"/>
  <c r="N304" i="17" s="1"/>
  <c r="J304" i="17"/>
  <c r="O304" i="17" s="1"/>
  <c r="K304" i="17"/>
  <c r="L304" i="17"/>
  <c r="M304" i="17" s="1"/>
  <c r="I305" i="17"/>
  <c r="N305" i="17" s="1" a="1"/>
  <c r="N305" i="17" s="1"/>
  <c r="J305" i="17"/>
  <c r="O305" i="17" s="1"/>
  <c r="K305" i="17"/>
  <c r="L305" i="17"/>
  <c r="M305" i="17" s="1"/>
  <c r="I306" i="17"/>
  <c r="N306" i="17" s="1" a="1"/>
  <c r="N306" i="17" s="1"/>
  <c r="J306" i="17"/>
  <c r="O306" i="17" s="1"/>
  <c r="K306" i="17"/>
  <c r="L306" i="17"/>
  <c r="M306" i="17" s="1"/>
  <c r="I307" i="17"/>
  <c r="N307" i="17" s="1" a="1"/>
  <c r="N307" i="17" s="1"/>
  <c r="J307" i="17"/>
  <c r="O307" i="17" s="1"/>
  <c r="K307" i="17"/>
  <c r="L307" i="17"/>
  <c r="M307" i="17" s="1"/>
  <c r="I308" i="17"/>
  <c r="N308" i="17" s="1" a="1"/>
  <c r="N308" i="17" s="1"/>
  <c r="J308" i="17"/>
  <c r="O308" i="17" s="1"/>
  <c r="K308" i="17"/>
  <c r="L308" i="17"/>
  <c r="M308" i="17" s="1"/>
  <c r="I309" i="17"/>
  <c r="N309" i="17" s="1" a="1"/>
  <c r="N309" i="17" s="1"/>
  <c r="J309" i="17"/>
  <c r="O309" i="17" s="1"/>
  <c r="K309" i="17"/>
  <c r="L309" i="17"/>
  <c r="M309" i="17" s="1"/>
  <c r="I310" i="17"/>
  <c r="N310" i="17" s="1" a="1"/>
  <c r="N310" i="17" s="1"/>
  <c r="J310" i="17"/>
  <c r="O310" i="17" s="1"/>
  <c r="K310" i="17"/>
  <c r="L310" i="17"/>
  <c r="M310" i="17" s="1"/>
  <c r="I311" i="17"/>
  <c r="N311" i="17" s="1" a="1"/>
  <c r="N311" i="17" s="1"/>
  <c r="J311" i="17"/>
  <c r="O311" i="17" s="1"/>
  <c r="K311" i="17"/>
  <c r="L311" i="17"/>
  <c r="M311" i="17" s="1"/>
  <c r="I312" i="17"/>
  <c r="N312" i="17" s="1" a="1"/>
  <c r="N312" i="17" s="1"/>
  <c r="J312" i="17"/>
  <c r="O312" i="17" s="1"/>
  <c r="K312" i="17"/>
  <c r="L312" i="17"/>
  <c r="M312" i="17" s="1"/>
  <c r="I313" i="17"/>
  <c r="N313" i="17" s="1" a="1"/>
  <c r="N313" i="17" s="1"/>
  <c r="J313" i="17"/>
  <c r="O313" i="17" s="1"/>
  <c r="K313" i="17"/>
  <c r="L313" i="17"/>
  <c r="M313" i="17" s="1"/>
  <c r="I314" i="17"/>
  <c r="N314" i="17" s="1" a="1"/>
  <c r="N314" i="17" s="1"/>
  <c r="J314" i="17"/>
  <c r="O314" i="17" s="1"/>
  <c r="K314" i="17"/>
  <c r="L314" i="17"/>
  <c r="M314" i="17" s="1"/>
  <c r="I315" i="17"/>
  <c r="N315" i="17" s="1" a="1"/>
  <c r="N315" i="17" s="1"/>
  <c r="J315" i="17"/>
  <c r="O315" i="17" s="1"/>
  <c r="K315" i="17"/>
  <c r="L315" i="17"/>
  <c r="M315" i="17" s="1"/>
  <c r="I316" i="17"/>
  <c r="N316" i="17" s="1" a="1"/>
  <c r="N316" i="17" s="1"/>
  <c r="J316" i="17"/>
  <c r="O316" i="17" s="1"/>
  <c r="K316" i="17"/>
  <c r="L316" i="17"/>
  <c r="M316" i="17" s="1"/>
  <c r="I317" i="17"/>
  <c r="N317" i="17" s="1" a="1"/>
  <c r="N317" i="17" s="1"/>
  <c r="J317" i="17"/>
  <c r="O317" i="17" s="1"/>
  <c r="K317" i="17"/>
  <c r="L317" i="17"/>
  <c r="M317" i="17" s="1"/>
  <c r="I318" i="17"/>
  <c r="N318" i="17" s="1" a="1"/>
  <c r="N318" i="17" s="1"/>
  <c r="J318" i="17"/>
  <c r="O318" i="17" s="1"/>
  <c r="K318" i="17"/>
  <c r="L318" i="17"/>
  <c r="M318" i="17" s="1"/>
  <c r="I319" i="17"/>
  <c r="N319" i="17" s="1" a="1"/>
  <c r="N319" i="17" s="1"/>
  <c r="J319" i="17"/>
  <c r="O319" i="17" s="1"/>
  <c r="K319" i="17"/>
  <c r="L319" i="17"/>
  <c r="M319" i="17" s="1"/>
  <c r="I320" i="17"/>
  <c r="N320" i="17" s="1" a="1"/>
  <c r="N320" i="17" s="1"/>
  <c r="J320" i="17"/>
  <c r="O320" i="17" s="1"/>
  <c r="K320" i="17"/>
  <c r="L320" i="17"/>
  <c r="M320" i="17" s="1"/>
  <c r="I321" i="17"/>
  <c r="N321" i="17" s="1" a="1"/>
  <c r="N321" i="17" s="1"/>
  <c r="J321" i="17"/>
  <c r="O321" i="17" s="1"/>
  <c r="K321" i="17"/>
  <c r="L321" i="17"/>
  <c r="M321" i="17" s="1"/>
  <c r="I322" i="17"/>
  <c r="N322" i="17" s="1" a="1"/>
  <c r="N322" i="17" s="1"/>
  <c r="J322" i="17"/>
  <c r="O322" i="17" s="1"/>
  <c r="K322" i="17"/>
  <c r="L322" i="17"/>
  <c r="M322" i="17" s="1"/>
  <c r="I323" i="17"/>
  <c r="N323" i="17" s="1" a="1"/>
  <c r="N323" i="17" s="1"/>
  <c r="J323" i="17"/>
  <c r="O323" i="17" s="1"/>
  <c r="K323" i="17"/>
  <c r="L323" i="17"/>
  <c r="M323" i="17" s="1"/>
  <c r="I324" i="17"/>
  <c r="N324" i="17" s="1" a="1"/>
  <c r="N324" i="17" s="1"/>
  <c r="J324" i="17"/>
  <c r="O324" i="17" s="1"/>
  <c r="K324" i="17"/>
  <c r="L324" i="17"/>
  <c r="M324" i="17" s="1"/>
  <c r="I325" i="17"/>
  <c r="N325" i="17" s="1" a="1"/>
  <c r="N325" i="17" s="1"/>
  <c r="J325" i="17"/>
  <c r="O325" i="17" s="1"/>
  <c r="K325" i="17"/>
  <c r="L325" i="17"/>
  <c r="M325" i="17" s="1"/>
  <c r="I326" i="17"/>
  <c r="N326" i="17" s="1" a="1"/>
  <c r="N326" i="17" s="1"/>
  <c r="J326" i="17"/>
  <c r="O326" i="17" s="1"/>
  <c r="K326" i="17"/>
  <c r="L326" i="17"/>
  <c r="M326" i="17" s="1"/>
  <c r="I327" i="17"/>
  <c r="N327" i="17" s="1" a="1"/>
  <c r="N327" i="17" s="1"/>
  <c r="J327" i="17"/>
  <c r="O327" i="17" s="1"/>
  <c r="K327" i="17"/>
  <c r="L327" i="17"/>
  <c r="M327" i="17" s="1"/>
  <c r="I328" i="17"/>
  <c r="N328" i="17" s="1" a="1"/>
  <c r="N328" i="17" s="1"/>
  <c r="J328" i="17"/>
  <c r="O328" i="17" s="1"/>
  <c r="K328" i="17"/>
  <c r="L328" i="17"/>
  <c r="M328" i="17" s="1"/>
  <c r="I329" i="17"/>
  <c r="N329" i="17" s="1" a="1"/>
  <c r="N329" i="17" s="1"/>
  <c r="J329" i="17"/>
  <c r="O329" i="17" s="1"/>
  <c r="K329" i="17"/>
  <c r="L329" i="17"/>
  <c r="M329" i="17" s="1"/>
  <c r="I330" i="17"/>
  <c r="N330" i="17" s="1" a="1"/>
  <c r="N330" i="17" s="1"/>
  <c r="J330" i="17"/>
  <c r="O330" i="17" s="1"/>
  <c r="K330" i="17"/>
  <c r="L330" i="17"/>
  <c r="M330" i="17" s="1"/>
  <c r="I331" i="17"/>
  <c r="N331" i="17" s="1" a="1"/>
  <c r="N331" i="17" s="1"/>
  <c r="J331" i="17"/>
  <c r="O331" i="17" s="1"/>
  <c r="K331" i="17"/>
  <c r="L331" i="17"/>
  <c r="M331" i="17" s="1"/>
  <c r="I332" i="17"/>
  <c r="N332" i="17" s="1" a="1"/>
  <c r="N332" i="17" s="1"/>
  <c r="J332" i="17"/>
  <c r="O332" i="17" s="1"/>
  <c r="K332" i="17"/>
  <c r="L332" i="17"/>
  <c r="M332" i="17" s="1"/>
  <c r="I333" i="17"/>
  <c r="N333" i="17" s="1" a="1"/>
  <c r="N333" i="17" s="1"/>
  <c r="J333" i="17"/>
  <c r="O333" i="17" s="1"/>
  <c r="K333" i="17"/>
  <c r="L333" i="17"/>
  <c r="M333" i="17" s="1"/>
  <c r="I334" i="17"/>
  <c r="N334" i="17" s="1" a="1"/>
  <c r="N334" i="17" s="1"/>
  <c r="J334" i="17"/>
  <c r="O334" i="17" s="1"/>
  <c r="K334" i="17"/>
  <c r="L334" i="17"/>
  <c r="M334" i="17" s="1"/>
  <c r="I335" i="17"/>
  <c r="N335" i="17" s="1" a="1"/>
  <c r="N335" i="17" s="1"/>
  <c r="J335" i="17"/>
  <c r="O335" i="17" s="1"/>
  <c r="K335" i="17"/>
  <c r="L335" i="17"/>
  <c r="M335" i="17" s="1"/>
  <c r="I336" i="17"/>
  <c r="N336" i="17" s="1" a="1"/>
  <c r="N336" i="17" s="1"/>
  <c r="J336" i="17"/>
  <c r="O336" i="17" s="1"/>
  <c r="K336" i="17"/>
  <c r="L336" i="17"/>
  <c r="M336" i="17" s="1"/>
  <c r="I337" i="17"/>
  <c r="N337" i="17" s="1" a="1"/>
  <c r="N337" i="17" s="1"/>
  <c r="J337" i="17"/>
  <c r="O337" i="17" s="1"/>
  <c r="K337" i="17"/>
  <c r="L337" i="17"/>
  <c r="M337" i="17" s="1"/>
  <c r="I338" i="17"/>
  <c r="N338" i="17" s="1" a="1"/>
  <c r="N338" i="17" s="1"/>
  <c r="J338" i="17"/>
  <c r="O338" i="17" s="1"/>
  <c r="K338" i="17"/>
  <c r="L338" i="17"/>
  <c r="M338" i="17" s="1"/>
  <c r="I339" i="17"/>
  <c r="N339" i="17" s="1" a="1"/>
  <c r="N339" i="17" s="1"/>
  <c r="J339" i="17"/>
  <c r="O339" i="17" s="1"/>
  <c r="K339" i="17"/>
  <c r="L339" i="17"/>
  <c r="M339" i="17" s="1"/>
  <c r="I340" i="17"/>
  <c r="N340" i="17" s="1" a="1"/>
  <c r="N340" i="17" s="1"/>
  <c r="J340" i="17"/>
  <c r="O340" i="17" s="1"/>
  <c r="K340" i="17"/>
  <c r="L340" i="17"/>
  <c r="M340" i="17" s="1"/>
  <c r="I341" i="17"/>
  <c r="N341" i="17" s="1" a="1"/>
  <c r="N341" i="17" s="1"/>
  <c r="J341" i="17"/>
  <c r="O341" i="17" s="1"/>
  <c r="K341" i="17"/>
  <c r="L341" i="17"/>
  <c r="M341" i="17" s="1"/>
  <c r="I342" i="17"/>
  <c r="N342" i="17" s="1" a="1"/>
  <c r="N342" i="17" s="1"/>
  <c r="J342" i="17"/>
  <c r="O342" i="17" s="1"/>
  <c r="K342" i="17"/>
  <c r="L342" i="17"/>
  <c r="M342" i="17" s="1"/>
  <c r="I343" i="17"/>
  <c r="N343" i="17" s="1" a="1"/>
  <c r="N343" i="17" s="1"/>
  <c r="J343" i="17"/>
  <c r="O343" i="17" s="1"/>
  <c r="K343" i="17"/>
  <c r="L343" i="17"/>
  <c r="M343" i="17" s="1"/>
  <c r="I344" i="17"/>
  <c r="N344" i="17" s="1" a="1"/>
  <c r="N344" i="17" s="1"/>
  <c r="J344" i="17"/>
  <c r="O344" i="17" s="1"/>
  <c r="K344" i="17"/>
  <c r="L344" i="17"/>
  <c r="M344" i="17" s="1"/>
  <c r="I345" i="17"/>
  <c r="N345" i="17" s="1" a="1"/>
  <c r="N345" i="17" s="1"/>
  <c r="J345" i="17"/>
  <c r="O345" i="17" s="1"/>
  <c r="K345" i="17"/>
  <c r="L345" i="17"/>
  <c r="M345" i="17" s="1"/>
  <c r="I346" i="17"/>
  <c r="N346" i="17" s="1" a="1"/>
  <c r="N346" i="17" s="1"/>
  <c r="J346" i="17"/>
  <c r="O346" i="17" s="1"/>
  <c r="K346" i="17"/>
  <c r="L346" i="17"/>
  <c r="M346" i="17" s="1"/>
  <c r="I347" i="17"/>
  <c r="N347" i="17" s="1" a="1"/>
  <c r="N347" i="17" s="1"/>
  <c r="J347" i="17"/>
  <c r="O347" i="17" s="1"/>
  <c r="K347" i="17"/>
  <c r="L347" i="17"/>
  <c r="M347" i="17" s="1"/>
  <c r="I348" i="17"/>
  <c r="N348" i="17" s="1" a="1"/>
  <c r="N348" i="17" s="1"/>
  <c r="J348" i="17"/>
  <c r="O348" i="17" s="1"/>
  <c r="K348" i="17"/>
  <c r="L348" i="17"/>
  <c r="M348" i="17" s="1"/>
  <c r="I349" i="17"/>
  <c r="N349" i="17" s="1" a="1"/>
  <c r="N349" i="17" s="1"/>
  <c r="J349" i="17"/>
  <c r="O349" i="17" s="1"/>
  <c r="K349" i="17"/>
  <c r="L349" i="17"/>
  <c r="M349" i="17" s="1"/>
  <c r="I350" i="17"/>
  <c r="N350" i="17" s="1" a="1"/>
  <c r="N350" i="17" s="1"/>
  <c r="J350" i="17"/>
  <c r="O350" i="17" s="1"/>
  <c r="K350" i="17"/>
  <c r="L350" i="17"/>
  <c r="M350" i="17" s="1"/>
  <c r="I351" i="17"/>
  <c r="N351" i="17" s="1" a="1"/>
  <c r="N351" i="17" s="1"/>
  <c r="J351" i="17"/>
  <c r="O351" i="17" s="1"/>
  <c r="K351" i="17"/>
  <c r="L351" i="17"/>
  <c r="M351" i="17" s="1"/>
  <c r="I352" i="17"/>
  <c r="N352" i="17" s="1" a="1"/>
  <c r="N352" i="17" s="1"/>
  <c r="J352" i="17"/>
  <c r="O352" i="17" s="1"/>
  <c r="K352" i="17"/>
  <c r="L352" i="17"/>
  <c r="M352" i="17" s="1"/>
  <c r="I353" i="17"/>
  <c r="N353" i="17" s="1" a="1"/>
  <c r="N353" i="17" s="1"/>
  <c r="J353" i="17"/>
  <c r="O353" i="17" s="1"/>
  <c r="K353" i="17"/>
  <c r="L353" i="17"/>
  <c r="M353" i="17" s="1"/>
  <c r="I354" i="17"/>
  <c r="N354" i="17" s="1" a="1"/>
  <c r="N354" i="17" s="1"/>
  <c r="J354" i="17"/>
  <c r="O354" i="17" s="1"/>
  <c r="K354" i="17"/>
  <c r="L354" i="17"/>
  <c r="M354" i="17" s="1"/>
  <c r="I355" i="17"/>
  <c r="N355" i="17" s="1" a="1"/>
  <c r="N355" i="17" s="1"/>
  <c r="J355" i="17"/>
  <c r="O355" i="17" s="1"/>
  <c r="K355" i="17"/>
  <c r="L355" i="17"/>
  <c r="M355" i="17" s="1"/>
  <c r="I356" i="17"/>
  <c r="N356" i="17" s="1" a="1"/>
  <c r="N356" i="17" s="1"/>
  <c r="J356" i="17"/>
  <c r="O356" i="17" s="1"/>
  <c r="K356" i="17"/>
  <c r="L356" i="17"/>
  <c r="M356" i="17" s="1"/>
  <c r="I357" i="17"/>
  <c r="N357" i="17" s="1" a="1"/>
  <c r="N357" i="17" s="1"/>
  <c r="J357" i="17"/>
  <c r="O357" i="17" s="1"/>
  <c r="K357" i="17"/>
  <c r="L357" i="17"/>
  <c r="M357" i="17" s="1"/>
  <c r="I358" i="17"/>
  <c r="N358" i="17" s="1" a="1"/>
  <c r="N358" i="17" s="1"/>
  <c r="J358" i="17"/>
  <c r="O358" i="17" s="1"/>
  <c r="K358" i="17"/>
  <c r="L358" i="17"/>
  <c r="M358" i="17" s="1"/>
  <c r="I359" i="17"/>
  <c r="N359" i="17" s="1" a="1"/>
  <c r="N359" i="17" s="1"/>
  <c r="J359" i="17"/>
  <c r="O359" i="17" s="1"/>
  <c r="K359" i="17"/>
  <c r="L359" i="17"/>
  <c r="M359" i="17" s="1"/>
  <c r="I360" i="17"/>
  <c r="N360" i="17" s="1" a="1"/>
  <c r="N360" i="17" s="1"/>
  <c r="J360" i="17"/>
  <c r="O360" i="17" s="1"/>
  <c r="K360" i="17"/>
  <c r="L360" i="17"/>
  <c r="M360" i="17" s="1"/>
  <c r="I361" i="17"/>
  <c r="N361" i="17" s="1" a="1"/>
  <c r="N361" i="17" s="1"/>
  <c r="J361" i="17"/>
  <c r="O361" i="17" s="1"/>
  <c r="K361" i="17"/>
  <c r="L361" i="17"/>
  <c r="M361" i="17" s="1"/>
  <c r="I362" i="17"/>
  <c r="N362" i="17" s="1" a="1"/>
  <c r="N362" i="17" s="1"/>
  <c r="J362" i="17"/>
  <c r="O362" i="17" s="1"/>
  <c r="K362" i="17"/>
  <c r="L362" i="17"/>
  <c r="M362" i="17" s="1"/>
  <c r="I363" i="17"/>
  <c r="N363" i="17" s="1" a="1"/>
  <c r="N363" i="17" s="1"/>
  <c r="J363" i="17"/>
  <c r="O363" i="17" s="1"/>
  <c r="K363" i="17"/>
  <c r="L363" i="17"/>
  <c r="M363" i="17" s="1"/>
  <c r="I364" i="17"/>
  <c r="N364" i="17" s="1" a="1"/>
  <c r="N364" i="17" s="1"/>
  <c r="J364" i="17"/>
  <c r="O364" i="17" s="1"/>
  <c r="K364" i="17"/>
  <c r="L364" i="17"/>
  <c r="M364" i="17" s="1"/>
  <c r="I365" i="17"/>
  <c r="N365" i="17" s="1" a="1"/>
  <c r="N365" i="17" s="1"/>
  <c r="J365" i="17"/>
  <c r="O365" i="17" s="1"/>
  <c r="K365" i="17"/>
  <c r="L365" i="17"/>
  <c r="M365" i="17" s="1"/>
  <c r="I366" i="17"/>
  <c r="N366" i="17" s="1" a="1"/>
  <c r="N366" i="17" s="1"/>
  <c r="J366" i="17"/>
  <c r="O366" i="17" s="1"/>
  <c r="K366" i="17"/>
  <c r="L366" i="17"/>
  <c r="M366" i="17" s="1"/>
  <c r="I367" i="17"/>
  <c r="N367" i="17" s="1" a="1"/>
  <c r="N367" i="17" s="1"/>
  <c r="J367" i="17"/>
  <c r="O367" i="17" s="1"/>
  <c r="K367" i="17"/>
  <c r="L367" i="17"/>
  <c r="M367" i="17" s="1"/>
  <c r="I368" i="17"/>
  <c r="N368" i="17" s="1" a="1"/>
  <c r="N368" i="17" s="1"/>
  <c r="J368" i="17"/>
  <c r="O368" i="17" s="1"/>
  <c r="K368" i="17"/>
  <c r="L368" i="17"/>
  <c r="M368" i="17" s="1"/>
  <c r="I369" i="17"/>
  <c r="N369" i="17" s="1" a="1"/>
  <c r="N369" i="17" s="1"/>
  <c r="J369" i="17"/>
  <c r="O369" i="17" s="1"/>
  <c r="K369" i="17"/>
  <c r="L369" i="17"/>
  <c r="M369" i="17" s="1"/>
  <c r="I370" i="17"/>
  <c r="N370" i="17" s="1" a="1"/>
  <c r="N370" i="17" s="1"/>
  <c r="J370" i="17"/>
  <c r="O370" i="17" s="1"/>
  <c r="K370" i="17"/>
  <c r="L370" i="17"/>
  <c r="M370" i="17" s="1"/>
  <c r="I371" i="17"/>
  <c r="N371" i="17" s="1" a="1"/>
  <c r="N371" i="17" s="1"/>
  <c r="J371" i="17"/>
  <c r="O371" i="17" s="1"/>
  <c r="K371" i="17"/>
  <c r="L371" i="17"/>
  <c r="M371" i="17" s="1"/>
  <c r="I372" i="17"/>
  <c r="N372" i="17" s="1" a="1"/>
  <c r="N372" i="17" s="1"/>
  <c r="J372" i="17"/>
  <c r="O372" i="17" s="1"/>
  <c r="K372" i="17"/>
  <c r="L372" i="17"/>
  <c r="M372" i="17" s="1"/>
  <c r="I373" i="17"/>
  <c r="N373" i="17" s="1" a="1"/>
  <c r="N373" i="17" s="1"/>
  <c r="J373" i="17"/>
  <c r="O373" i="17" s="1"/>
  <c r="K373" i="17"/>
  <c r="L373" i="17"/>
  <c r="M373" i="17" s="1"/>
  <c r="I374" i="17"/>
  <c r="N374" i="17" s="1" a="1"/>
  <c r="N374" i="17" s="1"/>
  <c r="J374" i="17"/>
  <c r="O374" i="17" s="1"/>
  <c r="K374" i="17"/>
  <c r="L374" i="17"/>
  <c r="M374" i="17" s="1"/>
  <c r="I375" i="17"/>
  <c r="N375" i="17" s="1" a="1"/>
  <c r="N375" i="17" s="1"/>
  <c r="J375" i="17"/>
  <c r="O375" i="17" s="1"/>
  <c r="K375" i="17"/>
  <c r="L375" i="17"/>
  <c r="M375" i="17" s="1"/>
  <c r="I376" i="17"/>
  <c r="N376" i="17" s="1" a="1"/>
  <c r="N376" i="17" s="1"/>
  <c r="J376" i="17"/>
  <c r="O376" i="17" s="1"/>
  <c r="K376" i="17"/>
  <c r="L376" i="17"/>
  <c r="M376" i="17" s="1"/>
  <c r="I377" i="17"/>
  <c r="N377" i="17" s="1" a="1"/>
  <c r="N377" i="17" s="1"/>
  <c r="J377" i="17"/>
  <c r="O377" i="17" s="1"/>
  <c r="K377" i="17"/>
  <c r="L377" i="17"/>
  <c r="M377" i="17" s="1"/>
  <c r="I378" i="17"/>
  <c r="N378" i="17" s="1" a="1"/>
  <c r="N378" i="17" s="1"/>
  <c r="J378" i="17"/>
  <c r="O378" i="17" s="1"/>
  <c r="K378" i="17"/>
  <c r="L378" i="17"/>
  <c r="M378" i="17" s="1"/>
  <c r="I379" i="17"/>
  <c r="N379" i="17" s="1" a="1"/>
  <c r="N379" i="17" s="1"/>
  <c r="J379" i="17"/>
  <c r="O379" i="17" s="1"/>
  <c r="K379" i="17"/>
  <c r="L379" i="17"/>
  <c r="M379" i="17" s="1"/>
  <c r="I380" i="17"/>
  <c r="N380" i="17" s="1" a="1"/>
  <c r="N380" i="17" s="1"/>
  <c r="J380" i="17"/>
  <c r="O380" i="17" s="1"/>
  <c r="K380" i="17"/>
  <c r="L380" i="17"/>
  <c r="M380" i="17" s="1"/>
  <c r="I381" i="17"/>
  <c r="N381" i="17" s="1" a="1"/>
  <c r="N381" i="17" s="1"/>
  <c r="J381" i="17"/>
  <c r="O381" i="17" s="1"/>
  <c r="K381" i="17"/>
  <c r="L381" i="17"/>
  <c r="M381" i="17" s="1"/>
  <c r="I382" i="17"/>
  <c r="N382" i="17" s="1" a="1"/>
  <c r="N382" i="17" s="1"/>
  <c r="J382" i="17"/>
  <c r="O382" i="17" s="1"/>
  <c r="K382" i="17"/>
  <c r="L382" i="17"/>
  <c r="M382" i="17" s="1"/>
  <c r="I383" i="17"/>
  <c r="N383" i="17" s="1" a="1"/>
  <c r="N383" i="17" s="1"/>
  <c r="J383" i="17"/>
  <c r="O383" i="17" s="1"/>
  <c r="K383" i="17"/>
  <c r="L383" i="17"/>
  <c r="M383" i="17" s="1"/>
  <c r="I384" i="17"/>
  <c r="N384" i="17" s="1" a="1"/>
  <c r="N384" i="17" s="1"/>
  <c r="J384" i="17"/>
  <c r="O384" i="17" s="1"/>
  <c r="K384" i="17"/>
  <c r="L384" i="17"/>
  <c r="M384" i="17" s="1"/>
  <c r="I385" i="17"/>
  <c r="N385" i="17" s="1" a="1"/>
  <c r="N385" i="17" s="1"/>
  <c r="J385" i="17"/>
  <c r="O385" i="17" s="1"/>
  <c r="K385" i="17"/>
  <c r="L385" i="17"/>
  <c r="M385" i="17" s="1"/>
  <c r="I386" i="17"/>
  <c r="N386" i="17" s="1" a="1"/>
  <c r="N386" i="17" s="1"/>
  <c r="J386" i="17"/>
  <c r="O386" i="17" s="1"/>
  <c r="K386" i="17"/>
  <c r="L386" i="17"/>
  <c r="M386" i="17" s="1"/>
  <c r="I387" i="17"/>
  <c r="N387" i="17" s="1" a="1"/>
  <c r="N387" i="17" s="1"/>
  <c r="J387" i="17"/>
  <c r="O387" i="17" s="1"/>
  <c r="K387" i="17"/>
  <c r="L387" i="17"/>
  <c r="M387" i="17" s="1"/>
  <c r="I388" i="17"/>
  <c r="N388" i="17" s="1" a="1"/>
  <c r="N388" i="17" s="1"/>
  <c r="J388" i="17"/>
  <c r="O388" i="17" s="1"/>
  <c r="K388" i="17"/>
  <c r="L388" i="17"/>
  <c r="M388" i="17" s="1"/>
  <c r="I389" i="17"/>
  <c r="N389" i="17" s="1" a="1"/>
  <c r="N389" i="17" s="1"/>
  <c r="J389" i="17"/>
  <c r="O389" i="17" s="1"/>
  <c r="K389" i="17"/>
  <c r="L389" i="17"/>
  <c r="M389" i="17" s="1"/>
  <c r="I390" i="17"/>
  <c r="N390" i="17" s="1" a="1"/>
  <c r="N390" i="17" s="1"/>
  <c r="J390" i="17"/>
  <c r="O390" i="17" s="1"/>
  <c r="K390" i="17"/>
  <c r="L390" i="17"/>
  <c r="M390" i="17" s="1"/>
  <c r="I391" i="17"/>
  <c r="N391" i="17" s="1" a="1"/>
  <c r="N391" i="17" s="1"/>
  <c r="J391" i="17"/>
  <c r="O391" i="17" s="1"/>
  <c r="K391" i="17"/>
  <c r="L391" i="17"/>
  <c r="M391" i="17" s="1"/>
  <c r="I392" i="17"/>
  <c r="N392" i="17" s="1" a="1"/>
  <c r="N392" i="17" s="1"/>
  <c r="J392" i="17"/>
  <c r="O392" i="17" s="1"/>
  <c r="K392" i="17"/>
  <c r="L392" i="17"/>
  <c r="M392" i="17" s="1"/>
  <c r="I393" i="17"/>
  <c r="N393" i="17" s="1" a="1"/>
  <c r="N393" i="17" s="1"/>
  <c r="J393" i="17"/>
  <c r="O393" i="17" s="1"/>
  <c r="K393" i="17"/>
  <c r="L393" i="17"/>
  <c r="M393" i="17" s="1"/>
  <c r="I394" i="17"/>
  <c r="N394" i="17" s="1" a="1"/>
  <c r="N394" i="17" s="1"/>
  <c r="J394" i="17"/>
  <c r="O394" i="17" s="1"/>
  <c r="K394" i="17"/>
  <c r="L394" i="17"/>
  <c r="M394" i="17" s="1"/>
  <c r="I395" i="17"/>
  <c r="N395" i="17" s="1" a="1"/>
  <c r="N395" i="17" s="1"/>
  <c r="J395" i="17"/>
  <c r="O395" i="17" s="1"/>
  <c r="K395" i="17"/>
  <c r="L395" i="17"/>
  <c r="M395" i="17" s="1"/>
  <c r="I396" i="17"/>
  <c r="N396" i="17" s="1" a="1"/>
  <c r="N396" i="17" s="1"/>
  <c r="J396" i="17"/>
  <c r="O396" i="17" s="1"/>
  <c r="K396" i="17"/>
  <c r="L396" i="17"/>
  <c r="M396" i="17" s="1"/>
  <c r="I397" i="17"/>
  <c r="N397" i="17" s="1" a="1"/>
  <c r="N397" i="17" s="1"/>
  <c r="J397" i="17"/>
  <c r="O397" i="17" s="1"/>
  <c r="K397" i="17"/>
  <c r="L397" i="17"/>
  <c r="M397" i="17" s="1"/>
  <c r="I398" i="17"/>
  <c r="N398" i="17" s="1" a="1"/>
  <c r="N398" i="17" s="1"/>
  <c r="J398" i="17"/>
  <c r="O398" i="17" s="1"/>
  <c r="K398" i="17"/>
  <c r="L398" i="17"/>
  <c r="M398" i="17" s="1"/>
  <c r="I399" i="17"/>
  <c r="N399" i="17" s="1" a="1"/>
  <c r="N399" i="17" s="1"/>
  <c r="J399" i="17"/>
  <c r="O399" i="17" s="1"/>
  <c r="K399" i="17"/>
  <c r="L399" i="17"/>
  <c r="M399" i="17" s="1"/>
  <c r="I400" i="17"/>
  <c r="N400" i="17" s="1" a="1"/>
  <c r="N400" i="17" s="1"/>
  <c r="J400" i="17"/>
  <c r="O400" i="17" s="1"/>
  <c r="K400" i="17"/>
  <c r="L400" i="17"/>
  <c r="M400" i="17" s="1"/>
  <c r="I401" i="17"/>
  <c r="N401" i="17" s="1" a="1"/>
  <c r="N401" i="17" s="1"/>
  <c r="J401" i="17"/>
  <c r="O401" i="17" s="1"/>
  <c r="K401" i="17"/>
  <c r="L401" i="17"/>
  <c r="M401" i="17" s="1"/>
  <c r="I402" i="17"/>
  <c r="N402" i="17" s="1" a="1"/>
  <c r="N402" i="17" s="1"/>
  <c r="J402" i="17"/>
  <c r="O402" i="17" s="1"/>
  <c r="K402" i="17"/>
  <c r="L402" i="17"/>
  <c r="M402" i="17" s="1"/>
  <c r="I403" i="17"/>
  <c r="N403" i="17" s="1" a="1"/>
  <c r="N403" i="17" s="1"/>
  <c r="J403" i="17"/>
  <c r="O403" i="17" s="1"/>
  <c r="K403" i="17"/>
  <c r="L403" i="17"/>
  <c r="M403" i="17" s="1"/>
  <c r="I404" i="17"/>
  <c r="N404" i="17" s="1" a="1"/>
  <c r="N404" i="17" s="1"/>
  <c r="J404" i="17"/>
  <c r="O404" i="17" s="1"/>
  <c r="K404" i="17"/>
  <c r="L404" i="17"/>
  <c r="M404" i="17" s="1"/>
  <c r="I405" i="17"/>
  <c r="N405" i="17" s="1" a="1"/>
  <c r="N405" i="17" s="1"/>
  <c r="J405" i="17"/>
  <c r="O405" i="17" s="1"/>
  <c r="K405" i="17"/>
  <c r="L405" i="17"/>
  <c r="M405" i="17" s="1"/>
  <c r="I406" i="17"/>
  <c r="N406" i="17" s="1" a="1"/>
  <c r="N406" i="17" s="1"/>
  <c r="J406" i="17"/>
  <c r="O406" i="17" s="1"/>
  <c r="K406" i="17"/>
  <c r="L406" i="17"/>
  <c r="M406" i="17" s="1"/>
  <c r="I407" i="17"/>
  <c r="N407" i="17" s="1" a="1"/>
  <c r="N407" i="17" s="1"/>
  <c r="J407" i="17"/>
  <c r="O407" i="17" s="1"/>
  <c r="K407" i="17"/>
  <c r="L407" i="17"/>
  <c r="M407" i="17" s="1"/>
  <c r="I408" i="17"/>
  <c r="N408" i="17" s="1" a="1"/>
  <c r="N408" i="17" s="1"/>
  <c r="J408" i="17"/>
  <c r="O408" i="17" s="1"/>
  <c r="K408" i="17"/>
  <c r="L408" i="17"/>
  <c r="M408" i="17" s="1"/>
  <c r="I409" i="17"/>
  <c r="N409" i="17" s="1" a="1"/>
  <c r="N409" i="17" s="1"/>
  <c r="J409" i="17"/>
  <c r="O409" i="17" s="1"/>
  <c r="K409" i="17"/>
  <c r="L409" i="17"/>
  <c r="M409" i="17" s="1"/>
  <c r="I410" i="17"/>
  <c r="N410" i="17" s="1" a="1"/>
  <c r="N410" i="17" s="1"/>
  <c r="J410" i="17"/>
  <c r="O410" i="17" s="1"/>
  <c r="K410" i="17"/>
  <c r="L410" i="17"/>
  <c r="M410" i="17" s="1"/>
  <c r="I411" i="17"/>
  <c r="N411" i="17" s="1" a="1"/>
  <c r="N411" i="17" s="1"/>
  <c r="J411" i="17"/>
  <c r="O411" i="17" s="1"/>
  <c r="K411" i="17"/>
  <c r="L411" i="17"/>
  <c r="M411" i="17" s="1"/>
  <c r="I412" i="17"/>
  <c r="N412" i="17" s="1" a="1"/>
  <c r="N412" i="17" s="1"/>
  <c r="J412" i="17"/>
  <c r="O412" i="17" s="1"/>
  <c r="K412" i="17"/>
  <c r="L412" i="17"/>
  <c r="M412" i="17" s="1"/>
  <c r="I413" i="17"/>
  <c r="N413" i="17" s="1" a="1"/>
  <c r="N413" i="17" s="1"/>
  <c r="J413" i="17"/>
  <c r="O413" i="17" s="1"/>
  <c r="K413" i="17"/>
  <c r="L413" i="17"/>
  <c r="M413" i="17" s="1"/>
  <c r="I414" i="17"/>
  <c r="N414" i="17" s="1" a="1"/>
  <c r="N414" i="17" s="1"/>
  <c r="J414" i="17"/>
  <c r="O414" i="17" s="1"/>
  <c r="K414" i="17"/>
  <c r="L414" i="17"/>
  <c r="M414" i="17" s="1"/>
  <c r="I415" i="17"/>
  <c r="N415" i="17" s="1" a="1"/>
  <c r="N415" i="17" s="1"/>
  <c r="J415" i="17"/>
  <c r="O415" i="17" s="1"/>
  <c r="K415" i="17"/>
  <c r="L415" i="17"/>
  <c r="M415" i="17" s="1"/>
  <c r="I416" i="17"/>
  <c r="N416" i="17" s="1" a="1"/>
  <c r="N416" i="17" s="1"/>
  <c r="J416" i="17"/>
  <c r="O416" i="17" s="1"/>
  <c r="K416" i="17"/>
  <c r="L416" i="17"/>
  <c r="M416" i="17" s="1"/>
  <c r="I417" i="17"/>
  <c r="N417" i="17" s="1" a="1"/>
  <c r="N417" i="17" s="1"/>
  <c r="J417" i="17"/>
  <c r="O417" i="17" s="1"/>
  <c r="K417" i="17"/>
  <c r="L417" i="17"/>
  <c r="M417" i="17" s="1"/>
  <c r="I418" i="17"/>
  <c r="N418" i="17" s="1" a="1"/>
  <c r="N418" i="17" s="1"/>
  <c r="J418" i="17"/>
  <c r="O418" i="17" s="1"/>
  <c r="K418" i="17"/>
  <c r="L418" i="17"/>
  <c r="M418" i="17" s="1"/>
  <c r="I419" i="17"/>
  <c r="N419" i="17" s="1" a="1"/>
  <c r="N419" i="17" s="1"/>
  <c r="J419" i="17"/>
  <c r="O419" i="17" s="1"/>
  <c r="K419" i="17"/>
  <c r="L419" i="17"/>
  <c r="M419" i="17" s="1"/>
  <c r="I420" i="17"/>
  <c r="N420" i="17" s="1" a="1"/>
  <c r="N420" i="17" s="1"/>
  <c r="J420" i="17"/>
  <c r="O420" i="17" s="1"/>
  <c r="K420" i="17"/>
  <c r="L420" i="17"/>
  <c r="M420" i="17" s="1"/>
  <c r="I421" i="17"/>
  <c r="N421" i="17" s="1" a="1"/>
  <c r="N421" i="17" s="1"/>
  <c r="J421" i="17"/>
  <c r="O421" i="17" s="1"/>
  <c r="K421" i="17"/>
  <c r="L421" i="17"/>
  <c r="M421" i="17" s="1"/>
  <c r="I422" i="17"/>
  <c r="N422" i="17" s="1" a="1"/>
  <c r="N422" i="17" s="1"/>
  <c r="J422" i="17"/>
  <c r="O422" i="17" s="1"/>
  <c r="K422" i="17"/>
  <c r="L422" i="17"/>
  <c r="M422" i="17" s="1"/>
  <c r="I423" i="17"/>
  <c r="N423" i="17" s="1" a="1"/>
  <c r="N423" i="17" s="1"/>
  <c r="J423" i="17"/>
  <c r="O423" i="17" s="1"/>
  <c r="K423" i="17"/>
  <c r="L423" i="17"/>
  <c r="M423" i="17" s="1"/>
  <c r="I424" i="17"/>
  <c r="N424" i="17" s="1" a="1"/>
  <c r="N424" i="17" s="1"/>
  <c r="J424" i="17"/>
  <c r="O424" i="17" s="1"/>
  <c r="K424" i="17"/>
  <c r="L424" i="17"/>
  <c r="M424" i="17" s="1"/>
  <c r="I425" i="17"/>
  <c r="N425" i="17" s="1" a="1"/>
  <c r="N425" i="17" s="1"/>
  <c r="J425" i="17"/>
  <c r="O425" i="17" s="1"/>
  <c r="K425" i="17"/>
  <c r="L425" i="17"/>
  <c r="M425" i="17" s="1"/>
  <c r="I426" i="17"/>
  <c r="N426" i="17" s="1" a="1"/>
  <c r="N426" i="17" s="1"/>
  <c r="J426" i="17"/>
  <c r="O426" i="17" s="1"/>
  <c r="K426" i="17"/>
  <c r="L426" i="17"/>
  <c r="M426" i="17" s="1"/>
  <c r="I427" i="17"/>
  <c r="N427" i="17" s="1" a="1"/>
  <c r="N427" i="17" s="1"/>
  <c r="J427" i="17"/>
  <c r="O427" i="17" s="1"/>
  <c r="K427" i="17"/>
  <c r="L427" i="17"/>
  <c r="M427" i="17" s="1"/>
  <c r="I428" i="17"/>
  <c r="N428" i="17" s="1" a="1"/>
  <c r="N428" i="17" s="1"/>
  <c r="J428" i="17"/>
  <c r="O428" i="17" s="1"/>
  <c r="K428" i="17"/>
  <c r="L428" i="17"/>
  <c r="M428" i="17" s="1"/>
  <c r="I429" i="17"/>
  <c r="N429" i="17" s="1" a="1"/>
  <c r="N429" i="17" s="1"/>
  <c r="J429" i="17"/>
  <c r="O429" i="17" s="1"/>
  <c r="K429" i="17"/>
  <c r="L429" i="17"/>
  <c r="M429" i="17" s="1"/>
  <c r="I430" i="17"/>
  <c r="N430" i="17" s="1" a="1"/>
  <c r="N430" i="17" s="1"/>
  <c r="J430" i="17"/>
  <c r="O430" i="17" s="1"/>
  <c r="K430" i="17"/>
  <c r="L430" i="17"/>
  <c r="M430" i="17" s="1"/>
  <c r="I431" i="17"/>
  <c r="N431" i="17" s="1" a="1"/>
  <c r="N431" i="17" s="1"/>
  <c r="J431" i="17"/>
  <c r="O431" i="17" s="1"/>
  <c r="K431" i="17"/>
  <c r="L431" i="17"/>
  <c r="M431" i="17" s="1"/>
  <c r="I432" i="17"/>
  <c r="N432" i="17" s="1" a="1"/>
  <c r="N432" i="17" s="1"/>
  <c r="J432" i="17"/>
  <c r="O432" i="17" s="1"/>
  <c r="K432" i="17"/>
  <c r="L432" i="17"/>
  <c r="M432" i="17" s="1"/>
  <c r="I433" i="17"/>
  <c r="N433" i="17" s="1" a="1"/>
  <c r="N433" i="17" s="1"/>
  <c r="J433" i="17"/>
  <c r="O433" i="17" s="1"/>
  <c r="K433" i="17"/>
  <c r="L433" i="17"/>
  <c r="M433" i="17" s="1"/>
  <c r="I434" i="17"/>
  <c r="N434" i="17" s="1" a="1"/>
  <c r="N434" i="17" s="1"/>
  <c r="J434" i="17"/>
  <c r="O434" i="17" s="1"/>
  <c r="K434" i="17"/>
  <c r="L434" i="17"/>
  <c r="M434" i="17" s="1"/>
  <c r="I435" i="17"/>
  <c r="N435" i="17" s="1" a="1"/>
  <c r="N435" i="17" s="1"/>
  <c r="J435" i="17"/>
  <c r="O435" i="17" s="1"/>
  <c r="K435" i="17"/>
  <c r="L435" i="17"/>
  <c r="M435" i="17" s="1"/>
  <c r="I436" i="17"/>
  <c r="N436" i="17" s="1" a="1"/>
  <c r="N436" i="17" s="1"/>
  <c r="J436" i="17"/>
  <c r="O436" i="17" s="1"/>
  <c r="K436" i="17"/>
  <c r="L436" i="17"/>
  <c r="M436" i="17" s="1"/>
  <c r="I437" i="17"/>
  <c r="N437" i="17" s="1" a="1"/>
  <c r="N437" i="17" s="1"/>
  <c r="J437" i="17"/>
  <c r="O437" i="17" s="1"/>
  <c r="K437" i="17"/>
  <c r="L437" i="17"/>
  <c r="M437" i="17" s="1"/>
  <c r="I438" i="17"/>
  <c r="N438" i="17" s="1" a="1"/>
  <c r="N438" i="17" s="1"/>
  <c r="J438" i="17"/>
  <c r="O438" i="17" s="1"/>
  <c r="K438" i="17"/>
  <c r="L438" i="17"/>
  <c r="M438" i="17" s="1"/>
  <c r="I439" i="17"/>
  <c r="N439" i="17" s="1" a="1"/>
  <c r="N439" i="17" s="1"/>
  <c r="J439" i="17"/>
  <c r="O439" i="17" s="1"/>
  <c r="K439" i="17"/>
  <c r="L439" i="17"/>
  <c r="M439" i="17" s="1"/>
  <c r="I440" i="17"/>
  <c r="N440" i="17" s="1" a="1"/>
  <c r="N440" i="17" s="1"/>
  <c r="J440" i="17"/>
  <c r="O440" i="17" s="1"/>
  <c r="K440" i="17"/>
  <c r="L440" i="17"/>
  <c r="M440" i="17" s="1"/>
  <c r="I441" i="17"/>
  <c r="N441" i="17" s="1" a="1"/>
  <c r="N441" i="17" s="1"/>
  <c r="J441" i="17"/>
  <c r="O441" i="17" s="1"/>
  <c r="K441" i="17"/>
  <c r="L441" i="17"/>
  <c r="M441" i="17" s="1"/>
  <c r="I442" i="17"/>
  <c r="N442" i="17" s="1" a="1"/>
  <c r="N442" i="17" s="1"/>
  <c r="J442" i="17"/>
  <c r="O442" i="17" s="1"/>
  <c r="K442" i="17"/>
  <c r="L442" i="17"/>
  <c r="M442" i="17" s="1"/>
  <c r="I443" i="17"/>
  <c r="N443" i="17" s="1" a="1"/>
  <c r="N443" i="17" s="1"/>
  <c r="J443" i="17"/>
  <c r="O443" i="17" s="1"/>
  <c r="K443" i="17"/>
  <c r="L443" i="17"/>
  <c r="M443" i="17" s="1"/>
  <c r="I444" i="17"/>
  <c r="N444" i="17" s="1" a="1"/>
  <c r="N444" i="17" s="1"/>
  <c r="J444" i="17"/>
  <c r="O444" i="17" s="1"/>
  <c r="K444" i="17"/>
  <c r="L444" i="17"/>
  <c r="M444" i="17" s="1"/>
  <c r="I445" i="17"/>
  <c r="N445" i="17" s="1" a="1"/>
  <c r="N445" i="17" s="1"/>
  <c r="J445" i="17"/>
  <c r="O445" i="17" s="1"/>
  <c r="K445" i="17"/>
  <c r="L445" i="17"/>
  <c r="M445" i="17" s="1"/>
  <c r="I446" i="17"/>
  <c r="N446" i="17" s="1" a="1"/>
  <c r="N446" i="17" s="1"/>
  <c r="J446" i="17"/>
  <c r="O446" i="17" s="1"/>
  <c r="K446" i="17"/>
  <c r="L446" i="17"/>
  <c r="M446" i="17" s="1"/>
  <c r="I447" i="17"/>
  <c r="N447" i="17" s="1" a="1"/>
  <c r="N447" i="17" s="1"/>
  <c r="J447" i="17"/>
  <c r="O447" i="17" s="1"/>
  <c r="K447" i="17"/>
  <c r="L447" i="17"/>
  <c r="M447" i="17" s="1"/>
  <c r="I448" i="17"/>
  <c r="N448" i="17" s="1" a="1"/>
  <c r="N448" i="17" s="1"/>
  <c r="J448" i="17"/>
  <c r="O448" i="17" s="1"/>
  <c r="K448" i="17"/>
  <c r="L448" i="17"/>
  <c r="M448" i="17" s="1"/>
  <c r="I449" i="17"/>
  <c r="N449" i="17" s="1" a="1"/>
  <c r="N449" i="17" s="1"/>
  <c r="J449" i="17"/>
  <c r="O449" i="17" s="1"/>
  <c r="K449" i="17"/>
  <c r="L449" i="17"/>
  <c r="M449" i="17" s="1"/>
  <c r="I450" i="17"/>
  <c r="N450" i="17" s="1" a="1"/>
  <c r="N450" i="17" s="1"/>
  <c r="J450" i="17"/>
  <c r="O450" i="17" s="1"/>
  <c r="K450" i="17"/>
  <c r="L450" i="17"/>
  <c r="M450" i="17" s="1"/>
  <c r="I451" i="17"/>
  <c r="N451" i="17" s="1" a="1"/>
  <c r="N451" i="17" s="1"/>
  <c r="J451" i="17"/>
  <c r="O451" i="17" s="1"/>
  <c r="K451" i="17"/>
  <c r="L451" i="17"/>
  <c r="M451" i="17" s="1"/>
  <c r="I452" i="17"/>
  <c r="N452" i="17" s="1" a="1"/>
  <c r="N452" i="17" s="1"/>
  <c r="J452" i="17"/>
  <c r="O452" i="17" s="1"/>
  <c r="K452" i="17"/>
  <c r="L452" i="17"/>
  <c r="M452" i="17" s="1"/>
  <c r="I453" i="17"/>
  <c r="N453" i="17" s="1" a="1"/>
  <c r="N453" i="17" s="1"/>
  <c r="J453" i="17"/>
  <c r="O453" i="17" s="1"/>
  <c r="K453" i="17"/>
  <c r="L453" i="17"/>
  <c r="M453" i="17" s="1"/>
  <c r="I454" i="17"/>
  <c r="N454" i="17" s="1" a="1"/>
  <c r="N454" i="17" s="1"/>
  <c r="J454" i="17"/>
  <c r="O454" i="17" s="1"/>
  <c r="K454" i="17"/>
  <c r="L454" i="17"/>
  <c r="M454" i="17" s="1"/>
  <c r="I455" i="17"/>
  <c r="N455" i="17" s="1" a="1"/>
  <c r="N455" i="17" s="1"/>
  <c r="J455" i="17"/>
  <c r="O455" i="17" s="1"/>
  <c r="K455" i="17"/>
  <c r="L455" i="17"/>
  <c r="M455" i="17" s="1"/>
  <c r="I456" i="17"/>
  <c r="N456" i="17" s="1" a="1"/>
  <c r="N456" i="17" s="1"/>
  <c r="J456" i="17"/>
  <c r="O456" i="17" s="1"/>
  <c r="K456" i="17"/>
  <c r="L456" i="17"/>
  <c r="M456" i="17" s="1"/>
  <c r="I457" i="17"/>
  <c r="N457" i="17" s="1" a="1"/>
  <c r="N457" i="17" s="1"/>
  <c r="J457" i="17"/>
  <c r="O457" i="17" s="1"/>
  <c r="K457" i="17"/>
  <c r="L457" i="17"/>
  <c r="M457" i="17" s="1"/>
  <c r="I458" i="17"/>
  <c r="N458" i="17" s="1" a="1"/>
  <c r="N458" i="17" s="1"/>
  <c r="J458" i="17"/>
  <c r="O458" i="17" s="1"/>
  <c r="K458" i="17"/>
  <c r="L458" i="17"/>
  <c r="M458" i="17" s="1"/>
  <c r="I459" i="17"/>
  <c r="N459" i="17" s="1" a="1"/>
  <c r="N459" i="17" s="1"/>
  <c r="J459" i="17"/>
  <c r="O459" i="17" s="1"/>
  <c r="K459" i="17"/>
  <c r="L459" i="17"/>
  <c r="M459" i="17" s="1"/>
  <c r="I460" i="17"/>
  <c r="N460" i="17" s="1" a="1"/>
  <c r="N460" i="17" s="1"/>
  <c r="J460" i="17"/>
  <c r="O460" i="17" s="1"/>
  <c r="K460" i="17"/>
  <c r="L460" i="17"/>
  <c r="M460" i="17" s="1"/>
  <c r="I461" i="17"/>
  <c r="N461" i="17" s="1" a="1"/>
  <c r="N461" i="17" s="1"/>
  <c r="J461" i="17"/>
  <c r="O461" i="17" s="1"/>
  <c r="K461" i="17"/>
  <c r="L461" i="17"/>
  <c r="M461" i="17" s="1"/>
  <c r="I462" i="17"/>
  <c r="N462" i="17" s="1" a="1"/>
  <c r="N462" i="17" s="1"/>
  <c r="J462" i="17"/>
  <c r="O462" i="17" s="1"/>
  <c r="K462" i="17"/>
  <c r="L462" i="17"/>
  <c r="M462" i="17" s="1"/>
  <c r="I463" i="17"/>
  <c r="N463" i="17" s="1" a="1"/>
  <c r="N463" i="17" s="1"/>
  <c r="J463" i="17"/>
  <c r="O463" i="17" s="1"/>
  <c r="K463" i="17"/>
  <c r="L463" i="17"/>
  <c r="M463" i="17" s="1"/>
  <c r="I464" i="17"/>
  <c r="N464" i="17" s="1" a="1"/>
  <c r="N464" i="17" s="1"/>
  <c r="J464" i="17"/>
  <c r="O464" i="17" s="1"/>
  <c r="K464" i="17"/>
  <c r="L464" i="17"/>
  <c r="M464" i="17" s="1"/>
  <c r="I465" i="17"/>
  <c r="N465" i="17" s="1" a="1"/>
  <c r="N465" i="17" s="1"/>
  <c r="J465" i="17"/>
  <c r="O465" i="17" s="1"/>
  <c r="K465" i="17"/>
  <c r="L465" i="17"/>
  <c r="M465" i="17" s="1"/>
  <c r="I466" i="17"/>
  <c r="N466" i="17" s="1" a="1"/>
  <c r="N466" i="17" s="1"/>
  <c r="J466" i="17"/>
  <c r="O466" i="17" s="1"/>
  <c r="K466" i="17"/>
  <c r="L466" i="17"/>
  <c r="M466" i="17" s="1"/>
  <c r="I467" i="17"/>
  <c r="N467" i="17" s="1" a="1"/>
  <c r="N467" i="17" s="1"/>
  <c r="J467" i="17"/>
  <c r="O467" i="17" s="1"/>
  <c r="K467" i="17"/>
  <c r="L467" i="17"/>
  <c r="M467" i="17" s="1"/>
  <c r="I468" i="17"/>
  <c r="N468" i="17" s="1" a="1"/>
  <c r="N468" i="17" s="1"/>
  <c r="J468" i="17"/>
  <c r="O468" i="17" s="1"/>
  <c r="K468" i="17"/>
  <c r="L468" i="17"/>
  <c r="M468" i="17" s="1"/>
  <c r="I469" i="17"/>
  <c r="N469" i="17" s="1" a="1"/>
  <c r="N469" i="17" s="1"/>
  <c r="J469" i="17"/>
  <c r="O469" i="17" s="1"/>
  <c r="K469" i="17"/>
  <c r="L469" i="17"/>
  <c r="M469" i="17" s="1"/>
  <c r="I470" i="17"/>
  <c r="N470" i="17" s="1" a="1"/>
  <c r="N470" i="17" s="1"/>
  <c r="J470" i="17"/>
  <c r="O470" i="17" s="1"/>
  <c r="K470" i="17"/>
  <c r="L470" i="17"/>
  <c r="M470" i="17" s="1"/>
  <c r="I471" i="17"/>
  <c r="N471" i="17" s="1" a="1"/>
  <c r="N471" i="17" s="1"/>
  <c r="J471" i="17"/>
  <c r="O471" i="17" s="1"/>
  <c r="K471" i="17"/>
  <c r="L471" i="17"/>
  <c r="M471" i="17" s="1"/>
  <c r="I472" i="17"/>
  <c r="N472" i="17" s="1" a="1"/>
  <c r="N472" i="17" s="1"/>
  <c r="J472" i="17"/>
  <c r="O472" i="17" s="1"/>
  <c r="K472" i="17"/>
  <c r="L472" i="17"/>
  <c r="M472" i="17" s="1"/>
  <c r="I473" i="17"/>
  <c r="N473" i="17" s="1" a="1"/>
  <c r="N473" i="17" s="1"/>
  <c r="J473" i="17"/>
  <c r="O473" i="17" s="1"/>
  <c r="K473" i="17"/>
  <c r="L473" i="17"/>
  <c r="M473" i="17" s="1"/>
  <c r="I474" i="17"/>
  <c r="N474" i="17" s="1" a="1"/>
  <c r="N474" i="17" s="1"/>
  <c r="J474" i="17"/>
  <c r="O474" i="17" s="1"/>
  <c r="K474" i="17"/>
  <c r="L474" i="17"/>
  <c r="M474" i="17" s="1"/>
  <c r="I475" i="17"/>
  <c r="N475" i="17" s="1" a="1"/>
  <c r="N475" i="17" s="1"/>
  <c r="J475" i="17"/>
  <c r="O475" i="17" s="1"/>
  <c r="K475" i="17"/>
  <c r="L475" i="17"/>
  <c r="M475" i="17" s="1"/>
  <c r="I476" i="17"/>
  <c r="N476" i="17" s="1" a="1"/>
  <c r="N476" i="17" s="1"/>
  <c r="J476" i="17"/>
  <c r="O476" i="17" s="1"/>
  <c r="K476" i="17"/>
  <c r="L476" i="17"/>
  <c r="M476" i="17" s="1"/>
  <c r="I477" i="17"/>
  <c r="N477" i="17" s="1" a="1"/>
  <c r="N477" i="17" s="1"/>
  <c r="J477" i="17"/>
  <c r="O477" i="17" s="1"/>
  <c r="K477" i="17"/>
  <c r="L477" i="17"/>
  <c r="M477" i="17" s="1"/>
  <c r="I478" i="17"/>
  <c r="N478" i="17" s="1" a="1"/>
  <c r="N478" i="17" s="1"/>
  <c r="J478" i="17"/>
  <c r="O478" i="17" s="1"/>
  <c r="K478" i="17"/>
  <c r="L478" i="17"/>
  <c r="M478" i="17" s="1"/>
  <c r="I479" i="17"/>
  <c r="N479" i="17" s="1" a="1"/>
  <c r="N479" i="17" s="1"/>
  <c r="J479" i="17"/>
  <c r="O479" i="17" s="1"/>
  <c r="K479" i="17"/>
  <c r="L479" i="17"/>
  <c r="M479" i="17" s="1"/>
  <c r="I480" i="17"/>
  <c r="N480" i="17" s="1" a="1"/>
  <c r="N480" i="17" s="1"/>
  <c r="J480" i="17"/>
  <c r="O480" i="17" s="1"/>
  <c r="K480" i="17"/>
  <c r="L480" i="17"/>
  <c r="M480" i="17" s="1"/>
  <c r="I481" i="17"/>
  <c r="N481" i="17" s="1" a="1"/>
  <c r="N481" i="17" s="1"/>
  <c r="J481" i="17"/>
  <c r="O481" i="17" s="1"/>
  <c r="K481" i="17"/>
  <c r="L481" i="17"/>
  <c r="M481" i="17" s="1"/>
  <c r="I482" i="17"/>
  <c r="N482" i="17" s="1" a="1"/>
  <c r="N482" i="17" s="1"/>
  <c r="J482" i="17"/>
  <c r="O482" i="17" s="1"/>
  <c r="K482" i="17"/>
  <c r="L482" i="17"/>
  <c r="M482" i="17" s="1"/>
  <c r="I483" i="17"/>
  <c r="N483" i="17" s="1" a="1"/>
  <c r="N483" i="17" s="1"/>
  <c r="J483" i="17"/>
  <c r="O483" i="17" s="1"/>
  <c r="K483" i="17"/>
  <c r="L483" i="17"/>
  <c r="M483" i="17" s="1"/>
  <c r="I484" i="17"/>
  <c r="N484" i="17" s="1" a="1"/>
  <c r="N484" i="17" s="1"/>
  <c r="J484" i="17"/>
  <c r="O484" i="17" s="1"/>
  <c r="K484" i="17"/>
  <c r="L484" i="17"/>
  <c r="M484" i="17" s="1"/>
  <c r="I485" i="17"/>
  <c r="N485" i="17" s="1" a="1"/>
  <c r="N485" i="17" s="1"/>
  <c r="J485" i="17"/>
  <c r="O485" i="17" s="1"/>
  <c r="K485" i="17"/>
  <c r="L485" i="17"/>
  <c r="M485" i="17" s="1"/>
  <c r="I486" i="17"/>
  <c r="N486" i="17" s="1" a="1"/>
  <c r="N486" i="17" s="1"/>
  <c r="J486" i="17"/>
  <c r="O486" i="17" s="1"/>
  <c r="K486" i="17"/>
  <c r="L486" i="17"/>
  <c r="M486" i="17" s="1"/>
  <c r="I487" i="17"/>
  <c r="N487" i="17" s="1" a="1"/>
  <c r="N487" i="17" s="1"/>
  <c r="J487" i="17"/>
  <c r="O487" i="17" s="1"/>
  <c r="K487" i="17"/>
  <c r="L487" i="17"/>
  <c r="M487" i="17" s="1"/>
  <c r="I488" i="17"/>
  <c r="N488" i="17" s="1" a="1"/>
  <c r="N488" i="17" s="1"/>
  <c r="J488" i="17"/>
  <c r="O488" i="17" s="1"/>
  <c r="K488" i="17"/>
  <c r="L488" i="17"/>
  <c r="M488" i="17" s="1"/>
  <c r="I489" i="17"/>
  <c r="N489" i="17" s="1" a="1"/>
  <c r="N489" i="17" s="1"/>
  <c r="J489" i="17"/>
  <c r="O489" i="17" s="1"/>
  <c r="K489" i="17"/>
  <c r="L489" i="17"/>
  <c r="M489" i="17" s="1"/>
  <c r="I490" i="17"/>
  <c r="N490" i="17" s="1" a="1"/>
  <c r="N490" i="17" s="1"/>
  <c r="J490" i="17"/>
  <c r="O490" i="17" s="1"/>
  <c r="K490" i="17"/>
  <c r="L490" i="17"/>
  <c r="M490" i="17" s="1"/>
  <c r="I491" i="17"/>
  <c r="N491" i="17" s="1" a="1"/>
  <c r="N491" i="17" s="1"/>
  <c r="J491" i="17"/>
  <c r="O491" i="17" s="1"/>
  <c r="K491" i="17"/>
  <c r="L491" i="17"/>
  <c r="M491" i="17" s="1"/>
  <c r="I492" i="17"/>
  <c r="N492" i="17" s="1" a="1"/>
  <c r="N492" i="17" s="1"/>
  <c r="J492" i="17"/>
  <c r="O492" i="17" s="1"/>
  <c r="K492" i="17"/>
  <c r="L492" i="17"/>
  <c r="M492" i="17" s="1"/>
  <c r="I493" i="17"/>
  <c r="N493" i="17" s="1" a="1"/>
  <c r="N493" i="17" s="1"/>
  <c r="J493" i="17"/>
  <c r="O493" i="17" s="1"/>
  <c r="K493" i="17"/>
  <c r="L493" i="17"/>
  <c r="M493" i="17" s="1"/>
  <c r="I494" i="17"/>
  <c r="N494" i="17" s="1" a="1"/>
  <c r="N494" i="17" s="1"/>
  <c r="J494" i="17"/>
  <c r="O494" i="17" s="1"/>
  <c r="K494" i="17"/>
  <c r="L494" i="17"/>
  <c r="M494" i="17" s="1"/>
  <c r="I495" i="17"/>
  <c r="N495" i="17" s="1" a="1"/>
  <c r="N495" i="17" s="1"/>
  <c r="J495" i="17"/>
  <c r="O495" i="17" s="1"/>
  <c r="K495" i="17"/>
  <c r="L495" i="17"/>
  <c r="M495" i="17" s="1"/>
  <c r="I496" i="17"/>
  <c r="N496" i="17" s="1" a="1"/>
  <c r="N496" i="17" s="1"/>
  <c r="J496" i="17"/>
  <c r="O496" i="17" s="1"/>
  <c r="K496" i="17"/>
  <c r="L496" i="17"/>
  <c r="M496" i="17" s="1"/>
  <c r="I497" i="17"/>
  <c r="N497" i="17" s="1" a="1"/>
  <c r="N497" i="17" s="1"/>
  <c r="J497" i="17"/>
  <c r="O497" i="17" s="1"/>
  <c r="K497" i="17"/>
  <c r="L497" i="17"/>
  <c r="M497" i="17" s="1"/>
  <c r="I498" i="17"/>
  <c r="N498" i="17" s="1" a="1"/>
  <c r="N498" i="17" s="1"/>
  <c r="J498" i="17"/>
  <c r="O498" i="17" s="1"/>
  <c r="K498" i="17"/>
  <c r="L498" i="17"/>
  <c r="M498" i="17" s="1"/>
  <c r="I499" i="17"/>
  <c r="N499" i="17" s="1" a="1"/>
  <c r="N499" i="17" s="1"/>
  <c r="J499" i="17"/>
  <c r="O499" i="17" s="1"/>
  <c r="K499" i="17"/>
  <c r="L499" i="17"/>
  <c r="M499" i="17" s="1"/>
  <c r="I500" i="17"/>
  <c r="N500" i="17" s="1" a="1"/>
  <c r="N500" i="17" s="1"/>
  <c r="J500" i="17"/>
  <c r="O500" i="17" s="1"/>
  <c r="K500" i="17"/>
  <c r="L500" i="17"/>
  <c r="M500" i="17" s="1"/>
  <c r="I501" i="17"/>
  <c r="N501" i="17" s="1" a="1"/>
  <c r="N501" i="17" s="1"/>
  <c r="J501" i="17"/>
  <c r="O501" i="17" s="1"/>
  <c r="K501" i="17"/>
  <c r="L501" i="17"/>
  <c r="M501" i="17" s="1"/>
  <c r="I502" i="17"/>
  <c r="N502" i="17" s="1" a="1"/>
  <c r="N502" i="17" s="1"/>
  <c r="J502" i="17"/>
  <c r="O502" i="17" s="1"/>
  <c r="K502" i="17"/>
  <c r="L502" i="17"/>
  <c r="M502" i="17" s="1"/>
  <c r="I503" i="17"/>
  <c r="N503" i="17" s="1" a="1"/>
  <c r="N503" i="17" s="1"/>
  <c r="J503" i="17"/>
  <c r="O503" i="17" s="1"/>
  <c r="K503" i="17"/>
  <c r="L503" i="17"/>
  <c r="M503" i="17" s="1"/>
  <c r="I504" i="17"/>
  <c r="N504" i="17" s="1" a="1"/>
  <c r="N504" i="17" s="1"/>
  <c r="J504" i="17"/>
  <c r="O504" i="17" s="1"/>
  <c r="K504" i="17"/>
  <c r="L504" i="17"/>
  <c r="M504" i="17" s="1"/>
  <c r="I505" i="17"/>
  <c r="N505" i="17" s="1" a="1"/>
  <c r="N505" i="17" s="1"/>
  <c r="J505" i="17"/>
  <c r="O505" i="17" s="1"/>
  <c r="K505" i="17"/>
  <c r="L505" i="17"/>
  <c r="M505" i="17" s="1"/>
  <c r="I506" i="17"/>
  <c r="N506" i="17" s="1" a="1"/>
  <c r="N506" i="17" s="1"/>
  <c r="J506" i="17"/>
  <c r="O506" i="17" s="1"/>
  <c r="K506" i="17"/>
  <c r="L506" i="17"/>
  <c r="M506" i="17" s="1"/>
  <c r="I507" i="17"/>
  <c r="N507" i="17" s="1" a="1"/>
  <c r="N507" i="17" s="1"/>
  <c r="J507" i="17"/>
  <c r="O507" i="17" s="1"/>
  <c r="K507" i="17"/>
  <c r="L507" i="17"/>
  <c r="M507" i="17" s="1"/>
  <c r="I508" i="17"/>
  <c r="N508" i="17" s="1" a="1"/>
  <c r="N508" i="17" s="1"/>
  <c r="J508" i="17"/>
  <c r="O508" i="17" s="1"/>
  <c r="K508" i="17"/>
  <c r="L508" i="17"/>
  <c r="M508" i="17" s="1"/>
  <c r="I509" i="17"/>
  <c r="N509" i="17" s="1" a="1"/>
  <c r="N509" i="17" s="1"/>
  <c r="J509" i="17"/>
  <c r="O509" i="17" s="1"/>
  <c r="K509" i="17"/>
  <c r="L509" i="17"/>
  <c r="M509" i="17" s="1"/>
  <c r="I510" i="17"/>
  <c r="N510" i="17" s="1" a="1"/>
  <c r="N510" i="17" s="1"/>
  <c r="J510" i="17"/>
  <c r="O510" i="17" s="1"/>
  <c r="K510" i="17"/>
  <c r="L510" i="17"/>
  <c r="M510" i="17" s="1"/>
  <c r="I511" i="17"/>
  <c r="N511" i="17" s="1" a="1"/>
  <c r="N511" i="17" s="1"/>
  <c r="J511" i="17"/>
  <c r="O511" i="17" s="1"/>
  <c r="K511" i="17"/>
  <c r="L511" i="17"/>
  <c r="M511" i="17" s="1"/>
  <c r="I512" i="17"/>
  <c r="N512" i="17" s="1" a="1"/>
  <c r="N512" i="17" s="1"/>
  <c r="J512" i="17"/>
  <c r="O512" i="17" s="1"/>
  <c r="K512" i="17"/>
  <c r="L512" i="17"/>
  <c r="M512" i="17" s="1"/>
  <c r="I513" i="17"/>
  <c r="N513" i="17" s="1" a="1"/>
  <c r="N513" i="17" s="1"/>
  <c r="J513" i="17"/>
  <c r="O513" i="17" s="1"/>
  <c r="K513" i="17"/>
  <c r="L513" i="17"/>
  <c r="M513" i="17" s="1"/>
  <c r="I514" i="17"/>
  <c r="N514" i="17" s="1" a="1"/>
  <c r="N514" i="17" s="1"/>
  <c r="J514" i="17"/>
  <c r="O514" i="17" s="1"/>
  <c r="K514" i="17"/>
  <c r="L514" i="17"/>
  <c r="M514" i="17" s="1"/>
  <c r="I515" i="17"/>
  <c r="N515" i="17" s="1" a="1"/>
  <c r="N515" i="17" s="1"/>
  <c r="J515" i="17"/>
  <c r="O515" i="17" s="1"/>
  <c r="K515" i="17"/>
  <c r="L515" i="17"/>
  <c r="M515" i="17" s="1"/>
  <c r="I516" i="17"/>
  <c r="N516" i="17" s="1" a="1"/>
  <c r="N516" i="17" s="1"/>
  <c r="J516" i="17"/>
  <c r="O516" i="17" s="1"/>
  <c r="K516" i="17"/>
  <c r="L516" i="17"/>
  <c r="M516" i="17" s="1"/>
  <c r="I517" i="17"/>
  <c r="N517" i="17" s="1" a="1"/>
  <c r="N517" i="17" s="1"/>
  <c r="J517" i="17"/>
  <c r="O517" i="17" s="1"/>
  <c r="K517" i="17"/>
  <c r="L517" i="17"/>
  <c r="M517" i="17" s="1"/>
  <c r="I518" i="17"/>
  <c r="N518" i="17" s="1" a="1"/>
  <c r="N518" i="17" s="1"/>
  <c r="J518" i="17"/>
  <c r="O518" i="17" s="1"/>
  <c r="K518" i="17"/>
  <c r="L518" i="17"/>
  <c r="M518" i="17" s="1"/>
  <c r="I519" i="17"/>
  <c r="N519" i="17" s="1" a="1"/>
  <c r="N519" i="17" s="1"/>
  <c r="J519" i="17"/>
  <c r="O519" i="17" s="1"/>
  <c r="K519" i="17"/>
  <c r="L519" i="17"/>
  <c r="M519" i="17" s="1"/>
  <c r="I520" i="17"/>
  <c r="N520" i="17" s="1" a="1"/>
  <c r="N520" i="17" s="1"/>
  <c r="J520" i="17"/>
  <c r="O520" i="17" s="1"/>
  <c r="K520" i="17"/>
  <c r="L520" i="17"/>
  <c r="M520" i="17" s="1"/>
  <c r="I521" i="17"/>
  <c r="N521" i="17" s="1" a="1"/>
  <c r="N521" i="17" s="1"/>
  <c r="J521" i="17"/>
  <c r="O521" i="17" s="1"/>
  <c r="K521" i="17"/>
  <c r="L521" i="17"/>
  <c r="M521" i="17" s="1"/>
  <c r="I522" i="17"/>
  <c r="N522" i="17" s="1" a="1"/>
  <c r="N522" i="17" s="1"/>
  <c r="J522" i="17"/>
  <c r="O522" i="17" s="1"/>
  <c r="K522" i="17"/>
  <c r="L522" i="17"/>
  <c r="M522" i="17" s="1"/>
  <c r="I523" i="17"/>
  <c r="N523" i="17" s="1" a="1"/>
  <c r="N523" i="17" s="1"/>
  <c r="J523" i="17"/>
  <c r="O523" i="17" s="1"/>
  <c r="K523" i="17"/>
  <c r="L523" i="17"/>
  <c r="M523" i="17" s="1"/>
  <c r="I524" i="17"/>
  <c r="N524" i="17" s="1" a="1"/>
  <c r="N524" i="17" s="1"/>
  <c r="J524" i="17"/>
  <c r="O524" i="17" s="1"/>
  <c r="K524" i="17"/>
  <c r="L524" i="17"/>
  <c r="M524" i="17" s="1"/>
  <c r="I525" i="17"/>
  <c r="N525" i="17" s="1" a="1"/>
  <c r="N525" i="17" s="1"/>
  <c r="J525" i="17"/>
  <c r="O525" i="17" s="1"/>
  <c r="K525" i="17"/>
  <c r="L525" i="17"/>
  <c r="M525" i="17" s="1"/>
  <c r="I526" i="17"/>
  <c r="N526" i="17" s="1" a="1"/>
  <c r="N526" i="17" s="1"/>
  <c r="J526" i="17"/>
  <c r="O526" i="17" s="1"/>
  <c r="K526" i="17"/>
  <c r="L526" i="17"/>
  <c r="M526" i="17" s="1"/>
  <c r="I527" i="17"/>
  <c r="N527" i="17" s="1" a="1"/>
  <c r="N527" i="17" s="1"/>
  <c r="J527" i="17"/>
  <c r="O527" i="17" s="1"/>
  <c r="K527" i="17"/>
  <c r="L527" i="17"/>
  <c r="M527" i="17" s="1"/>
  <c r="I528" i="17"/>
  <c r="N528" i="17" s="1" a="1"/>
  <c r="N528" i="17" s="1"/>
  <c r="J528" i="17"/>
  <c r="O528" i="17" s="1"/>
  <c r="K528" i="17"/>
  <c r="L528" i="17"/>
  <c r="M528" i="17" s="1"/>
  <c r="I529" i="17"/>
  <c r="N529" i="17" s="1" a="1"/>
  <c r="N529" i="17" s="1"/>
  <c r="J529" i="17"/>
  <c r="O529" i="17" s="1"/>
  <c r="K529" i="17"/>
  <c r="L529" i="17"/>
  <c r="M529" i="17" s="1"/>
  <c r="I530" i="17"/>
  <c r="N530" i="17" s="1" a="1"/>
  <c r="N530" i="17" s="1"/>
  <c r="J530" i="17"/>
  <c r="O530" i="17" s="1"/>
  <c r="K530" i="17"/>
  <c r="L530" i="17"/>
  <c r="M530" i="17" s="1"/>
  <c r="I531" i="17"/>
  <c r="N531" i="17" s="1" a="1"/>
  <c r="N531" i="17" s="1"/>
  <c r="J531" i="17"/>
  <c r="O531" i="17" s="1"/>
  <c r="K531" i="17"/>
  <c r="L531" i="17"/>
  <c r="M531" i="17" s="1"/>
  <c r="I532" i="17"/>
  <c r="N532" i="17" s="1" a="1"/>
  <c r="N532" i="17" s="1"/>
  <c r="J532" i="17"/>
  <c r="O532" i="17" s="1"/>
  <c r="K532" i="17"/>
  <c r="L532" i="17"/>
  <c r="M532" i="17" s="1"/>
  <c r="I533" i="17"/>
  <c r="N533" i="17" s="1" a="1"/>
  <c r="N533" i="17" s="1"/>
  <c r="J533" i="17"/>
  <c r="O533" i="17" s="1"/>
  <c r="K533" i="17"/>
  <c r="L533" i="17"/>
  <c r="M533" i="17" s="1"/>
  <c r="I534" i="17"/>
  <c r="N534" i="17" s="1" a="1"/>
  <c r="N534" i="17" s="1"/>
  <c r="J534" i="17"/>
  <c r="O534" i="17" s="1"/>
  <c r="K534" i="17"/>
  <c r="L534" i="17"/>
  <c r="M534" i="17" s="1"/>
  <c r="I535" i="17"/>
  <c r="N535" i="17" s="1" a="1"/>
  <c r="N535" i="17" s="1"/>
  <c r="J535" i="17"/>
  <c r="O535" i="17" s="1"/>
  <c r="K535" i="17"/>
  <c r="L535" i="17"/>
  <c r="M535" i="17" s="1"/>
  <c r="I536" i="17"/>
  <c r="N536" i="17" s="1" a="1"/>
  <c r="N536" i="17" s="1"/>
  <c r="J536" i="17"/>
  <c r="O536" i="17" s="1"/>
  <c r="K536" i="17"/>
  <c r="L536" i="17"/>
  <c r="M536" i="17" s="1"/>
  <c r="I537" i="17"/>
  <c r="N537" i="17" s="1" a="1"/>
  <c r="N537" i="17" s="1"/>
  <c r="J537" i="17"/>
  <c r="O537" i="17" s="1"/>
  <c r="K537" i="17"/>
  <c r="L537" i="17"/>
  <c r="M537" i="17" s="1"/>
  <c r="I538" i="17"/>
  <c r="N538" i="17" s="1" a="1"/>
  <c r="N538" i="17" s="1"/>
  <c r="J538" i="17"/>
  <c r="O538" i="17" s="1"/>
  <c r="K538" i="17"/>
  <c r="L538" i="17"/>
  <c r="M538" i="17" s="1"/>
  <c r="I539" i="17"/>
  <c r="N539" i="17" s="1" a="1"/>
  <c r="N539" i="17" s="1"/>
  <c r="J539" i="17"/>
  <c r="O539" i="17" s="1"/>
  <c r="K539" i="17"/>
  <c r="L539" i="17"/>
  <c r="M539" i="17" s="1"/>
  <c r="I540" i="17"/>
  <c r="N540" i="17" s="1" a="1"/>
  <c r="N540" i="17" s="1"/>
  <c r="J540" i="17"/>
  <c r="O540" i="17" s="1"/>
  <c r="K540" i="17"/>
  <c r="L540" i="17"/>
  <c r="M540" i="17" s="1"/>
  <c r="I541" i="17"/>
  <c r="N541" i="17" s="1" a="1"/>
  <c r="N541" i="17" s="1"/>
  <c r="J541" i="17"/>
  <c r="O541" i="17" s="1"/>
  <c r="K541" i="17"/>
  <c r="L541" i="17"/>
  <c r="M541" i="17" s="1"/>
  <c r="I542" i="17"/>
  <c r="N542" i="17" s="1" a="1"/>
  <c r="N542" i="17" s="1"/>
  <c r="J542" i="17"/>
  <c r="O542" i="17" s="1"/>
  <c r="K542" i="17"/>
  <c r="L542" i="17"/>
  <c r="M542" i="17" s="1"/>
  <c r="I543" i="17"/>
  <c r="N543" i="17" s="1" a="1"/>
  <c r="N543" i="17" s="1"/>
  <c r="J543" i="17"/>
  <c r="O543" i="17" s="1"/>
  <c r="K543" i="17"/>
  <c r="L543" i="17"/>
  <c r="M543" i="17" s="1"/>
  <c r="I544" i="17"/>
  <c r="N544" i="17" s="1" a="1"/>
  <c r="N544" i="17" s="1"/>
  <c r="J544" i="17"/>
  <c r="O544" i="17" s="1"/>
  <c r="K544" i="17"/>
  <c r="L544" i="17"/>
  <c r="M544" i="17" s="1"/>
  <c r="I545" i="17"/>
  <c r="N545" i="17" s="1" a="1"/>
  <c r="N545" i="17" s="1"/>
  <c r="J545" i="17"/>
  <c r="O545" i="17" s="1"/>
  <c r="K545" i="17"/>
  <c r="L545" i="17"/>
  <c r="M545" i="17" s="1"/>
  <c r="I546" i="17"/>
  <c r="N546" i="17" s="1" a="1"/>
  <c r="N546" i="17" s="1"/>
  <c r="J546" i="17"/>
  <c r="O546" i="17" s="1"/>
  <c r="K546" i="17"/>
  <c r="L546" i="17"/>
  <c r="M546" i="17" s="1"/>
  <c r="I547" i="17"/>
  <c r="N547" i="17" s="1" a="1"/>
  <c r="N547" i="17" s="1"/>
  <c r="J547" i="17"/>
  <c r="O547" i="17" s="1"/>
  <c r="K547" i="17"/>
  <c r="L547" i="17"/>
  <c r="M547" i="17" s="1"/>
  <c r="I548" i="17"/>
  <c r="N548" i="17" s="1" a="1"/>
  <c r="N548" i="17" s="1"/>
  <c r="J548" i="17"/>
  <c r="O548" i="17" s="1"/>
  <c r="K548" i="17"/>
  <c r="L548" i="17"/>
  <c r="M548" i="17" s="1"/>
  <c r="I549" i="17"/>
  <c r="N549" i="17" s="1" a="1"/>
  <c r="N549" i="17" s="1"/>
  <c r="J549" i="17"/>
  <c r="O549" i="17" s="1"/>
  <c r="K549" i="17"/>
  <c r="L549" i="17"/>
  <c r="M549" i="17" s="1"/>
  <c r="I550" i="17"/>
  <c r="N550" i="17" s="1" a="1"/>
  <c r="N550" i="17" s="1"/>
  <c r="J550" i="17"/>
  <c r="O550" i="17" s="1"/>
  <c r="K550" i="17"/>
  <c r="L550" i="17"/>
  <c r="M550" i="17" s="1"/>
  <c r="I551" i="17"/>
  <c r="N551" i="17" s="1" a="1"/>
  <c r="N551" i="17" s="1"/>
  <c r="J551" i="17"/>
  <c r="O551" i="17" s="1"/>
  <c r="K551" i="17"/>
  <c r="L551" i="17"/>
  <c r="M551" i="17" s="1"/>
  <c r="I552" i="17"/>
  <c r="N552" i="17" s="1" a="1"/>
  <c r="N552" i="17" s="1"/>
  <c r="J552" i="17"/>
  <c r="O552" i="17" s="1"/>
  <c r="K552" i="17"/>
  <c r="L552" i="17"/>
  <c r="M552" i="17" s="1"/>
  <c r="I553" i="17"/>
  <c r="N553" i="17" s="1" a="1"/>
  <c r="N553" i="17" s="1"/>
  <c r="J553" i="17"/>
  <c r="O553" i="17" s="1"/>
  <c r="K553" i="17"/>
  <c r="L553" i="17"/>
  <c r="M553" i="17" s="1"/>
  <c r="I554" i="17"/>
  <c r="N554" i="17" s="1" a="1"/>
  <c r="N554" i="17" s="1"/>
  <c r="J554" i="17"/>
  <c r="O554" i="17" s="1"/>
  <c r="K554" i="17"/>
  <c r="L554" i="17"/>
  <c r="M554" i="17" s="1"/>
  <c r="I555" i="17"/>
  <c r="N555" i="17" s="1" a="1"/>
  <c r="N555" i="17" s="1"/>
  <c r="J555" i="17"/>
  <c r="O555" i="17" s="1"/>
  <c r="K555" i="17"/>
  <c r="L555" i="17"/>
  <c r="M555" i="17" s="1"/>
  <c r="I556" i="17"/>
  <c r="N556" i="17" s="1" a="1"/>
  <c r="N556" i="17" s="1"/>
  <c r="J556" i="17"/>
  <c r="O556" i="17" s="1"/>
  <c r="K556" i="17"/>
  <c r="L556" i="17"/>
  <c r="M556" i="17" s="1"/>
  <c r="I557" i="17"/>
  <c r="N557" i="17" s="1" a="1"/>
  <c r="N557" i="17" s="1"/>
  <c r="J557" i="17"/>
  <c r="O557" i="17" s="1"/>
  <c r="K557" i="17"/>
  <c r="L557" i="17"/>
  <c r="M557" i="17" s="1"/>
  <c r="I558" i="17"/>
  <c r="N558" i="17" s="1" a="1"/>
  <c r="N558" i="17" s="1"/>
  <c r="J558" i="17"/>
  <c r="O558" i="17" s="1"/>
  <c r="K558" i="17"/>
  <c r="L558" i="17"/>
  <c r="M558" i="17" s="1"/>
  <c r="I559" i="17"/>
  <c r="N559" i="17" s="1" a="1"/>
  <c r="N559" i="17" s="1"/>
  <c r="J559" i="17"/>
  <c r="O559" i="17" s="1"/>
  <c r="K559" i="17"/>
  <c r="L559" i="17"/>
  <c r="M559" i="17" s="1"/>
  <c r="I560" i="17"/>
  <c r="N560" i="17" s="1" a="1"/>
  <c r="N560" i="17" s="1"/>
  <c r="J560" i="17"/>
  <c r="O560" i="17" s="1"/>
  <c r="K560" i="17"/>
  <c r="L560" i="17"/>
  <c r="M560" i="17" s="1"/>
  <c r="I561" i="17"/>
  <c r="N561" i="17" s="1" a="1"/>
  <c r="N561" i="17" s="1"/>
  <c r="J561" i="17"/>
  <c r="O561" i="17" s="1"/>
  <c r="K561" i="17"/>
  <c r="L561" i="17"/>
  <c r="M561" i="17" s="1"/>
  <c r="I562" i="17"/>
  <c r="N562" i="17" s="1" a="1"/>
  <c r="N562" i="17" s="1"/>
  <c r="J562" i="17"/>
  <c r="O562" i="17" s="1"/>
  <c r="K562" i="17"/>
  <c r="L562" i="17"/>
  <c r="M562" i="17" s="1"/>
  <c r="I563" i="17"/>
  <c r="N563" i="17" s="1" a="1"/>
  <c r="N563" i="17" s="1"/>
  <c r="J563" i="17"/>
  <c r="O563" i="17" s="1"/>
  <c r="K563" i="17"/>
  <c r="L563" i="17"/>
  <c r="M563" i="17" s="1"/>
  <c r="I564" i="17"/>
  <c r="N564" i="17" s="1" a="1"/>
  <c r="N564" i="17" s="1"/>
  <c r="J564" i="17"/>
  <c r="O564" i="17" s="1"/>
  <c r="K564" i="17"/>
  <c r="L564" i="17"/>
  <c r="M564" i="17" s="1"/>
  <c r="I565" i="17"/>
  <c r="N565" i="17" s="1" a="1"/>
  <c r="N565" i="17" s="1"/>
  <c r="J565" i="17"/>
  <c r="O565" i="17" s="1"/>
  <c r="K565" i="17"/>
  <c r="L565" i="17"/>
  <c r="M565" i="17" s="1"/>
  <c r="I566" i="17"/>
  <c r="N566" i="17" s="1" a="1"/>
  <c r="N566" i="17" s="1"/>
  <c r="J566" i="17"/>
  <c r="O566" i="17" s="1"/>
  <c r="K566" i="17"/>
  <c r="L566" i="17"/>
  <c r="M566" i="17" s="1"/>
  <c r="I567" i="17"/>
  <c r="N567" i="17" s="1" a="1"/>
  <c r="N567" i="17" s="1"/>
  <c r="J567" i="17"/>
  <c r="O567" i="17" s="1"/>
  <c r="K567" i="17"/>
  <c r="L567" i="17"/>
  <c r="M567" i="17" s="1"/>
  <c r="I568" i="17"/>
  <c r="N568" i="17" s="1" a="1"/>
  <c r="N568" i="17" s="1"/>
  <c r="J568" i="17"/>
  <c r="O568" i="17" s="1"/>
  <c r="K568" i="17"/>
  <c r="L568" i="17"/>
  <c r="M568" i="17" s="1"/>
  <c r="I569" i="17"/>
  <c r="N569" i="17" s="1" a="1"/>
  <c r="N569" i="17" s="1"/>
  <c r="J569" i="17"/>
  <c r="O569" i="17" s="1"/>
  <c r="K569" i="17"/>
  <c r="L569" i="17"/>
  <c r="M569" i="17" s="1"/>
  <c r="I570" i="17"/>
  <c r="N570" i="17" s="1" a="1"/>
  <c r="N570" i="17" s="1"/>
  <c r="J570" i="17"/>
  <c r="O570" i="17" s="1"/>
  <c r="K570" i="17"/>
  <c r="L570" i="17"/>
  <c r="M570" i="17" s="1"/>
  <c r="I571" i="17"/>
  <c r="N571" i="17" s="1" a="1"/>
  <c r="N571" i="17" s="1"/>
  <c r="J571" i="17"/>
  <c r="O571" i="17" s="1"/>
  <c r="K571" i="17"/>
  <c r="L571" i="17"/>
  <c r="M571" i="17" s="1"/>
  <c r="I572" i="17"/>
  <c r="N572" i="17" s="1" a="1"/>
  <c r="N572" i="17" s="1"/>
  <c r="J572" i="17"/>
  <c r="O572" i="17" s="1"/>
  <c r="K572" i="17"/>
  <c r="L572" i="17"/>
  <c r="M572" i="17" s="1"/>
  <c r="I573" i="17"/>
  <c r="N573" i="17" s="1" a="1"/>
  <c r="N573" i="17" s="1"/>
  <c r="J573" i="17"/>
  <c r="O573" i="17" s="1"/>
  <c r="K573" i="17"/>
  <c r="L573" i="17"/>
  <c r="M573" i="17" s="1"/>
  <c r="I574" i="17"/>
  <c r="N574" i="17" s="1" a="1"/>
  <c r="N574" i="17" s="1"/>
  <c r="J574" i="17"/>
  <c r="O574" i="17" s="1"/>
  <c r="K574" i="17"/>
  <c r="L574" i="17"/>
  <c r="M574" i="17" s="1"/>
  <c r="I575" i="17"/>
  <c r="N575" i="17" s="1" a="1"/>
  <c r="N575" i="17" s="1"/>
  <c r="J575" i="17"/>
  <c r="O575" i="17" s="1"/>
  <c r="K575" i="17"/>
  <c r="L575" i="17"/>
  <c r="M575" i="17" s="1"/>
  <c r="I576" i="17"/>
  <c r="N576" i="17" s="1" a="1"/>
  <c r="N576" i="17" s="1"/>
  <c r="J576" i="17"/>
  <c r="O576" i="17" s="1"/>
  <c r="K576" i="17"/>
  <c r="L576" i="17"/>
  <c r="M576" i="17" s="1"/>
  <c r="I577" i="17"/>
  <c r="N577" i="17" s="1" a="1"/>
  <c r="N577" i="17" s="1"/>
  <c r="J577" i="17"/>
  <c r="O577" i="17" s="1"/>
  <c r="K577" i="17"/>
  <c r="L577" i="17"/>
  <c r="M577" i="17" s="1"/>
  <c r="I578" i="17"/>
  <c r="N578" i="17" s="1" a="1"/>
  <c r="N578" i="17" s="1"/>
  <c r="J578" i="17"/>
  <c r="O578" i="17" s="1"/>
  <c r="K578" i="17"/>
  <c r="L578" i="17"/>
  <c r="M578" i="17" s="1"/>
  <c r="I579" i="17"/>
  <c r="N579" i="17" s="1" a="1"/>
  <c r="N579" i="17" s="1"/>
  <c r="J579" i="17"/>
  <c r="O579" i="17" s="1"/>
  <c r="K579" i="17"/>
  <c r="L579" i="17"/>
  <c r="M579" i="17" s="1"/>
  <c r="I580" i="17"/>
  <c r="N580" i="17" s="1" a="1"/>
  <c r="N580" i="17" s="1"/>
  <c r="J580" i="17"/>
  <c r="O580" i="17" s="1"/>
  <c r="K580" i="17"/>
  <c r="L580" i="17"/>
  <c r="M580" i="17" s="1"/>
  <c r="I581" i="17"/>
  <c r="N581" i="17" s="1" a="1"/>
  <c r="N581" i="17" s="1"/>
  <c r="J581" i="17"/>
  <c r="O581" i="17" s="1"/>
  <c r="K581" i="17"/>
  <c r="L581" i="17"/>
  <c r="M581" i="17" s="1"/>
  <c r="I582" i="17"/>
  <c r="N582" i="17" s="1" a="1"/>
  <c r="N582" i="17" s="1"/>
  <c r="J582" i="17"/>
  <c r="O582" i="17" s="1"/>
  <c r="K582" i="17"/>
  <c r="L582" i="17"/>
  <c r="M582" i="17" s="1"/>
  <c r="I583" i="17"/>
  <c r="N583" i="17" s="1" a="1"/>
  <c r="N583" i="17" s="1"/>
  <c r="J583" i="17"/>
  <c r="O583" i="17" s="1"/>
  <c r="K583" i="17"/>
  <c r="L583" i="17"/>
  <c r="M583" i="17" s="1"/>
  <c r="I584" i="17"/>
  <c r="N584" i="17" s="1" a="1"/>
  <c r="N584" i="17" s="1"/>
  <c r="J584" i="17"/>
  <c r="O584" i="17" s="1"/>
  <c r="K584" i="17"/>
  <c r="L584" i="17"/>
  <c r="M584" i="17" s="1"/>
  <c r="I585" i="17"/>
  <c r="N585" i="17" s="1" a="1"/>
  <c r="N585" i="17" s="1"/>
  <c r="J585" i="17"/>
  <c r="O585" i="17" s="1"/>
  <c r="K585" i="17"/>
  <c r="L585" i="17"/>
  <c r="M585" i="17" s="1"/>
  <c r="I586" i="17"/>
  <c r="N586" i="17" s="1" a="1"/>
  <c r="N586" i="17" s="1"/>
  <c r="J586" i="17"/>
  <c r="O586" i="17" s="1"/>
  <c r="K586" i="17"/>
  <c r="L586" i="17"/>
  <c r="M586" i="17" s="1"/>
  <c r="I587" i="17"/>
  <c r="N587" i="17" s="1" a="1"/>
  <c r="N587" i="17" s="1"/>
  <c r="J587" i="17"/>
  <c r="O587" i="17" s="1"/>
  <c r="K587" i="17"/>
  <c r="L587" i="17"/>
  <c r="M587" i="17" s="1"/>
  <c r="I588" i="17"/>
  <c r="N588" i="17" s="1" a="1"/>
  <c r="N588" i="17" s="1"/>
  <c r="J588" i="17"/>
  <c r="O588" i="17" s="1"/>
  <c r="K588" i="17"/>
  <c r="L588" i="17"/>
  <c r="M588" i="17" s="1"/>
  <c r="I589" i="17"/>
  <c r="N589" i="17" s="1" a="1"/>
  <c r="N589" i="17" s="1"/>
  <c r="J589" i="17"/>
  <c r="O589" i="17" s="1"/>
  <c r="K589" i="17"/>
  <c r="L589" i="17"/>
  <c r="M589" i="17" s="1"/>
  <c r="I590" i="17"/>
  <c r="N590" i="17" s="1" a="1"/>
  <c r="N590" i="17" s="1"/>
  <c r="J590" i="17"/>
  <c r="O590" i="17" s="1"/>
  <c r="K590" i="17"/>
  <c r="L590" i="17"/>
  <c r="M590" i="17" s="1"/>
  <c r="I591" i="17"/>
  <c r="N591" i="17" s="1" a="1"/>
  <c r="N591" i="17" s="1"/>
  <c r="J591" i="17"/>
  <c r="O591" i="17" s="1"/>
  <c r="K591" i="17"/>
  <c r="L591" i="17"/>
  <c r="M591" i="17" s="1"/>
  <c r="I592" i="17"/>
  <c r="N592" i="17" s="1" a="1"/>
  <c r="N592" i="17" s="1"/>
  <c r="J592" i="17"/>
  <c r="O592" i="17" s="1"/>
  <c r="K592" i="17"/>
  <c r="L592" i="17"/>
  <c r="M592" i="17" s="1"/>
  <c r="I593" i="17"/>
  <c r="N593" i="17" s="1" a="1"/>
  <c r="N593" i="17" s="1"/>
  <c r="J593" i="17"/>
  <c r="O593" i="17" s="1"/>
  <c r="K593" i="17"/>
  <c r="L593" i="17"/>
  <c r="M593" i="17" s="1"/>
  <c r="I594" i="17"/>
  <c r="N594" i="17" s="1" a="1"/>
  <c r="N594" i="17" s="1"/>
  <c r="J594" i="17"/>
  <c r="O594" i="17" s="1"/>
  <c r="K594" i="17"/>
  <c r="L594" i="17"/>
  <c r="M594" i="17" s="1"/>
  <c r="I595" i="17"/>
  <c r="N595" i="17" s="1" a="1"/>
  <c r="N595" i="17" s="1"/>
  <c r="J595" i="17"/>
  <c r="O595" i="17" s="1"/>
  <c r="K595" i="17"/>
  <c r="L595" i="17"/>
  <c r="M595" i="17" s="1"/>
  <c r="I596" i="17"/>
  <c r="N596" i="17" s="1" a="1"/>
  <c r="N596" i="17" s="1"/>
  <c r="J596" i="17"/>
  <c r="O596" i="17" s="1"/>
  <c r="K596" i="17"/>
  <c r="L596" i="17"/>
  <c r="M596" i="17" s="1"/>
  <c r="I597" i="17"/>
  <c r="N597" i="17" s="1" a="1"/>
  <c r="N597" i="17" s="1"/>
  <c r="J597" i="17"/>
  <c r="O597" i="17" s="1"/>
  <c r="K597" i="17"/>
  <c r="L597" i="17"/>
  <c r="M597" i="17" s="1"/>
  <c r="I598" i="17"/>
  <c r="N598" i="17" s="1" a="1"/>
  <c r="N598" i="17" s="1"/>
  <c r="J598" i="17"/>
  <c r="O598" i="17" s="1"/>
  <c r="K598" i="17"/>
  <c r="L598" i="17"/>
  <c r="M598" i="17" s="1"/>
  <c r="I599" i="17"/>
  <c r="N599" i="17" s="1" a="1"/>
  <c r="N599" i="17" s="1"/>
  <c r="J599" i="17"/>
  <c r="O599" i="17" s="1"/>
  <c r="K599" i="17"/>
  <c r="L599" i="17"/>
  <c r="M599" i="17" s="1"/>
  <c r="I600" i="17"/>
  <c r="N600" i="17" s="1" a="1"/>
  <c r="N600" i="17" s="1"/>
  <c r="J600" i="17"/>
  <c r="O600" i="17" s="1"/>
  <c r="K600" i="17"/>
  <c r="L600" i="17"/>
  <c r="M600" i="17" s="1"/>
  <c r="I601" i="17"/>
  <c r="N601" i="17" s="1" a="1"/>
  <c r="N601" i="17" s="1"/>
  <c r="J601" i="17"/>
  <c r="O601" i="17" s="1"/>
  <c r="K601" i="17"/>
  <c r="L601" i="17"/>
  <c r="M601" i="17" s="1"/>
  <c r="I602" i="17"/>
  <c r="N602" i="17" s="1" a="1"/>
  <c r="N602" i="17" s="1"/>
  <c r="J602" i="17"/>
  <c r="O602" i="17" s="1"/>
  <c r="K602" i="17"/>
  <c r="L602" i="17"/>
  <c r="M602" i="17" s="1"/>
  <c r="I603" i="17"/>
  <c r="N603" i="17" s="1" a="1"/>
  <c r="N603" i="17" s="1"/>
  <c r="J603" i="17"/>
  <c r="O603" i="17" s="1"/>
  <c r="K603" i="17"/>
  <c r="L603" i="17"/>
  <c r="M603" i="17" s="1"/>
  <c r="I604" i="17"/>
  <c r="N604" i="17" s="1" a="1"/>
  <c r="N604" i="17" s="1"/>
  <c r="J604" i="17"/>
  <c r="O604" i="17" s="1"/>
  <c r="K604" i="17"/>
  <c r="L604" i="17"/>
  <c r="M604" i="17" s="1"/>
  <c r="I605" i="17"/>
  <c r="N605" i="17" s="1" a="1"/>
  <c r="N605" i="17" s="1"/>
  <c r="J605" i="17"/>
  <c r="O605" i="17" s="1"/>
  <c r="K605" i="17"/>
  <c r="L605" i="17"/>
  <c r="M605" i="17" s="1"/>
  <c r="I606" i="17"/>
  <c r="N606" i="17" s="1" a="1"/>
  <c r="N606" i="17" s="1"/>
  <c r="J606" i="17"/>
  <c r="O606" i="17" s="1"/>
  <c r="K606" i="17"/>
  <c r="L606" i="17"/>
  <c r="M606" i="17" s="1"/>
  <c r="I607" i="17"/>
  <c r="N607" i="17" s="1" a="1"/>
  <c r="N607" i="17" s="1"/>
  <c r="J607" i="17"/>
  <c r="O607" i="17" s="1"/>
  <c r="K607" i="17"/>
  <c r="L607" i="17"/>
  <c r="M607" i="17" s="1"/>
  <c r="I608" i="17"/>
  <c r="N608" i="17" s="1" a="1"/>
  <c r="N608" i="17" s="1"/>
  <c r="J608" i="17"/>
  <c r="O608" i="17" s="1"/>
  <c r="K608" i="17"/>
  <c r="L608" i="17"/>
  <c r="M608" i="17" s="1"/>
  <c r="I609" i="17"/>
  <c r="N609" i="17" s="1" a="1"/>
  <c r="N609" i="17" s="1"/>
  <c r="J609" i="17"/>
  <c r="O609" i="17" s="1"/>
  <c r="K609" i="17"/>
  <c r="L609" i="17"/>
  <c r="M609" i="17" s="1"/>
  <c r="I610" i="17"/>
  <c r="N610" i="17" s="1" a="1"/>
  <c r="N610" i="17" s="1"/>
  <c r="J610" i="17"/>
  <c r="O610" i="17" s="1"/>
  <c r="K610" i="17"/>
  <c r="L610" i="17"/>
  <c r="M610" i="17" s="1"/>
  <c r="I611" i="17"/>
  <c r="N611" i="17" s="1" a="1"/>
  <c r="N611" i="17" s="1"/>
  <c r="J611" i="17"/>
  <c r="O611" i="17" s="1"/>
  <c r="K611" i="17"/>
  <c r="L611" i="17"/>
  <c r="M611" i="17" s="1"/>
  <c r="I612" i="17"/>
  <c r="N612" i="17" s="1" a="1"/>
  <c r="N612" i="17" s="1"/>
  <c r="J612" i="17"/>
  <c r="O612" i="17" s="1"/>
  <c r="K612" i="17"/>
  <c r="L612" i="17"/>
  <c r="M612" i="17" s="1"/>
  <c r="I613" i="17"/>
  <c r="N613" i="17" s="1" a="1"/>
  <c r="N613" i="17" s="1"/>
  <c r="J613" i="17"/>
  <c r="O613" i="17" s="1"/>
  <c r="K613" i="17"/>
  <c r="L613" i="17"/>
  <c r="M613" i="17" s="1"/>
  <c r="I614" i="17"/>
  <c r="N614" i="17" s="1" a="1"/>
  <c r="N614" i="17" s="1"/>
  <c r="J614" i="17"/>
  <c r="O614" i="17" s="1"/>
  <c r="K614" i="17"/>
  <c r="L614" i="17"/>
  <c r="M614" i="17" s="1"/>
  <c r="I615" i="17"/>
  <c r="N615" i="17" s="1" a="1"/>
  <c r="N615" i="17" s="1"/>
  <c r="J615" i="17"/>
  <c r="O615" i="17" s="1"/>
  <c r="K615" i="17"/>
  <c r="L615" i="17"/>
  <c r="M615" i="17" s="1"/>
  <c r="I616" i="17"/>
  <c r="N616" i="17" s="1" a="1"/>
  <c r="N616" i="17" s="1"/>
  <c r="J616" i="17"/>
  <c r="O616" i="17" s="1"/>
  <c r="K616" i="17"/>
  <c r="L616" i="17"/>
  <c r="M616" i="17" s="1"/>
  <c r="I617" i="17"/>
  <c r="N617" i="17" s="1" a="1"/>
  <c r="N617" i="17" s="1"/>
  <c r="J617" i="17"/>
  <c r="O617" i="17" s="1"/>
  <c r="K617" i="17"/>
  <c r="L617" i="17"/>
  <c r="M617" i="17" s="1"/>
  <c r="I618" i="17"/>
  <c r="N618" i="17" s="1" a="1"/>
  <c r="N618" i="17" s="1"/>
  <c r="J618" i="17"/>
  <c r="O618" i="17" s="1"/>
  <c r="K618" i="17"/>
  <c r="L618" i="17"/>
  <c r="M618" i="17" s="1"/>
  <c r="I619" i="17"/>
  <c r="N619" i="17" s="1" a="1"/>
  <c r="N619" i="17" s="1"/>
  <c r="J619" i="17"/>
  <c r="O619" i="17" s="1"/>
  <c r="K619" i="17"/>
  <c r="L619" i="17"/>
  <c r="M619" i="17" s="1"/>
  <c r="I620" i="17"/>
  <c r="N620" i="17" s="1" a="1"/>
  <c r="N620" i="17" s="1"/>
  <c r="J620" i="17"/>
  <c r="O620" i="17" s="1"/>
  <c r="K620" i="17"/>
  <c r="L620" i="17"/>
  <c r="M620" i="17" s="1"/>
  <c r="I621" i="17"/>
  <c r="N621" i="17" s="1" a="1"/>
  <c r="N621" i="17" s="1"/>
  <c r="J621" i="17"/>
  <c r="O621" i="17" s="1"/>
  <c r="K621" i="17"/>
  <c r="L621" i="17"/>
  <c r="M621" i="17" s="1"/>
  <c r="I622" i="17"/>
  <c r="N622" i="17" s="1" a="1"/>
  <c r="N622" i="17" s="1"/>
  <c r="J622" i="17"/>
  <c r="O622" i="17" s="1"/>
  <c r="K622" i="17"/>
  <c r="L622" i="17"/>
  <c r="M622" i="17" s="1"/>
  <c r="I623" i="17"/>
  <c r="N623" i="17" s="1" a="1"/>
  <c r="N623" i="17" s="1"/>
  <c r="J623" i="17"/>
  <c r="O623" i="17" s="1"/>
  <c r="K623" i="17"/>
  <c r="L623" i="17"/>
  <c r="M623" i="17" s="1"/>
  <c r="I624" i="17"/>
  <c r="N624" i="17" s="1" a="1"/>
  <c r="N624" i="17" s="1"/>
  <c r="J624" i="17"/>
  <c r="O624" i="17" s="1"/>
  <c r="K624" i="17"/>
  <c r="L624" i="17"/>
  <c r="M624" i="17" s="1"/>
  <c r="I625" i="17"/>
  <c r="N625" i="17" s="1" a="1"/>
  <c r="N625" i="17" s="1"/>
  <c r="J625" i="17"/>
  <c r="O625" i="17" s="1"/>
  <c r="K625" i="17"/>
  <c r="L625" i="17"/>
  <c r="M625" i="17" s="1"/>
  <c r="I626" i="17"/>
  <c r="N626" i="17" s="1" a="1"/>
  <c r="N626" i="17" s="1"/>
  <c r="J626" i="17"/>
  <c r="O626" i="17" s="1"/>
  <c r="K626" i="17"/>
  <c r="L626" i="17"/>
  <c r="M626" i="17" s="1"/>
  <c r="I627" i="17"/>
  <c r="N627" i="17" s="1" a="1"/>
  <c r="N627" i="17" s="1"/>
  <c r="J627" i="17"/>
  <c r="O627" i="17" s="1"/>
  <c r="K627" i="17"/>
  <c r="L627" i="17"/>
  <c r="M627" i="17" s="1"/>
  <c r="I628" i="17"/>
  <c r="N628" i="17" s="1" a="1"/>
  <c r="N628" i="17" s="1"/>
  <c r="J628" i="17"/>
  <c r="O628" i="17" s="1"/>
  <c r="K628" i="17"/>
  <c r="L628" i="17"/>
  <c r="M628" i="17" s="1"/>
  <c r="I629" i="17"/>
  <c r="N629" i="17" s="1" a="1"/>
  <c r="N629" i="17" s="1"/>
  <c r="J629" i="17"/>
  <c r="O629" i="17" s="1"/>
  <c r="K629" i="17"/>
  <c r="L629" i="17"/>
  <c r="M629" i="17" s="1"/>
  <c r="I630" i="17"/>
  <c r="N630" i="17" s="1" a="1"/>
  <c r="N630" i="17" s="1"/>
  <c r="J630" i="17"/>
  <c r="O630" i="17" s="1"/>
  <c r="K630" i="17"/>
  <c r="L630" i="17"/>
  <c r="M630" i="17" s="1"/>
  <c r="I631" i="17"/>
  <c r="N631" i="17" s="1" a="1"/>
  <c r="N631" i="17" s="1"/>
  <c r="J631" i="17"/>
  <c r="O631" i="17" s="1"/>
  <c r="K631" i="17"/>
  <c r="L631" i="17"/>
  <c r="M631" i="17" s="1"/>
  <c r="I632" i="17"/>
  <c r="N632" i="17" s="1" a="1"/>
  <c r="N632" i="17" s="1"/>
  <c r="J632" i="17"/>
  <c r="O632" i="17" s="1"/>
  <c r="K632" i="17"/>
  <c r="L632" i="17"/>
  <c r="M632" i="17" s="1"/>
  <c r="I633" i="17"/>
  <c r="N633" i="17" s="1" a="1"/>
  <c r="N633" i="17" s="1"/>
  <c r="J633" i="17"/>
  <c r="O633" i="17" s="1"/>
  <c r="K633" i="17"/>
  <c r="L633" i="17"/>
  <c r="M633" i="17" s="1"/>
  <c r="I634" i="17"/>
  <c r="N634" i="17" s="1" a="1"/>
  <c r="N634" i="17" s="1"/>
  <c r="J634" i="17"/>
  <c r="O634" i="17" s="1"/>
  <c r="K634" i="17"/>
  <c r="L634" i="17"/>
  <c r="M634" i="17" s="1"/>
  <c r="I635" i="17"/>
  <c r="N635" i="17" s="1" a="1"/>
  <c r="N635" i="17" s="1"/>
  <c r="J635" i="17"/>
  <c r="O635" i="17" s="1"/>
  <c r="K635" i="17"/>
  <c r="L635" i="17"/>
  <c r="M635" i="17" s="1"/>
  <c r="I636" i="17"/>
  <c r="N636" i="17" s="1" a="1"/>
  <c r="N636" i="17" s="1"/>
  <c r="J636" i="17"/>
  <c r="O636" i="17" s="1"/>
  <c r="K636" i="17"/>
  <c r="L636" i="17"/>
  <c r="M636" i="17" s="1"/>
  <c r="I637" i="17"/>
  <c r="N637" i="17" s="1" a="1"/>
  <c r="N637" i="17" s="1"/>
  <c r="J637" i="17"/>
  <c r="O637" i="17" s="1"/>
  <c r="K637" i="17"/>
  <c r="L637" i="17"/>
  <c r="M637" i="17" s="1"/>
  <c r="I638" i="17"/>
  <c r="N638" i="17" s="1" a="1"/>
  <c r="N638" i="17" s="1"/>
  <c r="J638" i="17"/>
  <c r="O638" i="17" s="1"/>
  <c r="K638" i="17"/>
  <c r="L638" i="17"/>
  <c r="M638" i="17" s="1"/>
  <c r="I639" i="17"/>
  <c r="N639" i="17" s="1" a="1"/>
  <c r="N639" i="17" s="1"/>
  <c r="J639" i="17"/>
  <c r="O639" i="17" s="1"/>
  <c r="K639" i="17"/>
  <c r="L639" i="17"/>
  <c r="M639" i="17" s="1"/>
  <c r="I640" i="17"/>
  <c r="N640" i="17" s="1" a="1"/>
  <c r="N640" i="17" s="1"/>
  <c r="J640" i="17"/>
  <c r="O640" i="17" s="1"/>
  <c r="K640" i="17"/>
  <c r="L640" i="17"/>
  <c r="M640" i="17" s="1"/>
  <c r="I641" i="17"/>
  <c r="N641" i="17" s="1" a="1"/>
  <c r="N641" i="17" s="1"/>
  <c r="J641" i="17"/>
  <c r="O641" i="17" s="1"/>
  <c r="K641" i="17"/>
  <c r="L641" i="17"/>
  <c r="M641" i="17" s="1"/>
  <c r="I642" i="17"/>
  <c r="N642" i="17" s="1" a="1"/>
  <c r="N642" i="17" s="1"/>
  <c r="J642" i="17"/>
  <c r="O642" i="17" s="1"/>
  <c r="K642" i="17"/>
  <c r="L642" i="17"/>
  <c r="M642" i="17" s="1"/>
  <c r="I643" i="17"/>
  <c r="N643" i="17" s="1" a="1"/>
  <c r="N643" i="17" s="1"/>
  <c r="J643" i="17"/>
  <c r="O643" i="17" s="1"/>
  <c r="K643" i="17"/>
  <c r="L643" i="17"/>
  <c r="M643" i="17" s="1"/>
  <c r="I644" i="17"/>
  <c r="N644" i="17" s="1" a="1"/>
  <c r="N644" i="17" s="1"/>
  <c r="J644" i="17"/>
  <c r="O644" i="17" s="1"/>
  <c r="K644" i="17"/>
  <c r="L644" i="17"/>
  <c r="M644" i="17" s="1"/>
  <c r="I645" i="17"/>
  <c r="N645" i="17" s="1" a="1"/>
  <c r="N645" i="17" s="1"/>
  <c r="J645" i="17"/>
  <c r="O645" i="17" s="1"/>
  <c r="K645" i="17"/>
  <c r="L645" i="17"/>
  <c r="M645" i="17" s="1"/>
  <c r="I646" i="17"/>
  <c r="N646" i="17" s="1" a="1"/>
  <c r="N646" i="17" s="1"/>
  <c r="J646" i="17"/>
  <c r="O646" i="17" s="1"/>
  <c r="K646" i="17"/>
  <c r="L646" i="17"/>
  <c r="M646" i="17" s="1"/>
  <c r="I647" i="17"/>
  <c r="N647" i="17" s="1" a="1"/>
  <c r="N647" i="17" s="1"/>
  <c r="J647" i="17"/>
  <c r="O647" i="17" s="1"/>
  <c r="K647" i="17"/>
  <c r="L647" i="17"/>
  <c r="M647" i="17" s="1"/>
  <c r="I648" i="17"/>
  <c r="N648" i="17" s="1" a="1"/>
  <c r="N648" i="17" s="1"/>
  <c r="J648" i="17"/>
  <c r="O648" i="17" s="1"/>
  <c r="K648" i="17"/>
  <c r="L648" i="17"/>
  <c r="M648" i="17" s="1"/>
  <c r="I649" i="17"/>
  <c r="N649" i="17" s="1" a="1"/>
  <c r="N649" i="17" s="1"/>
  <c r="J649" i="17"/>
  <c r="O649" i="17" s="1"/>
  <c r="K649" i="17"/>
  <c r="L649" i="17"/>
  <c r="M649" i="17" s="1"/>
  <c r="I650" i="17"/>
  <c r="N650" i="17" s="1" a="1"/>
  <c r="N650" i="17" s="1"/>
  <c r="J650" i="17"/>
  <c r="O650" i="17" s="1"/>
  <c r="K650" i="17"/>
  <c r="L650" i="17"/>
  <c r="M650" i="17" s="1"/>
  <c r="I651" i="17"/>
  <c r="N651" i="17" s="1" a="1"/>
  <c r="N651" i="17" s="1"/>
  <c r="J651" i="17"/>
  <c r="O651" i="17" s="1"/>
  <c r="K651" i="17"/>
  <c r="L651" i="17"/>
  <c r="M651" i="17" s="1"/>
  <c r="I652" i="17"/>
  <c r="N652" i="17" s="1" a="1"/>
  <c r="N652" i="17" s="1"/>
  <c r="J652" i="17"/>
  <c r="O652" i="17" s="1"/>
  <c r="K652" i="17"/>
  <c r="L652" i="17"/>
  <c r="M652" i="17" s="1"/>
  <c r="I653" i="17"/>
  <c r="N653" i="17" s="1" a="1"/>
  <c r="N653" i="17" s="1"/>
  <c r="J653" i="17"/>
  <c r="O653" i="17" s="1"/>
  <c r="K653" i="17"/>
  <c r="L653" i="17"/>
  <c r="M653" i="17" s="1"/>
  <c r="I654" i="17"/>
  <c r="N654" i="17" s="1" a="1"/>
  <c r="N654" i="17" s="1"/>
  <c r="J654" i="17"/>
  <c r="O654" i="17" s="1"/>
  <c r="K654" i="17"/>
  <c r="L654" i="17"/>
  <c r="M654" i="17" s="1"/>
  <c r="I655" i="17"/>
  <c r="N655" i="17" s="1" a="1"/>
  <c r="N655" i="17" s="1"/>
  <c r="J655" i="17"/>
  <c r="O655" i="17" s="1"/>
  <c r="K655" i="17"/>
  <c r="L655" i="17"/>
  <c r="M655" i="17" s="1"/>
  <c r="I656" i="17"/>
  <c r="N656" i="17" s="1" a="1"/>
  <c r="N656" i="17" s="1"/>
  <c r="J656" i="17"/>
  <c r="O656" i="17" s="1"/>
  <c r="K656" i="17"/>
  <c r="L656" i="17"/>
  <c r="M656" i="17" s="1"/>
  <c r="I657" i="17"/>
  <c r="N657" i="17" s="1" a="1"/>
  <c r="N657" i="17" s="1"/>
  <c r="J657" i="17"/>
  <c r="O657" i="17" s="1"/>
  <c r="K657" i="17"/>
  <c r="L657" i="17"/>
  <c r="M657" i="17" s="1"/>
  <c r="I658" i="17"/>
  <c r="N658" i="17" s="1" a="1"/>
  <c r="N658" i="17" s="1"/>
  <c r="J658" i="17"/>
  <c r="O658" i="17" s="1"/>
  <c r="K658" i="17"/>
  <c r="L658" i="17"/>
  <c r="M658" i="17" s="1"/>
  <c r="I659" i="17"/>
  <c r="N659" i="17" s="1" a="1"/>
  <c r="N659" i="17" s="1"/>
  <c r="J659" i="17"/>
  <c r="O659" i="17" s="1"/>
  <c r="K659" i="17"/>
  <c r="L659" i="17"/>
  <c r="M659" i="17" s="1"/>
  <c r="I660" i="17"/>
  <c r="N660" i="17" s="1" a="1"/>
  <c r="N660" i="17" s="1"/>
  <c r="J660" i="17"/>
  <c r="O660" i="17" s="1"/>
  <c r="K660" i="17"/>
  <c r="L660" i="17"/>
  <c r="M660" i="17" s="1"/>
  <c r="I661" i="17"/>
  <c r="N661" i="17" s="1" a="1"/>
  <c r="N661" i="17" s="1"/>
  <c r="J661" i="17"/>
  <c r="O661" i="17" s="1"/>
  <c r="K661" i="17"/>
  <c r="L661" i="17"/>
  <c r="M661" i="17" s="1"/>
  <c r="I662" i="17"/>
  <c r="N662" i="17" s="1" a="1"/>
  <c r="N662" i="17" s="1"/>
  <c r="J662" i="17"/>
  <c r="O662" i="17" s="1"/>
  <c r="K662" i="17"/>
  <c r="L662" i="17"/>
  <c r="M662" i="17" s="1"/>
  <c r="I663" i="17"/>
  <c r="N663" i="17" s="1" a="1"/>
  <c r="N663" i="17" s="1"/>
  <c r="J663" i="17"/>
  <c r="O663" i="17" s="1"/>
  <c r="K663" i="17"/>
  <c r="L663" i="17"/>
  <c r="M663" i="17" s="1"/>
  <c r="I664" i="17"/>
  <c r="N664" i="17" s="1" a="1"/>
  <c r="N664" i="17" s="1"/>
  <c r="J664" i="17"/>
  <c r="O664" i="17" s="1"/>
  <c r="K664" i="17"/>
  <c r="L664" i="17"/>
  <c r="M664" i="17" s="1"/>
  <c r="I665" i="17"/>
  <c r="N665" i="17" s="1" a="1"/>
  <c r="N665" i="17" s="1"/>
  <c r="J665" i="17"/>
  <c r="O665" i="17" s="1"/>
  <c r="K665" i="17"/>
  <c r="L665" i="17"/>
  <c r="M665" i="17" s="1"/>
  <c r="I666" i="17"/>
  <c r="N666" i="17" s="1" a="1"/>
  <c r="N666" i="17" s="1"/>
  <c r="J666" i="17"/>
  <c r="O666" i="17" s="1"/>
  <c r="K666" i="17"/>
  <c r="L666" i="17"/>
  <c r="M666" i="17" s="1"/>
  <c r="I667" i="17"/>
  <c r="N667" i="17" s="1" a="1"/>
  <c r="N667" i="17" s="1"/>
  <c r="J667" i="17"/>
  <c r="O667" i="17" s="1"/>
  <c r="K667" i="17"/>
  <c r="L667" i="17"/>
  <c r="M667" i="17" s="1"/>
  <c r="I668" i="17"/>
  <c r="N668" i="17" s="1" a="1"/>
  <c r="N668" i="17" s="1"/>
  <c r="J668" i="17"/>
  <c r="O668" i="17" s="1"/>
  <c r="K668" i="17"/>
  <c r="L668" i="17"/>
  <c r="M668" i="17" s="1"/>
  <c r="I669" i="17"/>
  <c r="N669" i="17" s="1" a="1"/>
  <c r="N669" i="17" s="1"/>
  <c r="J669" i="17"/>
  <c r="O669" i="17" s="1"/>
  <c r="K669" i="17"/>
  <c r="L669" i="17"/>
  <c r="M669" i="17" s="1"/>
  <c r="I670" i="17"/>
  <c r="N670" i="17" s="1" a="1"/>
  <c r="N670" i="17" s="1"/>
  <c r="J670" i="17"/>
  <c r="O670" i="17" s="1"/>
  <c r="K670" i="17"/>
  <c r="L670" i="17"/>
  <c r="M670" i="17" s="1"/>
  <c r="I671" i="17"/>
  <c r="N671" i="17" s="1" a="1"/>
  <c r="N671" i="17" s="1"/>
  <c r="J671" i="17"/>
  <c r="O671" i="17" s="1"/>
  <c r="K671" i="17"/>
  <c r="L671" i="17"/>
  <c r="M671" i="17" s="1"/>
  <c r="I672" i="17"/>
  <c r="N672" i="17" s="1" a="1"/>
  <c r="N672" i="17" s="1"/>
  <c r="J672" i="17"/>
  <c r="O672" i="17" s="1"/>
  <c r="K672" i="17"/>
  <c r="L672" i="17"/>
  <c r="M672" i="17" s="1"/>
  <c r="I673" i="17"/>
  <c r="N673" i="17" s="1" a="1"/>
  <c r="N673" i="17" s="1"/>
  <c r="J673" i="17"/>
  <c r="O673" i="17" s="1"/>
  <c r="K673" i="17"/>
  <c r="L673" i="17"/>
  <c r="M673" i="17" s="1"/>
  <c r="I674" i="17"/>
  <c r="N674" i="17" s="1" a="1"/>
  <c r="N674" i="17" s="1"/>
  <c r="J674" i="17"/>
  <c r="O674" i="17" s="1"/>
  <c r="K674" i="17"/>
  <c r="L674" i="17"/>
  <c r="M674" i="17" s="1"/>
  <c r="I675" i="17"/>
  <c r="N675" i="17" s="1" a="1"/>
  <c r="N675" i="17" s="1"/>
  <c r="J675" i="17"/>
  <c r="O675" i="17" s="1"/>
  <c r="K675" i="17"/>
  <c r="L675" i="17"/>
  <c r="M675" i="17" s="1"/>
  <c r="I676" i="17"/>
  <c r="N676" i="17" s="1" a="1"/>
  <c r="N676" i="17" s="1"/>
  <c r="J676" i="17"/>
  <c r="O676" i="17" s="1"/>
  <c r="K676" i="17"/>
  <c r="L676" i="17"/>
  <c r="M676" i="17" s="1"/>
  <c r="I677" i="17"/>
  <c r="N677" i="17" s="1" a="1"/>
  <c r="N677" i="17" s="1"/>
  <c r="J677" i="17"/>
  <c r="O677" i="17" s="1"/>
  <c r="K677" i="17"/>
  <c r="L677" i="17"/>
  <c r="M677" i="17" s="1"/>
  <c r="I678" i="17"/>
  <c r="N678" i="17" s="1" a="1"/>
  <c r="N678" i="17" s="1"/>
  <c r="J678" i="17"/>
  <c r="O678" i="17" s="1"/>
  <c r="K678" i="17"/>
  <c r="L678" i="17"/>
  <c r="M678" i="17" s="1"/>
  <c r="I679" i="17"/>
  <c r="N679" i="17" s="1" a="1"/>
  <c r="N679" i="17" s="1"/>
  <c r="J679" i="17"/>
  <c r="O679" i="17" s="1"/>
  <c r="K679" i="17"/>
  <c r="L679" i="17"/>
  <c r="M679" i="17" s="1"/>
  <c r="I680" i="17"/>
  <c r="N680" i="17" s="1" a="1"/>
  <c r="N680" i="17" s="1"/>
  <c r="J680" i="17"/>
  <c r="O680" i="17" s="1"/>
  <c r="K680" i="17"/>
  <c r="L680" i="17"/>
  <c r="M680" i="17" s="1"/>
  <c r="I681" i="17"/>
  <c r="N681" i="17" s="1" a="1"/>
  <c r="N681" i="17" s="1"/>
  <c r="J681" i="17"/>
  <c r="O681" i="17" s="1"/>
  <c r="K681" i="17"/>
  <c r="L681" i="17"/>
  <c r="M681" i="17" s="1"/>
  <c r="I682" i="17"/>
  <c r="N682" i="17" s="1" a="1"/>
  <c r="N682" i="17" s="1"/>
  <c r="J682" i="17"/>
  <c r="O682" i="17" s="1"/>
  <c r="K682" i="17"/>
  <c r="L682" i="17"/>
  <c r="M682" i="17" s="1"/>
  <c r="I683" i="17"/>
  <c r="N683" i="17" s="1" a="1"/>
  <c r="N683" i="17" s="1"/>
  <c r="J683" i="17"/>
  <c r="O683" i="17" s="1"/>
  <c r="K683" i="17"/>
  <c r="L683" i="17"/>
  <c r="M683" i="17" s="1"/>
  <c r="I684" i="17"/>
  <c r="N684" i="17" s="1" a="1"/>
  <c r="N684" i="17" s="1"/>
  <c r="J684" i="17"/>
  <c r="O684" i="17" s="1"/>
  <c r="K684" i="17"/>
  <c r="L684" i="17"/>
  <c r="M684" i="17" s="1"/>
  <c r="I685" i="17"/>
  <c r="N685" i="17" s="1" a="1"/>
  <c r="N685" i="17" s="1"/>
  <c r="J685" i="17"/>
  <c r="O685" i="17" s="1"/>
  <c r="K685" i="17"/>
  <c r="L685" i="17"/>
  <c r="M685" i="17" s="1"/>
  <c r="I686" i="17"/>
  <c r="N686" i="17" s="1" a="1"/>
  <c r="N686" i="17" s="1"/>
  <c r="J686" i="17"/>
  <c r="O686" i="17" s="1"/>
  <c r="K686" i="17"/>
  <c r="L686" i="17"/>
  <c r="M686" i="17" s="1"/>
  <c r="I687" i="17"/>
  <c r="N687" i="17" s="1" a="1"/>
  <c r="N687" i="17" s="1"/>
  <c r="J687" i="17"/>
  <c r="O687" i="17" s="1"/>
  <c r="K687" i="17"/>
  <c r="L687" i="17"/>
  <c r="M687" i="17" s="1"/>
  <c r="I688" i="17"/>
  <c r="N688" i="17" s="1" a="1"/>
  <c r="N688" i="17" s="1"/>
  <c r="J688" i="17"/>
  <c r="O688" i="17" s="1"/>
  <c r="K688" i="17"/>
  <c r="L688" i="17"/>
  <c r="M688" i="17" s="1"/>
  <c r="I689" i="17"/>
  <c r="N689" i="17" s="1" a="1"/>
  <c r="N689" i="17" s="1"/>
  <c r="J689" i="17"/>
  <c r="O689" i="17" s="1"/>
  <c r="K689" i="17"/>
  <c r="L689" i="17"/>
  <c r="M689" i="17" s="1"/>
  <c r="I690" i="17"/>
  <c r="N690" i="17" s="1" a="1"/>
  <c r="N690" i="17" s="1"/>
  <c r="J690" i="17"/>
  <c r="O690" i="17" s="1"/>
  <c r="K690" i="17"/>
  <c r="L690" i="17"/>
  <c r="M690" i="17" s="1"/>
  <c r="I691" i="17"/>
  <c r="N691" i="17" s="1" a="1"/>
  <c r="N691" i="17" s="1"/>
  <c r="J691" i="17"/>
  <c r="O691" i="17" s="1"/>
  <c r="K691" i="17"/>
  <c r="L691" i="17"/>
  <c r="M691" i="17" s="1"/>
  <c r="I692" i="17"/>
  <c r="N692" i="17" s="1" a="1"/>
  <c r="N692" i="17" s="1"/>
  <c r="J692" i="17"/>
  <c r="O692" i="17" s="1"/>
  <c r="K692" i="17"/>
  <c r="L692" i="17"/>
  <c r="M692" i="17" s="1"/>
  <c r="I693" i="17"/>
  <c r="N693" i="17" s="1" a="1"/>
  <c r="N693" i="17" s="1"/>
  <c r="J693" i="17"/>
  <c r="O693" i="17" s="1"/>
  <c r="K693" i="17"/>
  <c r="L693" i="17"/>
  <c r="M693" i="17" s="1"/>
  <c r="I694" i="17"/>
  <c r="N694" i="17" s="1" a="1"/>
  <c r="N694" i="17" s="1"/>
  <c r="J694" i="17"/>
  <c r="O694" i="17" s="1"/>
  <c r="K694" i="17"/>
  <c r="L694" i="17"/>
  <c r="M694" i="17" s="1"/>
  <c r="I695" i="17"/>
  <c r="N695" i="17" s="1" a="1"/>
  <c r="N695" i="17" s="1"/>
  <c r="J695" i="17"/>
  <c r="O695" i="17" s="1"/>
  <c r="K695" i="17"/>
  <c r="L695" i="17"/>
  <c r="M695" i="17" s="1"/>
  <c r="I696" i="17"/>
  <c r="N696" i="17" s="1" a="1"/>
  <c r="N696" i="17" s="1"/>
  <c r="J696" i="17"/>
  <c r="O696" i="17" s="1"/>
  <c r="K696" i="17"/>
  <c r="L696" i="17"/>
  <c r="M696" i="17" s="1"/>
  <c r="I697" i="17"/>
  <c r="N697" i="17" s="1" a="1"/>
  <c r="N697" i="17" s="1"/>
  <c r="J697" i="17"/>
  <c r="O697" i="17" s="1"/>
  <c r="K697" i="17"/>
  <c r="L697" i="17"/>
  <c r="M697" i="17" s="1"/>
  <c r="I698" i="17"/>
  <c r="N698" i="17" s="1" a="1"/>
  <c r="N698" i="17" s="1"/>
  <c r="J698" i="17"/>
  <c r="O698" i="17" s="1"/>
  <c r="K698" i="17"/>
  <c r="L698" i="17"/>
  <c r="M698" i="17" s="1"/>
  <c r="I699" i="17"/>
  <c r="N699" i="17" s="1" a="1"/>
  <c r="N699" i="17" s="1"/>
  <c r="J699" i="17"/>
  <c r="O699" i="17" s="1"/>
  <c r="K699" i="17"/>
  <c r="L699" i="17"/>
  <c r="M699" i="17" s="1"/>
  <c r="I700" i="17"/>
  <c r="N700" i="17" s="1" a="1"/>
  <c r="N700" i="17" s="1"/>
  <c r="J700" i="17"/>
  <c r="O700" i="17" s="1"/>
  <c r="K700" i="17"/>
  <c r="L700" i="17"/>
  <c r="M700" i="17" s="1"/>
  <c r="I701" i="17"/>
  <c r="N701" i="17" s="1" a="1"/>
  <c r="N701" i="17" s="1"/>
  <c r="J701" i="17"/>
  <c r="O701" i="17" s="1"/>
  <c r="K701" i="17"/>
  <c r="L701" i="17"/>
  <c r="M701" i="17" s="1"/>
  <c r="I702" i="17"/>
  <c r="N702" i="17" s="1" a="1"/>
  <c r="N702" i="17" s="1"/>
  <c r="J702" i="17"/>
  <c r="O702" i="17" s="1"/>
  <c r="K702" i="17"/>
  <c r="L702" i="17"/>
  <c r="M702" i="17" s="1"/>
  <c r="I703" i="17"/>
  <c r="N703" i="17" s="1" a="1"/>
  <c r="N703" i="17" s="1"/>
  <c r="J703" i="17"/>
  <c r="O703" i="17" s="1"/>
  <c r="K703" i="17"/>
  <c r="L703" i="17"/>
  <c r="M703" i="17" s="1"/>
  <c r="I704" i="17"/>
  <c r="N704" i="17" s="1" a="1"/>
  <c r="N704" i="17" s="1"/>
  <c r="J704" i="17"/>
  <c r="O704" i="17" s="1"/>
  <c r="K704" i="17"/>
  <c r="L704" i="17"/>
  <c r="M704" i="17" s="1"/>
  <c r="I705" i="17"/>
  <c r="N705" i="17" s="1" a="1"/>
  <c r="N705" i="17" s="1"/>
  <c r="J705" i="17"/>
  <c r="O705" i="17" s="1"/>
  <c r="K705" i="17"/>
  <c r="L705" i="17"/>
  <c r="M705" i="17" s="1"/>
  <c r="I706" i="17"/>
  <c r="N706" i="17" s="1" a="1"/>
  <c r="N706" i="17" s="1"/>
  <c r="J706" i="17"/>
  <c r="O706" i="17" s="1"/>
  <c r="K706" i="17"/>
  <c r="L706" i="17"/>
  <c r="M706" i="17" s="1"/>
  <c r="I707" i="17"/>
  <c r="N707" i="17" s="1" a="1"/>
  <c r="N707" i="17" s="1"/>
  <c r="J707" i="17"/>
  <c r="O707" i="17" s="1"/>
  <c r="K707" i="17"/>
  <c r="L707" i="17"/>
  <c r="M707" i="17" s="1"/>
  <c r="I708" i="17"/>
  <c r="N708" i="17" s="1" a="1"/>
  <c r="N708" i="17" s="1"/>
  <c r="J708" i="17"/>
  <c r="O708" i="17" s="1"/>
  <c r="K708" i="17"/>
  <c r="L708" i="17"/>
  <c r="M708" i="17" s="1"/>
  <c r="I709" i="17"/>
  <c r="N709" i="17" s="1" a="1"/>
  <c r="N709" i="17" s="1"/>
  <c r="J709" i="17"/>
  <c r="O709" i="17" s="1"/>
  <c r="K709" i="17"/>
  <c r="L709" i="17"/>
  <c r="M709" i="17" s="1"/>
  <c r="I710" i="17"/>
  <c r="N710" i="17" s="1" a="1"/>
  <c r="N710" i="17" s="1"/>
  <c r="J710" i="17"/>
  <c r="O710" i="17" s="1"/>
  <c r="K710" i="17"/>
  <c r="L710" i="17"/>
  <c r="M710" i="17" s="1"/>
  <c r="I711" i="17"/>
  <c r="N711" i="17" s="1" a="1"/>
  <c r="N711" i="17" s="1"/>
  <c r="J711" i="17"/>
  <c r="O711" i="17" s="1"/>
  <c r="K711" i="17"/>
  <c r="L711" i="17"/>
  <c r="M711" i="17" s="1"/>
  <c r="I712" i="17"/>
  <c r="N712" i="17" s="1" a="1"/>
  <c r="N712" i="17" s="1"/>
  <c r="J712" i="17"/>
  <c r="O712" i="17" s="1"/>
  <c r="K712" i="17"/>
  <c r="L712" i="17"/>
  <c r="M712" i="17" s="1"/>
  <c r="I713" i="17"/>
  <c r="N713" i="17" s="1" a="1"/>
  <c r="N713" i="17" s="1"/>
  <c r="J713" i="17"/>
  <c r="O713" i="17" s="1"/>
  <c r="K713" i="17"/>
  <c r="L713" i="17"/>
  <c r="M713" i="17" s="1"/>
  <c r="I714" i="17"/>
  <c r="N714" i="17" s="1" a="1"/>
  <c r="N714" i="17" s="1"/>
  <c r="J714" i="17"/>
  <c r="O714" i="17" s="1"/>
  <c r="K714" i="17"/>
  <c r="L714" i="17"/>
  <c r="M714" i="17" s="1"/>
  <c r="I715" i="17"/>
  <c r="N715" i="17" s="1" a="1"/>
  <c r="N715" i="17" s="1"/>
  <c r="J715" i="17"/>
  <c r="O715" i="17" s="1"/>
  <c r="K715" i="17"/>
  <c r="L715" i="17"/>
  <c r="M715" i="17" s="1"/>
  <c r="I716" i="17"/>
  <c r="N716" i="17" s="1" a="1"/>
  <c r="N716" i="17" s="1"/>
  <c r="J716" i="17"/>
  <c r="O716" i="17" s="1"/>
  <c r="K716" i="17"/>
  <c r="L716" i="17"/>
  <c r="M716" i="17" s="1"/>
  <c r="I717" i="17"/>
  <c r="N717" i="17" s="1" a="1"/>
  <c r="N717" i="17" s="1"/>
  <c r="J717" i="17"/>
  <c r="O717" i="17" s="1"/>
  <c r="K717" i="17"/>
  <c r="L717" i="17"/>
  <c r="M717" i="17" s="1"/>
  <c r="I718" i="17"/>
  <c r="N718" i="17" s="1" a="1"/>
  <c r="N718" i="17" s="1"/>
  <c r="J718" i="17"/>
  <c r="O718" i="17" s="1"/>
  <c r="K718" i="17"/>
  <c r="L718" i="17"/>
  <c r="M718" i="17" s="1"/>
  <c r="I719" i="17"/>
  <c r="N719" i="17" s="1" a="1"/>
  <c r="N719" i="17" s="1"/>
  <c r="J719" i="17"/>
  <c r="O719" i="17" s="1"/>
  <c r="K719" i="17"/>
  <c r="L719" i="17"/>
  <c r="M719" i="17" s="1"/>
  <c r="I720" i="17"/>
  <c r="N720" i="17" s="1" a="1"/>
  <c r="N720" i="17" s="1"/>
  <c r="J720" i="17"/>
  <c r="O720" i="17" s="1"/>
  <c r="K720" i="17"/>
  <c r="L720" i="17"/>
  <c r="M720" i="17" s="1"/>
  <c r="I721" i="17"/>
  <c r="N721" i="17" s="1" a="1"/>
  <c r="N721" i="17" s="1"/>
  <c r="J721" i="17"/>
  <c r="O721" i="17" s="1"/>
  <c r="K721" i="17"/>
  <c r="L721" i="17"/>
  <c r="M721" i="17" s="1"/>
  <c r="I722" i="17"/>
  <c r="N722" i="17" s="1" a="1"/>
  <c r="N722" i="17" s="1"/>
  <c r="J722" i="17"/>
  <c r="O722" i="17" s="1"/>
  <c r="K722" i="17"/>
  <c r="L722" i="17"/>
  <c r="M722" i="17" s="1"/>
  <c r="I723" i="17"/>
  <c r="N723" i="17" s="1" a="1"/>
  <c r="N723" i="17" s="1"/>
  <c r="J723" i="17"/>
  <c r="O723" i="17" s="1"/>
  <c r="K723" i="17"/>
  <c r="L723" i="17"/>
  <c r="M723" i="17" s="1"/>
  <c r="I724" i="17"/>
  <c r="N724" i="17" s="1" a="1"/>
  <c r="N724" i="17" s="1"/>
  <c r="J724" i="17"/>
  <c r="O724" i="17" s="1"/>
  <c r="K724" i="17"/>
  <c r="L724" i="17"/>
  <c r="M724" i="17" s="1"/>
  <c r="I725" i="17"/>
  <c r="N725" i="17" s="1" a="1"/>
  <c r="N725" i="17" s="1"/>
  <c r="J725" i="17"/>
  <c r="O725" i="17" s="1"/>
  <c r="K725" i="17"/>
  <c r="L725" i="17"/>
  <c r="M725" i="17" s="1"/>
  <c r="I726" i="17"/>
  <c r="N726" i="17" s="1" a="1"/>
  <c r="N726" i="17" s="1"/>
  <c r="J726" i="17"/>
  <c r="O726" i="17" s="1"/>
  <c r="K726" i="17"/>
  <c r="L726" i="17"/>
  <c r="M726" i="17" s="1"/>
  <c r="I727" i="17"/>
  <c r="N727" i="17" s="1" a="1"/>
  <c r="N727" i="17" s="1"/>
  <c r="J727" i="17"/>
  <c r="O727" i="17" s="1"/>
  <c r="K727" i="17"/>
  <c r="L727" i="17"/>
  <c r="M727" i="17" s="1"/>
  <c r="I728" i="17"/>
  <c r="N728" i="17" s="1" a="1"/>
  <c r="N728" i="17" s="1"/>
  <c r="J728" i="17"/>
  <c r="O728" i="17" s="1"/>
  <c r="K728" i="17"/>
  <c r="L728" i="17"/>
  <c r="M728" i="17" s="1"/>
  <c r="I729" i="17"/>
  <c r="N729" i="17" s="1" a="1"/>
  <c r="N729" i="17" s="1"/>
  <c r="J729" i="17"/>
  <c r="O729" i="17" s="1"/>
  <c r="K729" i="17"/>
  <c r="L729" i="17"/>
  <c r="M729" i="17" s="1"/>
  <c r="I730" i="17"/>
  <c r="N730" i="17" s="1" a="1"/>
  <c r="N730" i="17" s="1"/>
  <c r="J730" i="17"/>
  <c r="O730" i="17" s="1"/>
  <c r="K730" i="17"/>
  <c r="L730" i="17"/>
  <c r="M730" i="17" s="1"/>
  <c r="I731" i="17"/>
  <c r="N731" i="17" s="1" a="1"/>
  <c r="N731" i="17" s="1"/>
  <c r="J731" i="17"/>
  <c r="O731" i="17" s="1"/>
  <c r="K731" i="17"/>
  <c r="L731" i="17"/>
  <c r="M731" i="17" s="1"/>
  <c r="I732" i="17"/>
  <c r="N732" i="17" s="1" a="1"/>
  <c r="N732" i="17" s="1"/>
  <c r="J732" i="17"/>
  <c r="O732" i="17" s="1"/>
  <c r="K732" i="17"/>
  <c r="L732" i="17"/>
  <c r="M732" i="17" s="1"/>
  <c r="I733" i="17"/>
  <c r="N733" i="17" s="1" a="1"/>
  <c r="N733" i="17" s="1"/>
  <c r="J733" i="17"/>
  <c r="O733" i="17" s="1"/>
  <c r="K733" i="17"/>
  <c r="L733" i="17"/>
  <c r="M733" i="17" s="1"/>
  <c r="I734" i="17"/>
  <c r="N734" i="17" s="1" a="1"/>
  <c r="N734" i="17" s="1"/>
  <c r="J734" i="17"/>
  <c r="O734" i="17" s="1"/>
  <c r="K734" i="17"/>
  <c r="L734" i="17"/>
  <c r="M734" i="17" s="1"/>
  <c r="I735" i="17"/>
  <c r="N735" i="17" s="1" a="1"/>
  <c r="N735" i="17" s="1"/>
  <c r="J735" i="17"/>
  <c r="O735" i="17" s="1"/>
  <c r="K735" i="17"/>
  <c r="L735" i="17"/>
  <c r="M735" i="17" s="1"/>
  <c r="I736" i="17"/>
  <c r="N736" i="17" s="1" a="1"/>
  <c r="N736" i="17" s="1"/>
  <c r="J736" i="17"/>
  <c r="O736" i="17" s="1"/>
  <c r="K736" i="17"/>
  <c r="L736" i="17"/>
  <c r="M736" i="17" s="1"/>
  <c r="I737" i="17"/>
  <c r="N737" i="17" s="1" a="1"/>
  <c r="N737" i="17" s="1"/>
  <c r="J737" i="17"/>
  <c r="O737" i="17" s="1"/>
  <c r="K737" i="17"/>
  <c r="L737" i="17"/>
  <c r="M737" i="17" s="1"/>
  <c r="I738" i="17"/>
  <c r="N738" i="17" s="1" a="1"/>
  <c r="N738" i="17" s="1"/>
  <c r="J738" i="17"/>
  <c r="O738" i="17" s="1"/>
  <c r="K738" i="17"/>
  <c r="L738" i="17"/>
  <c r="M738" i="17" s="1"/>
  <c r="I739" i="17"/>
  <c r="N739" i="17" s="1" a="1"/>
  <c r="N739" i="17" s="1"/>
  <c r="J739" i="17"/>
  <c r="O739" i="17" s="1"/>
  <c r="K739" i="17"/>
  <c r="L739" i="17"/>
  <c r="M739" i="17" s="1"/>
  <c r="I740" i="17"/>
  <c r="N740" i="17" s="1" a="1"/>
  <c r="N740" i="17" s="1"/>
  <c r="J740" i="17"/>
  <c r="O740" i="17" s="1"/>
  <c r="K740" i="17"/>
  <c r="L740" i="17"/>
  <c r="M740" i="17" s="1"/>
  <c r="I741" i="17"/>
  <c r="N741" i="17" s="1" a="1"/>
  <c r="N741" i="17" s="1"/>
  <c r="J741" i="17"/>
  <c r="O741" i="17" s="1"/>
  <c r="K741" i="17"/>
  <c r="L741" i="17"/>
  <c r="M741" i="17" s="1"/>
  <c r="I742" i="17"/>
  <c r="N742" i="17" s="1" a="1"/>
  <c r="N742" i="17" s="1"/>
  <c r="J742" i="17"/>
  <c r="O742" i="17" s="1"/>
  <c r="K742" i="17"/>
  <c r="L742" i="17"/>
  <c r="M742" i="17" s="1"/>
  <c r="I743" i="17"/>
  <c r="N743" i="17" s="1" a="1"/>
  <c r="N743" i="17" s="1"/>
  <c r="J743" i="17"/>
  <c r="O743" i="17" s="1"/>
  <c r="K743" i="17"/>
  <c r="L743" i="17"/>
  <c r="M743" i="17" s="1"/>
  <c r="I744" i="17"/>
  <c r="N744" i="17" s="1" a="1"/>
  <c r="N744" i="17" s="1"/>
  <c r="J744" i="17"/>
  <c r="O744" i="17" s="1"/>
  <c r="K744" i="17"/>
  <c r="L744" i="17"/>
  <c r="M744" i="17" s="1"/>
  <c r="I745" i="17"/>
  <c r="N745" i="17" s="1" a="1"/>
  <c r="N745" i="17" s="1"/>
  <c r="J745" i="17"/>
  <c r="O745" i="17" s="1"/>
  <c r="K745" i="17"/>
  <c r="L745" i="17"/>
  <c r="M745" i="17" s="1"/>
  <c r="I746" i="17"/>
  <c r="N746" i="17" s="1" a="1"/>
  <c r="N746" i="17" s="1"/>
  <c r="J746" i="17"/>
  <c r="O746" i="17" s="1"/>
  <c r="K746" i="17"/>
  <c r="L746" i="17"/>
  <c r="M746" i="17" s="1"/>
  <c r="I747" i="17"/>
  <c r="N747" i="17" s="1" a="1"/>
  <c r="N747" i="17" s="1"/>
  <c r="J747" i="17"/>
  <c r="O747" i="17" s="1"/>
  <c r="K747" i="17"/>
  <c r="L747" i="17"/>
  <c r="M747" i="17" s="1"/>
  <c r="I748" i="17"/>
  <c r="N748" i="17" s="1" a="1"/>
  <c r="N748" i="17" s="1"/>
  <c r="J748" i="17"/>
  <c r="O748" i="17" s="1"/>
  <c r="K748" i="17"/>
  <c r="L748" i="17"/>
  <c r="M748" i="17" s="1"/>
  <c r="I749" i="17"/>
  <c r="N749" i="17" s="1" a="1"/>
  <c r="N749" i="17" s="1"/>
  <c r="J749" i="17"/>
  <c r="O749" i="17" s="1"/>
  <c r="K749" i="17"/>
  <c r="L749" i="17"/>
  <c r="M749" i="17" s="1"/>
  <c r="I750" i="17"/>
  <c r="N750" i="17" s="1" a="1"/>
  <c r="N750" i="17" s="1"/>
  <c r="J750" i="17"/>
  <c r="O750" i="17" s="1"/>
  <c r="K750" i="17"/>
  <c r="L750" i="17"/>
  <c r="M750" i="17" s="1"/>
  <c r="I751" i="17"/>
  <c r="N751" i="17" s="1" a="1"/>
  <c r="N751" i="17" s="1"/>
  <c r="J751" i="17"/>
  <c r="O751" i="17" s="1"/>
  <c r="K751" i="17"/>
  <c r="L751" i="17"/>
  <c r="M751" i="17" s="1"/>
  <c r="I752" i="17"/>
  <c r="N752" i="17" s="1" a="1"/>
  <c r="N752" i="17" s="1"/>
  <c r="J752" i="17"/>
  <c r="O752" i="17" s="1"/>
  <c r="K752" i="17"/>
  <c r="L752" i="17"/>
  <c r="M752" i="17" s="1"/>
  <c r="I753" i="17"/>
  <c r="N753" i="17" s="1" a="1"/>
  <c r="N753" i="17" s="1"/>
  <c r="J753" i="17"/>
  <c r="O753" i="17" s="1"/>
  <c r="K753" i="17"/>
  <c r="L753" i="17"/>
  <c r="M753" i="17" s="1"/>
  <c r="I754" i="17"/>
  <c r="N754" i="17" s="1" a="1"/>
  <c r="N754" i="17" s="1"/>
  <c r="J754" i="17"/>
  <c r="O754" i="17" s="1"/>
  <c r="K754" i="17"/>
  <c r="L754" i="17"/>
  <c r="M754" i="17" s="1"/>
  <c r="I755" i="17"/>
  <c r="N755" i="17" s="1" a="1"/>
  <c r="N755" i="17" s="1"/>
  <c r="J755" i="17"/>
  <c r="O755" i="17" s="1"/>
  <c r="K755" i="17"/>
  <c r="L755" i="17"/>
  <c r="M755" i="17" s="1"/>
  <c r="I756" i="17"/>
  <c r="N756" i="17" s="1" a="1"/>
  <c r="N756" i="17" s="1"/>
  <c r="J756" i="17"/>
  <c r="O756" i="17" s="1"/>
  <c r="K756" i="17"/>
  <c r="L756" i="17"/>
  <c r="M756" i="17" s="1"/>
  <c r="I757" i="17"/>
  <c r="N757" i="17" s="1" a="1"/>
  <c r="N757" i="17" s="1"/>
  <c r="J757" i="17"/>
  <c r="O757" i="17" s="1"/>
  <c r="K757" i="17"/>
  <c r="L757" i="17"/>
  <c r="M757" i="17" s="1"/>
  <c r="I758" i="17"/>
  <c r="N758" i="17" s="1" a="1"/>
  <c r="N758" i="17" s="1"/>
  <c r="J758" i="17"/>
  <c r="O758" i="17" s="1"/>
  <c r="K758" i="17"/>
  <c r="L758" i="17"/>
  <c r="M758" i="17" s="1"/>
  <c r="I759" i="17"/>
  <c r="N759" i="17" s="1" a="1"/>
  <c r="N759" i="17" s="1"/>
  <c r="J759" i="17"/>
  <c r="O759" i="17" s="1"/>
  <c r="K759" i="17"/>
  <c r="L759" i="17"/>
  <c r="M759" i="17" s="1"/>
  <c r="I760" i="17"/>
  <c r="N760" i="17" s="1" a="1"/>
  <c r="N760" i="17" s="1"/>
  <c r="J760" i="17"/>
  <c r="O760" i="17" s="1"/>
  <c r="K760" i="17"/>
  <c r="L760" i="17"/>
  <c r="M760" i="17" s="1"/>
  <c r="I761" i="17"/>
  <c r="N761" i="17" s="1" a="1"/>
  <c r="N761" i="17" s="1"/>
  <c r="J761" i="17"/>
  <c r="O761" i="17" s="1"/>
  <c r="K761" i="17"/>
  <c r="L761" i="17"/>
  <c r="M761" i="17" s="1"/>
  <c r="I762" i="17"/>
  <c r="N762" i="17" s="1" a="1"/>
  <c r="N762" i="17" s="1"/>
  <c r="J762" i="17"/>
  <c r="O762" i="17" s="1"/>
  <c r="K762" i="17"/>
  <c r="L762" i="17"/>
  <c r="M762" i="17" s="1"/>
  <c r="I763" i="17"/>
  <c r="N763" i="17" s="1" a="1"/>
  <c r="N763" i="17" s="1"/>
  <c r="J763" i="17"/>
  <c r="O763" i="17" s="1"/>
  <c r="K763" i="17"/>
  <c r="L763" i="17"/>
  <c r="M763" i="17" s="1"/>
  <c r="I764" i="17"/>
  <c r="N764" i="17" s="1" a="1"/>
  <c r="N764" i="17" s="1"/>
  <c r="J764" i="17"/>
  <c r="O764" i="17" s="1"/>
  <c r="K764" i="17"/>
  <c r="L764" i="17"/>
  <c r="M764" i="17" s="1"/>
  <c r="I765" i="17"/>
  <c r="N765" i="17" s="1" a="1"/>
  <c r="N765" i="17" s="1"/>
  <c r="J765" i="17"/>
  <c r="O765" i="17" s="1"/>
  <c r="K765" i="17"/>
  <c r="L765" i="17"/>
  <c r="M765" i="17" s="1"/>
  <c r="I766" i="17"/>
  <c r="N766" i="17" s="1" a="1"/>
  <c r="N766" i="17" s="1"/>
  <c r="J766" i="17"/>
  <c r="O766" i="17" s="1"/>
  <c r="K766" i="17"/>
  <c r="L766" i="17"/>
  <c r="M766" i="17" s="1"/>
  <c r="I767" i="17"/>
  <c r="N767" i="17" s="1" a="1"/>
  <c r="N767" i="17" s="1"/>
  <c r="J767" i="17"/>
  <c r="O767" i="17" s="1"/>
  <c r="K767" i="17"/>
  <c r="L767" i="17"/>
  <c r="M767" i="17" s="1"/>
  <c r="I768" i="17"/>
  <c r="N768" i="17" s="1" a="1"/>
  <c r="N768" i="17" s="1"/>
  <c r="J768" i="17"/>
  <c r="O768" i="17" s="1"/>
  <c r="K768" i="17"/>
  <c r="L768" i="17"/>
  <c r="M768" i="17" s="1"/>
  <c r="I769" i="17"/>
  <c r="N769" i="17" s="1" a="1"/>
  <c r="N769" i="17" s="1"/>
  <c r="J769" i="17"/>
  <c r="O769" i="17" s="1"/>
  <c r="K769" i="17"/>
  <c r="L769" i="17"/>
  <c r="M769" i="17" s="1"/>
  <c r="I770" i="17"/>
  <c r="N770" i="17" s="1" a="1"/>
  <c r="N770" i="17" s="1"/>
  <c r="J770" i="17"/>
  <c r="O770" i="17" s="1"/>
  <c r="K770" i="17"/>
  <c r="L770" i="17"/>
  <c r="M770" i="17" s="1"/>
  <c r="I771" i="17"/>
  <c r="N771" i="17" s="1" a="1"/>
  <c r="N771" i="17" s="1"/>
  <c r="J771" i="17"/>
  <c r="O771" i="17" s="1"/>
  <c r="K771" i="17"/>
  <c r="L771" i="17"/>
  <c r="M771" i="17" s="1"/>
  <c r="I772" i="17"/>
  <c r="N772" i="17" s="1" a="1"/>
  <c r="N772" i="17" s="1"/>
  <c r="J772" i="17"/>
  <c r="O772" i="17" s="1"/>
  <c r="K772" i="17"/>
  <c r="L772" i="17"/>
  <c r="M772" i="17" s="1"/>
  <c r="I773" i="17"/>
  <c r="N773" i="17" s="1" a="1"/>
  <c r="N773" i="17" s="1"/>
  <c r="J773" i="17"/>
  <c r="O773" i="17" s="1"/>
  <c r="K773" i="17"/>
  <c r="L773" i="17"/>
  <c r="M773" i="17" s="1"/>
  <c r="I774" i="17"/>
  <c r="N774" i="17" s="1" a="1"/>
  <c r="N774" i="17" s="1"/>
  <c r="J774" i="17"/>
  <c r="O774" i="17" s="1"/>
  <c r="K774" i="17"/>
  <c r="L774" i="17"/>
  <c r="M774" i="17" s="1"/>
  <c r="I775" i="17"/>
  <c r="N775" i="17" s="1" a="1"/>
  <c r="N775" i="17" s="1"/>
  <c r="J775" i="17"/>
  <c r="O775" i="17" s="1"/>
  <c r="K775" i="17"/>
  <c r="L775" i="17"/>
  <c r="M775" i="17" s="1"/>
  <c r="I776" i="17"/>
  <c r="N776" i="17" s="1" a="1"/>
  <c r="N776" i="17" s="1"/>
  <c r="J776" i="17"/>
  <c r="O776" i="17" s="1"/>
  <c r="K776" i="17"/>
  <c r="L776" i="17"/>
  <c r="M776" i="17" s="1"/>
  <c r="I777" i="17"/>
  <c r="N777" i="17" s="1" a="1"/>
  <c r="N777" i="17" s="1"/>
  <c r="J777" i="17"/>
  <c r="O777" i="17" s="1"/>
  <c r="K777" i="17"/>
  <c r="L777" i="17"/>
  <c r="M777" i="17" s="1"/>
  <c r="I778" i="17"/>
  <c r="N778" i="17" s="1" a="1"/>
  <c r="N778" i="17" s="1"/>
  <c r="J778" i="17"/>
  <c r="O778" i="17" s="1"/>
  <c r="K778" i="17"/>
  <c r="L778" i="17"/>
  <c r="M778" i="17" s="1"/>
  <c r="I779" i="17"/>
  <c r="N779" i="17" s="1" a="1"/>
  <c r="N779" i="17" s="1"/>
  <c r="J779" i="17"/>
  <c r="O779" i="17" s="1"/>
  <c r="K779" i="17"/>
  <c r="L779" i="17"/>
  <c r="M779" i="17" s="1"/>
  <c r="I780" i="17"/>
  <c r="N780" i="17" s="1" a="1"/>
  <c r="N780" i="17" s="1"/>
  <c r="J780" i="17"/>
  <c r="O780" i="17" s="1"/>
  <c r="K780" i="17"/>
  <c r="L780" i="17"/>
  <c r="M780" i="17" s="1"/>
  <c r="I781" i="17"/>
  <c r="N781" i="17" s="1" a="1"/>
  <c r="N781" i="17" s="1"/>
  <c r="J781" i="17"/>
  <c r="O781" i="17" s="1"/>
  <c r="K781" i="17"/>
  <c r="L781" i="17"/>
  <c r="M781" i="17" s="1"/>
  <c r="I782" i="17"/>
  <c r="N782" i="17" s="1" a="1"/>
  <c r="N782" i="17" s="1"/>
  <c r="J782" i="17"/>
  <c r="O782" i="17" s="1"/>
  <c r="K782" i="17"/>
  <c r="L782" i="17"/>
  <c r="M782" i="17" s="1"/>
  <c r="I783" i="17"/>
  <c r="N783" i="17" s="1" a="1"/>
  <c r="N783" i="17" s="1"/>
  <c r="J783" i="17"/>
  <c r="O783" i="17" s="1"/>
  <c r="K783" i="17"/>
  <c r="L783" i="17"/>
  <c r="M783" i="17" s="1"/>
  <c r="I784" i="17"/>
  <c r="N784" i="17" s="1" a="1"/>
  <c r="N784" i="17" s="1"/>
  <c r="J784" i="17"/>
  <c r="O784" i="17" s="1"/>
  <c r="K784" i="17"/>
  <c r="L784" i="17"/>
  <c r="M784" i="17" s="1"/>
  <c r="I785" i="17"/>
  <c r="N785" i="17" s="1" a="1"/>
  <c r="N785" i="17" s="1"/>
  <c r="J785" i="17"/>
  <c r="O785" i="17" s="1"/>
  <c r="K785" i="17"/>
  <c r="L785" i="17"/>
  <c r="M785" i="17" s="1"/>
  <c r="I786" i="17"/>
  <c r="N786" i="17" s="1" a="1"/>
  <c r="N786" i="17" s="1"/>
  <c r="J786" i="17"/>
  <c r="O786" i="17" s="1"/>
  <c r="K786" i="17"/>
  <c r="L786" i="17"/>
  <c r="M786" i="17" s="1"/>
  <c r="I787" i="17"/>
  <c r="N787" i="17" s="1" a="1"/>
  <c r="N787" i="17" s="1"/>
  <c r="J787" i="17"/>
  <c r="O787" i="17" s="1"/>
  <c r="K787" i="17"/>
  <c r="L787" i="17"/>
  <c r="M787" i="17" s="1"/>
  <c r="I788" i="17"/>
  <c r="N788" i="17" s="1" a="1"/>
  <c r="N788" i="17" s="1"/>
  <c r="J788" i="17"/>
  <c r="O788" i="17" s="1"/>
  <c r="K788" i="17"/>
  <c r="L788" i="17"/>
  <c r="M788" i="17" s="1"/>
  <c r="I789" i="17"/>
  <c r="N789" i="17" s="1" a="1"/>
  <c r="N789" i="17" s="1"/>
  <c r="J789" i="17"/>
  <c r="O789" i="17" s="1"/>
  <c r="K789" i="17"/>
  <c r="L789" i="17"/>
  <c r="M789" i="17" s="1"/>
  <c r="I790" i="17"/>
  <c r="N790" i="17" s="1" a="1"/>
  <c r="N790" i="17" s="1"/>
  <c r="J790" i="17"/>
  <c r="O790" i="17" s="1"/>
  <c r="K790" i="17"/>
  <c r="L790" i="17"/>
  <c r="M790" i="17" s="1"/>
  <c r="I791" i="17"/>
  <c r="N791" i="17" s="1" a="1"/>
  <c r="N791" i="17" s="1"/>
  <c r="J791" i="17"/>
  <c r="O791" i="17" s="1"/>
  <c r="K791" i="17"/>
  <c r="L791" i="17"/>
  <c r="M791" i="17" s="1"/>
  <c r="I792" i="17"/>
  <c r="N792" i="17" s="1" a="1"/>
  <c r="N792" i="17" s="1"/>
  <c r="J792" i="17"/>
  <c r="O792" i="17" s="1"/>
  <c r="K792" i="17"/>
  <c r="L792" i="17"/>
  <c r="M792" i="17" s="1"/>
  <c r="I793" i="17"/>
  <c r="N793" i="17" s="1" a="1"/>
  <c r="N793" i="17" s="1"/>
  <c r="J793" i="17"/>
  <c r="O793" i="17" s="1"/>
  <c r="K793" i="17"/>
  <c r="L793" i="17"/>
  <c r="M793" i="17" s="1"/>
  <c r="I794" i="17"/>
  <c r="N794" i="17" s="1" a="1"/>
  <c r="N794" i="17" s="1"/>
  <c r="J794" i="17"/>
  <c r="O794" i="17" s="1"/>
  <c r="K794" i="17"/>
  <c r="L794" i="17"/>
  <c r="M794" i="17" s="1"/>
  <c r="I795" i="17"/>
  <c r="N795" i="17" s="1" a="1"/>
  <c r="N795" i="17" s="1"/>
  <c r="J795" i="17"/>
  <c r="O795" i="17" s="1"/>
  <c r="K795" i="17"/>
  <c r="L795" i="17"/>
  <c r="M795" i="17" s="1"/>
  <c r="I796" i="17"/>
  <c r="N796" i="17" s="1" a="1"/>
  <c r="N796" i="17" s="1"/>
  <c r="J796" i="17"/>
  <c r="O796" i="17" s="1"/>
  <c r="K796" i="17"/>
  <c r="L796" i="17"/>
  <c r="M796" i="17" s="1"/>
  <c r="I797" i="17"/>
  <c r="N797" i="17" s="1" a="1"/>
  <c r="N797" i="17" s="1"/>
  <c r="J797" i="17"/>
  <c r="O797" i="17" s="1"/>
  <c r="K797" i="17"/>
  <c r="L797" i="17"/>
  <c r="M797" i="17" s="1"/>
  <c r="I798" i="17"/>
  <c r="N798" i="17" s="1" a="1"/>
  <c r="N798" i="17" s="1"/>
  <c r="J798" i="17"/>
  <c r="O798" i="17" s="1"/>
  <c r="K798" i="17"/>
  <c r="L798" i="17"/>
  <c r="M798" i="17" s="1"/>
  <c r="I799" i="17"/>
  <c r="N799" i="17" s="1" a="1"/>
  <c r="N799" i="17" s="1"/>
  <c r="J799" i="17"/>
  <c r="O799" i="17" s="1"/>
  <c r="K799" i="17"/>
  <c r="L799" i="17"/>
  <c r="M799" i="17" s="1"/>
  <c r="I800" i="17"/>
  <c r="N800" i="17" s="1" a="1"/>
  <c r="N800" i="17" s="1"/>
  <c r="J800" i="17"/>
  <c r="O800" i="17" s="1"/>
  <c r="K800" i="17"/>
  <c r="L800" i="17"/>
  <c r="M800" i="17" s="1"/>
  <c r="I801" i="17"/>
  <c r="N801" i="17" s="1" a="1"/>
  <c r="N801" i="17" s="1"/>
  <c r="J801" i="17"/>
  <c r="O801" i="17" s="1"/>
  <c r="K801" i="17"/>
  <c r="L801" i="17"/>
  <c r="M801" i="17" s="1"/>
  <c r="I802" i="17"/>
  <c r="N802" i="17" s="1" a="1"/>
  <c r="N802" i="17" s="1"/>
  <c r="J802" i="17"/>
  <c r="O802" i="17" s="1"/>
  <c r="K802" i="17"/>
  <c r="L802" i="17"/>
  <c r="M802" i="17" s="1"/>
  <c r="I803" i="17"/>
  <c r="N803" i="17" s="1" a="1"/>
  <c r="N803" i="17" s="1"/>
  <c r="J803" i="17"/>
  <c r="O803" i="17" s="1"/>
  <c r="K803" i="17"/>
  <c r="L803" i="17"/>
  <c r="M803" i="17" s="1"/>
  <c r="I804" i="17"/>
  <c r="N804" i="17" s="1" a="1"/>
  <c r="N804" i="17" s="1"/>
  <c r="J804" i="17"/>
  <c r="O804" i="17" s="1"/>
  <c r="K804" i="17"/>
  <c r="L804" i="17"/>
  <c r="M804" i="17" s="1"/>
  <c r="I805" i="17"/>
  <c r="N805" i="17" s="1" a="1"/>
  <c r="N805" i="17" s="1"/>
  <c r="J805" i="17"/>
  <c r="O805" i="17" s="1"/>
  <c r="K805" i="17"/>
  <c r="L805" i="17"/>
  <c r="M805" i="17" s="1"/>
  <c r="I806" i="17"/>
  <c r="N806" i="17" s="1" a="1"/>
  <c r="N806" i="17" s="1"/>
  <c r="J806" i="17"/>
  <c r="O806" i="17" s="1"/>
  <c r="K806" i="17"/>
  <c r="L806" i="17"/>
  <c r="M806" i="17" s="1"/>
  <c r="I807" i="17"/>
  <c r="N807" i="17" s="1" a="1"/>
  <c r="N807" i="17" s="1"/>
  <c r="J807" i="17"/>
  <c r="O807" i="17" s="1"/>
  <c r="K807" i="17"/>
  <c r="L807" i="17"/>
  <c r="M807" i="17" s="1"/>
  <c r="I808" i="17"/>
  <c r="N808" i="17" s="1" a="1"/>
  <c r="N808" i="17" s="1"/>
  <c r="J808" i="17"/>
  <c r="O808" i="17" s="1"/>
  <c r="K808" i="17"/>
  <c r="L808" i="17"/>
  <c r="M808" i="17" s="1"/>
  <c r="I809" i="17"/>
  <c r="N809" i="17" s="1" a="1"/>
  <c r="N809" i="17" s="1"/>
  <c r="J809" i="17"/>
  <c r="O809" i="17" s="1"/>
  <c r="K809" i="17"/>
  <c r="L809" i="17"/>
  <c r="M809" i="17" s="1"/>
  <c r="I810" i="17"/>
  <c r="N810" i="17" s="1" a="1"/>
  <c r="N810" i="17" s="1"/>
  <c r="J810" i="17"/>
  <c r="O810" i="17" s="1"/>
  <c r="K810" i="17"/>
  <c r="L810" i="17"/>
  <c r="M810" i="17" s="1"/>
  <c r="I811" i="17"/>
  <c r="N811" i="17" s="1" a="1"/>
  <c r="N811" i="17" s="1"/>
  <c r="J811" i="17"/>
  <c r="O811" i="17" s="1"/>
  <c r="K811" i="17"/>
  <c r="L811" i="17"/>
  <c r="M811" i="17" s="1"/>
  <c r="I812" i="17"/>
  <c r="N812" i="17" s="1" a="1"/>
  <c r="N812" i="17" s="1"/>
  <c r="J812" i="17"/>
  <c r="O812" i="17" s="1"/>
  <c r="K812" i="17"/>
  <c r="L812" i="17"/>
  <c r="M812" i="17" s="1"/>
  <c r="I813" i="17"/>
  <c r="N813" i="17" s="1" a="1"/>
  <c r="N813" i="17" s="1"/>
  <c r="J813" i="17"/>
  <c r="O813" i="17" s="1"/>
  <c r="K813" i="17"/>
  <c r="L813" i="17"/>
  <c r="M813" i="17" s="1"/>
  <c r="I814" i="17"/>
  <c r="N814" i="17" s="1" a="1"/>
  <c r="N814" i="17" s="1"/>
  <c r="J814" i="17"/>
  <c r="O814" i="17" s="1"/>
  <c r="K814" i="17"/>
  <c r="L814" i="17"/>
  <c r="M814" i="17" s="1"/>
  <c r="I815" i="17"/>
  <c r="N815" i="17" s="1" a="1"/>
  <c r="N815" i="17" s="1"/>
  <c r="J815" i="17"/>
  <c r="O815" i="17" s="1"/>
  <c r="K815" i="17"/>
  <c r="L815" i="17"/>
  <c r="M815" i="17" s="1"/>
  <c r="I816" i="17"/>
  <c r="N816" i="17" s="1" a="1"/>
  <c r="N816" i="17" s="1"/>
  <c r="J816" i="17"/>
  <c r="O816" i="17" s="1"/>
  <c r="K816" i="17"/>
  <c r="L816" i="17"/>
  <c r="M816" i="17" s="1"/>
  <c r="I817" i="17"/>
  <c r="N817" i="17" s="1" a="1"/>
  <c r="N817" i="17" s="1"/>
  <c r="J817" i="17"/>
  <c r="O817" i="17" s="1"/>
  <c r="K817" i="17"/>
  <c r="L817" i="17"/>
  <c r="M817" i="17" s="1"/>
  <c r="I818" i="17"/>
  <c r="N818" i="17" s="1" a="1"/>
  <c r="N818" i="17" s="1"/>
  <c r="J818" i="17"/>
  <c r="O818" i="17" s="1"/>
  <c r="K818" i="17"/>
  <c r="L818" i="17"/>
  <c r="M818" i="17" s="1"/>
  <c r="I819" i="17"/>
  <c r="N819" i="17" s="1" a="1"/>
  <c r="N819" i="17" s="1"/>
  <c r="J819" i="17"/>
  <c r="O819" i="17" s="1"/>
  <c r="K819" i="17"/>
  <c r="L819" i="17"/>
  <c r="M819" i="17" s="1"/>
  <c r="I820" i="17"/>
  <c r="N820" i="17" s="1" a="1"/>
  <c r="N820" i="17" s="1"/>
  <c r="J820" i="17"/>
  <c r="O820" i="17" s="1"/>
  <c r="K820" i="17"/>
  <c r="L820" i="17"/>
  <c r="M820" i="17" s="1"/>
  <c r="I821" i="17"/>
  <c r="N821" i="17" s="1" a="1"/>
  <c r="N821" i="17" s="1"/>
  <c r="J821" i="17"/>
  <c r="O821" i="17" s="1"/>
  <c r="K821" i="17"/>
  <c r="L821" i="17"/>
  <c r="M821" i="17" s="1"/>
  <c r="I822" i="17"/>
  <c r="N822" i="17" s="1" a="1"/>
  <c r="N822" i="17" s="1"/>
  <c r="J822" i="17"/>
  <c r="O822" i="17" s="1"/>
  <c r="K822" i="17"/>
  <c r="L822" i="17"/>
  <c r="M822" i="17" s="1"/>
  <c r="I823" i="17"/>
  <c r="N823" i="17" s="1" a="1"/>
  <c r="N823" i="17" s="1"/>
  <c r="J823" i="17"/>
  <c r="O823" i="17" s="1"/>
  <c r="K823" i="17"/>
  <c r="L823" i="17"/>
  <c r="M823" i="17" s="1"/>
  <c r="I824" i="17"/>
  <c r="N824" i="17" s="1" a="1"/>
  <c r="N824" i="17" s="1"/>
  <c r="J824" i="17"/>
  <c r="O824" i="17" s="1"/>
  <c r="K824" i="17"/>
  <c r="L824" i="17"/>
  <c r="M824" i="17" s="1"/>
  <c r="I825" i="17"/>
  <c r="N825" i="17" s="1" a="1"/>
  <c r="N825" i="17" s="1"/>
  <c r="J825" i="17"/>
  <c r="O825" i="17" s="1"/>
  <c r="K825" i="17"/>
  <c r="L825" i="17"/>
  <c r="M825" i="17" s="1"/>
  <c r="I826" i="17"/>
  <c r="N826" i="17" s="1" a="1"/>
  <c r="N826" i="17" s="1"/>
  <c r="J826" i="17"/>
  <c r="O826" i="17" s="1"/>
  <c r="K826" i="17"/>
  <c r="L826" i="17"/>
  <c r="M826" i="17" s="1"/>
  <c r="I827" i="17"/>
  <c r="N827" i="17" s="1" a="1"/>
  <c r="N827" i="17" s="1"/>
  <c r="J827" i="17"/>
  <c r="O827" i="17" s="1"/>
  <c r="K827" i="17"/>
  <c r="L827" i="17"/>
  <c r="M827" i="17" s="1"/>
  <c r="I828" i="17"/>
  <c r="N828" i="17" s="1" a="1"/>
  <c r="N828" i="17" s="1"/>
  <c r="J828" i="17"/>
  <c r="O828" i="17" s="1"/>
  <c r="K828" i="17"/>
  <c r="L828" i="17"/>
  <c r="M828" i="17" s="1"/>
  <c r="I829" i="17"/>
  <c r="N829" i="17" s="1" a="1"/>
  <c r="N829" i="17" s="1"/>
  <c r="J829" i="17"/>
  <c r="O829" i="17" s="1"/>
  <c r="K829" i="17"/>
  <c r="L829" i="17"/>
  <c r="M829" i="17" s="1"/>
  <c r="I830" i="17"/>
  <c r="N830" i="17" s="1" a="1"/>
  <c r="N830" i="17" s="1"/>
  <c r="J830" i="17"/>
  <c r="O830" i="17" s="1"/>
  <c r="K830" i="17"/>
  <c r="L830" i="17"/>
  <c r="M830" i="17" s="1"/>
  <c r="I831" i="17"/>
  <c r="N831" i="17" s="1" a="1"/>
  <c r="N831" i="17" s="1"/>
  <c r="J831" i="17"/>
  <c r="O831" i="17" s="1"/>
  <c r="K831" i="17"/>
  <c r="L831" i="17"/>
  <c r="M831" i="17" s="1"/>
  <c r="I832" i="17"/>
  <c r="N832" i="17" s="1" a="1"/>
  <c r="N832" i="17" s="1"/>
  <c r="J832" i="17"/>
  <c r="O832" i="17" s="1"/>
  <c r="K832" i="17"/>
  <c r="L832" i="17"/>
  <c r="M832" i="17" s="1"/>
  <c r="I833" i="17"/>
  <c r="N833" i="17" s="1" a="1"/>
  <c r="N833" i="17" s="1"/>
  <c r="J833" i="17"/>
  <c r="O833" i="17" s="1"/>
  <c r="K833" i="17"/>
  <c r="L833" i="17"/>
  <c r="M833" i="17" s="1"/>
  <c r="I834" i="17"/>
  <c r="N834" i="17" s="1" a="1"/>
  <c r="N834" i="17" s="1"/>
  <c r="J834" i="17"/>
  <c r="O834" i="17" s="1"/>
  <c r="K834" i="17"/>
  <c r="L834" i="17"/>
  <c r="M834" i="17" s="1"/>
  <c r="I835" i="17"/>
  <c r="N835" i="17" s="1" a="1"/>
  <c r="N835" i="17" s="1"/>
  <c r="J835" i="17"/>
  <c r="O835" i="17" s="1"/>
  <c r="K835" i="17"/>
  <c r="L835" i="17"/>
  <c r="M835" i="17" s="1"/>
  <c r="I836" i="17"/>
  <c r="N836" i="17" s="1" a="1"/>
  <c r="N836" i="17" s="1"/>
  <c r="J836" i="17"/>
  <c r="O836" i="17" s="1"/>
  <c r="K836" i="17"/>
  <c r="L836" i="17"/>
  <c r="M836" i="17" s="1"/>
  <c r="I837" i="17"/>
  <c r="N837" i="17" s="1" a="1"/>
  <c r="N837" i="17" s="1"/>
  <c r="J837" i="17"/>
  <c r="O837" i="17" s="1"/>
  <c r="K837" i="17"/>
  <c r="L837" i="17"/>
  <c r="M837" i="17" s="1"/>
  <c r="I838" i="17"/>
  <c r="N838" i="17" s="1" a="1"/>
  <c r="N838" i="17" s="1"/>
  <c r="J838" i="17"/>
  <c r="O838" i="17" s="1"/>
  <c r="K838" i="17"/>
  <c r="L838" i="17"/>
  <c r="M838" i="17" s="1"/>
  <c r="I839" i="17"/>
  <c r="N839" i="17" s="1" a="1"/>
  <c r="N839" i="17" s="1"/>
  <c r="J839" i="17"/>
  <c r="O839" i="17" s="1"/>
  <c r="K839" i="17"/>
  <c r="L839" i="17"/>
  <c r="M839" i="17" s="1"/>
  <c r="I840" i="17"/>
  <c r="N840" i="17" s="1" a="1"/>
  <c r="N840" i="17" s="1"/>
  <c r="J840" i="17"/>
  <c r="O840" i="17" s="1"/>
  <c r="K840" i="17"/>
  <c r="L840" i="17"/>
  <c r="M840" i="17" s="1"/>
  <c r="I841" i="17"/>
  <c r="N841" i="17" s="1" a="1"/>
  <c r="N841" i="17" s="1"/>
  <c r="J841" i="17"/>
  <c r="O841" i="17" s="1"/>
  <c r="K841" i="17"/>
  <c r="L841" i="17"/>
  <c r="M841" i="17" s="1"/>
  <c r="I842" i="17"/>
  <c r="N842" i="17" s="1" a="1"/>
  <c r="N842" i="17" s="1"/>
  <c r="J842" i="17"/>
  <c r="O842" i="17" s="1"/>
  <c r="K842" i="17"/>
  <c r="L842" i="17"/>
  <c r="M842" i="17" s="1"/>
  <c r="I843" i="17"/>
  <c r="N843" i="17" s="1" a="1"/>
  <c r="N843" i="17" s="1"/>
  <c r="J843" i="17"/>
  <c r="O843" i="17" s="1"/>
  <c r="K843" i="17"/>
  <c r="L843" i="17"/>
  <c r="M843" i="17" s="1"/>
  <c r="I844" i="17"/>
  <c r="N844" i="17" s="1" a="1"/>
  <c r="N844" i="17" s="1"/>
  <c r="J844" i="17"/>
  <c r="O844" i="17" s="1"/>
  <c r="K844" i="17"/>
  <c r="L844" i="17"/>
  <c r="M844" i="17" s="1"/>
  <c r="I845" i="17"/>
  <c r="N845" i="17" s="1" a="1"/>
  <c r="N845" i="17" s="1"/>
  <c r="J845" i="17"/>
  <c r="O845" i="17" s="1"/>
  <c r="K845" i="17"/>
  <c r="L845" i="17"/>
  <c r="M845" i="17" s="1"/>
  <c r="I846" i="17"/>
  <c r="N846" i="17" s="1" a="1"/>
  <c r="N846" i="17" s="1"/>
  <c r="J846" i="17"/>
  <c r="O846" i="17" s="1"/>
  <c r="K846" i="17"/>
  <c r="L846" i="17"/>
  <c r="M846" i="17" s="1"/>
  <c r="I847" i="17"/>
  <c r="N847" i="17" s="1" a="1"/>
  <c r="N847" i="17" s="1"/>
  <c r="J847" i="17"/>
  <c r="O847" i="17" s="1"/>
  <c r="K847" i="17"/>
  <c r="L847" i="17"/>
  <c r="M847" i="17" s="1"/>
  <c r="I848" i="17"/>
  <c r="N848" i="17" s="1" a="1"/>
  <c r="N848" i="17" s="1"/>
  <c r="J848" i="17"/>
  <c r="O848" i="17" s="1"/>
  <c r="K848" i="17"/>
  <c r="L848" i="17"/>
  <c r="M848" i="17" s="1"/>
  <c r="I849" i="17"/>
  <c r="N849" i="17" s="1" a="1"/>
  <c r="N849" i="17" s="1"/>
  <c r="J849" i="17"/>
  <c r="O849" i="17" s="1"/>
  <c r="K849" i="17"/>
  <c r="L849" i="17"/>
  <c r="M849" i="17" s="1"/>
  <c r="I850" i="17"/>
  <c r="N850" i="17" s="1" a="1"/>
  <c r="N850" i="17" s="1"/>
  <c r="J850" i="17"/>
  <c r="O850" i="17" s="1"/>
  <c r="K850" i="17"/>
  <c r="L850" i="17"/>
  <c r="M850" i="17" s="1"/>
  <c r="I851" i="17"/>
  <c r="N851" i="17" s="1" a="1"/>
  <c r="N851" i="17" s="1"/>
  <c r="J851" i="17"/>
  <c r="O851" i="17" s="1"/>
  <c r="K851" i="17"/>
  <c r="L851" i="17"/>
  <c r="M851" i="17" s="1"/>
  <c r="I852" i="17"/>
  <c r="N852" i="17" s="1" a="1"/>
  <c r="N852" i="17" s="1"/>
  <c r="J852" i="17"/>
  <c r="O852" i="17" s="1"/>
  <c r="K852" i="17"/>
  <c r="L852" i="17"/>
  <c r="M852" i="17" s="1"/>
  <c r="I853" i="17"/>
  <c r="N853" i="17" s="1" a="1"/>
  <c r="N853" i="17" s="1"/>
  <c r="J853" i="17"/>
  <c r="O853" i="17" s="1"/>
  <c r="K853" i="17"/>
  <c r="L853" i="17"/>
  <c r="M853" i="17" s="1"/>
  <c r="I854" i="17"/>
  <c r="N854" i="17" s="1" a="1"/>
  <c r="N854" i="17" s="1"/>
  <c r="J854" i="17"/>
  <c r="O854" i="17" s="1"/>
  <c r="K854" i="17"/>
  <c r="L854" i="17"/>
  <c r="M854" i="17" s="1"/>
  <c r="I855" i="17"/>
  <c r="N855" i="17" s="1" a="1"/>
  <c r="N855" i="17" s="1"/>
  <c r="J855" i="17"/>
  <c r="O855" i="17" s="1"/>
  <c r="K855" i="17"/>
  <c r="L855" i="17"/>
  <c r="M855" i="17" s="1"/>
  <c r="I856" i="17"/>
  <c r="N856" i="17" s="1" a="1"/>
  <c r="N856" i="17" s="1"/>
  <c r="J856" i="17"/>
  <c r="O856" i="17" s="1"/>
  <c r="K856" i="17"/>
  <c r="L856" i="17"/>
  <c r="M856" i="17" s="1"/>
  <c r="I857" i="17"/>
  <c r="N857" i="17" s="1" a="1"/>
  <c r="N857" i="17" s="1"/>
  <c r="J857" i="17"/>
  <c r="O857" i="17" s="1"/>
  <c r="K857" i="17"/>
  <c r="L857" i="17"/>
  <c r="M857" i="17" s="1"/>
  <c r="I858" i="17"/>
  <c r="N858" i="17" s="1" a="1"/>
  <c r="N858" i="17" s="1"/>
  <c r="J858" i="17"/>
  <c r="O858" i="17" s="1"/>
  <c r="K858" i="17"/>
  <c r="L858" i="17"/>
  <c r="M858" i="17" s="1"/>
  <c r="I859" i="17"/>
  <c r="N859" i="17" s="1" a="1"/>
  <c r="N859" i="17" s="1"/>
  <c r="J859" i="17"/>
  <c r="O859" i="17" s="1"/>
  <c r="K859" i="17"/>
  <c r="L859" i="17"/>
  <c r="M859" i="17" s="1"/>
  <c r="I860" i="17"/>
  <c r="N860" i="17" s="1" a="1"/>
  <c r="N860" i="17" s="1"/>
  <c r="J860" i="17"/>
  <c r="O860" i="17" s="1"/>
  <c r="K860" i="17"/>
  <c r="L860" i="17"/>
  <c r="M860" i="17" s="1"/>
  <c r="I861" i="17"/>
  <c r="N861" i="17" s="1" a="1"/>
  <c r="N861" i="17" s="1"/>
  <c r="J861" i="17"/>
  <c r="O861" i="17" s="1"/>
  <c r="K861" i="17"/>
  <c r="L861" i="17"/>
  <c r="M861" i="17" s="1"/>
  <c r="I862" i="17"/>
  <c r="N862" i="17" s="1" a="1"/>
  <c r="N862" i="17" s="1"/>
  <c r="J862" i="17"/>
  <c r="O862" i="17" s="1"/>
  <c r="K862" i="17"/>
  <c r="L862" i="17"/>
  <c r="M862" i="17" s="1"/>
  <c r="I863" i="17"/>
  <c r="N863" i="17" s="1" a="1"/>
  <c r="N863" i="17" s="1"/>
  <c r="J863" i="17"/>
  <c r="O863" i="17" s="1"/>
  <c r="K863" i="17"/>
  <c r="L863" i="17"/>
  <c r="M863" i="17" s="1"/>
  <c r="I864" i="17"/>
  <c r="N864" i="17" s="1" a="1"/>
  <c r="N864" i="17" s="1"/>
  <c r="J864" i="17"/>
  <c r="O864" i="17" s="1"/>
  <c r="K864" i="17"/>
  <c r="L864" i="17"/>
  <c r="M864" i="17" s="1"/>
  <c r="I865" i="17"/>
  <c r="N865" i="17" s="1" a="1"/>
  <c r="N865" i="17" s="1"/>
  <c r="J865" i="17"/>
  <c r="O865" i="17" s="1"/>
  <c r="K865" i="17"/>
  <c r="L865" i="17"/>
  <c r="M865" i="17" s="1"/>
  <c r="I866" i="17"/>
  <c r="N866" i="17" s="1" a="1"/>
  <c r="N866" i="17" s="1"/>
  <c r="J866" i="17"/>
  <c r="O866" i="17" s="1"/>
  <c r="K866" i="17"/>
  <c r="L866" i="17"/>
  <c r="M866" i="17" s="1"/>
  <c r="I867" i="17"/>
  <c r="N867" i="17" s="1" a="1"/>
  <c r="N867" i="17" s="1"/>
  <c r="J867" i="17"/>
  <c r="O867" i="17" s="1"/>
  <c r="K867" i="17"/>
  <c r="L867" i="17"/>
  <c r="M867" i="17" s="1"/>
  <c r="I868" i="17"/>
  <c r="N868" i="17" s="1" a="1"/>
  <c r="N868" i="17" s="1"/>
  <c r="J868" i="17"/>
  <c r="O868" i="17" s="1"/>
  <c r="K868" i="17"/>
  <c r="L868" i="17"/>
  <c r="M868" i="17" s="1"/>
  <c r="I869" i="17"/>
  <c r="N869" i="17" s="1" a="1"/>
  <c r="N869" i="17" s="1"/>
  <c r="J869" i="17"/>
  <c r="O869" i="17" s="1"/>
  <c r="K869" i="17"/>
  <c r="L869" i="17"/>
  <c r="M869" i="17" s="1"/>
  <c r="I870" i="17"/>
  <c r="N870" i="17" s="1" a="1"/>
  <c r="N870" i="17" s="1"/>
  <c r="J870" i="17"/>
  <c r="O870" i="17" s="1"/>
  <c r="K870" i="17"/>
  <c r="L870" i="17"/>
  <c r="M870" i="17" s="1"/>
  <c r="I871" i="17"/>
  <c r="N871" i="17" s="1" a="1"/>
  <c r="N871" i="17" s="1"/>
  <c r="J871" i="17"/>
  <c r="O871" i="17" s="1"/>
  <c r="K871" i="17"/>
  <c r="L871" i="17"/>
  <c r="M871" i="17" s="1"/>
  <c r="I872" i="17"/>
  <c r="N872" i="17" s="1" a="1"/>
  <c r="N872" i="17" s="1"/>
  <c r="J872" i="17"/>
  <c r="O872" i="17" s="1"/>
  <c r="K872" i="17"/>
  <c r="L872" i="17"/>
  <c r="M872" i="17" s="1"/>
  <c r="I873" i="17"/>
  <c r="N873" i="17" s="1" a="1"/>
  <c r="N873" i="17" s="1"/>
  <c r="J873" i="17"/>
  <c r="O873" i="17" s="1"/>
  <c r="K873" i="17"/>
  <c r="L873" i="17"/>
  <c r="M873" i="17" s="1"/>
  <c r="I874" i="17"/>
  <c r="N874" i="17" s="1" a="1"/>
  <c r="N874" i="17" s="1"/>
  <c r="J874" i="17"/>
  <c r="O874" i="17" s="1"/>
  <c r="K874" i="17"/>
  <c r="L874" i="17"/>
  <c r="M874" i="17" s="1"/>
  <c r="I875" i="17"/>
  <c r="N875" i="17" s="1" a="1"/>
  <c r="N875" i="17" s="1"/>
  <c r="J875" i="17"/>
  <c r="O875" i="17" s="1"/>
  <c r="K875" i="17"/>
  <c r="L875" i="17"/>
  <c r="M875" i="17" s="1"/>
  <c r="I876" i="17"/>
  <c r="N876" i="17" s="1" a="1"/>
  <c r="N876" i="17" s="1"/>
  <c r="J876" i="17"/>
  <c r="O876" i="17" s="1"/>
  <c r="K876" i="17"/>
  <c r="L876" i="17"/>
  <c r="M876" i="17" s="1"/>
  <c r="I877" i="17"/>
  <c r="N877" i="17" s="1" a="1"/>
  <c r="N877" i="17" s="1"/>
  <c r="J877" i="17"/>
  <c r="O877" i="17" s="1"/>
  <c r="K877" i="17"/>
  <c r="L877" i="17"/>
  <c r="M877" i="17" s="1"/>
  <c r="I878" i="17"/>
  <c r="N878" i="17" s="1" a="1"/>
  <c r="N878" i="17" s="1"/>
  <c r="J878" i="17"/>
  <c r="O878" i="17" s="1"/>
  <c r="K878" i="17"/>
  <c r="L878" i="17"/>
  <c r="M878" i="17" s="1"/>
  <c r="I879" i="17"/>
  <c r="N879" i="17" s="1" a="1"/>
  <c r="N879" i="17" s="1"/>
  <c r="J879" i="17"/>
  <c r="O879" i="17" s="1"/>
  <c r="K879" i="17"/>
  <c r="L879" i="17"/>
  <c r="M879" i="17" s="1"/>
  <c r="I880" i="17"/>
  <c r="N880" i="17" s="1" a="1"/>
  <c r="N880" i="17" s="1"/>
  <c r="J880" i="17"/>
  <c r="O880" i="17" s="1"/>
  <c r="K880" i="17"/>
  <c r="L880" i="17"/>
  <c r="M880" i="17" s="1"/>
  <c r="I881" i="17"/>
  <c r="N881" i="17" s="1" a="1"/>
  <c r="N881" i="17" s="1"/>
  <c r="J881" i="17"/>
  <c r="O881" i="17" s="1"/>
  <c r="K881" i="17"/>
  <c r="L881" i="17"/>
  <c r="M881" i="17" s="1"/>
  <c r="I882" i="17"/>
  <c r="N882" i="17" s="1" a="1"/>
  <c r="N882" i="17" s="1"/>
  <c r="J882" i="17"/>
  <c r="O882" i="17" s="1"/>
  <c r="K882" i="17"/>
  <c r="L882" i="17"/>
  <c r="M882" i="17" s="1"/>
  <c r="I883" i="17"/>
  <c r="N883" i="17" s="1" a="1"/>
  <c r="N883" i="17" s="1"/>
  <c r="J883" i="17"/>
  <c r="O883" i="17" s="1"/>
  <c r="K883" i="17"/>
  <c r="L883" i="17"/>
  <c r="M883" i="17" s="1"/>
  <c r="I884" i="17"/>
  <c r="N884" i="17" s="1" a="1"/>
  <c r="N884" i="17" s="1"/>
  <c r="J884" i="17"/>
  <c r="O884" i="17" s="1"/>
  <c r="K884" i="17"/>
  <c r="L884" i="17"/>
  <c r="M884" i="17" s="1"/>
  <c r="I885" i="17"/>
  <c r="N885" i="17" s="1" a="1"/>
  <c r="N885" i="17" s="1"/>
  <c r="J885" i="17"/>
  <c r="O885" i="17" s="1"/>
  <c r="K885" i="17"/>
  <c r="L885" i="17"/>
  <c r="M885" i="17" s="1"/>
  <c r="I886" i="17"/>
  <c r="N886" i="17" s="1" a="1"/>
  <c r="N886" i="17" s="1"/>
  <c r="J886" i="17"/>
  <c r="O886" i="17" s="1"/>
  <c r="K886" i="17"/>
  <c r="L886" i="17"/>
  <c r="M886" i="17" s="1"/>
  <c r="I887" i="17"/>
  <c r="N887" i="17" s="1" a="1"/>
  <c r="N887" i="17" s="1"/>
  <c r="J887" i="17"/>
  <c r="O887" i="17" s="1"/>
  <c r="K887" i="17"/>
  <c r="L887" i="17"/>
  <c r="M887" i="17" s="1"/>
  <c r="I888" i="17"/>
  <c r="N888" i="17" s="1" a="1"/>
  <c r="N888" i="17" s="1"/>
  <c r="J888" i="17"/>
  <c r="O888" i="17" s="1"/>
  <c r="K888" i="17"/>
  <c r="L888" i="17"/>
  <c r="M888" i="17" s="1"/>
  <c r="I889" i="17"/>
  <c r="N889" i="17" s="1" a="1"/>
  <c r="N889" i="17" s="1"/>
  <c r="J889" i="17"/>
  <c r="O889" i="17" s="1"/>
  <c r="K889" i="17"/>
  <c r="L889" i="17"/>
  <c r="M889" i="17" s="1"/>
  <c r="I890" i="17"/>
  <c r="N890" i="17" s="1" a="1"/>
  <c r="N890" i="17" s="1"/>
  <c r="J890" i="17"/>
  <c r="O890" i="17" s="1"/>
  <c r="K890" i="17"/>
  <c r="L890" i="17"/>
  <c r="M890" i="17" s="1"/>
  <c r="I891" i="17"/>
  <c r="N891" i="17" s="1" a="1"/>
  <c r="N891" i="17" s="1"/>
  <c r="J891" i="17"/>
  <c r="O891" i="17" s="1"/>
  <c r="K891" i="17"/>
  <c r="L891" i="17"/>
  <c r="M891" i="17" s="1"/>
  <c r="I892" i="17"/>
  <c r="N892" i="17" s="1" a="1"/>
  <c r="N892" i="17" s="1"/>
  <c r="J892" i="17"/>
  <c r="O892" i="17" s="1"/>
  <c r="K892" i="17"/>
  <c r="L892" i="17"/>
  <c r="M892" i="17" s="1"/>
  <c r="I893" i="17"/>
  <c r="N893" i="17" s="1" a="1"/>
  <c r="N893" i="17" s="1"/>
  <c r="J893" i="17"/>
  <c r="O893" i="17" s="1"/>
  <c r="K893" i="17"/>
  <c r="L893" i="17"/>
  <c r="M893" i="17" s="1"/>
  <c r="I894" i="17"/>
  <c r="N894" i="17" s="1" a="1"/>
  <c r="N894" i="17" s="1"/>
  <c r="J894" i="17"/>
  <c r="O894" i="17" s="1"/>
  <c r="K894" i="17"/>
  <c r="L894" i="17"/>
  <c r="M894" i="17" s="1"/>
  <c r="I895" i="17"/>
  <c r="N895" i="17" s="1" a="1"/>
  <c r="N895" i="17" s="1"/>
  <c r="J895" i="17"/>
  <c r="O895" i="17" s="1"/>
  <c r="K895" i="17"/>
  <c r="L895" i="17"/>
  <c r="M895" i="17" s="1"/>
  <c r="I896" i="17"/>
  <c r="N896" i="17" s="1" a="1"/>
  <c r="N896" i="17" s="1"/>
  <c r="J896" i="17"/>
  <c r="O896" i="17" s="1"/>
  <c r="K896" i="17"/>
  <c r="L896" i="17"/>
  <c r="M896" i="17" s="1"/>
  <c r="I897" i="17"/>
  <c r="N897" i="17" s="1" a="1"/>
  <c r="N897" i="17" s="1"/>
  <c r="J897" i="17"/>
  <c r="O897" i="17" s="1"/>
  <c r="K897" i="17"/>
  <c r="L897" i="17"/>
  <c r="M897" i="17" s="1"/>
  <c r="I898" i="17"/>
  <c r="N898" i="17" s="1" a="1"/>
  <c r="N898" i="17" s="1"/>
  <c r="J898" i="17"/>
  <c r="O898" i="17" s="1"/>
  <c r="K898" i="17"/>
  <c r="L898" i="17"/>
  <c r="M898" i="17" s="1"/>
  <c r="I899" i="17"/>
  <c r="N899" i="17" s="1" a="1"/>
  <c r="N899" i="17" s="1"/>
  <c r="J899" i="17"/>
  <c r="O899" i="17" s="1"/>
  <c r="K899" i="17"/>
  <c r="L899" i="17"/>
  <c r="M899" i="17" s="1"/>
  <c r="I900" i="17"/>
  <c r="N900" i="17" s="1" a="1"/>
  <c r="N900" i="17" s="1"/>
  <c r="J900" i="17"/>
  <c r="O900" i="17" s="1"/>
  <c r="K900" i="17"/>
  <c r="L900" i="17"/>
  <c r="M900" i="17" s="1"/>
  <c r="I901" i="17"/>
  <c r="N901" i="17" s="1" a="1"/>
  <c r="N901" i="17" s="1"/>
  <c r="J901" i="17"/>
  <c r="O901" i="17" s="1"/>
  <c r="K901" i="17"/>
  <c r="L901" i="17"/>
  <c r="M901" i="17" s="1"/>
  <c r="I902" i="17"/>
  <c r="N902" i="17" s="1" a="1"/>
  <c r="N902" i="17" s="1"/>
  <c r="J902" i="17"/>
  <c r="O902" i="17" s="1"/>
  <c r="K902" i="17"/>
  <c r="L902" i="17"/>
  <c r="M902" i="17" s="1"/>
  <c r="I903" i="17"/>
  <c r="N903" i="17" s="1" a="1"/>
  <c r="N903" i="17" s="1"/>
  <c r="J903" i="17"/>
  <c r="O903" i="17" s="1"/>
  <c r="K903" i="17"/>
  <c r="L903" i="17"/>
  <c r="M903" i="17" s="1"/>
  <c r="I904" i="17"/>
  <c r="N904" i="17" s="1" a="1"/>
  <c r="N904" i="17" s="1"/>
  <c r="J904" i="17"/>
  <c r="O904" i="17" s="1"/>
  <c r="K904" i="17"/>
  <c r="L904" i="17"/>
  <c r="M904" i="17" s="1"/>
  <c r="I905" i="17"/>
  <c r="N905" i="17" s="1" a="1"/>
  <c r="N905" i="17" s="1"/>
  <c r="J905" i="17"/>
  <c r="O905" i="17" s="1"/>
  <c r="K905" i="17"/>
  <c r="L905" i="17"/>
  <c r="M905" i="17" s="1"/>
  <c r="I906" i="17"/>
  <c r="N906" i="17" s="1" a="1"/>
  <c r="N906" i="17" s="1"/>
  <c r="J906" i="17"/>
  <c r="O906" i="17" s="1"/>
  <c r="K906" i="17"/>
  <c r="L906" i="17"/>
  <c r="M906" i="17" s="1"/>
  <c r="I907" i="17"/>
  <c r="N907" i="17" s="1" a="1"/>
  <c r="N907" i="17" s="1"/>
  <c r="J907" i="17"/>
  <c r="O907" i="17" s="1"/>
  <c r="K907" i="17"/>
  <c r="L907" i="17"/>
  <c r="M907" i="17" s="1"/>
  <c r="I908" i="17"/>
  <c r="N908" i="17" s="1" a="1"/>
  <c r="N908" i="17" s="1"/>
  <c r="J908" i="17"/>
  <c r="O908" i="17" s="1"/>
  <c r="K908" i="17"/>
  <c r="L908" i="17"/>
  <c r="M908" i="17" s="1"/>
  <c r="I909" i="17"/>
  <c r="N909" i="17" s="1" a="1"/>
  <c r="N909" i="17" s="1"/>
  <c r="J909" i="17"/>
  <c r="O909" i="17" s="1"/>
  <c r="K909" i="17"/>
  <c r="L909" i="17"/>
  <c r="M909" i="17" s="1"/>
  <c r="I910" i="17"/>
  <c r="N910" i="17" s="1" a="1"/>
  <c r="N910" i="17" s="1"/>
  <c r="J910" i="17"/>
  <c r="O910" i="17" s="1"/>
  <c r="K910" i="17"/>
  <c r="L910" i="17"/>
  <c r="M910" i="17" s="1"/>
  <c r="I911" i="17"/>
  <c r="N911" i="17" s="1" a="1"/>
  <c r="N911" i="17" s="1"/>
  <c r="J911" i="17"/>
  <c r="O911" i="17" s="1"/>
  <c r="K911" i="17"/>
  <c r="L911" i="17"/>
  <c r="M911" i="17" s="1"/>
  <c r="I912" i="17"/>
  <c r="N912" i="17" s="1" a="1"/>
  <c r="N912" i="17" s="1"/>
  <c r="J912" i="17"/>
  <c r="O912" i="17" s="1"/>
  <c r="K912" i="17"/>
  <c r="L912" i="17"/>
  <c r="M912" i="17" s="1"/>
  <c r="I913" i="17"/>
  <c r="N913" i="17" s="1" a="1"/>
  <c r="N913" i="17" s="1"/>
  <c r="J913" i="17"/>
  <c r="O913" i="17" s="1"/>
  <c r="K913" i="17"/>
  <c r="L913" i="17"/>
  <c r="M913" i="17" s="1"/>
  <c r="I914" i="17"/>
  <c r="N914" i="17" s="1" a="1"/>
  <c r="N914" i="17" s="1"/>
  <c r="J914" i="17"/>
  <c r="O914" i="17" s="1"/>
  <c r="K914" i="17"/>
  <c r="L914" i="17"/>
  <c r="M914" i="17" s="1"/>
  <c r="I915" i="17"/>
  <c r="N915" i="17" s="1" a="1"/>
  <c r="N915" i="17" s="1"/>
  <c r="J915" i="17"/>
  <c r="O915" i="17" s="1"/>
  <c r="K915" i="17"/>
  <c r="L915" i="17"/>
  <c r="M915" i="17" s="1"/>
  <c r="I916" i="17"/>
  <c r="N916" i="17" s="1" a="1"/>
  <c r="N916" i="17" s="1"/>
  <c r="J916" i="17"/>
  <c r="O916" i="17" s="1"/>
  <c r="K916" i="17"/>
  <c r="L916" i="17"/>
  <c r="M916" i="17" s="1"/>
  <c r="I917" i="17"/>
  <c r="N917" i="17" s="1" a="1"/>
  <c r="N917" i="17" s="1"/>
  <c r="J917" i="17"/>
  <c r="O917" i="17" s="1"/>
  <c r="K917" i="17"/>
  <c r="L917" i="17"/>
  <c r="M917" i="17" s="1"/>
  <c r="I918" i="17"/>
  <c r="N918" i="17" s="1" a="1"/>
  <c r="N918" i="17" s="1"/>
  <c r="J918" i="17"/>
  <c r="O918" i="17" s="1"/>
  <c r="K918" i="17"/>
  <c r="L918" i="17"/>
  <c r="M918" i="17" s="1"/>
  <c r="I919" i="17"/>
  <c r="N919" i="17" s="1" a="1"/>
  <c r="N919" i="17" s="1"/>
  <c r="J919" i="17"/>
  <c r="O919" i="17" s="1"/>
  <c r="K919" i="17"/>
  <c r="L919" i="17"/>
  <c r="M919" i="17" s="1"/>
  <c r="I920" i="17"/>
  <c r="N920" i="17" s="1" a="1"/>
  <c r="N920" i="17" s="1"/>
  <c r="J920" i="17"/>
  <c r="O920" i="17" s="1"/>
  <c r="K920" i="17"/>
  <c r="L920" i="17"/>
  <c r="M920" i="17" s="1"/>
  <c r="I921" i="17"/>
  <c r="N921" i="17" s="1" a="1"/>
  <c r="N921" i="17" s="1"/>
  <c r="J921" i="17"/>
  <c r="O921" i="17" s="1"/>
  <c r="K921" i="17"/>
  <c r="L921" i="17"/>
  <c r="M921" i="17" s="1"/>
  <c r="I922" i="17"/>
  <c r="N922" i="17" s="1" a="1"/>
  <c r="N922" i="17" s="1"/>
  <c r="J922" i="17"/>
  <c r="O922" i="17" s="1"/>
  <c r="K922" i="17"/>
  <c r="L922" i="17"/>
  <c r="M922" i="17" s="1"/>
  <c r="I923" i="17"/>
  <c r="N923" i="17" s="1" a="1"/>
  <c r="N923" i="17" s="1"/>
  <c r="J923" i="17"/>
  <c r="O923" i="17" s="1"/>
  <c r="K923" i="17"/>
  <c r="L923" i="17"/>
  <c r="M923" i="17" s="1"/>
  <c r="I924" i="17"/>
  <c r="N924" i="17" s="1" a="1"/>
  <c r="N924" i="17" s="1"/>
  <c r="J924" i="17"/>
  <c r="O924" i="17" s="1"/>
  <c r="K924" i="17"/>
  <c r="L924" i="17"/>
  <c r="M924" i="17" s="1"/>
  <c r="I925" i="17"/>
  <c r="N925" i="17" s="1" a="1"/>
  <c r="N925" i="17" s="1"/>
  <c r="J925" i="17"/>
  <c r="O925" i="17" s="1"/>
  <c r="K925" i="17"/>
  <c r="L925" i="17"/>
  <c r="M925" i="17" s="1"/>
  <c r="I926" i="17"/>
  <c r="N926" i="17" s="1" a="1"/>
  <c r="N926" i="17" s="1"/>
  <c r="J926" i="17"/>
  <c r="O926" i="17" s="1"/>
  <c r="K926" i="17"/>
  <c r="L926" i="17"/>
  <c r="M926" i="17" s="1"/>
  <c r="I927" i="17"/>
  <c r="N927" i="17" s="1" a="1"/>
  <c r="N927" i="17" s="1"/>
  <c r="J927" i="17"/>
  <c r="O927" i="17" s="1"/>
  <c r="K927" i="17"/>
  <c r="L927" i="17"/>
  <c r="M927" i="17" s="1"/>
  <c r="I928" i="17"/>
  <c r="N928" i="17" s="1" a="1"/>
  <c r="N928" i="17" s="1"/>
  <c r="J928" i="17"/>
  <c r="O928" i="17" s="1"/>
  <c r="K928" i="17"/>
  <c r="L928" i="17"/>
  <c r="M928" i="17" s="1"/>
  <c r="I929" i="17"/>
  <c r="N929" i="17" s="1" a="1"/>
  <c r="N929" i="17" s="1"/>
  <c r="J929" i="17"/>
  <c r="O929" i="17" s="1"/>
  <c r="K929" i="17"/>
  <c r="L929" i="17"/>
  <c r="M929" i="17" s="1"/>
  <c r="I930" i="17"/>
  <c r="N930" i="17" s="1" a="1"/>
  <c r="N930" i="17" s="1"/>
  <c r="J930" i="17"/>
  <c r="O930" i="17" s="1"/>
  <c r="K930" i="17"/>
  <c r="L930" i="17"/>
  <c r="M930" i="17" s="1"/>
  <c r="I931" i="17"/>
  <c r="N931" i="17" s="1" a="1"/>
  <c r="N931" i="17" s="1"/>
  <c r="J931" i="17"/>
  <c r="O931" i="17" s="1"/>
  <c r="K931" i="17"/>
  <c r="L931" i="17"/>
  <c r="M931" i="17" s="1"/>
  <c r="I932" i="17"/>
  <c r="N932" i="17" s="1" a="1"/>
  <c r="N932" i="17" s="1"/>
  <c r="J932" i="17"/>
  <c r="O932" i="17" s="1"/>
  <c r="K932" i="17"/>
  <c r="L932" i="17"/>
  <c r="M932" i="17" s="1"/>
  <c r="I933" i="17"/>
  <c r="N933" i="17" s="1" a="1"/>
  <c r="N933" i="17" s="1"/>
  <c r="J933" i="17"/>
  <c r="O933" i="17" s="1"/>
  <c r="K933" i="17"/>
  <c r="L933" i="17"/>
  <c r="M933" i="17" s="1"/>
  <c r="I934" i="17"/>
  <c r="N934" i="17" s="1" a="1"/>
  <c r="N934" i="17" s="1"/>
  <c r="J934" i="17"/>
  <c r="O934" i="17" s="1"/>
  <c r="K934" i="17"/>
  <c r="L934" i="17"/>
  <c r="M934" i="17" s="1"/>
  <c r="I935" i="17"/>
  <c r="N935" i="17" s="1" a="1"/>
  <c r="N935" i="17" s="1"/>
  <c r="J935" i="17"/>
  <c r="O935" i="17" s="1"/>
  <c r="K935" i="17"/>
  <c r="L935" i="17"/>
  <c r="M935" i="17" s="1"/>
  <c r="I936" i="17"/>
  <c r="N936" i="17" s="1" a="1"/>
  <c r="N936" i="17" s="1"/>
  <c r="J936" i="17"/>
  <c r="O936" i="17" s="1"/>
  <c r="K936" i="17"/>
  <c r="L936" i="17"/>
  <c r="M936" i="17" s="1"/>
  <c r="I937" i="17"/>
  <c r="N937" i="17" s="1" a="1"/>
  <c r="N937" i="17" s="1"/>
  <c r="J937" i="17"/>
  <c r="O937" i="17" s="1"/>
  <c r="K937" i="17"/>
  <c r="L937" i="17"/>
  <c r="M937" i="17" s="1"/>
  <c r="I938" i="17"/>
  <c r="N938" i="17" s="1" a="1"/>
  <c r="N938" i="17" s="1"/>
  <c r="J938" i="17"/>
  <c r="O938" i="17" s="1"/>
  <c r="K938" i="17"/>
  <c r="L938" i="17"/>
  <c r="M938" i="17" s="1"/>
  <c r="I939" i="17"/>
  <c r="N939" i="17" s="1" a="1"/>
  <c r="N939" i="17" s="1"/>
  <c r="J939" i="17"/>
  <c r="O939" i="17" s="1"/>
  <c r="K939" i="17"/>
  <c r="L939" i="17"/>
  <c r="M939" i="17" s="1"/>
  <c r="I940" i="17"/>
  <c r="N940" i="17" s="1" a="1"/>
  <c r="N940" i="17" s="1"/>
  <c r="J940" i="17"/>
  <c r="O940" i="17" s="1"/>
  <c r="K940" i="17"/>
  <c r="L940" i="17"/>
  <c r="M940" i="17" s="1"/>
  <c r="I941" i="17"/>
  <c r="N941" i="17" s="1" a="1"/>
  <c r="N941" i="17" s="1"/>
  <c r="J941" i="17"/>
  <c r="O941" i="17" s="1"/>
  <c r="K941" i="17"/>
  <c r="L941" i="17"/>
  <c r="M941" i="17" s="1"/>
  <c r="I942" i="17"/>
  <c r="N942" i="17" s="1" a="1"/>
  <c r="N942" i="17" s="1"/>
  <c r="J942" i="17"/>
  <c r="O942" i="17" s="1"/>
  <c r="K942" i="17"/>
  <c r="L942" i="17"/>
  <c r="M942" i="17" s="1"/>
  <c r="I943" i="17"/>
  <c r="N943" i="17" s="1" a="1"/>
  <c r="N943" i="17" s="1"/>
  <c r="J943" i="17"/>
  <c r="O943" i="17" s="1"/>
  <c r="K943" i="17"/>
  <c r="L943" i="17"/>
  <c r="M943" i="17" s="1"/>
  <c r="I944" i="17"/>
  <c r="N944" i="17" s="1" a="1"/>
  <c r="N944" i="17" s="1"/>
  <c r="J944" i="17"/>
  <c r="O944" i="17" s="1"/>
  <c r="K944" i="17"/>
  <c r="L944" i="17"/>
  <c r="M944" i="17" s="1"/>
  <c r="I945" i="17"/>
  <c r="N945" i="17" s="1" a="1"/>
  <c r="N945" i="17" s="1"/>
  <c r="J945" i="17"/>
  <c r="O945" i="17" s="1"/>
  <c r="K945" i="17"/>
  <c r="L945" i="17"/>
  <c r="M945" i="17" s="1"/>
  <c r="I946" i="17"/>
  <c r="N946" i="17" s="1" a="1"/>
  <c r="N946" i="17" s="1"/>
  <c r="J946" i="17"/>
  <c r="O946" i="17" s="1"/>
  <c r="K946" i="17"/>
  <c r="L946" i="17"/>
  <c r="M946" i="17" s="1"/>
  <c r="I947" i="17"/>
  <c r="N947" i="17" s="1" a="1"/>
  <c r="N947" i="17" s="1"/>
  <c r="J947" i="17"/>
  <c r="O947" i="17" s="1"/>
  <c r="K947" i="17"/>
  <c r="L947" i="17"/>
  <c r="M947" i="17" s="1"/>
  <c r="I948" i="17"/>
  <c r="N948" i="17" s="1" a="1"/>
  <c r="N948" i="17" s="1"/>
  <c r="J948" i="17"/>
  <c r="O948" i="17" s="1"/>
  <c r="K948" i="17"/>
  <c r="L948" i="17"/>
  <c r="M948" i="17" s="1"/>
  <c r="I949" i="17"/>
  <c r="N949" i="17" s="1" a="1"/>
  <c r="N949" i="17" s="1"/>
  <c r="J949" i="17"/>
  <c r="O949" i="17" s="1"/>
  <c r="K949" i="17"/>
  <c r="L949" i="17"/>
  <c r="M949" i="17" s="1"/>
  <c r="I950" i="17"/>
  <c r="N950" i="17" s="1" a="1"/>
  <c r="N950" i="17" s="1"/>
  <c r="J950" i="17"/>
  <c r="O950" i="17" s="1"/>
  <c r="K950" i="17"/>
  <c r="L950" i="17"/>
  <c r="M950" i="17" s="1"/>
  <c r="I951" i="17"/>
  <c r="N951" i="17" s="1" a="1"/>
  <c r="N951" i="17" s="1"/>
  <c r="J951" i="17"/>
  <c r="O951" i="17" s="1"/>
  <c r="K951" i="17"/>
  <c r="L951" i="17"/>
  <c r="M951" i="17" s="1"/>
  <c r="I952" i="17"/>
  <c r="N952" i="17" s="1" a="1"/>
  <c r="N952" i="17" s="1"/>
  <c r="J952" i="17"/>
  <c r="O952" i="17" s="1"/>
  <c r="K952" i="17"/>
  <c r="L952" i="17"/>
  <c r="M952" i="17" s="1"/>
  <c r="I953" i="17"/>
  <c r="N953" i="17" s="1" a="1"/>
  <c r="N953" i="17" s="1"/>
  <c r="J953" i="17"/>
  <c r="O953" i="17" s="1"/>
  <c r="K953" i="17"/>
  <c r="L953" i="17"/>
  <c r="M953" i="17" s="1"/>
  <c r="I954" i="17"/>
  <c r="N954" i="17" s="1" a="1"/>
  <c r="N954" i="17" s="1"/>
  <c r="J954" i="17"/>
  <c r="O954" i="17" s="1"/>
  <c r="K954" i="17"/>
  <c r="L954" i="17"/>
  <c r="M954" i="17" s="1"/>
  <c r="I955" i="17"/>
  <c r="N955" i="17" s="1" a="1"/>
  <c r="N955" i="17" s="1"/>
  <c r="J955" i="17"/>
  <c r="O955" i="17" s="1"/>
  <c r="K955" i="17"/>
  <c r="L955" i="17"/>
  <c r="M955" i="17" s="1"/>
  <c r="I956" i="17"/>
  <c r="N956" i="17" s="1" a="1"/>
  <c r="N956" i="17" s="1"/>
  <c r="J956" i="17"/>
  <c r="O956" i="17" s="1"/>
  <c r="K956" i="17"/>
  <c r="L956" i="17"/>
  <c r="M956" i="17" s="1"/>
  <c r="I957" i="17"/>
  <c r="N957" i="17" s="1" a="1"/>
  <c r="N957" i="17" s="1"/>
  <c r="J957" i="17"/>
  <c r="O957" i="17" s="1"/>
  <c r="K957" i="17"/>
  <c r="L957" i="17"/>
  <c r="M957" i="17" s="1"/>
  <c r="I958" i="17"/>
  <c r="N958" i="17" s="1" a="1"/>
  <c r="N958" i="17" s="1"/>
  <c r="J958" i="17"/>
  <c r="O958" i="17" s="1"/>
  <c r="K958" i="17"/>
  <c r="L958" i="17"/>
  <c r="M958" i="17" s="1"/>
  <c r="I959" i="17"/>
  <c r="N959" i="17" s="1" a="1"/>
  <c r="N959" i="17" s="1"/>
  <c r="J959" i="17"/>
  <c r="O959" i="17" s="1"/>
  <c r="K959" i="17"/>
  <c r="L959" i="17"/>
  <c r="M959" i="17" s="1"/>
  <c r="I960" i="17"/>
  <c r="N960" i="17" s="1" a="1"/>
  <c r="N960" i="17" s="1"/>
  <c r="J960" i="17"/>
  <c r="O960" i="17" s="1"/>
  <c r="K960" i="17"/>
  <c r="L960" i="17"/>
  <c r="M960" i="17" s="1"/>
  <c r="I961" i="17"/>
  <c r="N961" i="17" s="1" a="1"/>
  <c r="N961" i="17" s="1"/>
  <c r="J961" i="17"/>
  <c r="O961" i="17" s="1"/>
  <c r="K961" i="17"/>
  <c r="L961" i="17"/>
  <c r="M961" i="17" s="1"/>
  <c r="I962" i="17"/>
  <c r="N962" i="17" s="1" a="1"/>
  <c r="N962" i="17" s="1"/>
  <c r="J962" i="17"/>
  <c r="O962" i="17" s="1"/>
  <c r="K962" i="17"/>
  <c r="L962" i="17"/>
  <c r="M962" i="17" s="1"/>
  <c r="I963" i="17"/>
  <c r="N963" i="17" s="1" a="1"/>
  <c r="N963" i="17" s="1"/>
  <c r="J963" i="17"/>
  <c r="O963" i="17" s="1"/>
  <c r="K963" i="17"/>
  <c r="L963" i="17"/>
  <c r="M963" i="17" s="1"/>
  <c r="I964" i="17"/>
  <c r="N964" i="17" s="1" a="1"/>
  <c r="N964" i="17" s="1"/>
  <c r="J964" i="17"/>
  <c r="O964" i="17" s="1"/>
  <c r="K964" i="17"/>
  <c r="L964" i="17"/>
  <c r="M964" i="17" s="1"/>
  <c r="I965" i="17"/>
  <c r="N965" i="17" s="1" a="1"/>
  <c r="N965" i="17" s="1"/>
  <c r="J965" i="17"/>
  <c r="O965" i="17" s="1"/>
  <c r="K965" i="17"/>
  <c r="L965" i="17"/>
  <c r="M965" i="17" s="1"/>
  <c r="I966" i="17"/>
  <c r="N966" i="17" s="1" a="1"/>
  <c r="N966" i="17" s="1"/>
  <c r="J966" i="17"/>
  <c r="O966" i="17" s="1"/>
  <c r="K966" i="17"/>
  <c r="L966" i="17"/>
  <c r="M966" i="17" s="1"/>
  <c r="I967" i="17"/>
  <c r="N967" i="17" s="1" a="1"/>
  <c r="N967" i="17" s="1"/>
  <c r="J967" i="17"/>
  <c r="O967" i="17" s="1"/>
  <c r="K967" i="17"/>
  <c r="L967" i="17"/>
  <c r="M967" i="17" s="1"/>
  <c r="I968" i="17"/>
  <c r="N968" i="17" s="1" a="1"/>
  <c r="N968" i="17" s="1"/>
  <c r="J968" i="17"/>
  <c r="O968" i="17" s="1"/>
  <c r="K968" i="17"/>
  <c r="L968" i="17"/>
  <c r="M968" i="17" s="1"/>
  <c r="I969" i="17"/>
  <c r="N969" i="17" s="1" a="1"/>
  <c r="N969" i="17" s="1"/>
  <c r="J969" i="17"/>
  <c r="O969" i="17" s="1"/>
  <c r="K969" i="17"/>
  <c r="L969" i="17"/>
  <c r="M969" i="17" s="1"/>
  <c r="I970" i="17"/>
  <c r="N970" i="17" s="1" a="1"/>
  <c r="N970" i="17" s="1"/>
  <c r="J970" i="17"/>
  <c r="O970" i="17" s="1"/>
  <c r="K970" i="17"/>
  <c r="L970" i="17"/>
  <c r="M970" i="17" s="1"/>
  <c r="I971" i="17"/>
  <c r="N971" i="17" s="1" a="1"/>
  <c r="N971" i="17" s="1"/>
  <c r="J971" i="17"/>
  <c r="O971" i="17" s="1"/>
  <c r="K971" i="17"/>
  <c r="L971" i="17"/>
  <c r="M971" i="17" s="1"/>
  <c r="I972" i="17"/>
  <c r="N972" i="17" s="1" a="1"/>
  <c r="N972" i="17" s="1"/>
  <c r="J972" i="17"/>
  <c r="O972" i="17" s="1"/>
  <c r="K972" i="17"/>
  <c r="L972" i="17"/>
  <c r="M972" i="17" s="1"/>
  <c r="I973" i="17"/>
  <c r="N973" i="17" s="1" a="1"/>
  <c r="N973" i="17" s="1"/>
  <c r="J973" i="17"/>
  <c r="O973" i="17" s="1"/>
  <c r="K973" i="17"/>
  <c r="L973" i="17"/>
  <c r="M973" i="17" s="1"/>
  <c r="I974" i="17"/>
  <c r="N974" i="17" s="1" a="1"/>
  <c r="N974" i="17" s="1"/>
  <c r="J974" i="17"/>
  <c r="O974" i="17" s="1"/>
  <c r="K974" i="17"/>
  <c r="L974" i="17"/>
  <c r="M974" i="17" s="1"/>
  <c r="I975" i="17"/>
  <c r="N975" i="17" s="1" a="1"/>
  <c r="N975" i="17" s="1"/>
  <c r="J975" i="17"/>
  <c r="O975" i="17" s="1"/>
  <c r="K975" i="17"/>
  <c r="L975" i="17"/>
  <c r="M975" i="17" s="1"/>
  <c r="I976" i="17"/>
  <c r="N976" i="17" s="1" a="1"/>
  <c r="N976" i="17" s="1"/>
  <c r="J976" i="17"/>
  <c r="O976" i="17" s="1"/>
  <c r="K976" i="17"/>
  <c r="L976" i="17"/>
  <c r="M976" i="17" s="1"/>
  <c r="I977" i="17"/>
  <c r="N977" i="17" s="1" a="1"/>
  <c r="N977" i="17" s="1"/>
  <c r="J977" i="17"/>
  <c r="O977" i="17" s="1"/>
  <c r="K977" i="17"/>
  <c r="L977" i="17"/>
  <c r="M977" i="17" s="1"/>
  <c r="I978" i="17"/>
  <c r="N978" i="17" s="1" a="1"/>
  <c r="N978" i="17" s="1"/>
  <c r="J978" i="17"/>
  <c r="O978" i="17" s="1"/>
  <c r="K978" i="17"/>
  <c r="L978" i="17"/>
  <c r="M978" i="17" s="1"/>
  <c r="I979" i="17"/>
  <c r="N979" i="17" s="1" a="1"/>
  <c r="N979" i="17" s="1"/>
  <c r="J979" i="17"/>
  <c r="O979" i="17" s="1"/>
  <c r="K979" i="17"/>
  <c r="L979" i="17"/>
  <c r="M979" i="17" s="1"/>
  <c r="I980" i="17"/>
  <c r="N980" i="17" s="1" a="1"/>
  <c r="N980" i="17" s="1"/>
  <c r="J980" i="17"/>
  <c r="O980" i="17" s="1"/>
  <c r="K980" i="17"/>
  <c r="L980" i="17"/>
  <c r="M980" i="17" s="1"/>
  <c r="I981" i="17"/>
  <c r="N981" i="17" s="1" a="1"/>
  <c r="N981" i="17" s="1"/>
  <c r="J981" i="17"/>
  <c r="O981" i="17" s="1"/>
  <c r="K981" i="17"/>
  <c r="L981" i="17"/>
  <c r="M981" i="17" s="1"/>
  <c r="I982" i="17"/>
  <c r="N982" i="17" s="1" a="1"/>
  <c r="N982" i="17" s="1"/>
  <c r="J982" i="17"/>
  <c r="O982" i="17" s="1"/>
  <c r="K982" i="17"/>
  <c r="L982" i="17"/>
  <c r="M982" i="17" s="1"/>
  <c r="I983" i="17"/>
  <c r="N983" i="17" s="1" a="1"/>
  <c r="N983" i="17" s="1"/>
  <c r="J983" i="17"/>
  <c r="O983" i="17" s="1"/>
  <c r="K983" i="17"/>
  <c r="L983" i="17"/>
  <c r="M983" i="17" s="1"/>
  <c r="I984" i="17"/>
  <c r="N984" i="17" s="1" a="1"/>
  <c r="N984" i="17" s="1"/>
  <c r="J984" i="17"/>
  <c r="O984" i="17" s="1"/>
  <c r="K984" i="17"/>
  <c r="L984" i="17"/>
  <c r="M984" i="17" s="1"/>
  <c r="I985" i="17"/>
  <c r="N985" i="17" s="1" a="1"/>
  <c r="N985" i="17" s="1"/>
  <c r="J985" i="17"/>
  <c r="O985" i="17" s="1"/>
  <c r="K985" i="17"/>
  <c r="L985" i="17"/>
  <c r="M985" i="17" s="1"/>
  <c r="I986" i="17"/>
  <c r="N986" i="17" s="1" a="1"/>
  <c r="N986" i="17" s="1"/>
  <c r="J986" i="17"/>
  <c r="O986" i="17" s="1"/>
  <c r="K986" i="17"/>
  <c r="L986" i="17"/>
  <c r="M986" i="17" s="1"/>
  <c r="I987" i="17"/>
  <c r="N987" i="17" s="1" a="1"/>
  <c r="N987" i="17" s="1"/>
  <c r="J987" i="17"/>
  <c r="O987" i="17" s="1"/>
  <c r="K987" i="17"/>
  <c r="L987" i="17"/>
  <c r="M987" i="17" s="1"/>
  <c r="I988" i="17"/>
  <c r="N988" i="17" s="1" a="1"/>
  <c r="N988" i="17" s="1"/>
  <c r="J988" i="17"/>
  <c r="O988" i="17" s="1"/>
  <c r="K988" i="17"/>
  <c r="L988" i="17"/>
  <c r="M988" i="17" s="1"/>
  <c r="I989" i="17"/>
  <c r="N989" i="17" s="1" a="1"/>
  <c r="N989" i="17" s="1"/>
  <c r="J989" i="17"/>
  <c r="O989" i="17" s="1"/>
  <c r="K989" i="17"/>
  <c r="L989" i="17"/>
  <c r="M989" i="17" s="1"/>
  <c r="I990" i="17"/>
  <c r="N990" i="17" s="1" a="1"/>
  <c r="N990" i="17" s="1"/>
  <c r="J990" i="17"/>
  <c r="O990" i="17" s="1"/>
  <c r="K990" i="17"/>
  <c r="L990" i="17"/>
  <c r="M990" i="17" s="1"/>
  <c r="I991" i="17"/>
  <c r="N991" i="17" s="1" a="1"/>
  <c r="N991" i="17" s="1"/>
  <c r="J991" i="17"/>
  <c r="O991" i="17" s="1"/>
  <c r="K991" i="17"/>
  <c r="L991" i="17"/>
  <c r="M991" i="17" s="1"/>
  <c r="I992" i="17"/>
  <c r="N992" i="17" s="1" a="1"/>
  <c r="N992" i="17" s="1"/>
  <c r="J992" i="17"/>
  <c r="O992" i="17" s="1"/>
  <c r="K992" i="17"/>
  <c r="L992" i="17"/>
  <c r="M992" i="17" s="1"/>
  <c r="I993" i="17"/>
  <c r="N993" i="17" s="1" a="1"/>
  <c r="N993" i="17" s="1"/>
  <c r="J993" i="17"/>
  <c r="O993" i="17" s="1"/>
  <c r="K993" i="17"/>
  <c r="L993" i="17"/>
  <c r="M993" i="17" s="1"/>
  <c r="I994" i="17"/>
  <c r="N994" i="17" s="1" a="1"/>
  <c r="N994" i="17" s="1"/>
  <c r="J994" i="17"/>
  <c r="O994" i="17" s="1"/>
  <c r="K994" i="17"/>
  <c r="L994" i="17"/>
  <c r="M994" i="17" s="1"/>
  <c r="I995" i="17"/>
  <c r="N995" i="17" s="1" a="1"/>
  <c r="N995" i="17" s="1"/>
  <c r="J995" i="17"/>
  <c r="O995" i="17" s="1"/>
  <c r="K995" i="17"/>
  <c r="L995" i="17"/>
  <c r="M995" i="17" s="1"/>
  <c r="I996" i="17"/>
  <c r="N996" i="17" s="1" a="1"/>
  <c r="N996" i="17" s="1"/>
  <c r="J996" i="17"/>
  <c r="O996" i="17" s="1"/>
  <c r="K996" i="17"/>
  <c r="L996" i="17"/>
  <c r="M996" i="17" s="1"/>
  <c r="I997" i="17"/>
  <c r="N997" i="17" s="1" a="1"/>
  <c r="N997" i="17" s="1"/>
  <c r="J997" i="17"/>
  <c r="O997" i="17" s="1"/>
  <c r="K997" i="17"/>
  <c r="L997" i="17"/>
  <c r="M997" i="17" s="1"/>
  <c r="I998" i="17"/>
  <c r="N998" i="17" s="1" a="1"/>
  <c r="N998" i="17" s="1"/>
  <c r="J998" i="17"/>
  <c r="O998" i="17" s="1"/>
  <c r="K998" i="17"/>
  <c r="L998" i="17"/>
  <c r="M998" i="17" s="1"/>
  <c r="I999" i="17"/>
  <c r="N999" i="17" s="1" a="1"/>
  <c r="N999" i="17" s="1"/>
  <c r="J999" i="17"/>
  <c r="O999" i="17" s="1"/>
  <c r="K999" i="17"/>
  <c r="L999" i="17"/>
  <c r="M999" i="17" s="1"/>
  <c r="I1000" i="17"/>
  <c r="N1000" i="17" s="1" a="1"/>
  <c r="N1000" i="17" s="1"/>
  <c r="J1000" i="17"/>
  <c r="O1000" i="17" s="1"/>
  <c r="K1000" i="17"/>
  <c r="L1000" i="17"/>
  <c r="M1000" i="17" s="1"/>
  <c r="I1001" i="17"/>
  <c r="N1001" i="17" s="1" a="1"/>
  <c r="N1001" i="17" s="1"/>
  <c r="J1001" i="17"/>
  <c r="O1001" i="17" s="1"/>
  <c r="K1001" i="17"/>
  <c r="L1001" i="17"/>
  <c r="M1001" i="17" s="1"/>
  <c r="J2" i="17"/>
  <c r="O2" i="17" s="1"/>
  <c r="K2" i="17"/>
  <c r="L2" i="17"/>
  <c r="M2" i="17" s="1"/>
  <c r="I2" i="17"/>
  <c r="N2" i="17" s="1" a="1"/>
  <c r="N2"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<sst xmlns="http://schemas.openxmlformats.org/spreadsheetml/2006/main" count="11159" uniqueCount="6235">
  <si>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</si>
  <si>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</si>
  <si>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</si>
  <si>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</si>
  <si>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</si>
  <si>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</si>
  <si>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</si>
  <si>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</si>
  <si>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</si>
  <si>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</si>
  <si>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</si>
  <si>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</si>
  <si>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</si>
  <si>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</si>
  <si>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</si>
  <si>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</si>
  <si>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</si>
  <si>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</si>
  <si>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</si>
  <si>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</si>
  <si>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</si>
  <si>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</si>
  <si>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</si>
  <si>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</si>
  <si>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</si>
  <si>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</si>
  <si>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</si>
  <si>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</si>
  <si>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</si>
  <si>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</si>
  <si>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</si>
  <si>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</si>
  <si>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</si>
  <si>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</si>
  <si>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</si>
  <si>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</si>
  <si>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</si>
  <si>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</si>
  <si>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</si>
  <si>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</si>
  <si>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</si>
  <si>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</si>
  <si>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</si>
  <si>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</si>
  <si>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</si>
  <si>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</si>
  <si>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</si>
  <si>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</si>
  <si>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</si>
  <si>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</si>
  <si>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</si>
  <si>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</si>
  <si>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</si>
  <si>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</si>
  <si>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</si>
  <si>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</si>
  <si>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</si>
  <si>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</si>
  <si>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</si>
  <si>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</si>
  <si>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</si>
  <si>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</si>
  <si>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</si>
  <si>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</si>
  <si>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</si>
  <si>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</si>
  <si>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</si>
  <si>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</si>
  <si>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</si>
  <si>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</si>
  <si>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</si>
  <si>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</si>
  <si>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</si>
  <si>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</si>
  <si>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</si>
  <si>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</si>
  <si>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</si>
  <si>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</si>
  <si>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</si>
  <si>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</si>
  <si>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</si>
  <si>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</si>
  <si>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</si>
  <si>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</si>
  <si>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</si>
  <si>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</si>
  <si>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</si>
  <si>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</si>
  <si>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</si>
  <si>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</si>
  <si>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</si>
  <si>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</si>
  <si>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</si>
  <si>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</si>
  <si>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</si>
  <si>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</si>
  <si>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</si>
  <si>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</si>
  <si>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</si>
  <si>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</si>
  <si>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</si>
  <si>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</si>
  <si>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</si>
  <si>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</si>
  <si>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</si>
  <si>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</si>
  <si>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</si>
  <si>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</si>
  <si>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</si>
  <si>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</si>
  <si>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</si>
  <si>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</si>
  <si>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</si>
  <si>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</si>
  <si>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</si>
  <si>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</si>
  <si>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</si>
  <si>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</si>
  <si>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</si>
  <si>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</si>
  <si>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</si>
  <si>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</si>
  <si>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</si>
  <si>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</si>
  <si>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</si>
  <si>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</si>
  <si>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</si>
  <si>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</si>
  <si>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</si>
  <si>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</si>
  <si>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</si>
  <si>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</si>
  <si>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</si>
  <si>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</si>
  <si>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</si>
  <si>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</si>
  <si>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</si>
  <si>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</si>
  <si>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</si>
  <si>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</si>
  <si>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</si>
  <si>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</si>
  <si>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</si>
  <si>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</si>
  <si>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</si>
  <si>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</si>
  <si>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</si>
  <si>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</si>
  <si>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</si>
  <si>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</si>
  <si>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</si>
  <si>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</si>
  <si>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</si>
  <si>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</si>
  <si>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</si>
  <si>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</si>
  <si>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</si>
  <si>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</si>
  <si>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</si>
  <si>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</si>
  <si>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</si>
  <si>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</si>
  <si>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</si>
  <si>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</si>
  <si>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</si>
  <si>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</si>
  <si>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</si>
  <si>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</si>
  <si>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</si>
  <si>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</si>
  <si>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</si>
  <si>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</si>
  <si>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</si>
  <si>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</si>
  <si>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</si>
  <si>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</si>
  <si>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</si>
  <si>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</si>
  <si>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</si>
  <si>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</si>
  <si>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</si>
  <si>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</si>
  <si>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</si>
  <si>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</si>
  <si>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</si>
  <si>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</si>
  <si>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</si>
  <si>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</si>
  <si>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</si>
  <si>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</si>
  <si>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</si>
  <si>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</si>
  <si>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</si>
  <si>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</si>
  <si>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</si>
  <si>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</si>
  <si>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</si>
  <si>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</si>
  <si>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</si>
  <si>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</si>
  <si>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</si>
  <si>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</si>
  <si>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</si>
  <si>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</si>
  <si>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</si>
  <si>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</si>
  <si>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</si>
  <si>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</si>
  <si>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</si>
  <si>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</si>
  <si>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</si>
  <si>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</si>
  <si>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</si>
  <si>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</si>
  <si>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</si>
  <si>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</si>
  <si>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</si>
  <si>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</si>
  <si>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</si>
  <si>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</si>
  <si>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</si>
  <si>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</si>
  <si>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</si>
  <si>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</si>
  <si>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</si>
  <si>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</si>
  <si>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</si>
  <si>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</si>
  <si>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</si>
  <si>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</si>
  <si>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</si>
  <si>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</si>
  <si>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</si>
  <si>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</si>
  <si>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</si>
  <si>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</si>
  <si>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</si>
  <si>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</si>
  <si>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</si>
  <si>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</si>
  <si>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</si>
  <si>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</si>
  <si>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</si>
  <si>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</si>
  <si>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</si>
  <si>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</si>
  <si>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</si>
  <si>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</si>
  <si>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</si>
  <si>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</si>
  <si>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</si>
  <si>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</si>
  <si>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</si>
  <si>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</si>
  <si>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</si>
  <si>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</si>
  <si>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</si>
  <si>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</si>
  <si>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</si>
  <si>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</si>
  <si>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</si>
  <si>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</si>
  <si>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</si>
  <si>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</si>
  <si>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</si>
  <si>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</si>
  <si>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</si>
  <si>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</si>
  <si>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</si>
  <si>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</si>
  <si>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</si>
  <si>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</si>
  <si>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</si>
  <si>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</si>
  <si>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</si>
  <si>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</si>
  <si>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</si>
  <si>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</si>
  <si>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</si>
  <si>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</si>
  <si>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</si>
  <si>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</si>
  <si>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</si>
  <si>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</si>
  <si>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</si>
  <si>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</si>
  <si>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</si>
  <si>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</si>
  <si>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</si>
  <si>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</si>
  <si>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</si>
  <si>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</si>
  <si>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</si>
  <si>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</si>
  <si>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</si>
  <si>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</si>
  <si>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</si>
  <si>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</si>
  <si>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</si>
  <si>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</si>
  <si>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</si>
  <si>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</si>
  <si>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</si>
  <si>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</si>
  <si>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</si>
  <si>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</si>
  <si>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</si>
  <si>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</si>
  <si>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</si>
  <si>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</si>
  <si>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</si>
  <si>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</si>
  <si>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</si>
  <si>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</si>
  <si>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</si>
  <si>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</si>
  <si>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</si>
  <si>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</si>
  <si>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</si>
  <si>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</si>
  <si>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</si>
  <si>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</si>
  <si>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</si>
  <si>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</si>
  <si>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</si>
  <si>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</si>
  <si>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</si>
  <si>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</si>
  <si>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</si>
  <si>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</si>
  <si>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</si>
  <si>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</si>
  <si>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</si>
  <si>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</si>
  <si>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</si>
  <si>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</si>
  <si>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</si>
  <si>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</si>
  <si>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</si>
  <si>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</si>
  <si>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</si>
  <si>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</si>
  <si>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</si>
  <si>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</si>
  <si>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</si>
  <si>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</si>
  <si>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</si>
  <si>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</si>
  <si>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</si>
  <si>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</si>
  <si>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</si>
  <si>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</si>
  <si>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</si>
  <si>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</si>
  <si>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</si>
  <si>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</si>
  <si>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</si>
  <si>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</si>
  <si>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</si>
  <si>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</si>
  <si>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</si>
  <si>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</si>
  <si>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</si>
  <si>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</si>
  <si>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</si>
  <si>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</si>
  <si>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</si>
  <si>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</si>
  <si>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</si>
  <si>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</si>
  <si>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</si>
  <si>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</si>
  <si>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</si>
  <si>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</si>
  <si>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</si>
  <si>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</si>
  <si>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</si>
  <si>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</si>
  <si>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</si>
  <si>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</si>
  <si>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</si>
  <si>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</si>
  <si>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</si>
  <si>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</si>
  <si>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</si>
  <si>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</si>
  <si>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</si>
  <si>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</si>
  <si>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</si>
  <si>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</si>
  <si>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</si>
  <si>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</si>
  <si>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</si>
  <si>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</si>
  <si>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</si>
  <si>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</si>
  <si>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</si>
  <si>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</si>
  <si>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</si>
  <si>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</si>
  <si>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</si>
  <si>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</si>
  <si>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</si>
  <si>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</si>
  <si>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</si>
  <si>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</si>
  <si>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</si>
  <si>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</si>
  <si>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</si>
  <si>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</si>
  <si>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</si>
  <si>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</si>
  <si>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</si>
  <si>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</si>
  <si>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</si>
  <si>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</si>
  <si>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</si>
  <si>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</si>
  <si>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</si>
  <si>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</si>
  <si>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</si>
  <si>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</si>
  <si>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</si>
  <si>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</si>
  <si>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</si>
  <si>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</si>
  <si>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</si>
  <si>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</si>
  <si>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</si>
  <si>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</si>
  <si>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</si>
  <si>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</si>
  <si>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</si>
  <si>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</si>
  <si>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</si>
  <si>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</si>
  <si>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</si>
  <si>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</si>
  <si>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</si>
  <si>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</si>
  <si>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</si>
  <si>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</si>
  <si>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</si>
  <si>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</si>
  <si>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</si>
  <si>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</si>
  <si>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</si>
  <si>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</si>
  <si>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</si>
  <si>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</si>
  <si>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</si>
  <si>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</si>
  <si>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</si>
  <si>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</si>
  <si>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</si>
  <si>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</si>
  <si>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</si>
  <si>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</si>
  <si>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</si>
  <si>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</si>
  <si>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</si>
  <si>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</si>
  <si>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</si>
  <si>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</si>
  <si>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</si>
  <si>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</si>
  <si>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</si>
  <si>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</si>
  <si>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</si>
  <si>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</si>
  <si>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</si>
  <si>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</si>
  <si>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</si>
  <si>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</si>
  <si>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</si>
  <si>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</si>
  <si>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</si>
  <si>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</si>
  <si>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</si>
  <si>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</si>
  <si>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</si>
  <si>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</si>
  <si>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</si>
  <si>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</si>
  <si>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</si>
  <si>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</si>
  <si>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</si>
  <si>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</si>
  <si>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</si>
  <si>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</si>
  <si>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</si>
  <si>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</si>
  <si>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</si>
  <si>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</si>
  <si>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</si>
  <si>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</si>
  <si>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</si>
  <si>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</si>
  <si>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</si>
  <si>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</si>
  <si>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</si>
  <si>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</si>
  <si>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</si>
  <si>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</si>
  <si>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</si>
  <si>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</si>
  <si>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</si>
  <si>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</si>
  <si>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</si>
  <si>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</si>
  <si>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</si>
  <si>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</si>
  <si>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</si>
  <si>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</si>
  <si>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</si>
  <si>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</si>
  <si>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</si>
  <si>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</si>
  <si>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</si>
  <si>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</si>
  <si>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</si>
  <si>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</si>
  <si>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</si>
  <si>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</si>
  <si>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</si>
  <si>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</si>
  <si>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</si>
  <si>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</si>
  <si>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</si>
  <si>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</si>
  <si>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</si>
  <si>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</si>
  <si>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</si>
  <si>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</si>
  <si>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</si>
  <si>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</si>
  <si>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</si>
  <si>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</si>
  <si>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</si>
  <si>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</si>
  <si>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</si>
  <si>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</si>
  <si>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</si>
  <si>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</si>
  <si>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</si>
  <si>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</si>
  <si>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</si>
  <si>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</si>
  <si>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</si>
  <si>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</si>
  <si>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</si>
  <si>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</si>
  <si>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</si>
  <si>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</si>
  <si>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</si>
  <si>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</si>
  <si>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</si>
  <si>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</si>
  <si>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</si>
  <si>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</si>
  <si>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</si>
  <si>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</si>
  <si>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</si>
  <si>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</si>
  <si>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</si>
  <si>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</si>
  <si>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</si>
  <si>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</si>
  <si>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</si>
  <si>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</si>
  <si>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</si>
  <si>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</si>
  <si>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</si>
  <si>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</si>
  <si>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</si>
  <si>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</si>
  <si>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</si>
  <si>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</si>
  <si>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</si>
  <si>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</si>
  <si>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</si>
  <si>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</si>
  <si>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</si>
  <si>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</si>
  <si>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</si>
  <si>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</si>
  <si>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</si>
  <si>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</si>
  <si>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</si>
  <si>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</si>
  <si>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</si>
  <si>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</si>
  <si>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</si>
  <si>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</si>
  <si>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</si>
  <si>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</si>
  <si>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</si>
  <si>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</si>
  <si>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</si>
  <si>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</si>
  <si>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</si>
  <si>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</si>
  <si>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</si>
  <si>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</si>
  <si>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</si>
  <si>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</si>
  <si>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</si>
  <si>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</si>
  <si>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</si>
  <si>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</si>
  <si>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</si>
  <si>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</si>
  <si>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</si>
  <si>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</si>
  <si>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</si>
  <si>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</si>
  <si>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</si>
  <si>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</si>
  <si>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</si>
  <si>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</si>
  <si>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</si>
  <si>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</si>
  <si>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</si>
  <si>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</si>
  <si>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</si>
  <si>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</si>
  <si>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</si>
  <si>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</si>
  <si>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</si>
  <si>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</si>
  <si>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</si>
  <si>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</si>
  <si>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</si>
  <si>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</si>
  <si>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</si>
  <si>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</si>
  <si>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</si>
  <si>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</si>
  <si>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</si>
  <si>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</si>
  <si>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</si>
  <si>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</si>
  <si>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</si>
  <si>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</si>
  <si>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</si>
  <si>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</si>
  <si>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</si>
  <si>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</si>
  <si>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</si>
  <si>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</si>
  <si>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</si>
  <si>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</si>
  <si>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</si>
  <si>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</si>
  <si>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</si>
  <si>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</si>
  <si>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</si>
  <si>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</si>
  <si>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</si>
  <si>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</si>
  <si>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</si>
  <si>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</si>
  <si>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</si>
  <si>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</si>
  <si>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</si>
  <si>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</si>
  <si>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</si>
  <si>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</si>
  <si>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</si>
  <si>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</si>
  <si>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</si>
  <si>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</si>
  <si>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</si>
  <si>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</si>
  <si>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</si>
  <si>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</si>
  <si>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</si>
  <si>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</si>
  <si>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</si>
  <si>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</si>
  <si>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</si>
  <si>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</si>
  <si>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</si>
  <si>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</si>
  <si>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</si>
  <si>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</si>
  <si>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</si>
  <si>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</si>
  <si>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</si>
  <si>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</si>
  <si>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</si>
  <si>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</si>
  <si>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</si>
  <si>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</si>
  <si>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</si>
  <si>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</si>
  <si>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</si>
  <si>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</si>
  <si>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</si>
  <si>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</si>
  <si>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</si>
  <si>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</si>
  <si>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</si>
  <si>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</si>
  <si>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</si>
  <si>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</si>
  <si>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</si>
  <si>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</si>
  <si>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</si>
  <si>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</si>
  <si>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</si>
  <si>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</si>
  <si>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</si>
  <si>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</si>
  <si>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</si>
  <si>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</si>
  <si>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</si>
  <si>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</si>
  <si>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</si>
  <si>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</si>
  <si>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</si>
  <si>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</si>
  <si>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</si>
  <si>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</si>
  <si>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</si>
  <si>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</si>
  <si>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</si>
  <si>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</si>
  <si>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</si>
  <si>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</si>
  <si>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</si>
  <si>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</si>
  <si>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</si>
  <si>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</si>
  <si>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</si>
  <si>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</si>
  <si>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</si>
  <si>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</si>
  <si>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</si>
  <si>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</si>
  <si>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</si>
  <si>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</si>
  <si>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</si>
  <si>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</si>
  <si>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</si>
  <si>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</si>
  <si>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</si>
  <si>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</si>
  <si>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</si>
  <si>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</si>
  <si>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</si>
  <si>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</si>
  <si>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</si>
  <si>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</si>
  <si>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</si>
  <si>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</si>
  <si>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</si>
  <si>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</si>
  <si>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</si>
  <si>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</si>
  <si>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</si>
  <si>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</si>
  <si>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</si>
  <si>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</si>
  <si>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</si>
  <si>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</si>
  <si>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</si>
  <si>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</si>
  <si>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</si>
  <si>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</si>
  <si>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</si>
  <si>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</si>
  <si>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</si>
  <si>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</si>
  <si>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</si>
  <si>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</si>
  <si>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</si>
  <si>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</si>
  <si>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</si>
  <si>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</si>
  <si>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</si>
  <si>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</si>
  <si>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</si>
  <si>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</si>
  <si>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</si>
  <si>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</si>
  <si>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</si>
  <si>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</si>
  <si>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</si>
  <si>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</si>
  <si>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</si>
  <si>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</si>
  <si>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</si>
  <si>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</si>
  <si>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</si>
  <si>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</si>
  <si>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</si>
  <si>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</si>
  <si>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</si>
  <si>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</si>
  <si>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</si>
  <si>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</si>
  <si>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</si>
  <si>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</si>
  <si>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</si>
  <si>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</si>
  <si>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</si>
  <si>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</si>
  <si>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</si>
  <si>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</si>
  <si>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</si>
  <si>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</si>
  <si>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</si>
  <si>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</si>
  <si>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</si>
  <si>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</si>
  <si>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</si>
  <si>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</si>
  <si>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</si>
  <si>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</si>
  <si>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</si>
  <si>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</si>
  <si>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</si>
  <si>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</si>
  <si>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</si>
  <si>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</si>
  <si>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</si>
  <si>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</si>
  <si>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</si>
  <si>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</si>
  <si>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</si>
  <si>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</si>
  <si>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</si>
  <si>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</si>
  <si>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</si>
  <si>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</si>
  <si>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</si>
  <si>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</si>
  <si>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</si>
  <si>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</si>
  <si>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</si>
  <si>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</si>
  <si>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</si>
  <si>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</si>
  <si>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</si>
  <si>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</si>
  <si>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</si>
  <si>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</si>
  <si>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</si>
  <si>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</si>
  <si>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</si>
  <si>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</si>
  <si>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</si>
  <si>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</si>
  <si>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</si>
  <si>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</si>
  <si>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</si>
  <si>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</si>
  <si>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</si>
  <si>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</si>
  <si>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</si>
  <si>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</si>
  <si>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</si>
  <si>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</si>
  <si>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</si>
  <si>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</si>
  <si>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</si>
  <si>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</si>
  <si>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</si>
  <si>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</si>
  <si>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</si>
  <si>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</si>
  <si>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</si>
  <si>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</si>
  <si>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</si>
  <si>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</si>
  <si>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</si>
  <si>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</si>
  <si>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</si>
  <si>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</si>
  <si>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</si>
  <si>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</si>
  <si>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</si>
  <si>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</si>
  <si>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</si>
  <si>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</si>
  <si>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</si>
  <si>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</si>
  <si>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</si>
  <si>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</si>
  <si>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</si>
  <si>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</si>
  <si>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</si>
  <si>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</si>
  <si>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</si>
  <si>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</si>
  <si>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</si>
  <si>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</si>
  <si>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</si>
  <si>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</si>
  <si>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</si>
  <si>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</si>
  <si>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</si>
  <si>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</si>
  <si>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</si>
  <si>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</si>
  <si>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</si>
  <si>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</si>
  <si>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</si>
  <si>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</si>
  <si>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</si>
  <si>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</si>
  <si>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</si>
  <si>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</si>
  <si>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</si>
  <si>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</si>
  <si>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</si>
  <si>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</si>
  <si>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</si>
  <si>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</si>
  <si>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</si>
  <si>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</si>
  <si>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</si>
  <si>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</si>
  <si>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</si>
  <si>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</si>
  <si>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</si>
  <si>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</si>
  <si>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</si>
  <si>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</si>
  <si>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</si>
  <si>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</si>
  <si>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</si>
  <si>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</si>
  <si>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</si>
  <si>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</si>
  <si>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</si>
  <si>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</si>
  <si>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</si>
  <si>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</si>
  <si>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</si>
  <si>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</si>
  <si>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</si>
  <si>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</si>
  <si>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</si>
  <si>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</si>
  <si>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</si>
  <si>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</si>
  <si>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</si>
  <si>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</si>
  <si>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</si>
  <si>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</si>
  <si>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</si>
  <si>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</si>
  <si>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</si>
  <si>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</si>
  <si>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</si>
  <si>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</si>
  <si>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</si>
  <si>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</si>
  <si>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</si>
  <si>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</si>
  <si>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</si>
  <si>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</si>
  <si>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</si>
  <si>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</si>
  <si>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</si>
  <si>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</si>
  <si>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</si>
  <si>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</si>
  <si>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</si>
  <si>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</si>
  <si>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</si>
  <si>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</si>
  <si>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</si>
  <si>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</si>
  <si>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</si>
  <si>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</si>
  <si>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</si>
  <si>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</si>
  <si>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</si>
  <si>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</si>
  <si>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</si>
  <si>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</si>
  <si>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</si>
  <si>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</si>
  <si>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</si>
  <si>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</si>
  <si>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</si>
  <si>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</si>
  <si>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</si>
  <si>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</si>
  <si>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</si>
  <si>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</si>
  <si>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</si>
  <si>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</si>
  <si>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</si>
  <si>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</si>
  <si>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</si>
  <si>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</si>
  <si>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</si>
  <si>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</si>
  <si>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</si>
  <si>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</si>
  <si>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</si>
  <si>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</si>
  <si>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</si>
  <si>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</si>
  <si>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</si>
  <si>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</si>
  <si>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</si>
  <si>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</si>
  <si>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</si>
  <si>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</si>
  <si>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</si>
  <si>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</si>
  <si>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</si>
  <si>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</si>
  <si>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</si>
  <si>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</si>
  <si>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</si>
  <si>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</si>
  <si>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</si>
  <si>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</si>
  <si>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</si>
  <si>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</si>
  <si>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</si>
  <si>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</si>
  <si>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</si>
  <si>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</si>
  <si>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</si>
  <si>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</si>
  <si>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</si>
  <si>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</si>
  <si>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</si>
  <si>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</si>
  <si>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</si>
  <si>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</si>
  <si>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</si>
  <si>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</si>
  <si>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</si>
  <si>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</si>
  <si>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</si>
  <si>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</si>
  <si>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</si>
  <si>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</si>
  <si>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</si>
  <si>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</si>
  <si>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</si>
  <si>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</si>
  <si>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</si>
  <si>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</si>
  <si>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</si>
  <si>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</si>
  <si>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</si>
  <si>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</si>
  <si>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</si>
  <si>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</si>
  <si>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</si>
  <si>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</si>
  <si>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</si>
  <si>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</si>
  <si>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</si>
  <si>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</si>
  <si>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</si>
  <si>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</si>
  <si>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</si>
  <si>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</si>
  <si>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</si>
  <si>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</si>
  <si>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</si>
  <si>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</si>
  <si>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</si>
  <si>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</si>
  <si>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</si>
  <si>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</si>
  <si>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</si>
  <si>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</si>
  <si>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</si>
  <si>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</si>
  <si>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</si>
  <si>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</si>
  <si>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</si>
  <si>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</si>
  <si>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</si>
  <si>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</si>
  <si>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</si>
  <si>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</si>
  <si>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</si>
  <si>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</si>
  <si>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</si>
  <si>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</si>
  <si>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</si>
  <si>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</si>
  <si>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</si>
  <si>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</si>
  <si>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</si>
  <si>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</si>
  <si>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</si>
  <si>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</si>
  <si>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</si>
  <si>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</si>
  <si>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</si>
  <si>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</si>
  <si>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</si>
  <si>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</si>
  <si>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</si>
  <si>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</si>
  <si>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</si>
  <si>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</si>
  <si>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</si>
  <si>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</si>
  <si>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</si>
  <si>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</si>
  <si>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</si>
  <si>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</si>
  <si>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</si>
  <si>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</si>
  <si>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</si>
  <si>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</si>
  <si>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</si>
  <si>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</si>
  <si>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</si>
  <si>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</si>
  <si>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</si>
  <si>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</si>
  <si>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</si>
  <si>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</si>
  <si>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</si>
  <si>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</si>
  <si>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</si>
  <si>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</si>
  <si>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</si>
  <si>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</si>
  <si>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</si>
  <si>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</si>
  <si>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</si>
  <si>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</si>
  <si>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</si>
  <si>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</si>
  <si>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</si>
  <si>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</si>
  <si>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</si>
  <si>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</si>
  <si>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</si>
  <si>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</si>
  <si>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</si>
  <si>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</si>
  <si>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</si>
  <si>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</si>
  <si>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</si>
  <si>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</si>
  <si>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</si>
  <si>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</si>
  <si>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</si>
  <si>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</si>
  <si>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</si>
  <si>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</si>
  <si>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</si>
  <si>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</si>
  <si>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</si>
  <si>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</si>
  <si>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</si>
  <si>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</si>
  <si>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</si>
  <si>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</si>
  <si>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</si>
  <si>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</si>
  <si>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</si>
  <si>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</si>
  <si>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</si>
  <si>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</si>
  <si>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</si>
  <si>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</si>
  <si>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</si>
  <si>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</si>
  <si>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</si>
  <si>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</si>
  <si>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</si>
  <si>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</si>
  <si>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</si>
  <si>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</si>
  <si>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</si>
  <si>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</si>
  <si>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</si>
  <si>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</si>
  <si>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</si>
  <si>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</si>
  <si>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</si>
  <si>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</si>
  <si>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</si>
  <si>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</si>
  <si>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</si>
  <si>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</si>
  <si>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</si>
  <si>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</si>
  <si>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</si>
  <si>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</si>
  <si>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</si>
  <si>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</si>
  <si>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</si>
  <si>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</si>
  <si>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</si>
  <si>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</si>
  <si>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</si>
  <si>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</si>
  <si>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</si>
  <si>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</si>
  <si>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</si>
  <si>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</si>
  <si>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</si>
  <si>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</si>
  <si>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</si>
  <si>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</si>
  <si>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</si>
  <si>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</si>
  <si>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</si>
  <si>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</si>
  <si>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</si>
  <si>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</si>
  <si>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</si>
  <si>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</si>
  <si>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</si>
  <si>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</si>
  <si>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</si>
  <si>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</si>
  <si>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</si>
  <si>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</si>
  <si>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</si>
  <si>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</si>
  <si>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</si>
  <si>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</si>
  <si>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</si>
  <si>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</si>
  <si>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</si>
  <si>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</si>
  <si>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</si>
  <si>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</si>
  <si>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</si>
  <si>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</si>
  <si>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</si>
  <si>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</si>
  <si>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</si>
  <si>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</si>
  <si>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</si>
  <si>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</si>
  <si>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</si>
  <si>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</si>
  <si>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</si>
  <si>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</si>
  <si>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</si>
  <si>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</si>
  <si>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</si>
  <si>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</si>
  <si>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</si>
  <si>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</si>
  <si>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</si>
  <si>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</si>
  <si>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</si>
  <si>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</si>
  <si>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</si>
  <si>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</si>
  <si>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</si>
  <si>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</si>
  <si>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</si>
  <si>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</si>
  <si>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</si>
  <si>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</si>
  <si>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</si>
  <si>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</si>
  <si>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</si>
  <si>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</si>
  <si>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</si>
  <si>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</si>
  <si>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</si>
  <si>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</si>
  <si>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</si>
  <si>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</si>
  <si>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</si>
  <si>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</si>
  <si>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</si>
  <si>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</si>
  <si>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</si>
  <si>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</si>
  <si>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</si>
  <si>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</si>
  <si>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</si>
  <si>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</si>
  <si>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</si>
  <si>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</si>
  <si>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</si>
  <si>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</si>
  <si>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</si>
  <si>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</si>
  <si>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</si>
  <si>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</si>
  <si>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</si>
  <si>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</si>
  <si>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</si>
  <si>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</si>
  <si>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</si>
  <si>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</si>
  <si>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</si>
  <si>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</si>
  <si>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</si>
  <si>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</si>
  <si>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</si>
  <si>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</si>
  <si>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</si>
  <si>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</si>
  <si>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</si>
  <si>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</si>
  <si>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</si>
  <si>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</si>
  <si>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</si>
  <si>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</si>
  <si>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</si>
  <si>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</si>
  <si>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</si>
  <si>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</si>
  <si>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</si>
  <si>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</si>
  <si>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</si>
  <si>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</si>
  <si>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</si>
  <si>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</si>
  <si>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</si>
  <si>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</si>
  <si>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</si>
  <si>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</si>
  <si>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</si>
  <si>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</si>
  <si>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</si>
  <si>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</si>
  <si>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</si>
  <si>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</si>
  <si>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</si>
  <si>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</si>
  <si>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</si>
  <si>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</si>
  <si>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</si>
  <si>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</si>
  <si>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</si>
  <si>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</si>
  <si>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</si>
  <si>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</si>
  <si>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</si>
  <si>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</si>
  <si>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</si>
  <si>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</si>
  <si>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</si>
  <si>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</si>
  <si>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</si>
  <si>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</si>
  <si>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</si>
  <si>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</si>
  <si>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</si>
  <si>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</si>
  <si>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</si>
  <si>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</si>
  <si>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</si>
  <si>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</si>
  <si>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</si>
  <si>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</si>
  <si>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</si>
  <si>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</si>
  <si>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</si>
  <si>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</si>
  <si>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</si>
  <si>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</si>
  <si>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</si>
  <si>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</si>
  <si>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</si>
  <si>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</si>
  <si>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</si>
  <si>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</si>
  <si>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</si>
  <si>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</si>
  <si>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</si>
  <si>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</si>
  <si>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</si>
  <si>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</si>
  <si>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</si>
  <si>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</si>
  <si>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</si>
  <si>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</si>
  <si>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</si>
  <si>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</si>
  <si>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</si>
  <si>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</si>
  <si>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</si>
  <si>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</si>
  <si>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</si>
  <si>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</si>
  <si>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</si>
  <si>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</si>
  <si>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</si>
  <si>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</si>
  <si>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</si>
  <si>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</si>
  <si>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</si>
  <si>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</si>
  <si>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</si>
  <si>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</si>
  <si>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</si>
  <si>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</si>
  <si>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</si>
  <si>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</si>
  <si>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</si>
  <si>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</si>
  <si>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</si>
  <si>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</si>
  <si>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</si>
  <si>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</si>
  <si>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</si>
  <si>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</si>
  <si>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</si>
  <si>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</si>
  <si>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</si>
  <si>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</si>
  <si>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</si>
  <si>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</si>
  <si>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</si>
  <si>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</si>
  <si>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</si>
  <si>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</si>
  <si>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</si>
  <si>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</si>
  <si>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</si>
  <si>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</si>
  <si>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</si>
  <si>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</si>
  <si>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</si>
  <si>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</si>
  <si>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</si>
  <si>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</si>
  <si>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</si>
  <si>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</si>
  <si>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</si>
  <si>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</si>
  <si>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</si>
  <si>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</si>
  <si>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</si>
  <si>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</si>
  <si>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</si>
  <si>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</si>
  <si>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</si>
  <si>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</si>
  <si>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</si>
  <si>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</si>
  <si>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</si>
  <si>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</si>
  <si>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</si>
  <si>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</si>
  <si>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</si>
  <si>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</si>
  <si>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</si>
  <si>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</si>
  <si>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</si>
  <si>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</si>
  <si>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</si>
  <si>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</si>
  <si>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</si>
  <si>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</si>
  <si>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</si>
  <si>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</si>
  <si>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</si>
  <si>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</si>
  <si>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</si>
  <si>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</si>
  <si>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</si>
  <si>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</si>
  <si>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</si>
  <si>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</si>
  <si>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</si>
  <si>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</si>
  <si>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</si>
  <si>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</si>
  <si>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</si>
  <si>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</si>
  <si>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</si>
  <si>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</si>
  <si>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</si>
  <si>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</si>
  <si>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</si>
  <si>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</si>
  <si>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</si>
  <si>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</si>
  <si>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</si>
  <si>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</si>
  <si>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</si>
  <si>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</si>
  <si>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</si>
  <si>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</si>
  <si>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</si>
  <si>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</si>
  <si>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</si>
  <si>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</si>
  <si>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</si>
  <si>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</si>
  <si>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</si>
  <si>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</si>
  <si>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</si>
  <si>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</si>
  <si>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</si>
  <si>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</si>
  <si>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</si>
  <si>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</si>
  <si>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</si>
  <si>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</si>
  <si>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</si>
  <si>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</si>
  <si>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</si>
  <si>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</si>
  <si>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</si>
  <si>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</si>
  <si>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</si>
  <si>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</si>
  <si>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</si>
  <si>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</si>
  <si>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</si>
  <si>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</si>
  <si>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</si>
  <si>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</si>
  <si>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</si>
  <si>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</si>
  <si>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</si>
  <si>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</si>
  <si>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</si>
  <si>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</si>
  <si>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</si>
  <si>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</si>
  <si>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</si>
  <si>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</si>
  <si>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</si>
  <si>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</si>
  <si>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</si>
  <si>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</si>
  <si>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</si>
  <si>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</si>
  <si>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</si>
  <si>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</si>
  <si>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</si>
  <si>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</si>
  <si>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</si>
  <si>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</si>
  <si>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</si>
  <si>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</si>
  <si>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</si>
  <si>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</si>
  <si>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</si>
  <si>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</si>
  <si>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</si>
  <si>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</si>
  <si>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</si>
  <si>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</si>
  <si>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</si>
  <si>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</si>
  <si>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</si>
  <si>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</si>
  <si>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</si>
  <si>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</si>
  <si>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</si>
  <si>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</si>
  <si>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</si>
  <si>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</si>
  <si>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</si>
  <si>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</si>
  <si>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</si>
  <si>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</si>
  <si>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</si>
  <si>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</si>
  <si>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</si>
  <si>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</si>
  <si>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</si>
  <si>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</si>
  <si>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</si>
  <si>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</si>
  <si>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</si>
  <si>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</si>
  <si>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</si>
  <si>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</si>
  <si>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</si>
  <si>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</si>
  <si>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</si>
  <si>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</si>
  <si>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</si>
  <si>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</si>
  <si>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</si>
  <si>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</si>
  <si>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</si>
  <si>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</si>
  <si>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</si>
  <si>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</si>
  <si>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</si>
  <si>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</si>
  <si>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</si>
  <si>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</si>
  <si>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</si>
  <si>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</si>
  <si>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</si>
  <si>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</si>
  <si>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</si>
  <si>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</si>
  <si>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</si>
  <si>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</si>
  <si>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</si>
  <si>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</si>
  <si>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</si>
  <si>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</si>
  <si>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</si>
  <si>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</si>
  <si>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</si>
  <si>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</si>
  <si>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</si>
  <si>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</si>
  <si>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</si>
  <si>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</si>
  <si>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</si>
  <si>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</si>
  <si>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</si>
  <si>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</si>
  <si>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</si>
  <si>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</si>
  <si>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</si>
  <si>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</si>
  <si>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</si>
  <si>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</si>
  <si>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</si>
  <si>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</si>
  <si>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</si>
  <si>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</si>
  <si>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</si>
  <si>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</si>
  <si>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</si>
  <si>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</si>
  <si>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</si>
  <si>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</si>
  <si>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</si>
  <si>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</si>
  <si>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</si>
  <si>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</si>
  <si>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</si>
  <si>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</si>
  <si>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</si>
  <si>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</si>
  <si>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</si>
  <si>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</si>
  <si>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</si>
  <si>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</si>
  <si>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</si>
  <si>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</si>
  <si>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</si>
  <si>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</si>
  <si>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</si>
  <si>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</si>
  <si>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</si>
  <si>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</si>
  <si>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</si>
  <si>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</si>
  <si>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</si>
  <si>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</si>
  <si>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</si>
  <si>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</si>
  <si>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</si>
  <si>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</si>
  <si>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</si>
  <si>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</si>
  <si>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</si>
  <si>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</si>
  <si>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</si>
  <si>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</si>
  <si>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</si>
  <si>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</si>
  <si>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</si>
  <si>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</si>
  <si>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</si>
  <si>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</si>
  <si>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</si>
  <si>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</si>
  <si>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</si>
  <si>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</si>
  <si>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</si>
  <si>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</si>
  <si>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</si>
  <si>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</si>
  <si>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</si>
  <si>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</si>
  <si>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</si>
  <si>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</si>
  <si>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</si>
  <si>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</si>
  <si>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</si>
  <si>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</si>
  <si>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</si>
  <si>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</si>
  <si>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</si>
  <si>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</si>
  <si>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</si>
  <si>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</si>
  <si>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</si>
  <si>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</si>
  <si>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</si>
  <si>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</si>
  <si>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</si>
  <si>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</si>
  <si>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</si>
  <si>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</si>
  <si>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</si>
  <si>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</si>
  <si>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</si>
  <si>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</si>
  <si>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</si>
  <si>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</si>
  <si>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</si>
  <si>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</si>
  <si>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</si>
  <si>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</si>
  <si>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</si>
  <si>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</si>
  <si>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</si>
  <si>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</si>
  <si>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</si>
  <si>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</si>
  <si>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</si>
  <si>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</si>
  <si>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</si>
  <si>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</si>
  <si>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</si>
  <si>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</si>
  <si>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</si>
  <si>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</si>
  <si>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</si>
  <si>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</si>
  <si>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</si>
  <si>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</si>
  <si>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</si>
  <si>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</si>
  <si>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</si>
  <si>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</si>
  <si>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</si>
  <si>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</si>
  <si>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</si>
  <si>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</si>
  <si>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</si>
  <si>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</si>
  <si>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</si>
  <si>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</si>
  <si>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</si>
  <si>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</si>
  <si>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</si>
  <si>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</si>
  <si>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</si>
  <si>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</si>
  <si>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</si>
  <si>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</si>
  <si>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</si>
  <si>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</si>
  <si>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</si>
  <si>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</si>
  <si>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</si>
  <si>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</si>
  <si>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</si>
  <si>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</si>
  <si>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</si>
  <si>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</si>
  <si>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</si>
  <si>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</si>
  <si>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</si>
  <si>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</si>
  <si>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</si>
  <si>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</si>
  <si>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</si>
  <si>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</si>
  <si>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</si>
  <si>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</si>
  <si>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</si>
  <si>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</si>
  <si>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</si>
  <si>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</si>
  <si>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</si>
  <si>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</si>
  <si>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</si>
  <si>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</si>
  <si>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</si>
  <si>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</si>
  <si>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</si>
  <si>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</si>
  <si>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</si>
  <si>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</si>
  <si>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</si>
  <si>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</si>
  <si>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</si>
  <si>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</si>
  <si>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</si>
  <si>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</si>
  <si>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</si>
  <si>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</si>
  <si>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</si>
  <si>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</si>
  <si>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</si>
  <si>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</si>
  <si>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</si>
  <si>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</si>
  <si>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</si>
  <si>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</si>
  <si>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</si>
  <si>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</si>
  <si>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</si>
  <si>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</si>
  <si>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</si>
  <si>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</si>
  <si>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</si>
  <si>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</si>
  <si>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</si>
  <si>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</si>
  <si>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</si>
  <si>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</si>
  <si>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</si>
  <si>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</si>
  <si>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</si>
  <si>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</si>
  <si>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</si>
  <si>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</si>
  <si>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</si>
  <si>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</si>
  <si>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</si>
  <si>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</si>
  <si>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</si>
  <si>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</si>
  <si>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</si>
  <si>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</si>
  <si>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</si>
  <si>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</si>
  <si>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</si>
  <si>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</si>
  <si>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</si>
  <si>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</si>
  <si>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</si>
  <si>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</si>
  <si>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</si>
  <si>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</si>
  <si>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</si>
  <si>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</si>
  <si>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</si>
  <si>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</si>
  <si>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</si>
  <si>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</si>
  <si>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</si>
  <si>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</si>
  <si>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</si>
  <si>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</si>
  <si>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</si>
  <si>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</si>
  <si>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</si>
  <si>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</si>
  <si>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</si>
  <si>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</si>
  <si>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</si>
  <si>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</si>
  <si>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</si>
  <si>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</si>
  <si>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</si>
  <si>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</si>
  <si>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</si>
  <si>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</si>
  <si>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</si>
  <si>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</si>
  <si>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</si>
  <si>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</si>
  <si>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</si>
  <si>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</si>
  <si>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</si>
  <si>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</si>
  <si>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</si>
  <si>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</si>
  <si>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</si>
  <si>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</si>
  <si>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</si>
  <si>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</si>
  <si>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</si>
  <si>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</si>
  <si>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</si>
  <si>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</si>
  <si>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</si>
  <si>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</si>
  <si>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</si>
  <si>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</si>
  <si>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</si>
  <si>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</si>
  <si>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</si>
  <si>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</si>
  <si>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</si>
  <si>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</si>
  <si>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</si>
  <si>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</si>
  <si>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</si>
  <si>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</si>
  <si>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</si>
  <si>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</si>
  <si>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</si>
  <si>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</si>
  <si>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</si>
  <si>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</si>
  <si>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</si>
  <si>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</si>
  <si>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</si>
  <si>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</si>
  <si>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</si>
  <si>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</si>
  <si>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</si>
  <si>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</si>
  <si>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</si>
  <si>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</si>
  <si>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</si>
  <si>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</si>
  <si>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</si>
  <si>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</si>
  <si>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</si>
  <si>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</si>
  <si>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</si>
  <si>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</si>
  <si>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</si>
  <si>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</si>
  <si>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</si>
  <si>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</si>
  <si>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</si>
  <si>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</si>
  <si>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</si>
  <si>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</si>
  <si>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</si>
  <si>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</si>
  <si>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</si>
  <si>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</si>
  <si>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</si>
  <si>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</si>
  <si>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</si>
  <si>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</si>
  <si>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</si>
  <si>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</si>
  <si>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</si>
  <si>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</si>
  <si>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</si>
  <si>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</si>
  <si>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</si>
  <si>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</si>
  <si>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</si>
  <si>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</si>
  <si>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</si>
  <si>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</si>
  <si>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</si>
  <si>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</si>
  <si>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</si>
  <si>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</si>
  <si>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</si>
  <si>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</si>
  <si>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</si>
  <si>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</si>
  <si>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</si>
  <si>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</si>
  <si>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</si>
  <si>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</si>
  <si>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</si>
  <si>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</si>
  <si>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</si>
  <si>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</si>
  <si>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</si>
  <si>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</si>
  <si>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</si>
  <si>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</si>
  <si>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</si>
  <si>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</si>
  <si>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</si>
  <si>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</si>
  <si>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</si>
  <si>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</si>
  <si>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</si>
  <si>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</si>
  <si>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</si>
  <si>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</si>
  <si>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</si>
  <si>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</si>
  <si>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</si>
  <si>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</si>
  <si>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</si>
  <si>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</si>
  <si>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</si>
  <si>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</si>
  <si>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</si>
  <si>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</si>
  <si>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</si>
  <si>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</si>
  <si>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</si>
  <si>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</si>
  <si>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</si>
  <si>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</si>
  <si>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</si>
  <si>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</si>
  <si>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</si>
  <si>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</si>
  <si>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</si>
  <si>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</si>
  <si>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</si>
  <si>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</si>
  <si>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</si>
  <si>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</si>
  <si>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</si>
  <si>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</si>
  <si>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</si>
  <si>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</si>
  <si>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</si>
  <si>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</si>
  <si>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</si>
  <si>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</si>
  <si>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</si>
  <si>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</si>
  <si>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</si>
  <si>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</si>
  <si>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</si>
  <si>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</si>
  <si>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</si>
  <si>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</si>
  <si>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</si>
  <si>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</si>
  <si>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</si>
  <si>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</si>
  <si>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</si>
  <si>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</si>
  <si>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</si>
  <si>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</si>
  <si>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</si>
  <si>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</si>
  <si>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</si>
  <si>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</si>
  <si>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</si>
  <si>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</si>
  <si>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</si>
  <si>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</si>
  <si>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</si>
  <si>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</si>
  <si>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</si>
  <si>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</si>
  <si>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</si>
  <si>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</si>
  <si>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</si>
  <si>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</si>
  <si>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</si>
  <si>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</si>
  <si>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</si>
  <si>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</si>
  <si>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</si>
  <si>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</si>
  <si>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</si>
  <si>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</si>
  <si>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</si>
  <si>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</si>
  <si>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</si>
  <si>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</si>
  <si>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</si>
  <si>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</si>
  <si>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</si>
  <si>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</si>
  <si>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</si>
  <si>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</si>
  <si>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</si>
  <si>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</si>
  <si>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</si>
  <si>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</si>
  <si>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</si>
  <si>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</si>
  <si>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</si>
  <si>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</si>
  <si>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</si>
  <si>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</si>
  <si>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</si>
  <si>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</si>
  <si>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</si>
  <si>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</si>
  <si>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</si>
  <si>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</si>
  <si>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</si>
  <si>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</si>
  <si>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</si>
  <si>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</si>
  <si>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</si>
  <si>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</si>
  <si>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</si>
  <si>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</si>
  <si>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</si>
  <si>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</si>
  <si>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</si>
  <si>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</si>
  <si>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</si>
  <si>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</si>
  <si>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</si>
  <si>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</si>
  <si>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</si>
  <si>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</si>
  <si>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</si>
  <si>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</si>
  <si>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</si>
  <si>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</si>
  <si>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</si>
  <si>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</si>
  <si>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</si>
  <si>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</si>
  <si>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</si>
  <si>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</si>
  <si>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</si>
  <si>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</si>
  <si>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</si>
  <si>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</si>
  <si>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</si>
  <si>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</si>
  <si>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</si>
  <si>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</si>
  <si>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</si>
  <si>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</si>
  <si>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</si>
  <si>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</si>
  <si>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</si>
  <si>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</si>
  <si>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</si>
  <si>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</si>
  <si>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</si>
  <si>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</si>
  <si>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</si>
  <si>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</si>
  <si>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</si>
  <si>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</si>
  <si>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</si>
  <si>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</si>
  <si>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</si>
  <si>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</si>
  <si>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</si>
  <si>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</si>
  <si>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</si>
  <si>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</si>
  <si>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</si>
  <si>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</si>
  <si>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</si>
  <si>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</si>
  <si>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</si>
  <si>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</si>
  <si>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</si>
  <si>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</si>
  <si>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</si>
  <si>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</si>
  <si>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</si>
  <si>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</si>
  <si>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</si>
  <si>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</si>
  <si>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</si>
  <si>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</si>
  <si>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</si>
  <si>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</si>
  <si>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</si>
  <si>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</si>
  <si>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</si>
  <si>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</si>
  <si>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</si>
  <si>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</si>
  <si>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</si>
  <si>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</si>
  <si>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</si>
  <si>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</si>
  <si>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</si>
  <si>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</si>
  <si>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</si>
  <si>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</si>
  <si>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</si>
  <si>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</si>
  <si>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</si>
  <si>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</si>
  <si>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</si>
  <si>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</si>
  <si>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</si>
  <si>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</si>
  <si>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</si>
  <si>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</si>
  <si>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</si>
  <si>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</si>
  <si>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</si>
  <si>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</si>
  <si>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</si>
  <si>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</si>
  <si>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</si>
  <si>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</si>
  <si>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</si>
  <si>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</si>
  <si>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</si>
  <si>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</si>
  <si>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</si>
  <si>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</si>
  <si>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</si>
  <si>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</si>
  <si>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</si>
  <si>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</si>
  <si>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</si>
  <si>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</si>
  <si>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</si>
  <si>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</si>
  <si>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</si>
  <si>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</si>
  <si>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</si>
  <si>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</si>
  <si>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</si>
  <si>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</si>
  <si>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</si>
  <si>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</si>
  <si>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</si>
  <si>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</si>
  <si>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</si>
  <si>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</si>
  <si>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</si>
  <si>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</si>
  <si>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</si>
  <si>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</si>
  <si>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</si>
  <si>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</si>
  <si>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</si>
  <si>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</si>
  <si>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</si>
  <si>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</si>
  <si>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</si>
  <si>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</si>
  <si>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</si>
  <si>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</si>
  <si>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</si>
  <si>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</si>
  <si>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</si>
  <si>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</si>
  <si>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</si>
  <si>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</si>
  <si>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</si>
  <si>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</si>
  <si>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</si>
  <si>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</si>
  <si>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</si>
  <si>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</si>
  <si>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</si>
  <si>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</si>
  <si>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</si>
  <si>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</si>
  <si>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</si>
  <si>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</si>
  <si>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</si>
  <si>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</si>
  <si>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</si>
  <si>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</si>
  <si>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</si>
  <si>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</si>
  <si>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</si>
  <si>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</si>
  <si>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</si>
  <si>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</si>
  <si>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</si>
  <si>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</si>
  <si>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</si>
  <si>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</si>
  <si>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</si>
  <si>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</si>
  <si>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</si>
  <si>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</si>
  <si>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</si>
  <si>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</si>
  <si>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</si>
  <si>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</si>
  <si>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</si>
  <si>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</si>
  <si>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</si>
  <si>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</si>
  <si>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</si>
  <si>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</si>
  <si>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</si>
  <si>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</si>
  <si>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</si>
  <si>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</si>
  <si>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</si>
  <si>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</si>
  <si>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</si>
  <si>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</si>
  <si>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</si>
  <si>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</si>
  <si>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</si>
  <si>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</si>
  <si>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</si>
  <si>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</si>
  <si>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</si>
  <si>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</si>
  <si>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</si>
  <si>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</si>
  <si>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</si>
  <si>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</si>
  <si>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</si>
  <si>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</si>
  <si>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</si>
  <si>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</si>
  <si>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</si>
  <si>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</si>
  <si>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</si>
  <si>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</si>
  <si>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</si>
  <si>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</si>
  <si>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</si>
  <si>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</si>
  <si>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</si>
  <si>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</si>
  <si>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</si>
  <si>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</si>
  <si>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</si>
  <si>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</si>
  <si>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</si>
  <si>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</si>
  <si>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</si>
  <si>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</si>
  <si>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</si>
  <si>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</si>
  <si>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</si>
  <si>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</si>
  <si>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</si>
  <si>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</si>
  <si>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</si>
  <si>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</si>
  <si>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</si>
  <si>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</si>
  <si>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</si>
  <si>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</si>
  <si>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</si>
  <si>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</si>
  <si>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</si>
  <si>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</si>
  <si>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</si>
  <si>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</si>
  <si>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</si>
  <si>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</si>
  <si>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</si>
  <si>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</si>
  <si>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</si>
  <si>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</si>
  <si>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</si>
  <si>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</si>
  <si>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</si>
  <si>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</si>
  <si>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</si>
  <si>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</si>
  <si>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</si>
  <si>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</si>
  <si>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</si>
  <si>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</si>
  <si>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</si>
  <si>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</si>
  <si>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</si>
  <si>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</si>
  <si>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</si>
  <si>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</si>
  <si>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</si>
  <si>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</si>
  <si>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</si>
  <si>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</si>
  <si>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</si>
  <si>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</si>
  <si>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</si>
  <si>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</si>
  <si>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</si>
  <si>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</si>
  <si>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</si>
  <si>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</si>
  <si>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</si>
  <si>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</si>
  <si>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</si>
  <si>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</si>
  <si>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</si>
  <si>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</si>
  <si>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</si>
  <si>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</si>
  <si>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</si>
  <si>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</si>
  <si>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</si>
  <si>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</si>
  <si>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</si>
  <si>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</si>
  <si>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</si>
  <si>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</si>
  <si>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</si>
  <si>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</si>
  <si>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</si>
  <si>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</si>
  <si>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</si>
  <si>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</si>
  <si>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</si>
  <si>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</si>
  <si>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</si>
  <si>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</si>
  <si>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</si>
  <si>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</si>
  <si>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</si>
  <si>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</si>
  <si>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</si>
  <si>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</si>
  <si>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</si>
  <si>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</si>
  <si>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</si>
  <si>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</si>
  <si>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</si>
  <si>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</si>
  <si>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</si>
  <si>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</si>
  <si>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</si>
  <si>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</si>
  <si>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</si>
  <si>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</si>
  <si>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</si>
  <si>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</si>
  <si>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</si>
  <si>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</si>
  <si>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</si>
  <si>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</si>
  <si>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</si>
  <si>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</si>
  <si>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</si>
  <si>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</si>
  <si>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</si>
  <si>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</si>
  <si>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</si>
  <si>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</si>
  <si>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</si>
  <si>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</si>
  <si>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</si>
  <si>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</si>
  <si>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</si>
  <si>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</si>
  <si>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</si>
  <si>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</si>
  <si>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</si>
  <si>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</si>
  <si>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</si>
  <si>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</si>
  <si>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</si>
  <si>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</si>
  <si>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</si>
  <si>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</si>
  <si>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</si>
  <si>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</si>
  <si>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</si>
  <si>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</si>
  <si>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</si>
  <si>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</si>
  <si>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</si>
  <si>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</si>
  <si>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</si>
  <si>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</si>
  <si>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</si>
  <si>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</si>
  <si>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</si>
  <si>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</si>
  <si>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</si>
  <si>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</si>
  <si>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</si>
  <si>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</si>
  <si>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</si>
  <si>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</si>
  <si>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</si>
  <si>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</si>
  <si>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</si>
  <si>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</si>
  <si>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</si>
  <si>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</si>
  <si>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</si>
  <si>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</si>
  <si>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</si>
  <si>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</si>
  <si>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</si>
  <si>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</si>
  <si>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</si>
  <si>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</si>
  <si>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</si>
  <si>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</si>
  <si>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</si>
  <si>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</si>
  <si>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</si>
  <si>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</si>
  <si>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</si>
  <si>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</si>
  <si>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</si>
  <si>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</si>
  <si>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</si>
  <si>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</si>
  <si>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</si>
  <si>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</si>
  <si>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</si>
  <si>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</si>
  <si>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</si>
  <si>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</si>
  <si>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</si>
  <si>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</si>
  <si>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</si>
  <si>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</si>
  <si>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</si>
  <si>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</si>
  <si>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</si>
  <si>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</si>
  <si>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</si>
  <si>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</si>
  <si>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</si>
  <si>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</si>
  <si>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</si>
  <si>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</si>
  <si>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</si>
  <si>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</si>
  <si>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</si>
  <si>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</si>
  <si>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</si>
  <si>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</si>
  <si>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</si>
  <si>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</si>
  <si>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</si>
  <si>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</si>
  <si>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</si>
  <si>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</si>
  <si>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</si>
  <si>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</si>
  <si>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</si>
  <si>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</si>
  <si>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</si>
  <si>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</si>
  <si>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</si>
  <si>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</si>
  <si>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</si>
  <si>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</si>
  <si>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</si>
  <si>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</si>
  <si>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</si>
  <si>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</si>
  <si>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</si>
  <si>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</si>
  <si>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</si>
  <si>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</si>
  <si>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</si>
  <si>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</si>
  <si>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</si>
  <si>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</si>
  <si>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</si>
  <si>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</si>
  <si>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</si>
  <si>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</si>
  <si>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</si>
  <si>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</si>
  <si>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</si>
  <si>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</si>
  <si>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</si>
  <si>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</si>
  <si>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</si>
  <si>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</si>
  <si>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</si>
  <si>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</si>
  <si>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</si>
  <si>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</si>
  <si>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</si>
  <si>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</si>
  <si>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</si>
  <si>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</si>
  <si>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</si>
  <si>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</si>
  <si>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</si>
  <si>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</si>
  <si>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</si>
  <si>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</si>
  <si>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</si>
  <si>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</si>
  <si>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</si>
  <si>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</si>
  <si>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</si>
  <si>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</si>
  <si>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</si>
  <si>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</si>
  <si>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</si>
  <si>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</si>
  <si>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</si>
  <si>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</si>
  <si>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</si>
  <si>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</si>
  <si>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</si>
  <si>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</si>
  <si>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</si>
  <si>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</si>
  <si>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</si>
  <si>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</si>
  <si>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</si>
  <si>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</si>
  <si>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</si>
  <si>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</si>
  <si>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</si>
  <si>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</si>
  <si>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</si>
  <si>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</si>
  <si>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</si>
  <si>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</si>
  <si>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</si>
  <si>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</si>
  <si>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</si>
  <si>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</si>
  <si>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</si>
  <si>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</si>
  <si>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</si>
  <si>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</si>
  <si>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</si>
  <si>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</si>
  <si>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</si>
  <si>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</si>
  <si>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</si>
  <si>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</si>
  <si>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</si>
  <si>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</si>
  <si>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</si>
  <si>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</si>
  <si>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</si>
  <si>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</si>
  <si>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</si>
  <si>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</si>
  <si>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</si>
  <si>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</si>
  <si>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</si>
  <si>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</si>
  <si>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</si>
  <si>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</si>
  <si>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</si>
  <si>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</si>
  <si>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</si>
  <si>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</si>
  <si>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</si>
  <si>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</si>
  <si>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</si>
  <si>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</si>
  <si>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</si>
  <si>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</si>
  <si>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</si>
  <si>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</si>
  <si>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</si>
  <si>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</si>
  <si>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</si>
  <si>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</si>
  <si>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</si>
  <si>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</si>
  <si>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</si>
  <si>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</si>
  <si>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</si>
  <si>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</si>
  <si>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</si>
  <si>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</si>
  <si>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</si>
  <si>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</si>
  <si>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</si>
  <si>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</si>
  <si>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</si>
  <si>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</si>
  <si>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</si>
  <si>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</si>
  <si>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</si>
  <si>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</si>
  <si>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</si>
  <si>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</si>
  <si>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</si>
  <si>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</si>
  <si>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</si>
  <si>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</si>
  <si>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</si>
  <si>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</si>
  <si>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</si>
  <si>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</si>
  <si>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</si>
  <si>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</si>
  <si>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</si>
  <si>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</si>
  <si>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</si>
  <si>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</si>
  <si>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</si>
  <si>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</si>
  <si>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</si>
  <si>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</si>
  <si>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</si>
  <si>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</si>
  <si>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</si>
  <si>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</si>
  <si>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</si>
  <si>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</si>
  <si>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</si>
  <si>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</si>
  <si>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</si>
  <si>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</si>
  <si>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</si>
  <si>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</si>
  <si>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</si>
  <si>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</si>
  <si>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</si>
  <si>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</si>
  <si>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</si>
  <si>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</si>
  <si>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</si>
  <si>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</si>
  <si>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</si>
  <si>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</si>
  <si>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</si>
  <si>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</si>
  <si>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</si>
  <si>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</si>
  <si>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</si>
  <si>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</si>
  <si>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</si>
  <si>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</si>
  <si>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</si>
  <si>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</si>
  <si>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</si>
  <si>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</si>
  <si>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</si>
  <si>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</si>
  <si>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</si>
  <si>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</si>
  <si>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</si>
  <si>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</si>
  <si>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</si>
  <si>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</si>
  <si>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</si>
  <si>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</si>
  <si>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</si>
  <si>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</si>
  <si>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</si>
  <si>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</si>
  <si>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</si>
  <si>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</si>
  <si>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</si>
  <si>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</si>
  <si>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</si>
  <si>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</si>
  <si>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</si>
  <si>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</si>
  <si>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</si>
  <si>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</si>
  <si>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</si>
  <si>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</si>
  <si>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</si>
  <si>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</si>
  <si>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</si>
  <si>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</si>
  <si>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</si>
  <si>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</si>
  <si>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</si>
  <si>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</si>
  <si>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</si>
  <si>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</si>
  <si>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</si>
  <si>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</si>
  <si>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</si>
  <si>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</si>
  <si>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</si>
  <si>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</si>
  <si>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</si>
  <si>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</si>
  <si>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</si>
  <si>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</si>
  <si>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</si>
  <si>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</si>
  <si>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</si>
  <si>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</si>
  <si>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</si>
  <si>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</si>
  <si>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</si>
  <si>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</si>
  <si>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</si>
  <si>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</si>
  <si>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</si>
  <si>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</si>
  <si>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</si>
  <si>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</si>
  <si>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</si>
  <si>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</si>
  <si>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</si>
  <si>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</si>
  <si>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</si>
  <si>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</si>
  <si>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</si>
  <si>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</si>
  <si>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</si>
  <si>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</si>
  <si>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</si>
  <si>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</si>
  <si>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</si>
  <si>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</si>
  <si>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</si>
  <si>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</si>
  <si>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</si>
  <si>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</si>
  <si>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</si>
  <si>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</si>
  <si>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</si>
  <si>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</si>
  <si>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</si>
  <si>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</si>
  <si>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</si>
  <si>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</si>
  <si>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</si>
  <si>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</si>
  <si>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</si>
  <si>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</si>
  <si>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</si>
  <si>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</si>
  <si>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</si>
  <si>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</si>
  <si>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</si>
  <si>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</si>
  <si>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</si>
  <si>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</si>
  <si>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</si>
  <si>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</si>
  <si>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</si>
  <si>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</si>
  <si>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</si>
  <si>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</si>
  <si>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</si>
  <si>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</si>
  <si>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</si>
  <si>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</si>
  <si>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</si>
  <si>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</si>
  <si>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</si>
  <si>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</si>
  <si>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</si>
  <si>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</si>
  <si>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</si>
  <si>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</si>
  <si>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</si>
  <si>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</si>
  <si>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</si>
  <si>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</si>
  <si>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</si>
  <si>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</si>
  <si>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</si>
  <si>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</si>
  <si>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</si>
  <si>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</si>
  <si>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</si>
  <si>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</si>
  <si>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</si>
  <si>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</si>
  <si>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</si>
  <si>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</si>
  <si>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</si>
  <si>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</si>
  <si>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</si>
  <si>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</si>
  <si>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</si>
  <si>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</si>
  <si>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</si>
  <si>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</si>
  <si>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</si>
  <si>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</si>
  <si>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</si>
  <si>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</si>
  <si>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</si>
  <si>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</si>
  <si>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</si>
  <si>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</si>
  <si>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</si>
  <si>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</si>
  <si>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</si>
  <si>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</si>
  <si>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</si>
  <si>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</si>
  <si>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</si>
  <si>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</si>
  <si>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</si>
  <si>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</si>
  <si>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</si>
  <si>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</si>
  <si>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</si>
  <si>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</si>
  <si>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</si>
  <si>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</si>
  <si>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</si>
  <si>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</si>
  <si>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</si>
  <si>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</si>
  <si>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</si>
  <si>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</si>
  <si>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</si>
  <si>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</si>
  <si>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</si>
  <si>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</si>
  <si>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</si>
  <si>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</si>
  <si>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</si>
  <si>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</si>
  <si>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</si>
  <si>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</si>
  <si>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</si>
  <si>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</si>
  <si>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</si>
  <si>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</si>
  <si>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</si>
  <si>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</si>
  <si>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</si>
  <si>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</si>
  <si>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</si>
  <si>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</si>
  <si>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</si>
  <si>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</si>
  <si>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</si>
  <si>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</si>
  <si>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</si>
  <si>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</si>
  <si>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</si>
  <si>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</si>
  <si>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</si>
  <si>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</si>
  <si>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</si>
  <si>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</si>
  <si>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</si>
  <si>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</si>
  <si>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</si>
  <si>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</si>
  <si>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</si>
  <si>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</si>
  <si>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</si>
  <si>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</si>
  <si>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</si>
  <si>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</si>
  <si>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</si>
  <si>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</si>
  <si>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</si>
  <si>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</si>
  <si>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</si>
  <si>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</si>
  <si>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</si>
  <si>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</si>
  <si>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</si>
  <si>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</si>
  <si>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</si>
  <si>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</si>
  <si>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</si>
  <si>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</si>
  <si>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</si>
  <si>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</si>
  <si>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</si>
  <si>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</si>
  <si>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</si>
  <si>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</si>
  <si>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</si>
  <si>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</si>
  <si>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</si>
  <si>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</si>
  <si>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</si>
  <si>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</si>
  <si>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</si>
  <si>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</si>
  <si>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</si>
  <si>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</si>
  <si>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</si>
  <si>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</si>
  <si>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</si>
  <si>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</si>
  <si>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</si>
  <si>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</si>
  <si>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</si>
  <si>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</si>
  <si>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</si>
  <si>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</si>
  <si>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</si>
  <si>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</si>
  <si>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</si>
  <si>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</si>
  <si>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</si>
  <si>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</si>
  <si>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</si>
  <si>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</si>
  <si>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</si>
  <si>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</si>
  <si>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</si>
  <si>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</si>
  <si>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</si>
  <si>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</si>
  <si>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</si>
  <si>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</si>
  <si>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</si>
  <si>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</si>
  <si>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</si>
  <si>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</si>
  <si>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</si>
  <si>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</si>
  <si>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</si>
  <si>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</si>
  <si>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</si>
  <si>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</si>
  <si>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</si>
  <si>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</si>
  <si>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</si>
  <si>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</si>
  <si>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</si>
  <si>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</si>
  <si>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</si>
  <si>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</si>
  <si>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</si>
  <si>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</si>
  <si>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</si>
  <si>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</si>
  <si>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</si>
  <si>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</si>
  <si>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</si>
  <si>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</si>
  <si>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</si>
  <si>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</si>
  <si>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</si>
  <si>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</si>
  <si>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</si>
  <si>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</si>
  <si>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</si>
  <si>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</si>
  <si>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</si>
  <si>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</si>
  <si>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</si>
  <si>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</si>
  <si>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</si>
  <si>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</si>
  <si>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</si>
  <si>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</si>
  <si>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</si>
  <si>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</si>
  <si>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</si>
  <si>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</si>
  <si>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</si>
  <si>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</si>
  <si>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</si>
  <si>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</si>
  <si>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</si>
  <si>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</si>
  <si>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</si>
  <si>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</si>
  <si>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</si>
  <si>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</si>
  <si>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</si>
  <si>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</si>
  <si>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</si>
  <si>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</si>
  <si>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</si>
  <si>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</si>
  <si>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</si>
  <si>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</si>
  <si>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</si>
  <si>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</si>
  <si>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</si>
  <si>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</si>
  <si>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</si>
  <si>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</si>
  <si>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</si>
  <si>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</si>
  <si>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</si>
  <si>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</si>
  <si>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</si>
  <si>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</si>
  <si>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</si>
  <si>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</si>
  <si>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</si>
  <si>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</si>
  <si>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</si>
  <si>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</si>
  <si>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</si>
  <si>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</si>
  <si>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</si>
  <si>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</si>
  <si>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</si>
  <si>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</si>
  <si>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</si>
  <si>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</si>
  <si>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</si>
  <si>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</si>
  <si>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</si>
  <si>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</si>
  <si>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</si>
  <si>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</si>
  <si>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</si>
  <si>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</si>
  <si>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</si>
  <si>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</si>
  <si>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</si>
  <si>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</si>
  <si>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</si>
  <si>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</si>
  <si>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</si>
  <si>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</si>
  <si>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</si>
  <si>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</si>
  <si>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</si>
  <si>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</si>
  <si>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</si>
  <si>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</si>
  <si>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</si>
  <si>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</si>
  <si>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</si>
  <si>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</si>
  <si>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</si>
  <si>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</si>
  <si>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</si>
  <si>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</si>
  <si>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</si>
  <si>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</si>
  <si>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</si>
  <si>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</si>
  <si>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</si>
  <si>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</si>
  <si>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</si>
  <si>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</si>
  <si>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</si>
  <si>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</si>
  <si>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</si>
  <si>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</si>
  <si>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</si>
  <si>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</si>
  <si>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</si>
  <si>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</si>
  <si>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</si>
  <si>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</si>
  <si>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</si>
  <si>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</si>
  <si>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</si>
  <si>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</si>
  <si>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</si>
  <si>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</si>
  <si>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</si>
  <si>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</si>
  <si>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</si>
  <si>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</si>
  <si>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</si>
  <si>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</si>
  <si>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</si>
  <si>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</si>
  <si>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</si>
  <si>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</si>
  <si>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</si>
  <si>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</si>
  <si>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</si>
  <si>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</si>
  <si>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</si>
  <si>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</si>
  <si>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</si>
  <si>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</si>
  <si>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</si>
  <si>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</si>
  <si>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</si>
  <si>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</si>
  <si>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</si>
  <si>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</si>
  <si>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</si>
  <si>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</si>
  <si>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</si>
  <si>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</si>
  <si>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</si>
  <si>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</si>
  <si>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</si>
  <si>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</si>
  <si>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</si>
  <si>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</si>
  <si>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</si>
  <si>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</si>
  <si>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</si>
  <si>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</si>
  <si>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</si>
  <si>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</si>
  <si>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</si>
  <si>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</si>
  <si>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</si>
  <si>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</si>
  <si>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</si>
  <si>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</si>
  <si>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</si>
  <si>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</si>
  <si>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</si>
  <si>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</si>
  <si>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</si>
  <si>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</si>
  <si>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</si>
  <si>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</si>
  <si>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</si>
  <si>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</si>
  <si>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</si>
  <si>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</si>
  <si>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</si>
  <si>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</si>
  <si>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</si>
  <si>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</si>
  <si>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</si>
  <si>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</si>
  <si>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</si>
  <si>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</si>
  <si>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</si>
  <si>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</si>
  <si>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</si>
  <si>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</si>
  <si>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</si>
  <si>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</si>
  <si>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</si>
  <si>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</si>
  <si>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</si>
  <si>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</si>
  <si>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</si>
  <si>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</si>
  <si>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</si>
  <si>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</si>
  <si>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</si>
  <si>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</si>
  <si>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</si>
  <si>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</si>
  <si>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</si>
  <si>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</si>
  <si>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</si>
  <si>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</si>
  <si>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</si>
  <si>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</si>
  <si>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</si>
  <si>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</si>
  <si>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</si>
  <si>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</si>
  <si>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</si>
  <si>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</si>
  <si>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</si>
  <si>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</si>
  <si>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</si>
  <si>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</si>
  <si>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</si>
  <si>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</si>
  <si>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</si>
  <si>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</si>
  <si>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</si>
  <si>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</si>
  <si>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</si>
  <si>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</si>
  <si>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</si>
  <si>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</si>
  <si>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</si>
  <si>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</si>
  <si>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</si>
  <si>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</si>
  <si>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</si>
  <si>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</si>
  <si>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</si>
  <si>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</si>
  <si>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</si>
  <si>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</si>
  <si>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</si>
  <si>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</si>
  <si>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</si>
  <si>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</si>
  <si>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</si>
  <si>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</si>
  <si>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</si>
  <si>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</si>
  <si>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</si>
  <si>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</si>
  <si>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</si>
  <si>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</si>
  <si>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</si>
  <si>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</si>
  <si>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</si>
  <si>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</si>
  <si>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</si>
  <si>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</si>
  <si>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</si>
  <si>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</si>
  <si>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</si>
  <si>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</si>
  <si>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</si>
  <si>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</si>
  <si>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</si>
  <si>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</si>
  <si>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</si>
  <si>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</si>
  <si>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</si>
  <si>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</si>
  <si>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</si>
  <si>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</si>
  <si>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</si>
  <si>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</si>
  <si>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</si>
  <si>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</si>
  <si>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</si>
  <si>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</si>
  <si>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</si>
  <si>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</si>
  <si>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</si>
  <si>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</si>
  <si>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</si>
  <si>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</si>
  <si>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</si>
  <si>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</si>
  <si>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</si>
  <si>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</si>
  <si>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</si>
  <si>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</si>
  <si>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</si>
  <si>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</si>
  <si>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</si>
  <si>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</si>
  <si>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</si>
  <si>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</si>
  <si>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</si>
  <si>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</si>
  <si>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</si>
  <si>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</si>
  <si>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</si>
  <si>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</si>
  <si>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</si>
  <si>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</si>
  <si>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</si>
  <si>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</si>
  <si>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</si>
  <si>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</si>
  <si>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</si>
  <si>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</si>
  <si>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</si>
  <si>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</si>
  <si>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</si>
  <si>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</si>
  <si>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</si>
  <si>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</si>
  <si>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</si>
  <si>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</si>
  <si>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</si>
  <si>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</si>
  <si>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</si>
  <si>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</si>
  <si>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</si>
  <si>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</si>
  <si>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</si>
  <si>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</si>
  <si>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</si>
  <si>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</si>
  <si>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</si>
  <si>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</si>
  <si>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</si>
  <si>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</si>
  <si>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</si>
  <si>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</si>
  <si>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</si>
  <si>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</si>
  <si>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</si>
  <si>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</si>
  <si>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</si>
  <si>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</si>
  <si>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</si>
  <si>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</si>
  <si>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</si>
  <si>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</si>
  <si>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</si>
  <si>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</si>
  <si>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</si>
  <si>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</si>
  <si>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</si>
  <si>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</si>
  <si>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</si>
  <si>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</si>
  <si>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</si>
  <si>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</si>
  <si>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</si>
  <si>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</si>
  <si>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</si>
  <si>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</si>
  <si>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</si>
  <si>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</si>
  <si>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</si>
  <si>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</si>
  <si>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</si>
  <si>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</si>
  <si>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</si>
  <si>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</si>
  <si>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</si>
  <si>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</si>
  <si>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</si>
  <si>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</si>
  <si>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</si>
  <si>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</si>
  <si>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</si>
  <si>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</si>
  <si>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</si>
  <si>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</si>
  <si>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</si>
  <si>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</si>
  <si>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</si>
  <si>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</si>
  <si>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</si>
  <si>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</si>
  <si>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</si>
  <si>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</si>
  <si>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</si>
  <si>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</si>
  <si>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</si>
  <si>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</si>
  <si>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</si>
  <si>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</si>
  <si>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</si>
  <si>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</si>
  <si>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</si>
  <si>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</si>
  <si>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</si>
  <si>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</si>
  <si>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</si>
  <si>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</si>
  <si>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</si>
  <si>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</si>
  <si>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</si>
  <si>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</si>
  <si>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</si>
  <si>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</si>
  <si>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</si>
  <si>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</si>
  <si>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</si>
  <si>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</si>
  <si>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</si>
  <si>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</si>
  <si>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</si>
  <si>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</si>
  <si>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</si>
  <si>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</si>
  <si>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</si>
  <si>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</si>
  <si>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</si>
  <si>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</si>
  <si>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</si>
  <si>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</si>
  <si>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</si>
  <si>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</si>
  <si>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</si>
  <si>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</si>
  <si>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</si>
  <si>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</si>
  <si>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</si>
  <si>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</si>
  <si>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</si>
  <si>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</si>
  <si>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</si>
  <si>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</si>
  <si>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</si>
  <si>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</si>
  <si>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</si>
  <si>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</si>
  <si>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</si>
  <si>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</si>
  <si>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</si>
  <si>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</si>
  <si>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</si>
  <si>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</si>
  <si>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</si>
  <si>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</si>
  <si>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</si>
  <si>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</si>
  <si>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</si>
  <si>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</si>
  <si>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</si>
  <si>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</si>
  <si>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</si>
  <si>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</si>
  <si>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</si>
  <si>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</si>
  <si>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</si>
  <si>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</si>
  <si>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</si>
  <si>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</si>
  <si>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</si>
  <si>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</si>
  <si>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</si>
  <si>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</si>
  <si>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</si>
  <si>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</si>
  <si>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</si>
  <si>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</si>
  <si>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</si>
  <si>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</si>
  <si>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</si>
  <si>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</si>
  <si>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</si>
  <si>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</si>
  <si>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</si>
  <si>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</si>
  <si>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</si>
  <si>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</si>
  <si>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</si>
  <si>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</si>
  <si>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</si>
  <si>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</si>
  <si>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</si>
  <si>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</si>
  <si>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</si>
  <si>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</si>
  <si>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</si>
  <si>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</si>
  <si>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</si>
  <si>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</si>
  <si>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</si>
  <si>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</si>
  <si>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</si>
  <si>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</si>
  <si>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</si>
  <si>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</si>
  <si>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</si>
  <si>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</si>
  <si>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</si>
  <si>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</si>
  <si>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</si>
  <si>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</si>
  <si>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</si>
  <si>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</si>
  <si>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</si>
  <si>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</si>
  <si>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</si>
  <si>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</si>
  <si>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</si>
  <si>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</si>
  <si>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</si>
  <si>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</si>
  <si>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</si>
  <si>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</si>
  <si>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</si>
  <si>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</si>
  <si>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</si>
  <si>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</si>
  <si>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</si>
  <si>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</si>
  <si>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</si>
  <si>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</si>
  <si>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</si>
  <si>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</si>
  <si>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</si>
  <si>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</si>
  <si>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</si>
  <si>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</si>
  <si>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</si>
  <si>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</si>
  <si>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</si>
  <si>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</si>
  <si>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</si>
  <si>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</si>
  <si>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</si>
  <si>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</si>
  <si>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</si>
  <si>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</si>
  <si>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</si>
  <si>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</si>
  <si>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</si>
  <si>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</si>
  <si>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</si>
  <si>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</si>
  <si>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</si>
  <si>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</si>
  <si>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</si>
  <si>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</si>
  <si>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</si>
  <si>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</si>
  <si>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</si>
  <si>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</si>
  <si>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</si>
  <si>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</si>
  <si>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</si>
  <si>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</si>
  <si>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</si>
  <si>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</si>
  <si>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</si>
  <si>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</si>
  <si>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</si>
  <si>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</si>
  <si>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</si>
  <si>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</si>
  <si>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</si>
  <si>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</si>
  <si>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</si>
  <si>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</si>
  <si>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</si>
  <si>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</si>
  <si>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</si>
  <si>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</si>
  <si>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</si>
  <si>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</si>
  <si>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</si>
  <si>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</si>
  <si>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</si>
  <si>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</si>
  <si>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</si>
  <si>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</si>
  <si>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</si>
  <si>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</si>
  <si>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</si>
  <si>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</si>
  <si>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</si>
  <si>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</si>
  <si>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</si>
  <si>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</si>
  <si>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</si>
  <si>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</si>
  <si>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</si>
  <si>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</si>
  <si>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</si>
  <si>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</si>
  <si>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</si>
  <si>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</si>
  <si>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</si>
  <si>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</si>
  <si>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</si>
  <si>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</si>
  <si>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</si>
  <si>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</si>
  <si>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</si>
  <si>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</si>
  <si>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</si>
  <si>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</si>
  <si>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</si>
  <si>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</si>
  <si>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</si>
  <si>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</si>
  <si>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</si>
  <si>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</si>
  <si>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</si>
  <si>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</si>
  <si>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</si>
  <si>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</si>
  <si>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</si>
  <si>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</si>
  <si>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</si>
  <si>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</si>
  <si>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</si>
  <si>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</si>
  <si>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</si>
  <si>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</si>
  <si>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</si>
  <si>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</si>
  <si>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</si>
  <si>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</si>
  <si>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</si>
  <si>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</si>
  <si>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</si>
  <si>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</si>
  <si>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</si>
  <si>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</si>
  <si>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</si>
  <si>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</si>
  <si>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</si>
  <si>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</si>
  <si>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</si>
  <si>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</si>
  <si>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</si>
  <si>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</si>
  <si>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</si>
  <si>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</si>
  <si>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</si>
  <si>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</si>
  <si>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</si>
  <si>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</si>
  <si>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</si>
  <si>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</si>
  <si>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</si>
  <si>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</si>
  <si>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</si>
  <si>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</si>
  <si>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</si>
  <si>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</si>
  <si>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</si>
  <si>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</si>
  <si>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</si>
  <si>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</si>
  <si>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</si>
  <si>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</si>
  <si>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</si>
  <si>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</si>
  <si>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</si>
  <si>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</si>
  <si>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</si>
  <si>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</si>
  <si>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</si>
  <si>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</si>
  <si>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</si>
  <si>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</si>
  <si>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</si>
  <si>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</si>
  <si>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</si>
  <si>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</si>
  <si>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</si>
  <si>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</si>
  <si>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</si>
  <si>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</si>
  <si>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</si>
  <si>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</si>
  <si>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</si>
  <si>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</si>
  <si>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</si>
  <si>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</si>
  <si>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</si>
  <si>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</si>
  <si>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</si>
  <si>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</si>
  <si>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</si>
  <si>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</si>
  <si>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</si>
  <si>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</si>
  <si>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</si>
  <si>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</si>
  <si>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</si>
  <si>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</si>
  <si>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</si>
  <si>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</si>
  <si>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</si>
  <si>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</si>
  <si>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</si>
  <si>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</si>
  <si>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</si>
  <si>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</si>
  <si>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</si>
  <si>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</si>
  <si>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</si>
  <si>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</si>
  <si>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</si>
  <si>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</si>
  <si>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</si>
  <si>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</si>
  <si>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</si>
  <si>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</si>
  <si>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</si>
  <si>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</si>
  <si>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</si>
  <si>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</si>
  <si>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</si>
  <si>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</si>
  <si>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</si>
  <si>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</si>
  <si>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</si>
  <si>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</si>
  <si>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</si>
  <si>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</si>
  <si>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</si>
  <si>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</si>
  <si>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</si>
  <si>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</si>
  <si>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</si>
  <si>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</si>
  <si>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</si>
  <si>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</si>
  <si>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</si>
  <si>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</si>
  <si>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</si>
  <si>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</si>
  <si>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</si>
  <si>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</si>
  <si>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</si>
  <si>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</si>
  <si>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</si>
  <si>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</si>
  <si>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</si>
  <si>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</si>
  <si>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</si>
  <si>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</si>
  <si>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</si>
  <si>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</si>
  <si>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</si>
  <si>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</si>
  <si>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</si>
  <si>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</si>
  <si>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</si>
  <si>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</si>
  <si>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</si>
  <si>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</si>
  <si>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</si>
  <si>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</si>
  <si>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</si>
  <si>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</si>
  <si>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</si>
  <si>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</si>
  <si>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</si>
  <si>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</si>
  <si>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</si>
  <si>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</si>
  <si>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</si>
  <si>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</si>
  <si>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</si>
  <si>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</si>
  <si>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</si>
  <si>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</si>
  <si>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</si>
  <si>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</si>
  <si>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</si>
  <si>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</si>
  <si>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</si>
  <si>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</si>
  <si>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</si>
  <si>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</si>
  <si>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</si>
  <si>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</si>
  <si>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</si>
  <si>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</si>
  <si>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</si>
  <si>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</si>
  <si>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</si>
  <si>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</si>
  <si>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</si>
  <si>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</si>
  <si>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</si>
  <si>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</si>
  <si>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</si>
  <si>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</si>
  <si>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</si>
  <si>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</si>
  <si>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</si>
  <si>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</si>
  <si>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</si>
  <si>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</si>
  <si>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</si>
  <si>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</si>
  <si>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</si>
  <si>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</si>
  <si>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</si>
  <si>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</si>
  <si>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</si>
  <si>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</si>
  <si>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</si>
  <si>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</si>
  <si>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</si>
  <si>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</si>
  <si>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</si>
  <si>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</si>
  <si>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</si>
  <si>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</si>
  <si>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</si>
  <si>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</si>
  <si>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</si>
  <si>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</si>
  <si>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</si>
  <si>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</si>
  <si>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</si>
  <si>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</si>
  <si>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</si>
  <si>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</si>
  <si>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</si>
  <si>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</si>
  <si>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</si>
  <si>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</si>
  <si>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</si>
  <si>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</si>
  <si>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</si>
  <si>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</si>
  <si>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</si>
  <si>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</si>
  <si>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</si>
  <si>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</si>
  <si>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</si>
  <si>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</si>
  <si>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</si>
  <si>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</si>
  <si>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</si>
  <si>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</si>
  <si>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</si>
  <si>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</si>
  <si>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</si>
  <si>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</si>
  <si>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</si>
  <si>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</si>
  <si>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</si>
  <si>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</si>
  <si>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</si>
  <si>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</si>
  <si>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</si>
  <si>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</si>
  <si>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</si>
  <si>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</si>
  <si>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</si>
  <si>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</si>
  <si>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</si>
  <si>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</si>
  <si>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</si>
  <si>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</si>
  <si>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</si>
  <si>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</si>
  <si>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</si>
  <si>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</si>
  <si>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</si>
  <si>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</si>
  <si>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</si>
  <si>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</si>
  <si>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</si>
  <si>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</si>
  <si>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</si>
  <si>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</si>
  <si>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</si>
  <si>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</si>
  <si>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</si>
  <si>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</si>
  <si>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</si>
  <si>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</si>
  <si>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</si>
  <si>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</si>
  <si>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</si>
  <si>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</si>
  <si>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</si>
  <si>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</si>
  <si>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</si>
  <si>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</si>
  <si>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</si>
  <si>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</si>
  <si>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</si>
  <si>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</si>
  <si>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</si>
  <si>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</si>
  <si>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</si>
  <si>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</si>
  <si>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</si>
  <si>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</si>
  <si>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</si>
  <si>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</si>
  <si>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</si>
  <si>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</si>
  <si>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</si>
  <si>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</si>
  <si>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</si>
  <si>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</si>
  <si>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</si>
  <si>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</si>
  <si>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</si>
  <si>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</si>
  <si>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</si>
  <si>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</si>
  <si>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</si>
  <si>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</si>
  <si>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</si>
  <si>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</si>
  <si>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</si>
  <si>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</si>
  <si>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</si>
  <si>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</si>
  <si>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</si>
  <si>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</si>
  <si>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</si>
  <si>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</si>
  <si>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</si>
  <si>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</si>
  <si>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</si>
  <si>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</si>
  <si>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</si>
  <si>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</si>
  <si>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</si>
  <si>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</si>
  <si>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</si>
  <si>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</si>
  <si>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</si>
  <si>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</si>
  <si>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</si>
  <si>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</si>
  <si>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</si>
  <si>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</si>
  <si>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</si>
  <si>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</si>
  <si>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</si>
  <si>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</si>
  <si>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</si>
  <si>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</si>
  <si>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</si>
  <si>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</si>
  <si>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</si>
  <si>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</si>
  <si>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</si>
  <si>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</si>
  <si>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</si>
  <si>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</si>
  <si>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</si>
  <si>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</si>
  <si>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</si>
  <si>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</si>
  <si>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</si>
  <si>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</si>
  <si>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</si>
  <si>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</si>
  <si>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</si>
  <si>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</si>
  <si>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</si>
  <si>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</si>
  <si>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</si>
  <si>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</si>
  <si>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</si>
  <si>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</si>
  <si>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</si>
  <si>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</si>
  <si>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</si>
  <si>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</si>
  <si>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</si>
  <si>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</si>
  <si>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</si>
  <si>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</si>
  <si>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</si>
  <si>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</si>
  <si>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</si>
  <si>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</si>
  <si>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</si>
  <si>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</si>
  <si>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</si>
  <si>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</si>
  <si>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</si>
  <si>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</si>
  <si>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</si>
  <si>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</si>
  <si>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</si>
  <si>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</si>
  <si>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</si>
  <si>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</si>
  <si>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</si>
  <si>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</si>
  <si>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</si>
  <si>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</si>
  <si>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</si>
  <si>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</si>
  <si>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</si>
  <si>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</si>
  <si>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</si>
  <si>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</si>
  <si>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</si>
  <si>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</si>
  <si>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</si>
  <si>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</si>
  <si>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</si>
  <si>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</si>
  <si>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</si>
  <si>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</si>
  <si>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</si>
  <si>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</si>
  <si>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</si>
  <si>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</si>
  <si>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</si>
  <si>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</si>
  <si>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</si>
  <si>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</si>
  <si>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</si>
  <si>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</si>
  <si>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</si>
  <si>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</si>
  <si>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</si>
  <si>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</si>
  <si>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</si>
  <si>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</si>
  <si>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</si>
  <si>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</si>
  <si>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</si>
  <si>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</si>
  <si>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</si>
  <si>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</si>
  <si>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</si>
  <si>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</si>
  <si>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</si>
  <si>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</si>
  <si>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</si>
  <si>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</si>
  <si>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</si>
  <si>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</si>
  <si>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</si>
  <si>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</si>
  <si>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</si>
  <si>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</si>
  <si>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</si>
  <si>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</si>
  <si>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</si>
  <si>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</si>
  <si>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</si>
  <si>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</si>
  <si>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</si>
  <si>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</si>
  <si>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</si>
  <si>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</si>
  <si>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</si>
  <si>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</si>
  <si>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</si>
  <si>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</si>
  <si>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</si>
  <si>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</si>
  <si>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</si>
  <si>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</si>
  <si>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</si>
  <si>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</si>
  <si>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</si>
  <si>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</si>
  <si>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</si>
  <si>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</si>
  <si>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</si>
  <si>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</si>
  <si>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</si>
  <si>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</si>
  <si>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</si>
  <si>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</si>
  <si>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</si>
  <si>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</si>
  <si>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</si>
  <si>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</si>
  <si>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</si>
  <si>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</si>
  <si>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</si>
  <si>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</si>
  <si>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</si>
  <si>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</si>
  <si>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</si>
  <si>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</si>
  <si>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</si>
  <si>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</si>
  <si>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</si>
  <si>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</si>
  <si>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</si>
  <si>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</si>
  <si>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</si>
  <si>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</si>
  <si>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</si>
  <si>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</si>
  <si>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</si>
  <si>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</si>
  <si>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</si>
  <si>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</si>
  <si>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</si>
  <si>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</si>
  <si>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</si>
  <si>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</si>
  <si>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</si>
  <si>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</si>
  <si>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</si>
  <si>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</si>
  <si>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</si>
  <si>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</si>
  <si>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</si>
  <si>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</si>
  <si>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</si>
  <si>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</si>
  <si>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</si>
  <si>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</si>
  <si>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</si>
  <si>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</si>
  <si>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</si>
  <si>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</si>
  <si>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</si>
  <si>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</si>
  <si>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</si>
  <si>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</si>
  <si>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</si>
  <si>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</si>
  <si>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</si>
  <si>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</si>
  <si>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</si>
  <si>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</si>
  <si>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</si>
  <si>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</si>
  <si>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</si>
  <si>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</si>
  <si>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</si>
  <si>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</si>
  <si>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</si>
  <si>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</si>
  <si>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</si>
  <si>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</si>
  <si>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</si>
  <si>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</si>
  <si>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</si>
  <si>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</si>
  <si>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</si>
  <si>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</si>
  <si>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</si>
  <si>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</si>
  <si>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</si>
  <si>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</si>
  <si>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</si>
  <si>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</si>
  <si>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</si>
  <si>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</si>
  <si>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</si>
  <si>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</si>
  <si>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</si>
  <si>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</si>
  <si>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</si>
  <si>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</si>
  <si>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</si>
  <si>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</si>
  <si>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</si>
  <si>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</si>
  <si>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</si>
  <si>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</si>
  <si>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</si>
  <si>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</si>
  <si>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</si>
  <si>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</si>
  <si>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</si>
  <si>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</si>
  <si>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</si>
  <si>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</si>
  <si>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</si>
  <si>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</si>
  <si>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</si>
  <si>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</si>
  <si>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</si>
  <si>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</si>
  <si>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</si>
  <si>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</si>
  <si>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</si>
  <si>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</si>
  <si>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</si>
  <si>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</si>
  <si>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</si>
  <si>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</si>
  <si>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</si>
  <si>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</si>
  <si>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</si>
  <si>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</si>
  <si>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</si>
  <si>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</si>
  <si>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</si>
  <si>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</si>
  <si>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</si>
  <si>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</si>
  <si>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</si>
  <si>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</si>
  <si>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</si>
  <si>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</si>
  <si>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</si>
  <si>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</si>
  <si>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</si>
  <si>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</si>
  <si>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</si>
  <si>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</si>
  <si>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</si>
  <si>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</si>
  <si>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</si>
  <si>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</si>
  <si>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</si>
  <si>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</si>
  <si>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</si>
  <si>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</si>
  <si>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</si>
  <si>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</si>
  <si>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</si>
  <si>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</si>
  <si>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</si>
  <si>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</si>
  <si>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</si>
  <si>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</si>
  <si>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</si>
  <si>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</si>
  <si>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</si>
  <si>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</si>
  <si>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</si>
  <si>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</si>
  <si>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</si>
  <si>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</si>
  <si>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</si>
  <si>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</si>
  <si>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</si>
  <si>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</si>
  <si>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</si>
  <si>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</si>
  <si>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</si>
  <si>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</si>
  <si>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</si>
  <si>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</si>
  <si>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</si>
  <si>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</si>
  <si>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</si>
  <si>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</si>
  <si>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</si>
  <si>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</si>
  <si>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</si>
  <si>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</si>
  <si>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</si>
  <si>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</si>
  <si>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</si>
  <si>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</si>
  <si>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</si>
  <si>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</si>
  <si>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</si>
  <si>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</si>
  <si>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</si>
  <si>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</si>
  <si>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</si>
  <si>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</si>
  <si>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</si>
  <si>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</si>
  <si>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</si>
  <si>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</si>
  <si>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</si>
  <si>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</si>
  <si>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</si>
  <si>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</si>
  <si>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</si>
  <si>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</si>
  <si>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</si>
  <si>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</si>
  <si>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</si>
  <si>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</si>
  <si>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</si>
  <si>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</si>
  <si>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</si>
  <si>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</si>
  <si>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</si>
  <si>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</si>
  <si>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</si>
  <si>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</si>
  <si>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</si>
  <si>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</si>
  <si>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</si>
  <si>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</si>
  <si>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</si>
  <si>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</si>
  <si>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</si>
  <si>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</si>
  <si>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</si>
  <si>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</si>
  <si>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</si>
  <si>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</si>
  <si>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</si>
  <si>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</si>
  <si>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</si>
  <si>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</si>
  <si>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</si>
  <si>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</si>
  <si>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</si>
  <si>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</si>
  <si>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</si>
  <si>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</si>
  <si>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</si>
  <si>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</si>
  <si>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</si>
  <si>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</si>
  <si>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</si>
  <si>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</si>
  <si>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</si>
  <si>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</si>
  <si>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</si>
  <si>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</si>
  <si>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</si>
  <si>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</si>
  <si>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</si>
  <si>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</si>
  <si>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</si>
  <si>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</si>
  <si>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</si>
  <si>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</si>
  <si>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</si>
  <si>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</si>
  <si>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</si>
  <si>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</si>
  <si>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</si>
  <si>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</si>
  <si>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</si>
  <si>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</si>
  <si>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</si>
  <si>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</si>
  <si>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</si>
  <si>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</si>
  <si>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</si>
  <si>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</si>
  <si>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</si>
  <si>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</si>
  <si>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</si>
  <si>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</si>
  <si>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</si>
  <si>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</si>
  <si>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</si>
  <si>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</si>
  <si>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</si>
  <si>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</si>
  <si>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</si>
  <si>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</si>
  <si>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</si>
  <si>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</si>
  <si>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</si>
  <si>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</si>
  <si>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</si>
  <si>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</si>
  <si>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</si>
  <si>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</si>
  <si>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</si>
  <si>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</si>
  <si>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</si>
  <si>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</si>
  <si>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</si>
  <si>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</si>
  <si>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</si>
  <si>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</si>
  <si>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</si>
  <si>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</si>
  <si>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</si>
  <si>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</si>
  <si>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</si>
  <si>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</si>
  <si>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</si>
  <si>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</si>
  <si>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</si>
  <si>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</si>
  <si>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</si>
  <si>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</si>
  <si>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</si>
  <si>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</si>
  <si>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</si>
  <si>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</si>
  <si>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</si>
  <si>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</si>
  <si>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</si>
  <si>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</si>
  <si>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</si>
  <si>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</si>
  <si>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</si>
  <si>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</si>
  <si>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</si>
  <si>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</si>
  <si>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</si>
  <si>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</si>
  <si>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</si>
  <si>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</si>
  <si>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</si>
  <si>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</si>
  <si>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</si>
  <si>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</si>
  <si>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</si>
  <si>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</si>
  <si>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</si>
  <si>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</si>
  <si>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</si>
  <si>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</si>
  <si>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</si>
  <si>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</si>
  <si>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</si>
  <si>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</si>
  <si>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</si>
  <si>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</si>
  <si>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</si>
  <si>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</si>
  <si>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</si>
  <si>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</si>
  <si>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</si>
  <si>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</si>
  <si>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</si>
  <si>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</si>
  <si>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</si>
  <si>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</si>
  <si>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</si>
  <si>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</si>
  <si>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</si>
  <si>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</si>
  <si>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</si>
  <si>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</si>
  <si>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</si>
  <si>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</si>
  <si>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</si>
  <si>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</si>
  <si>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</si>
  <si>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</si>
  <si>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</si>
  <si>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</si>
  <si>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</si>
  <si>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</si>
  <si>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</si>
  <si>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</si>
  <si>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</si>
  <si>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</si>
  <si>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</si>
  <si>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</si>
  <si>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</si>
  <si>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</si>
  <si>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</si>
  <si>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</si>
  <si>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</si>
  <si>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</si>
  <si>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</si>
  <si>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</si>
  <si>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</si>
  <si>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</si>
  <si>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</si>
  <si>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</si>
  <si>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</si>
  <si>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</si>
  <si>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</si>
  <si>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</si>
  <si>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</si>
  <si>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</si>
  <si>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</si>
  <si>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</si>
  <si>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</si>
  <si>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</si>
  <si>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</si>
  <si>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</si>
  <si>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</si>
  <si>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</si>
  <si>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</si>
  <si>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</si>
  <si>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</si>
  <si>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</si>
  <si>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</si>
  <si>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</si>
  <si>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</si>
  <si>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</si>
  <si>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</si>
  <si>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</si>
  <si>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</si>
  <si>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</si>
  <si>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</si>
  <si>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</si>
  <si>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</si>
  <si>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</si>
  <si>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</si>
  <si>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</si>
  <si>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</si>
  <si>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</si>
  <si>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</si>
  <si>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</si>
  <si>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</si>
  <si>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</si>
  <si>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</si>
  <si>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</si>
  <si>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</si>
  <si>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</si>
  <si>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</si>
  <si>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</si>
  <si>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</si>
  <si>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</si>
  <si>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</si>
  <si>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</si>
  <si>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</si>
  <si>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</si>
  <si>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</si>
  <si>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</si>
  <si>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</si>
  <si>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</si>
  <si>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</si>
  <si>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</si>
  <si>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</si>
  <si>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</si>
  <si>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</si>
  <si>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</si>
  <si>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</si>
  <si>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</si>
  <si>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</si>
  <si>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</si>
  <si>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</si>
  <si>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</si>
  <si>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</si>
  <si>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</si>
  <si>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</si>
  <si>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</si>
  <si>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</si>
  <si>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</si>
  <si>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</si>
  <si>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</si>
  <si>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</si>
  <si>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</si>
  <si>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</si>
  <si>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</si>
  <si>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</si>
  <si>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</si>
  <si>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</si>
  <si>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</si>
  <si>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</si>
  <si>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</si>
  <si>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</si>
  <si>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</si>
  <si>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</si>
  <si>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</si>
  <si>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</si>
  <si>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</si>
  <si>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</si>
  <si>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</si>
  <si>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</si>
  <si>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</si>
  <si>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</si>
  <si>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</si>
  <si>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</si>
  <si>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</si>
  <si>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</si>
  <si>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</si>
  <si>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</si>
  <si>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</si>
  <si>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</si>
  <si>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</si>
  <si>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</si>
  <si>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</si>
  <si>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</si>
  <si>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</si>
  <si>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</si>
  <si>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</si>
  <si>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</si>
  <si>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</si>
  <si>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</si>
  <si>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</si>
  <si>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</si>
  <si>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</si>
  <si>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</si>
  <si>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</si>
  <si>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</si>
  <si>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</si>
  <si>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</si>
  <si>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</si>
  <si>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</si>
  <si>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</si>
  <si>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</si>
  <si>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</si>
  <si>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</si>
  <si>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</si>
  <si>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</si>
  <si>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</si>
  <si>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</si>
  <si>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</si>
  <si>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</si>
  <si>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</si>
  <si>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</si>
  <si>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</si>
  <si>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</si>
  <si>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</si>
  <si>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</si>
  <si>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</si>
  <si>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</si>
  <si>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</si>
  <si>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</si>
  <si>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</si>
  <si>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</si>
  <si>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</si>
  <si>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</si>
  <si>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</si>
  <si>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</si>
  <si>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</si>
  <si>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</si>
  <si>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</si>
  <si>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</si>
  <si>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</si>
  <si>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</si>
  <si>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</si>
  <si>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</si>
  <si>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</si>
  <si>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</si>
  <si>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</si>
  <si>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</si>
  <si>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</si>
  <si>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</si>
  <si>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</si>
  <si>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</si>
  <si>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</si>
  <si>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</si>
  <si>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</si>
  <si>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</si>
  <si>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</si>
  <si>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</si>
  <si>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</si>
  <si>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</si>
  <si>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</si>
  <si>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</si>
  <si>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</si>
  <si>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</si>
  <si>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</si>
  <si>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</si>
  <si>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</si>
  <si>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</si>
  <si>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</si>
  <si>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</si>
  <si>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</si>
  <si>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</si>
  <si>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</si>
  <si>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</si>
  <si>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</si>
  <si>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</si>
  <si>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</si>
  <si>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</si>
  <si>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</si>
  <si>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</si>
  <si>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</si>
  <si>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</si>
  <si>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</si>
  <si>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</si>
  <si>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</si>
  <si>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</si>
  <si>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</si>
  <si>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</si>
  <si>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</si>
  <si>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</si>
  <si>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</si>
  <si>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</si>
  <si>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</si>
  <si>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</si>
  <si>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</si>
  <si>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</si>
  <si>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</si>
  <si>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</si>
  <si>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</si>
  <si>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</si>
  <si>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</si>
  <si>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</si>
  <si>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</si>
  <si>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</si>
  <si>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</si>
  <si>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</si>
  <si>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</si>
  <si>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</si>
  <si>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</si>
  <si>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</si>
  <si>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</si>
  <si>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</si>
  <si>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</si>
  <si>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</si>
  <si>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</si>
  <si>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</si>
  <si>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</si>
  <si>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</si>
  <si>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</si>
  <si>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</si>
  <si>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</si>
  <si>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</si>
  <si>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</si>
  <si>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</si>
  <si>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</si>
  <si>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</si>
  <si>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</si>
  <si>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</si>
  <si>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</si>
  <si>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</si>
  <si>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</si>
  <si>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</si>
  <si>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</si>
  <si>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</si>
  <si>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</si>
  <si>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</si>
  <si>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</si>
  <si>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</si>
  <si>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</si>
  <si>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</si>
  <si>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</si>
  <si>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</si>
  <si>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</si>
  <si>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</si>
  <si>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</si>
  <si>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</si>
  <si>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</si>
  <si>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</si>
  <si>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</si>
  <si>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</si>
  <si>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</si>
  <si>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</si>
  <si>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</si>
  <si>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</si>
  <si>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</si>
  <si>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</si>
  <si>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</si>
  <si>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</si>
  <si>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</si>
  <si>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</si>
  <si>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</si>
  <si>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</si>
  <si>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</si>
  <si>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</si>
  <si>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</si>
  <si>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</si>
  <si>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</si>
  <si>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</si>
  <si>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</si>
  <si>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</si>
  <si>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</si>
  <si>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</si>
  <si>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</si>
  <si>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</si>
  <si>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</si>
  <si>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</si>
  <si>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</si>
  <si>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</si>
  <si>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</si>
  <si>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</si>
  <si>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</si>
  <si>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</si>
  <si>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</si>
  <si>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</si>
  <si>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</si>
  <si>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</si>
  <si>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</si>
  <si>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</si>
  <si>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</si>
  <si>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</si>
  <si>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</si>
  <si>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</si>
  <si>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</si>
  <si>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</si>
  <si>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</si>
  <si>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</si>
  <si>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</si>
  <si>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</si>
  <si>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</si>
  <si>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</si>
  <si>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</si>
  <si>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</si>
  <si>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</si>
  <si>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</si>
  <si>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</si>
  <si>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</si>
  <si>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</si>
  <si>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</si>
  <si>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</si>
  <si>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</si>
  <si>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</si>
  <si>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</si>
  <si>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</si>
  <si>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</si>
  <si>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</si>
  <si>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</si>
  <si>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</si>
  <si>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</si>
  <si>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</si>
  <si>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</si>
  <si>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</si>
  <si>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</si>
  <si>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</si>
  <si>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</si>
  <si>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</si>
  <si>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</si>
  <si>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</si>
  <si>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</si>
  <si>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</si>
  <si>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</si>
  <si>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</si>
  <si>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</si>
  <si>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</si>
  <si>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</si>
  <si>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</si>
  <si>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</si>
  <si>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</si>
  <si>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</si>
  <si>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</si>
  <si>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</si>
  <si>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</si>
  <si>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</si>
  <si>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</si>
  <si>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</si>
  <si>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</si>
  <si>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</si>
  <si>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</si>
  <si>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</si>
  <si>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</si>
  <si>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</si>
  <si>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</si>
  <si>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</si>
  <si>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</si>
  <si>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</si>
  <si>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</si>
  <si>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</si>
  <si>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</si>
  <si>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</si>
  <si>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</si>
  <si>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</si>
  <si>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</si>
  <si>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</si>
  <si>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</si>
  <si>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</si>
  <si>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</si>
  <si>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</si>
  <si>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</si>
  <si>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</si>
  <si>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</si>
  <si>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</si>
  <si>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</si>
  <si>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</si>
  <si>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</si>
  <si>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</si>
  <si>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</si>
  <si>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</si>
  <si>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</si>
  <si>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</si>
  <si>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</si>
  <si>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</si>
  <si>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</si>
  <si>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</si>
  <si>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</si>
  <si>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</si>
  <si>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</si>
  <si>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</si>
  <si>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</si>
  <si>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</si>
  <si>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</si>
  <si>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</si>
  <si>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</si>
  <si>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</si>
  <si>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</si>
  <si>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</si>
  <si>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</si>
  <si>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</si>
  <si>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</si>
  <si>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</si>
  <si>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</si>
  <si>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</si>
  <si>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</si>
  <si>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</si>
  <si>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</si>
  <si>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</si>
  <si>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</si>
  <si>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</si>
  <si>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</si>
  <si>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</si>
  <si>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</si>
  <si>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</si>
  <si>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</si>
  <si>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</si>
  <si>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</si>
  <si>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</si>
  <si>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</si>
  <si>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</si>
  <si>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</si>
  <si>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</si>
  <si>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</si>
  <si>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</si>
  <si>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</si>
  <si>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</si>
  <si>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</si>
  <si>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</si>
  <si>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</si>
  <si>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</si>
  <si>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</si>
  <si>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</si>
  <si>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</si>
  <si>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</si>
  <si>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</si>
  <si>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</si>
  <si>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</si>
  <si>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</si>
  <si>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</si>
  <si>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</si>
  <si>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</si>
  <si>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</si>
  <si>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</si>
  <si>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</si>
  <si>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</si>
  <si>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</si>
  <si>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</si>
  <si>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</si>
  <si>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</si>
  <si>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</si>
  <si>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</si>
  <si>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</si>
  <si>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</si>
  <si>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</si>
  <si>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</si>
  <si>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</si>
  <si>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</si>
  <si>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</si>
  <si>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</si>
  <si>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</si>
  <si>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</si>
  <si>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</si>
  <si>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</si>
  <si>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</si>
  <si>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</si>
  <si>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</si>
  <si>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</si>
  <si>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</si>
  <si>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</si>
  <si>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</si>
  <si>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</si>
  <si>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</si>
  <si>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</si>
  <si>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</si>
  <si>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</si>
  <si>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</si>
  <si>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</si>
  <si>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</si>
  <si>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</si>
  <si>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</si>
  <si>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</si>
  <si>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</si>
  <si>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</si>
  <si>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</si>
  <si>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</si>
  <si>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</si>
  <si>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</si>
  <si>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</si>
  <si>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</si>
  <si>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</si>
  <si>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</si>
  <si>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</si>
  <si>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</si>
  <si>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</si>
  <si>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</si>
  <si>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</si>
  <si>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</si>
  <si>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</si>
  <si>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</si>
  <si>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</si>
  <si>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</si>
  <si>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</si>
  <si>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</si>
  <si>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</si>
  <si>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</si>
  <si>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</si>
  <si>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</si>
  <si>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</si>
  <si>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</si>
  <si>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</si>
  <si>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</si>
  <si>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</si>
  <si>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</si>
  <si>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</si>
  <si>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</si>
  <si>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</si>
  <si>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</si>
  <si>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</si>
  <si>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</si>
  <si>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</si>
  <si>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</si>
  <si>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</si>
  <si>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</si>
  <si>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</si>
  <si>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</si>
  <si>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</si>
  <si>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</si>
  <si>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</si>
  <si>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</si>
  <si>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</si>
  <si>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</si>
  <si>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</si>
  <si>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</si>
  <si>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</si>
  <si>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</si>
  <si>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</si>
  <si>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</si>
  <si>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</si>
  <si>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</si>
  <si>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</si>
  <si>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</si>
  <si>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</si>
  <si>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</si>
  <si>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</si>
  <si>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</si>
  <si>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</si>
  <si>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</si>
  <si>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</si>
  <si>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</si>
  <si>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</si>
  <si>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</si>
  <si>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</si>
  <si>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</si>
  <si>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</si>
  <si>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</si>
  <si>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</si>
  <si>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</si>
  <si>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</si>
  <si>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</si>
  <si>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</si>
  <si>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</si>
  <si>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</si>
  <si>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</si>
  <si>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</si>
  <si>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</si>
  <si>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</si>
  <si>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</si>
  <si>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</si>
  <si>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</si>
  <si>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</si>
  <si>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</si>
  <si>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</si>
  <si>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</si>
  <si>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</si>
  <si>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</si>
  <si>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</si>
  <si>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</si>
  <si>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</si>
  <si>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</si>
  <si>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</si>
  <si>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</si>
  <si>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</si>
  <si>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</si>
  <si>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</si>
  <si>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</si>
  <si>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</si>
  <si>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</si>
  <si>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</si>
  <si>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</si>
  <si>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</si>
  <si>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</si>
  <si>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</si>
  <si>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</si>
  <si>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</si>
  <si>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</si>
  <si>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</si>
  <si>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</si>
  <si>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</si>
  <si>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</si>
  <si>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</si>
  <si>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</si>
  <si>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</si>
  <si>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</si>
  <si>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</si>
  <si>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</si>
  <si>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</si>
  <si>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</si>
  <si>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</si>
  <si>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</si>
  <si>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</si>
  <si>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</si>
  <si>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</si>
  <si>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</si>
  <si>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</si>
  <si>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</si>
  <si>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</si>
  <si>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</si>
  <si>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</si>
  <si>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</si>
  <si>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</si>
  <si>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</si>
  <si>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</si>
  <si>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</si>
  <si>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</si>
  <si>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</si>
  <si>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</si>
  <si>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</si>
  <si>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</si>
  <si>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</si>
  <si>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</si>
  <si>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</si>
  <si>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</si>
  <si>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</si>
  <si>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</si>
  <si>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</si>
  <si>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</si>
  <si>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</si>
  <si>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</si>
  <si>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</si>
  <si>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</si>
  <si>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</si>
  <si>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</si>
  <si>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</si>
  <si>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</si>
  <si>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</si>
  <si>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</si>
  <si>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</si>
  <si>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</si>
  <si>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</si>
  <si>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</si>
  <si>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</si>
  <si>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</si>
  <si>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</si>
  <si>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</si>
  <si>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</si>
  <si>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</si>
  <si>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</si>
  <si>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</si>
  <si>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</si>
  <si>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</si>
  <si>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</si>
  <si>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</si>
  <si>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</si>
  <si>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</si>
  <si>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</si>
  <si>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</si>
  <si>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</si>
  <si>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</si>
  <si>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</si>
  <si>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</si>
  <si>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</si>
  <si>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</si>
  <si>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</si>
  <si>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</si>
  <si>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</si>
  <si>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</si>
  <si>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</si>
  <si>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</si>
  <si>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</si>
  <si>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</si>
  <si>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</si>
  <si>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</si>
  <si>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</si>
  <si>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</si>
  <si>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</si>
  <si>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</si>
  <si>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</si>
  <si>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</si>
  <si>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</si>
  <si>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</si>
  <si>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</si>
  <si>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</si>
  <si>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</si>
  <si>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</si>
  <si>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</si>
  <si>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</si>
  <si>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</si>
  <si>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</si>
  <si>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</si>
  <si>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</si>
  <si>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</si>
  <si>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</si>
  <si>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</si>
  <si>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</si>
  <si>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</si>
  <si>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</si>
  <si>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</si>
  <si>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</si>
  <si>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</si>
  <si>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</si>
  <si>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</si>
  <si>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</si>
  <si>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</si>
  <si>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</si>
  <si>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</si>
  <si>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</si>
  <si>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</si>
  <si>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</si>
  <si>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</si>
  <si>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</si>
  <si>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</si>
  <si>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</si>
  <si>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</si>
  <si>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</si>
  <si>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</si>
  <si>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</si>
  <si>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</si>
  <si>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</si>
  <si>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</si>
  <si>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</si>
  <si>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</si>
  <si>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</si>
  <si>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</si>
  <si>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</si>
  <si>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</si>
  <si>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</si>
  <si>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</si>
  <si>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</si>
  <si>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</si>
  <si>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</si>
  <si>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</si>
  <si>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</si>
  <si>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</si>
  <si>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</si>
  <si>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</si>
  <si>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</si>
  <si>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</si>
  <si>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</si>
  <si>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</si>
  <si>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</si>
  <si>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</si>
  <si>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</si>
  <si>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</si>
  <si>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</si>
  <si>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</si>
  <si>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</si>
  <si>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</si>
  <si>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</si>
  <si>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</si>
  <si>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</si>
  <si>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</si>
  <si>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</si>
  <si>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</si>
  <si>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</si>
  <si>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</si>
  <si>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</si>
  <si>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</si>
  <si>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</si>
  <si>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</si>
  <si>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</si>
  <si>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</si>
  <si>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</si>
  <si>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</si>
  <si>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</si>
  <si>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</si>
  <si>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</si>
  <si>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</si>
  <si>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</si>
  <si>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</si>
  <si>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</si>
  <si>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</si>
  <si>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</si>
  <si>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</si>
  <si>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</si>
  <si>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</si>
  <si>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</si>
  <si>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</si>
  <si>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</si>
  <si>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</si>
  <si>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</si>
  <si>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</si>
  <si>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</si>
  <si>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</si>
  <si>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</si>
  <si>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</si>
  <si>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</si>
  <si>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</si>
  <si>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</si>
  <si>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</si>
  <si>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</si>
  <si>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</si>
  <si>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</si>
  <si>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</si>
  <si>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</si>
  <si>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</si>
  <si>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</si>
  <si>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</si>
  <si>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</si>
  <si>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</si>
  <si>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</si>
  <si>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</si>
  <si>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</si>
  <si>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</si>
  <si>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</si>
  <si>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</si>
  <si>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</si>
  <si>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</si>
  <si>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</si>
  <si>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</si>
  <si>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</si>
  <si>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</si>
  <si>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</si>
  <si>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</si>
  <si>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</si>
  <si>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</si>
  <si>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</si>
  <si>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</si>
  <si>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</si>
  <si>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</si>
  <si>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</si>
  <si>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</si>
  <si>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</si>
  <si>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</si>
  <si>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</si>
  <si>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</si>
  <si>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</si>
  <si>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</si>
  <si>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</si>
  <si>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</si>
  <si>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</si>
  <si>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</si>
  <si>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</si>
  <si>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</si>
  <si>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</si>
  <si>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</si>
  <si>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</si>
  <si>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</si>
  <si>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</si>
  <si>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</si>
  <si>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</si>
  <si>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</si>
  <si>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</si>
  <si>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</si>
  <si>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</si>
  <si>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</si>
  <si>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</si>
  <si>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</si>
  <si>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</si>
  <si>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</si>
  <si>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</si>
  <si>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</si>
  <si>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</si>
  <si>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</si>
  <si>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</si>
  <si>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</si>
  <si>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</si>
  <si>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</si>
  <si>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</si>
  <si>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</si>
  <si>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</si>
  <si>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</si>
  <si>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</si>
  <si>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</si>
  <si>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</si>
  <si>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</si>
  <si>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</si>
  <si>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</si>
  <si>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</si>
  <si>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</si>
  <si>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</si>
  <si>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</si>
  <si>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</si>
  <si>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</si>
  <si>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</si>
  <si>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</si>
  <si>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</si>
  <si>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</si>
  <si>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</si>
  <si>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</si>
  <si>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</si>
  <si>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</si>
  <si>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</si>
  <si>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</si>
  <si>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</si>
  <si>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</si>
  <si>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</si>
  <si>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</si>
  <si>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</si>
  <si>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</si>
  <si>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</si>
  <si>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</si>
  <si>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</si>
  <si>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</si>
  <si>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</si>
  <si>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</si>
  <si>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</si>
  <si>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</si>
  <si>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</si>
  <si>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</si>
  <si>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</si>
  <si>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</si>
  <si>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</si>
  <si>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</si>
  <si>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</si>
  <si>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</si>
  <si>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</si>
  <si>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</si>
  <si>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</si>
  <si>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</si>
  <si>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</si>
  <si>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</si>
  <si>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</si>
  <si>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</si>
  <si>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</si>
  <si>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</si>
  <si>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</si>
  <si>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</si>
  <si>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</si>
  <si>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</si>
  <si>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</si>
  <si>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</si>
  <si>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</si>
  <si>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</si>
  <si>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</si>
  <si>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</si>
  <si>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</si>
  <si>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</si>
  <si>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</si>
  <si>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</si>
  <si>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</si>
  <si>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</si>
  <si>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</si>
  <si>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</si>
  <si>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</si>
  <si>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</si>
  <si>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</si>
  <si>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</si>
  <si>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</si>
  <si>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</si>
  <si>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</si>
  <si>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</si>
  <si>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</si>
  <si>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</si>
  <si>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</si>
  <si>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</si>
  <si>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</si>
  <si>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</si>
  <si>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</si>
  <si>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</si>
  <si>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</si>
  <si>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</si>
  <si>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</si>
  <si>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</si>
  <si>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</si>
  <si>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</si>
  <si>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</si>
  <si>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</si>
  <si>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</si>
  <si>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</si>
  <si>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</si>
  <si>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</si>
  <si>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</si>
  <si>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</si>
  <si>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</si>
  <si>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</si>
  <si>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</si>
  <si>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</si>
  <si>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</si>
  <si>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</si>
  <si>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</si>
  <si>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</si>
  <si>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</si>
  <si>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</si>
  <si>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</si>
  <si>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</si>
  <si>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</si>
  <si>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</si>
  <si>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</si>
  <si>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</si>
  <si>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</si>
  <si>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</si>
  <si>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</si>
  <si>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</si>
  <si>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</si>
  <si>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</si>
  <si>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</si>
  <si>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</si>
  <si>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</si>
  <si>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</si>
  <si>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</si>
  <si>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</si>
  <si>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</si>
  <si>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</si>
  <si>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</si>
  <si>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</si>
  <si>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</si>
  <si>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</si>
  <si>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</si>
  <si>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</si>
  <si>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</si>
  <si>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</si>
  <si>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</si>
  <si>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</si>
  <si>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</si>
  <si>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</si>
  <si>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</si>
  <si>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</si>
  <si>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</si>
  <si>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</si>
  <si>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</si>
  <si>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</si>
  <si>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</si>
  <si>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</si>
  <si>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</si>
  <si>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</si>
  <si>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</si>
  <si>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</si>
  <si>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</si>
  <si>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</si>
  <si>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</si>
  <si>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</si>
  <si>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</si>
  <si>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</si>
  <si>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</si>
  <si>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</si>
  <si>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</si>
  <si>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</si>
  <si>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</si>
  <si>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</si>
  <si>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</si>
  <si>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</si>
  <si>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</si>
  <si>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</si>
  <si>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</si>
  <si>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</si>
  <si>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</si>
  <si>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</si>
  <si>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</si>
  <si>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</si>
  <si>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</si>
  <si>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</si>
  <si>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</si>
  <si>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</si>
  <si>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</si>
  <si>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</si>
  <si>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</si>
  <si>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</si>
  <si>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</si>
  <si>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</si>
  <si>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</si>
  <si>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</si>
  <si>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</si>
  <si>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</si>
  <si>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</si>
  <si>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</si>
  <si>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</si>
  <si>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</si>
  <si>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</si>
  <si>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</si>
  <si>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</si>
  <si>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</si>
  <si>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</si>
  <si>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</si>
  <si>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</si>
  <si>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</si>
  <si>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</si>
  <si>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</si>
  <si>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</si>
  <si>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</si>
  <si>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</si>
  <si>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</si>
  <si>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</si>
  <si>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</si>
  <si>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</si>
  <si>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</si>
  <si>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</si>
  <si>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</si>
  <si>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</si>
  <si>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</si>
  <si>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</si>
  <si>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</si>
  <si>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</si>
  <si>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</si>
  <si>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</si>
  <si>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</si>
  <si>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</si>
  <si>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</si>
  <si>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</si>
  <si>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</si>
  <si>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</si>
  <si>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</si>
  <si>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</si>
  <si>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</si>
  <si>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</si>
  <si>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</si>
  <si>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</si>
  <si>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</si>
  <si>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</si>
  <si>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</si>
  <si>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</si>
  <si>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</si>
  <si>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</si>
  <si>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</si>
  <si>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</si>
  <si>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</si>
  <si>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</si>
  <si>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</si>
  <si>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</si>
  <si>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</si>
  <si>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</si>
  <si>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</si>
  <si>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</si>
  <si>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</si>
  <si>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</si>
  <si>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</si>
  <si>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</si>
  <si>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</si>
  <si>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</si>
  <si>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</si>
  <si>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</si>
  <si>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</si>
  <si>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</si>
  <si>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</si>
  <si>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</si>
  <si>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</si>
  <si>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</si>
  <si>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</si>
  <si>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</si>
  <si>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</si>
  <si>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</si>
  <si>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</si>
  <si>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</si>
  <si>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</si>
  <si>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</si>
  <si>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</si>
  <si>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</si>
  <si>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</si>
  <si>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</si>
  <si>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</si>
  <si>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</si>
  <si>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</si>
  <si>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</si>
  <si>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</si>
  <si>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</si>
  <si>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</si>
  <si>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</si>
  <si>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</si>
  <si>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</si>
  <si>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</si>
  <si>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</si>
  <si>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</si>
  <si>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</si>
  <si>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</si>
  <si>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</si>
  <si>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</si>
  <si>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</si>
  <si>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</si>
  <si>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</si>
  <si>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</si>
  <si>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</si>
  <si>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</si>
  <si>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</si>
  <si>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</si>
  <si>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</si>
  <si>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</si>
  <si>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</si>
  <si>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</si>
  <si>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</si>
  <si>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</si>
  <si>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</si>
  <si>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</si>
  <si>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</si>
  <si>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</si>
  <si>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</si>
  <si>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</si>
  <si>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</si>
  <si>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</si>
  <si>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</si>
  <si>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</si>
  <si>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</si>
  <si>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</si>
  <si>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</si>
  <si>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</si>
  <si>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</si>
  <si>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</si>
  <si>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</si>
  <si>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</si>
  <si>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</si>
  <si>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</si>
  <si>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</si>
  <si>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</si>
  <si>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</si>
  <si>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</si>
  <si>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</si>
  <si>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</si>
  <si>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</si>
  <si>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</si>
  <si>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</si>
  <si>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</si>
  <si>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</si>
  <si>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</si>
  <si>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</si>
  <si>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</si>
  <si>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</si>
  <si>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</si>
  <si>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</si>
  <si>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</si>
  <si>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</si>
  <si>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</si>
  <si>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</si>
  <si>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</si>
  <si>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</si>
  <si>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</si>
  <si>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</si>
  <si>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</si>
  <si>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</si>
  <si>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</si>
  <si>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</si>
  <si>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</si>
  <si>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</si>
  <si>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</si>
  <si>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</si>
  <si>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</si>
  <si>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</si>
  <si>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</si>
  <si>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</si>
  <si>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</si>
  <si>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</si>
  <si>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</si>
  <si>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</si>
  <si>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</si>
  <si>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</si>
  <si>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</si>
  <si>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</si>
  <si>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</si>
  <si>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</si>
  <si>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</si>
  <si>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</si>
  <si>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</si>
  <si>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</si>
  <si>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</si>
  <si>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</si>
  <si>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</si>
  <si>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</si>
  <si>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</si>
  <si>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</si>
  <si>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</si>
  <si>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</si>
  <si>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</si>
  <si>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</si>
  <si>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</si>
  <si>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</si>
  <si>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</si>
  <si>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</si>
  <si>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</si>
  <si>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</si>
  <si>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</si>
  <si>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</si>
  <si>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</si>
  <si>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</si>
  <si>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</si>
  <si>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</si>
  <si>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</si>
  <si>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</si>
  <si>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</si>
  <si>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</si>
  <si>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</si>
  <si>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</si>
  <si>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</si>
  <si>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</si>
  <si>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</si>
  <si>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</si>
  <si>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</si>
  <si>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</si>
  <si>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</si>
  <si>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</si>
  <si>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</si>
  <si>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</si>
  <si>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</si>
  <si>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</si>
  <si>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</si>
  <si>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</si>
  <si>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</si>
  <si>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</si>
  <si>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</si>
  <si>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</si>
  <si>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</si>
  <si>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</si>
  <si>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</si>
  <si>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</si>
  <si>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</si>
  <si>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</si>
  <si>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</si>
  <si>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</si>
  <si>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</si>
  <si>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</si>
  <si>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</si>
  <si>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</si>
  <si>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</si>
  <si>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</si>
  <si>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</si>
  <si>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</si>
  <si>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</si>
  <si>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</si>
  <si>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</si>
  <si>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</si>
  <si>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</si>
  <si>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</si>
  <si>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</si>
  <si>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</si>
  <si>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</si>
  <si>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</si>
  <si>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</si>
  <si>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</si>
  <si>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</si>
  <si>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</si>
  <si>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</si>
  <si>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</si>
  <si>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</si>
  <si>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</si>
  <si>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</si>
  <si>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</si>
  <si>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</si>
  <si>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</si>
  <si>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</si>
  <si>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</si>
  <si>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</si>
  <si>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</si>
  <si>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</si>
  <si>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</si>
  <si>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</si>
  <si>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</si>
  <si>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</si>
  <si>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</si>
  <si>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</si>
  <si>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</si>
  <si>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</si>
  <si>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</si>
  <si>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</si>
  <si>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</si>
  <si>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</si>
  <si>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</si>
  <si>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</si>
  <si>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</si>
  <si>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</si>
  <si>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</si>
  <si>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</si>
  <si>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</si>
  <si>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</si>
  <si>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</si>
  <si>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</si>
  <si>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</si>
  <si>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</si>
  <si>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</si>
  <si>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</si>
  <si>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</si>
  <si>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</si>
  <si>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</si>
  <si>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</si>
  <si>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</si>
  <si>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</si>
  <si>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</si>
  <si>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</si>
  <si>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</si>
  <si>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</si>
  <si>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</si>
  <si>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</si>
  <si>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</si>
  <si>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</si>
  <si>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</si>
  <si>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</si>
  <si>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</si>
  <si>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</si>
  <si>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</si>
  <si>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</si>
  <si>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</si>
  <si>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</si>
  <si>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</si>
  <si>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</si>
  <si>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</si>
  <si>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</si>
  <si>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</si>
  <si>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</si>
  <si>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</si>
  <si>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</si>
  <si>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</si>
  <si>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</si>
  <si>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</si>
  <si>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</si>
  <si>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</si>
  <si>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</si>
  <si>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</si>
  <si>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</si>
  <si>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</si>
  <si>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</si>
  <si>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</si>
  <si>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</si>
  <si>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</si>
  <si>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</si>
  <si>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</si>
  <si>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</si>
  <si>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</si>
  <si>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</si>
  <si>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</si>
  <si>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</si>
  <si>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</si>
  <si>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</si>
  <si>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</si>
  <si>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</si>
  <si>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</si>
  <si>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</si>
  <si>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</si>
  <si>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</si>
  <si>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</si>
  <si>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</si>
  <si>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</si>
  <si>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</si>
  <si>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</si>
  <si>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</si>
  <si>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</si>
  <si>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</si>
  <si>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</si>
  <si>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</si>
  <si>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</si>
  <si>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</si>
  <si>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</si>
  <si>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</si>
  <si>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</si>
  <si>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</si>
  <si>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</si>
  <si>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</si>
  <si>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</si>
  <si>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</si>
  <si>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</si>
  <si>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</si>
  <si>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</si>
  <si>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</si>
  <si>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</si>
  <si>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</si>
  <si>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</si>
  <si>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</si>
  <si>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</si>
  <si>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</si>
  <si>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</si>
  <si>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</si>
  <si>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</si>
  <si>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</si>
  <si>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</si>
  <si>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</si>
  <si>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</si>
  <si>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</si>
  <si>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</si>
  <si>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</si>
  <si>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</si>
  <si>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</si>
  <si>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</si>
  <si>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</si>
  <si>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</si>
  <si>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</si>
  <si>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</si>
  <si>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</si>
  <si>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</si>
  <si>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</si>
  <si>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</si>
  <si>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</si>
  <si>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</si>
  <si>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</si>
  <si>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</si>
  <si>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</si>
  <si>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</si>
  <si>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</si>
  <si>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</si>
  <si>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</si>
  <si>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</si>
  <si>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</si>
  <si>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</si>
  <si>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</si>
  <si>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</si>
  <si>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</si>
  <si>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</si>
  <si>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</si>
  <si>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</si>
  <si>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</si>
  <si>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</si>
  <si>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</si>
  <si>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</si>
  <si>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</si>
  <si>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</si>
  <si>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</si>
  <si>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</si>
  <si>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</si>
  <si>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</si>
  <si>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</si>
  <si>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</si>
  <si>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</si>
  <si>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</si>
  <si>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</si>
  <si>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</si>
  <si>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</si>
  <si>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</si>
  <si>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</si>
  <si>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</si>
  <si>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</si>
  <si>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</si>
  <si>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</si>
  <si>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</si>
  <si>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</si>
  <si>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</si>
  <si>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</si>
  <si>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</si>
  <si>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</si>
  <si>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</si>
  <si>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</si>
  <si>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</si>
  <si>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</si>
  <si>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</si>
  <si>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</si>
  <si>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</si>
  <si>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</si>
  <si>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</si>
  <si>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</si>
  <si>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</si>
  <si>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</si>
  <si>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</si>
  <si>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</si>
  <si>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</si>
  <si>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</si>
  <si>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</si>
  <si>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</si>
  <si>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</si>
  <si>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</si>
  <si>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</si>
  <si>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</si>
  <si>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</si>
  <si>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</si>
  <si>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</si>
  <si>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</si>
  <si>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</si>
  <si>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</si>
  <si>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</si>
  <si>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</si>
  <si>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</si>
  <si>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</si>
  <si>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</si>
  <si>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</si>
  <si>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</si>
  <si>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</si>
  <si>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</si>
  <si>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</si>
  <si>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</si>
  <si>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</si>
  <si>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</si>
  <si>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</si>
  <si>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</si>
  <si>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</si>
  <si>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</si>
  <si>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</si>
  <si>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</si>
  <si>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</si>
  <si>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</si>
  <si>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</si>
  <si>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</si>
  <si>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</si>
  <si>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</si>
  <si>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</si>
  <si>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</si>
  <si>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</si>
  <si>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</si>
  <si>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</si>
  <si>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</si>
  <si>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</si>
  <si>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</si>
  <si>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</si>
  <si>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</si>
  <si>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</si>
  <si>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</si>
  <si>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</si>
  <si>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</si>
  <si>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</si>
  <si>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</si>
  <si>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</si>
  <si>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</si>
  <si>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</si>
  <si>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</si>
  <si>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</si>
  <si>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</si>
  <si>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</si>
  <si>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</si>
  <si>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</si>
  <si>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</si>
  <si>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</si>
  <si>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</si>
  <si>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</si>
  <si>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</si>
  <si>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</si>
  <si>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</si>
  <si>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</si>
  <si>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</si>
  <si>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</si>
  <si>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</si>
  <si>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</si>
  <si>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</si>
  <si>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</si>
  <si>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</si>
  <si>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</si>
  <si>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</si>
  <si>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</si>
  <si>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</si>
  <si>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</si>
  <si>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</si>
  <si>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</si>
  <si>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</si>
  <si>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</si>
  <si>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</si>
  <si>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</si>
  <si>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</si>
  <si>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</si>
  <si>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</si>
  <si>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</si>
  <si>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</si>
  <si>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</si>
  <si>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</si>
  <si>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</si>
  <si>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</si>
  <si>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</si>
  <si>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</si>
  <si>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</si>
  <si>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</si>
  <si>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</si>
  <si>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</si>
  <si>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</si>
  <si>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</si>
  <si>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</si>
  <si>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</si>
  <si>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</si>
  <si>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</si>
  <si>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</si>
  <si>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</si>
  <si>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</si>
  <si>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</si>
  <si>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</si>
  <si>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</si>
  <si>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</si>
  <si>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</si>
  <si>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</si>
  <si>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</si>
  <si>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</si>
  <si>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</si>
  <si>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</si>
  <si>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</si>
  <si>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</si>
  <si>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</si>
  <si>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</si>
  <si>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</si>
  <si>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</si>
  <si>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</si>
  <si>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</si>
  <si>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</si>
  <si>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</si>
  <si>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</si>
  <si>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</si>
  <si>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</si>
  <si>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</si>
  <si>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</si>
  <si>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</si>
  <si>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</si>
  <si>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</si>
  <si>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</si>
  <si>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</si>
  <si>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</si>
  <si>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</si>
  <si>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</si>
  <si>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</si>
  <si>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</si>
  <si>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</si>
  <si>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</si>
  <si>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</si>
  <si>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</si>
  <si>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</si>
  <si>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</si>
  <si>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</si>
  <si>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</si>
  <si>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</si>
  <si>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</si>
  <si>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</si>
  <si>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</si>
  <si>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</si>
  <si>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</si>
  <si>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</si>
  <si>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</si>
  <si>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</si>
  <si>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</si>
  <si>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</si>
  <si>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</si>
  <si>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</si>
  <si>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</si>
  <si>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</si>
  <si>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</si>
  <si>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</si>
  <si>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</si>
  <si>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</si>
  <si>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</si>
  <si>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</si>
  <si>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</si>
  <si>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</si>
  <si>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</si>
  <si>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</si>
  <si>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</si>
  <si>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</si>
  <si>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</si>
  <si>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</si>
  <si>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</si>
  <si>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Sum of Sales</t>
  </si>
  <si>
    <t>Jan</t>
  </si>
  <si>
    <t>Feb</t>
  </si>
  <si>
    <t>Mar</t>
  </si>
  <si>
    <t>Apr</t>
  </si>
  <si>
    <t>May</t>
  </si>
  <si>
    <t>Jun</t>
  </si>
  <si>
    <t>Jul</t>
  </si>
  <si>
    <t>Aug</t>
  </si>
  <si>
    <t>Sep</t>
  </si>
  <si>
    <t>Oct</t>
  </si>
  <si>
    <t>Nov</t>
  </si>
  <si>
    <t>Dec</t>
  </si>
  <si>
    <t>Years (Order Date)</t>
  </si>
  <si>
    <t>Months (Order Date)</t>
  </si>
  <si>
    <t>Arabica</t>
  </si>
  <si>
    <t>Excelsa</t>
  </si>
  <si>
    <t>Liberica</t>
  </si>
  <si>
    <t>Robusta</t>
  </si>
  <si>
    <t>Row Labels</t>
  </si>
  <si>
    <t>Column Labels</t>
  </si>
  <si>
    <t>Grand Total</t>
  </si>
  <si>
    <t>Dark</t>
  </si>
  <si>
    <t>Light</t>
  </si>
  <si>
    <t>Medium</t>
  </si>
  <si>
    <t>Values</t>
  </si>
  <si>
    <t>Count of Loyalty Card</t>
  </si>
  <si>
    <t>Total Sales</t>
  </si>
  <si>
    <t>Regular Customer</t>
  </si>
  <si>
    <t>Total</t>
  </si>
  <si>
    <t>Loyal Customer</t>
  </si>
  <si>
    <t>Sales per customer</t>
  </si>
  <si>
    <t>2021</t>
  </si>
  <si>
    <t>2020</t>
  </si>
  <si>
    <t>2022</t>
  </si>
  <si>
    <t>bỏ độ bóng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</si>
</sst>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_(&quot;$&quot;* #,##0_);_(&quot;$&quot;* \(#,##0\);_(&quot;$&quot;* &quot;-&quot;??_);_(@_)"/>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44" fontId="2" fillId="0" borderId="0" applyFont="0" applyFill="0" applyBorder="0" applyAlignment="0" applyProtection="0"/>
  </cellStyleXfs>
  <cellXfs count="16">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1" xfId="0" pivotButton="1" applyBorder="1"/>
    <xf numFmtId="0" fontId="0" fillId="0" borderId="1" xfId="0" applyBorder="1"/>
    <xf numFmtId="1" fontId="0" fillId="0" borderId="1" xfId="0" applyNumberFormat="1" applyBorder="1"/>
    <xf numFmtId="0" fontId="0" fillId="0" borderId="0" xfId="0" pivotButton="1"/>
    <xf numFmtId="0" fontId="0" fillId="0" borderId="0" xfId="0" applyAlignment="1">
      <alignment horizontal="left"/>
    </xf>
    <xf numFmtId="167" fontId="0" fillId="0" borderId="0" xfId="0" applyNumberFormat="1"/>
    <xf numFmtId="1" fontId="0" fillId="0" borderId="0" xfId="0" applyNumberFormat="1"/>
    <xf numFmtId="166" fontId="0" fillId="0" borderId="0" xfId="0" applyNumberFormat="1" applyAlignment="1">
      <alignment horizontal="left"/>
    </xf>
    <xf numFmtId="44" fontId="0" fillId="0" borderId="0" xfId="1" applyFont="1"/>
    <xf numFmtId="167" fontId="0" fillId="0" borderId="0" xfId="1" applyNumberFormat="1" applyFont="1"/>
    <xf numFmtId="44" fontId="0" fillId="0" borderId="0" xfId="0" applyNumberFormat="1"/>
  </cellXfs>
  <cellStyles count="2">
    <cellStyle name="Currency" xfId="1" builtinId="4"/>
    <cellStyle name="Normal" xfId="0" builtinId="0"/>
  </cellStyles>
  <dxfs count="38">
    <dxf>
      <numFmt numFmtId="0" formatCode="General"/>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 formatCode="0"/>
    </dxf>
    <dxf>
      <numFmt numFmtId="167" formatCode="_(&quot;$&quot;* #,##0_);_(&quot;$&quot;* \(#,##0\);_(&quot;$&quot;* &quot;-&quot;??_);_(@_)"/>
    </dxf>
    <dxf>
      <numFmt numFmtId="1" formatCode="0"/>
    </dxf>
    <dxf>
      <numFmt numFmtId="167" formatCode="_(&quot;$&quot;* #,##0_);_(&quot;$&quot;* \(#,##0\);_(&quot;$&quot;* &quot;-&quot;??_);_(@_)"/>
    </dxf>
    <dxf>
      <numFmt numFmtId="1" formatCode="0"/>
    </dxf>
    <dxf>
      <numFmt numFmtId="1" formatCode="0"/>
    </dxf>
    <dxf>
      <numFmt numFmtId="1" formatCode="0"/>
    </dxf>
    <dxf>
      <numFmt numFmtId="167" formatCode="_(&quot;$&quot;* #,##0_);_(&quot;$&quot;* \(#,##0\);_(&quot;$&quot;* &quot;-&quot;??_);_(@_)"/>
    </dxf>
    <dxf>
      <numFmt numFmtId="1" formatCode="0"/>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numFmt numFmtId="164" formatCode="0.0"/>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1" defaultTableStyle="TableStyleMedium2" defaultPivotStyle="PivotStyleMedium9">
    <tableStyle name="e1" pivot="0" table="0" count="10" xr9:uid="{44219821-E446-8241-8E06-D5D291B9F125}">
      <tableStyleElement type="wholeTable" dxfId="37"/>
      <tableStyleElement type="headerRow" dxfId="36"/>
    </tableStyle>
  </tableStyles>
  <colors>
    <mruColors>
      <color rgb="FF16B09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e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8.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0.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1.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2.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3.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4.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(Coffee type)!PivotTable2</c:name>
    <c:fmtId val="7"/>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GB" sz="1800" b="1">
                <a:solidFill>
                  <a:schemeClr val="tx1"/>
                </a:solidFill>
              </a:rPr>
              <a:t>Sales</a:t>
            </a:r>
            <a:r>
              <a:rPr lang="en-GB" sz="1800" b="1" baseline="0">
                <a:solidFill>
                  <a:schemeClr val="tx1"/>
                </a:solidFill>
              </a:rPr>
              <a:t> Over Time</a:t>
            </a:r>
            <a:endParaRPr lang="en-GB" sz="1800" b="1">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 (Coffee type)'!$C$3:$C$4</c:f>
              <c:strCache>
                <c:ptCount val="1"/>
                <c:pt idx="0">
                  <c:v>Arabica</c:v>
                </c:pt>
              </c:strCache>
            </c:strRef>
          </c:tx>
          <c:spPr>
            <a:ln w="28575" cap="rnd">
              <a:solidFill>
                <a:schemeClr val="accent1"/>
              </a:solidFill>
              <a:round/>
            </a:ln>
            <a:effectLst/>
          </c:spPr>
          <c:marker>
            <c:symbol val="none"/>
          </c:marker>
          <c:cat>
            <c:multiLvlStrRef>
              <c:f>'Analysis (Coffee 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'Analysis (Coffee type)'!$C$5:$C$48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1"/>
          <c:extLst>
            <c:ext xmlns:c16="http://schemas.microsoft.com/office/drawing/2014/chart" uri="{C3380CC4-5D6E-409C-BE32-E72D297353CC}">
              <c16:uniqueId val="{00000000-A403-0B40-B3CB-1A490DDDB91D}"/>
            </c:ext>
          </c:extLst>
        </c:ser>
        <c:ser>
          <c:idx val="1"/>
          <c:order val="1"/>
          <c:tx>
            <c:strRef>
              <c:f>'Analysis (Coffee type)'!$D$3:$D$4</c:f>
              <c:strCache>
                <c:ptCount val="1"/>
                <c:pt idx="0">
                  <c:v>Excelsa</c:v>
                </c:pt>
              </c:strCache>
            </c:strRef>
          </c:tx>
          <c:spPr>
            <a:ln w="28575" cap="rnd">
              <a:solidFill>
                <a:schemeClr val="accent2"/>
              </a:solidFill>
              <a:round/>
            </a:ln>
            <a:effectLst/>
          </c:spPr>
          <c:marker>
            <c:symbol val="none"/>
          </c:marker>
          <c:cat>
            <c:multiLvlStrRef>
              <c:f>'Analysis (Coffee 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'Analysis (Coffee type)'!$D$5:$D$48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1"/>
          <c:extLst>
            <c:ext xmlns:c16="http://schemas.microsoft.com/office/drawing/2014/chart" uri="{C3380CC4-5D6E-409C-BE32-E72D297353CC}">
              <c16:uniqueId val="{00000001-A403-0B40-B3CB-1A490DDDB91D}"/>
            </c:ext>
          </c:extLst>
        </c:ser>
        <c:ser>
          <c:idx val="2"/>
          <c:order val="2"/>
          <c:tx>
            <c:strRef>
              <c:f>'Analysis (Coffee type)'!$E$3:$E$4</c:f>
              <c:strCache>
                <c:ptCount val="1"/>
                <c:pt idx="0">
                  <c:v>Liberica</c:v>
                </c:pt>
              </c:strCache>
            </c:strRef>
          </c:tx>
          <c:spPr>
            <a:ln w="28575" cap="rnd">
              <a:solidFill>
                <a:schemeClr val="accent3"/>
              </a:solidFill>
              <a:round/>
            </a:ln>
            <a:effectLst/>
          </c:spPr>
          <c:marker>
            <c:symbol val="none"/>
          </c:marker>
          <c:cat>
            <c:multiLvlStrRef>
              <c:f>'Analysis (Coffee 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'Analysis (Coffee type)'!$E$5:$E$48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1"/>
          <c:extLst>
            <c:ext xmlns:c16="http://schemas.microsoft.com/office/drawing/2014/chart" uri="{C3380CC4-5D6E-409C-BE32-E72D297353CC}">
              <c16:uniqueId val="{00000002-A403-0B40-B3CB-1A490DDDB91D}"/>
            </c:ext>
          </c:extLst>
        </c:ser>
        <c:ser>
          <c:idx val="3"/>
          <c:order val="3"/>
          <c:tx>
            <c:strRef>
              <c:f>'Analysis (Coffee type)'!$F$3:$F$4</c:f>
              <c:strCache>
                <c:ptCount val="1"/>
                <c:pt idx="0">
                  <c:v>Robusta</c:v>
                </c:pt>
              </c:strCache>
            </c:strRef>
          </c:tx>
          <c:spPr>
            <a:ln w="28575" cap="rnd">
              <a:solidFill>
                <a:schemeClr val="accent4"/>
              </a:solidFill>
              <a:round/>
            </a:ln>
            <a:effectLst/>
          </c:spPr>
          <c:marker>
            <c:symbol val="none"/>
          </c:marker>
          <c:cat>
            <c:multiLvlStrRef>
              <c:f>'Analysis (Coffee 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'Analysis (Coffee type)'!$F$5:$F$48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1"/>
          <c:extLst>
            <c:ext xmlns:c16="http://schemas.microsoft.com/office/drawing/2014/chart" uri="{C3380CC4-5D6E-409C-BE32-E72D297353CC}">
              <c16:uniqueId val="{00000005-A403-0B40-B3CB-1A490DDDB91D}"/>
            </c:ext>
          </c:extLst>
        </c:ser>
        <c:dLbls>
          <c:showLegendKey val="0"/>
          <c:showVal val="0"/>
          <c:showCatName val="0"/>
          <c:showSerName val="0"/>
          <c:showPercent val="0"/>
          <c:showBubbleSize val="0"/>
        </c:dLbls>
        <c:smooth val="0"/>
        <c:axId val="92904159"/>
        <c:axId val="93177055"/>
      </c:lineChart>
      <c:catAx>
        <c:axId val="9290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77055"/>
        <c:crosses val="autoZero"/>
        <c:auto val="1"/>
        <c:lblAlgn val="ctr"/>
        <c:lblOffset val="100"/>
        <c:noMultiLvlLbl val="0"/>
      </c:catAx>
      <c:valAx>
        <c:axId val="9317705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0415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(Customer)!PivotTable2</c:name>
    <c:fmtId val="4"/>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rPr>
              <a:t>Top 5</a:t>
            </a:r>
            <a:r>
              <a:rPr lang="en-US" sz="1800" b="1" baseline="0">
                <a:solidFill>
                  <a:schemeClr val="tx1"/>
                </a:solidFill>
              </a:rPr>
              <a:t> customers</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a:solidFill>
              <a:schemeClr val="bg1"/>
            </a:solid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(Customer)'!$B$3</c:f>
              <c:strCache>
                <c:ptCount val="1"/>
                <c:pt idx="0">
                  <c:v>Total</c:v>
                </c:pt>
              </c:strCache>
            </c:strRef>
          </c:tx>
          <c:spPr>
            <a:solidFill>
              <a:schemeClr val="accent1"/>
            </a:solidFill>
            <a:ln w="38100">
              <a:solidFill>
                <a:schemeClr val="bg1"/>
              </a:solid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(Customer)'!$A$4:$A$8</c:f>
              <c:strCache>
                <c:ptCount val="5"/>
                <c:pt idx="0">
                  <c:v>Don Flintiff</c:v>
                </c:pt>
                <c:pt idx="1">
                  <c:v>Nealson Cuttler</c:v>
                </c:pt>
                <c:pt idx="2">
                  <c:v>Terri Farra</c:v>
                </c:pt>
                <c:pt idx="3">
                  <c:v>Brenn Dundredge</c:v>
                </c:pt>
                <c:pt idx="4">
                  <c:v>Allis Wilmore</c:v>
                </c:pt>
              </c:strCache>
            </c:strRef>
          </c:cat>
          <c:val>
            <c:numRef>
              <c:f>'Analysis (Customer)'!$B$4:$B$8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6A05-B243-B410-5D0A96586457}"/>
            </c:ext>
          </c:extLst>
        </c:ser>
        <c:dLbls>
          <c:showLegendKey val="0"/>
          <c:showVal val="0"/>
          <c:showCatName val="0"/>
          <c:showSerName val="0"/>
          <c:showPercent val="0"/>
          <c:showBubbleSize val="0"/>
        </c:dLbls>
        <c:gapWidth val="219"/>
        <c:axId val="1594219888"/>
        <c:axId val="1513319520"/>
      </c:barChart>
      <c:catAx>
        <c:axId val="15942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319520"/>
        <c:crosses val="autoZero"/>
        <c:auto val="1"/>
        <c:lblAlgn val="ctr"/>
        <c:lblOffset val="100"/>
        <c:noMultiLvlLbl val="0"/>
      </c:catAx>
      <c:valAx>
        <c:axId val="1513319520"/>
        <c:scaling>
          <c:orientation val="minMax"/>
        </c:scaling>
        <c:delete val="1"/>
        <c:axPos val="b"/>
        <c:majorGridlines>
          <c:spPr>
            <a:ln w="9525" cap="flat" cmpd="sng" algn="ctr">
              <a:solidFill>
                <a:schemeClr val="bg1"/>
              </a:solidFill>
              <a:round/>
            </a:ln>
            <a:effectLst/>
          </c:spPr>
        </c:majorGridlines>
        <c:numFmt formatCode="0" sourceLinked="1"/>
        <c:majorTickMark val="none"/>
        <c:minorTickMark val="none"/>
        <c:tickLblPos val="nextTo"/>
        <c:crossAx val="1594219888"/>
        <c:crosses val="autoZero"/>
        <c:crossBetween val="between"/>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(Size)!PivotTable2</c:name>
    <c:fmtId val="26"/>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rPr>
              <a:t>  Coffee Sales</a:t>
            </a:r>
            <a:r>
              <a:rPr lang="en-US" sz="1800" b="1" baseline="0">
                <a:solidFill>
                  <a:schemeClr val="tx1"/>
                </a:solidFill>
              </a:rPr>
              <a:t> By Size </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manualLayout>
          <c:layoutTarget val="inner"/>
          <c:xMode val="edge"/>
          <c:yMode val="edge"/>
          <c:x val="0.23040018273523141"/>
          <c:y val="0.17924225638668043"/>
          <c:w val="0.41580037165509387"/>
          <c:h val="0.76759170000803012"/>
        </c:manualLayout>
      </c:layout>
      <c:doughnutChart>
        <c:varyColors val="1"/>
        <c:ser>
          <c:idx val="0"/>
          <c:order val="0"/>
          <c:tx>
            <c:strRef>
              <c:f>'Analysis (Size)'!$B$3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17-7442-A59E-98450EDB68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17-7442-A59E-98450EDB68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17-7442-A59E-98450EDB68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517-7442-A59E-98450EDB6806}"/>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 (Size)'!$A$4:$A$7</c:f>
              <c:strCache>
                <c:ptCount val="4"/>
                <c:pt idx="0">
                  <c:v>0.2 kg</c:v>
                </c:pt>
                <c:pt idx="1">
                  <c:v>0.5 kg</c:v>
                </c:pt>
                <c:pt idx="2">
                  <c:v>1.0 kg</c:v>
                </c:pt>
                <c:pt idx="3">
                  <c:v>2.5 kg</c:v>
                </c:pt>
              </c:strCache>
            </c:strRef>
          </c:cat>
          <c:val>
            <c:numRef>
              <c:f>'Analysis (Size)'!$B$4:$B$7</c:f>
              <c:numCache>
                <c:formatCode>0</c:formatCode>
                <c:ptCount val="4"/>
                <c:pt idx="0">
                  <c:v>3307.9499999999994</c:v>
                </c:pt>
                <c:pt idx="1">
                  <c:v>7029.9900000000043</c:v>
                </c:pt>
                <c:pt idx="2">
                  <c:v>11010.750000000005</c:v>
                </c:pt>
                <c:pt idx="3">
                  <c:v>23785.56499999997</c:v>
                </c:pt>
              </c:numCache>
            </c:numRef>
          </c:val>
          <c:extLst>
            <c:ext xmlns:c16="http://schemas.microsoft.com/office/drawing/2014/chart" uri="{C3380CC4-5D6E-409C-BE32-E72D297353CC}">
              <c16:uniqueId val="{00000008-D517-7442-A59E-98450EDB6806}"/>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layout>
        <c:manualLayout>
          <c:xMode val="edge"/>
          <c:yMode val="edge"/>
          <c:x val="0.8148404172267637"/>
          <c:y val="0.28444381914067263"/>
          <c:w val="0.16755303064042623"/>
          <c:h val="0.485238539326913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a:innerShdw blurRad="63500" dist="50800" dir="27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GB" sz="1800" b="1"/>
              <a:t>Sales by Customer Type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(sale per cus)'!$E$5</c:f>
              <c:strCache>
                <c:ptCount val="1"/>
                <c:pt idx="0">
                  <c:v>Total Sales</c:v>
                </c:pt>
              </c:strCache>
            </c:strRef>
          </c:tx>
          <c:spPr>
            <a:solidFill>
              <a:schemeClr val="accent1"/>
            </a:solidFill>
            <a:ln w="38100">
              <a:solidFill>
                <a:schemeClr val="bg1"/>
              </a:solidFill>
            </a:ln>
            <a:effectLst/>
          </c:spPr>
          <c:invertIfNegative val="0"/>
          <c:dLbls>
            <c:dLbl>
              <c:idx val="1"/>
              <c:layout>
                <c:manualLayout>
                  <c:x val="2.9754778453416901E-3"/>
                  <c:y val="2.50000000000000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63B-BB4B-8495-37FE07EDD7CC}"/>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(sale per cus)'!$F$4:$G$4</c:f>
              <c:strCache>
                <c:ptCount val="2"/>
                <c:pt idx="0">
                  <c:v>Regular Customer</c:v>
                </c:pt>
                <c:pt idx="1">
                  <c:v>Loyal Customer</c:v>
                </c:pt>
              </c:strCache>
            </c:strRef>
          </c:cat>
          <c:val>
            <c:numRef>
              <c:f>'Analysis (sale per cus)'!$F$5:$G$5</c:f>
              <c:numCache>
                <c:formatCode>_("$"* #,##0_);_("$"* \(#,##0\);_("$"* "-"??_);_(@_)</c:formatCode>
                <c:ptCount val="2"/>
                <c:pt idx="0">
                  <c:v>24216.404999999995</c:v>
                </c:pt>
                <c:pt idx="1">
                  <c:v>20917.849999999995</c:v>
                </c:pt>
              </c:numCache>
            </c:numRef>
          </c:val>
          <c:extLst>
            <c:ext xmlns:c16="http://schemas.microsoft.com/office/drawing/2014/chart" uri="{C3380CC4-5D6E-409C-BE32-E72D297353CC}">
              <c16:uniqueId val="{00000000-463B-BB4B-8495-37FE07EDD7CC}"/>
            </c:ext>
          </c:extLst>
        </c:ser>
        <c:dLbls>
          <c:showLegendKey val="0"/>
          <c:showVal val="0"/>
          <c:showCatName val="0"/>
          <c:showSerName val="0"/>
          <c:showPercent val="0"/>
          <c:showBubbleSize val="0"/>
        </c:dLbls>
        <c:gapWidth val="247"/>
        <c:axId val="1801933935"/>
        <c:axId val="221376351"/>
      </c:barChart>
      <c:lineChart>
        <c:grouping val="standard"/>
        <c:varyColors val="0"/>
        <c:ser>
          <c:idx val="1"/>
          <c:order val="1"/>
          <c:tx>
            <c:strRef>
              <c:f>'Analysis (sale per cus)'!$E$6</c:f>
              <c:strCache>
                <c:ptCount val="1"/>
                <c:pt idx="0">
                  <c:v>Sales per customer</c:v>
                </c:pt>
              </c:strCache>
            </c:strRef>
          </c:tx>
          <c:spPr>
            <a:ln w="28575" cap="rnd">
              <a:solidFill>
                <a:schemeClr val="accent2"/>
              </a:solidFill>
              <a:round/>
            </a:ln>
            <a:effectLst/>
          </c:spPr>
          <c:marker>
            <c:symbol val="none"/>
          </c:marker>
          <c:dLbls>
            <c:dLbl>
              <c:idx val="1"/>
              <c:layout>
                <c:manualLayout>
                  <c:x val="-8.2301717202151264E-2"/>
                  <c:y val="-6.948950131233595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63B-BB4B-8495-37FE07EDD7CC}"/>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2"/>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(sale per cus)'!$F$4:$G$4</c:f>
              <c:strCache>
                <c:ptCount val="2"/>
                <c:pt idx="0">
                  <c:v>Regular Customer</c:v>
                </c:pt>
                <c:pt idx="1">
                  <c:v>Loyal Customer</c:v>
                </c:pt>
              </c:strCache>
            </c:strRef>
          </c:cat>
          <c:val>
            <c:numRef>
              <c:f>'Analysis (sale per cus)'!$F$6:$G$6</c:f>
              <c:numCache>
                <c:formatCode>_("$"* #,##0.00_);_("$"* \(#,##0.00\);_("$"* "-"??_);_(@_)</c:formatCode>
                <c:ptCount val="2"/>
                <c:pt idx="0">
                  <c:v>46.480623800383867</c:v>
                </c:pt>
                <c:pt idx="1">
                  <c:v>43.669832985386208</c:v>
                </c:pt>
              </c:numCache>
            </c:numRef>
          </c:val>
          <c:smooth val="0"/>
          <c:extLst>
            <c:ext xmlns:c16="http://schemas.microsoft.com/office/drawing/2014/chart" uri="{C3380CC4-5D6E-409C-BE32-E72D297353CC}">
              <c16:uniqueId val="{00000001-463B-BB4B-8495-37FE07EDD7CC}"/>
            </c:ext>
          </c:extLst>
        </c:ser>
        <c:dLbls>
          <c:showLegendKey val="0"/>
          <c:showVal val="0"/>
          <c:showCatName val="0"/>
          <c:showSerName val="0"/>
          <c:showPercent val="0"/>
          <c:showBubbleSize val="0"/>
        </c:dLbls>
        <c:marker val="1"/>
        <c:smooth val="0"/>
        <c:axId val="1851254591"/>
        <c:axId val="58077728"/>
      </c:lineChart>
      <c:catAx>
        <c:axId val="180193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376351"/>
        <c:crosses val="autoZero"/>
        <c:auto val="1"/>
        <c:lblAlgn val="ctr"/>
        <c:lblOffset val="100"/>
        <c:noMultiLvlLbl val="0"/>
      </c:catAx>
      <c:valAx>
        <c:axId val="221376351"/>
        <c:scaling>
          <c:orientation val="minMax"/>
          <c:min val="18000"/>
        </c:scaling>
        <c:delete val="0"/>
        <c:axPos val="l"/>
        <c:majorGridlines>
          <c:spPr>
            <a:ln w="9525" cap="flat" cmpd="sng" algn="ctr">
              <a:solidFill>
                <a:schemeClr val="bg1"/>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933935"/>
        <c:crosses val="autoZero"/>
        <c:crossBetween val="between"/>
        <c:majorUnit val="2000"/>
      </c:valAx>
      <c:valAx>
        <c:axId val="58077728"/>
        <c:scaling>
          <c:orientation val="minMax"/>
          <c:max val="50"/>
          <c:min val="38"/>
        </c:scaling>
        <c:delete val="0"/>
        <c:axPos val="r"/>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254591"/>
        <c:crosses val="max"/>
        <c:crossBetween val="between"/>
        <c:majorUnit val="10"/>
      </c:valAx>
      <c:catAx>
        <c:axId val="1851254591"/>
        <c:scaling>
          <c:orientation val="minMax"/>
        </c:scaling>
        <c:delete val="1"/>
        <c:axPos val="b"/>
        <c:numFmt formatCode="General" sourceLinked="1"/>
        <c:majorTickMark val="none"/>
        <c:minorTickMark val="none"/>
        <c:tickLblPos val="nextTo"/>
        <c:crossAx val="580777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a:innerShdw blurRad="63500" dist="50800" dir="2700000">
        <a:prstClr val="black">
          <a:alpha val="50000"/>
        </a:prstClr>
      </a:innerShdw>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(Roast)!PivotTable2</c:name>
    <c:fmtId val="40"/>
  </c:pivotSource>
  <c:chart>
    <c:title>
      <c:tx>
        <c:rich>
          <a:bodyPr rot="0" spcFirstLastPara="1" vertOverflow="ellipsis" vert="horz" wrap="square" anchor="ctr" anchorCtr="0"/>
          <a:lstStyle/>
          <a:p>
            <a:pPr>
              <a:defRPr sz="1800" b="1" i="0" u="none" strike="noStrike" kern="1200" spc="0" baseline="0">
                <a:solidFill>
                  <a:schemeClr val="tx1"/>
                </a:solidFill>
                <a:latin typeface="+mn-lt"/>
                <a:ea typeface="+mn-ea"/>
                <a:cs typeface="+mn-cs"/>
              </a:defRPr>
            </a:pPr>
            <a:r>
              <a:rPr lang="en-US" sz="1800" b="1">
                <a:solidFill>
                  <a:schemeClr val="tx1"/>
                </a:solidFill>
              </a:rPr>
              <a:t>Coffee Roast Level Sales</a:t>
            </a:r>
          </a:p>
        </c:rich>
      </c:tx>
      <c:layout>
        <c:manualLayout>
          <c:xMode val="edge"/>
          <c:yMode val="edge"/>
          <c:x val="0.2765219595837079"/>
          <c:y val="4.2264974934597493E-2"/>
        </c:manualLayout>
      </c:layout>
      <c:overlay val="0"/>
      <c:spPr>
        <a:noFill/>
        <a:ln>
          <a:noFill/>
        </a:ln>
        <a:effectLst/>
      </c:spPr>
      <c:txPr>
        <a:bodyPr rot="0" spcFirstLastPara="1" vertOverflow="ellipsis" vert="horz" wrap="square" anchor="ctr" anchorCtr="0"/>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w="19050">
            <a:solidFill>
              <a:schemeClr val="lt1"/>
            </a:solidFill>
          </a:ln>
          <a:effectLst/>
          <a:sp3d contourW="19050">
            <a:contourClr>
              <a:schemeClr val="lt1"/>
            </a:contourClr>
          </a:sp3d>
        </c:spPr>
        <c:dLbl>
          <c:idx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a:sp3d contourW="19050">
            <a:contourClr>
              <a:schemeClr val="lt1"/>
            </a:contourClr>
          </a:sp3d>
        </c:spPr>
        <c:dLbl>
          <c:idx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a:sp3d contourW="19050">
            <a:contourClr>
              <a:schemeClr val="lt1"/>
            </a:contourClr>
          </a:sp3d>
        </c:spPr>
      </c:pivotFmt>
      <c:pivotFmt>
        <c:idx val="5"/>
        <c:spPr>
          <a:solidFill>
            <a:schemeClr val="accent1"/>
          </a:solidFill>
          <a:ln w="19050">
            <a:solidFill>
              <a:schemeClr val="lt1"/>
            </a:solidFill>
          </a:ln>
          <a:effectLst/>
          <a:sp3d contourW="19050">
            <a:contourClr>
              <a:schemeClr val="lt1"/>
            </a:contourClr>
          </a:sp3d>
        </c:spPr>
      </c:pivotFmt>
      <c:pivotFmt>
        <c:idx val="6"/>
        <c:spPr>
          <a:solidFill>
            <a:schemeClr val="accent1"/>
          </a:solidFill>
          <a:ln w="19050">
            <a:solidFill>
              <a:schemeClr val="lt1"/>
            </a:solidFill>
          </a:ln>
          <a:effectLst/>
          <a:sp3d contourW="19050">
            <a:contourClr>
              <a:schemeClr val="lt1"/>
            </a:contourClr>
          </a:sp3d>
        </c:spPr>
      </c:pivotFmt>
      <c:pivotFmt>
        <c:idx val="7"/>
        <c:spPr>
          <a:solidFill>
            <a:schemeClr val="accent1"/>
          </a:solidFill>
          <a:ln w="19050">
            <a:solidFill>
              <a:schemeClr val="lt1"/>
            </a:solidFill>
          </a:ln>
          <a:effectLst/>
          <a:sp3d contourW="19050">
            <a:contourClr>
              <a:schemeClr val="lt1"/>
            </a:contourClr>
          </a:sp3d>
        </c:spPr>
      </c:pivotFmt>
      <c:pivotFmt>
        <c:idx val="8"/>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a:sp3d contourW="19050">
            <a:contourClr>
              <a:schemeClr val="lt1"/>
            </a:contourClr>
          </a:sp3d>
        </c:spPr>
      </c:pivotFmt>
      <c:pivotFmt>
        <c:idx val="10"/>
        <c:spPr>
          <a:solidFill>
            <a:schemeClr val="accent1"/>
          </a:solidFill>
          <a:ln w="19050">
            <a:solidFill>
              <a:schemeClr val="lt1"/>
            </a:solidFill>
          </a:ln>
          <a:effectLst/>
          <a:sp3d contourW="19050">
            <a:contourClr>
              <a:schemeClr val="lt1"/>
            </a:contourClr>
          </a:sp3d>
        </c:spPr>
      </c:pivotFmt>
      <c:pivotFmt>
        <c:idx val="11"/>
        <c:spPr>
          <a:solidFill>
            <a:schemeClr val="accent1"/>
          </a:solidFill>
          <a:ln w="19050">
            <a:solidFill>
              <a:schemeClr val="lt1"/>
            </a:solidFill>
          </a:ln>
          <a:effectLst/>
          <a:sp3d contourW="19050">
            <a:contourClr>
              <a:schemeClr val="lt1"/>
            </a:contourClr>
          </a:sp3d>
        </c:spPr>
      </c:pivotFmt>
      <c:pivotFmt>
        <c:idx val="12"/>
        <c:spPr>
          <a:solidFill>
            <a:schemeClr val="accent1"/>
          </a:solidFill>
          <a:ln w="19050">
            <a:solidFill>
              <a:schemeClr val="lt1"/>
            </a:solidFill>
          </a:ln>
          <a:effectLst/>
          <a:sp3d contourW="19050">
            <a:contourClr>
              <a:schemeClr val="lt1"/>
            </a:contourClr>
          </a:sp3d>
        </c:spPr>
      </c:pivotFmt>
      <c:pivotFmt>
        <c:idx val="13"/>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38100">
            <a:solidFill>
              <a:schemeClr val="lt1"/>
            </a:solidFill>
          </a:ln>
          <a:effectLst/>
        </c:spPr>
      </c:pivotFmt>
    </c:pivotFmts>
    <c:plotArea>
      <c:layout/>
      <c:barChart>
        <c:barDir val="bar"/>
        <c:grouping val="stacked"/>
        <c:varyColors val="0"/>
        <c:ser>
          <c:idx val="0"/>
          <c:order val="0"/>
          <c:tx>
            <c:strRef>
              <c:f>'Analysis (Roast)'!$B$3</c:f>
              <c:strCache>
                <c:ptCount val="1"/>
                <c:pt idx="0">
                  <c:v>Total</c:v>
                </c:pt>
              </c:strCache>
            </c:strRef>
          </c:tx>
          <c:spPr>
            <a:solidFill>
              <a:schemeClr val="accent1"/>
            </a:solidFill>
            <a:ln w="19050">
              <a:solidFill>
                <a:schemeClr val="lt1"/>
              </a:solidFill>
            </a:ln>
            <a:effectLst/>
          </c:spPr>
          <c:invertIfNegative val="0"/>
          <c:dPt>
            <c:idx val="2"/>
            <c:invertIfNegative val="0"/>
            <c:bubble3D val="0"/>
            <c:spPr>
              <a:solidFill>
                <a:schemeClr val="accent1"/>
              </a:solidFill>
              <a:ln w="38100">
                <a:solidFill>
                  <a:schemeClr val="lt1"/>
                </a:solidFill>
              </a:ln>
              <a:effectLst/>
            </c:spPr>
            <c:extLst>
              <c:ext xmlns:c16="http://schemas.microsoft.com/office/drawing/2014/chart" uri="{C3380CC4-5D6E-409C-BE32-E72D297353CC}">
                <c16:uniqueId val="{00000001-B27C-1042-A580-F71C524CBE12}"/>
              </c:ext>
            </c:extLst>
          </c:dPt>
          <c:dLbls>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(Roast)'!$A$4:$A$6</c:f>
              <c:strCache>
                <c:ptCount val="3"/>
                <c:pt idx="0">
                  <c:v>Dark</c:v>
                </c:pt>
                <c:pt idx="1">
                  <c:v>Medium</c:v>
                </c:pt>
                <c:pt idx="2">
                  <c:v>Light</c:v>
                </c:pt>
              </c:strCache>
            </c:strRef>
          </c:cat>
          <c:val>
            <c:numRef>
              <c:f>'Analysis (Roast)'!$B$4:$B$6</c:f>
              <c:numCache>
                <c:formatCode>_("$"* #,##0_);_("$"* \(#,##0\);_("$"* "-"??_);_(@_)</c:formatCode>
                <c:ptCount val="3"/>
                <c:pt idx="0">
                  <c:v>13179.315000000013</c:v>
                </c:pt>
                <c:pt idx="1">
                  <c:v>14600.474999999995</c:v>
                </c:pt>
                <c:pt idx="2">
                  <c:v>17354.464999999993</c:v>
                </c:pt>
              </c:numCache>
            </c:numRef>
          </c:val>
          <c:extLst>
            <c:ext xmlns:c16="http://schemas.microsoft.com/office/drawing/2014/chart" uri="{C3380CC4-5D6E-409C-BE32-E72D297353CC}">
              <c16:uniqueId val="{00000000-B27C-1042-A580-F71C524CBE12}"/>
            </c:ext>
          </c:extLst>
        </c:ser>
        <c:dLbls>
          <c:showLegendKey val="0"/>
          <c:showVal val="0"/>
          <c:showCatName val="0"/>
          <c:showSerName val="0"/>
          <c:showPercent val="0"/>
          <c:showBubbleSize val="0"/>
        </c:dLbls>
        <c:gapWidth val="100"/>
        <c:overlap val="100"/>
        <c:axId val="66275327"/>
        <c:axId val="33452703"/>
      </c:barChart>
      <c:valAx>
        <c:axId val="33452703"/>
        <c:scaling>
          <c:orientation val="minMax"/>
        </c:scaling>
        <c:delete val="1"/>
        <c:axPos val="b"/>
        <c:majorGridlines>
          <c:spPr>
            <a:ln w="9525" cap="flat" cmpd="sng" algn="ctr">
              <a:solidFill>
                <a:schemeClr val="bg1"/>
              </a:solidFill>
              <a:round/>
            </a:ln>
            <a:effectLst/>
          </c:spPr>
        </c:majorGridlines>
        <c:numFmt formatCode="_(&quot;$&quot;* #,##0_);_(&quot;$&quot;* \(#,##0\);_(&quot;$&quot;* &quot;-&quot;??_);_(@_)" sourceLinked="1"/>
        <c:majorTickMark val="out"/>
        <c:minorTickMark val="none"/>
        <c:tickLblPos val="nextTo"/>
        <c:crossAx val="66275327"/>
        <c:crosses val="autoZero"/>
        <c:crossBetween val="between"/>
      </c:valAx>
      <c:catAx>
        <c:axId val="662753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34527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5">
          <a:lumMod val="20000"/>
          <a:lumOff val="8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(Loyalty)!PivotTable14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Loyatly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2"/>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layout>
            <c:manualLayout>
              <c:x val="-0.25932252223419683"/>
              <c:y val="4.595837435027019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dLbl>
          <c:idx val="0"/>
          <c:layout>
            <c:manualLayout>
              <c:x val="0.25064149469039304"/>
              <c:y val="-1.182622033625238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 (Loyalty)'!$B$8</c:f>
              <c:strCache>
                <c:ptCount val="1"/>
                <c:pt idx="0">
                  <c:v>Total</c:v>
                </c:pt>
              </c:strCache>
            </c:strRef>
          </c:tx>
          <c:dPt>
            <c:idx val="0"/>
            <c:bubble3D val="0"/>
            <c:explosion val="8"/>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A7A-2A4D-98F2-B24F024C4AB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A7A-2A4D-98F2-B24F024C4ABF}"/>
              </c:ext>
            </c:extLst>
          </c:dPt>
          <c:dLbls>
            <c:dLbl>
              <c:idx val="0"/>
              <c:layout>
                <c:manualLayout>
                  <c:x val="-0.25932252223419683"/>
                  <c:y val="4.595837435027019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A7A-2A4D-98F2-B24F024C4ABF}"/>
                </c:ext>
              </c:extLst>
            </c:dLbl>
            <c:dLbl>
              <c:idx val="1"/>
              <c:layout>
                <c:manualLayout>
                  <c:x val="0.25064149469039304"/>
                  <c:y val="-1.182622033625238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A7A-2A4D-98F2-B24F024C4ABF}"/>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(Loyalty)'!$A$9:$A$11</c:f>
              <c:strCache>
                <c:ptCount val="2"/>
                <c:pt idx="0">
                  <c:v>No</c:v>
                </c:pt>
                <c:pt idx="1">
                  <c:v>Yes</c:v>
                </c:pt>
              </c:strCache>
            </c:strRef>
          </c:cat>
          <c:val>
            <c:numRef>
              <c:f>'Analysis (Loyalty)'!$B$9:$B$11</c:f>
              <c:numCache>
                <c:formatCode>General</c:formatCode>
                <c:ptCount val="2"/>
                <c:pt idx="0">
                  <c:v>521</c:v>
                </c:pt>
                <c:pt idx="1">
                  <c:v>479</c:v>
                </c:pt>
              </c:numCache>
            </c:numRef>
          </c:val>
          <c:extLst>
            <c:ext xmlns:c16="http://schemas.microsoft.com/office/drawing/2014/chart" uri="{C3380CC4-5D6E-409C-BE32-E72D297353CC}">
              <c16:uniqueId val="{00000004-9A7A-2A4D-98F2-B24F024C4ABF}"/>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(Loyalty)!PivotTable15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055140065440198"/>
          <c:y val="0.22547164273096484"/>
          <c:w val="0.66824412066396321"/>
          <c:h val="0.6724977596439885"/>
        </c:manualLayout>
      </c:layout>
      <c:barChart>
        <c:barDir val="bar"/>
        <c:grouping val="clustered"/>
        <c:varyColors val="0"/>
        <c:ser>
          <c:idx val="0"/>
          <c:order val="0"/>
          <c:tx>
            <c:strRef>
              <c:f>'Analysis (Loyalty)'!$A$14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(Loyalty)'!$A$15</c:f>
              <c:strCache>
                <c:ptCount val="1"/>
                <c:pt idx="0">
                  <c:v>Total</c:v>
                </c:pt>
              </c:strCache>
            </c:strRef>
          </c:cat>
          <c:val>
            <c:numRef>
              <c:f>'Analysis (Loyalty)'!$A$15</c:f>
              <c:numCache>
                <c:formatCode>General</c:formatCode>
                <c:ptCount val="1"/>
                <c:pt idx="0">
                  <c:v>1000</c:v>
                </c:pt>
              </c:numCache>
            </c:numRef>
          </c:val>
          <c:extLst>
            <c:ext xmlns:c16="http://schemas.microsoft.com/office/drawing/2014/chart" uri="{C3380CC4-5D6E-409C-BE32-E72D297353CC}">
              <c16:uniqueId val="{00000000-B524-4D4E-9DD4-D71C7B014C53}"/>
            </c:ext>
          </c:extLst>
        </c:ser>
        <c:dLbls>
          <c:showLegendKey val="0"/>
          <c:showVal val="0"/>
          <c:showCatName val="0"/>
          <c:showSerName val="0"/>
          <c:showPercent val="0"/>
          <c:showBubbleSize val="0"/>
        </c:dLbls>
        <c:gapWidth val="150"/>
        <c:overlap val="62"/>
        <c:axId val="971664527"/>
        <c:axId val="1321078000"/>
      </c:barChart>
      <c:catAx>
        <c:axId val="971664527"/>
        <c:scaling>
          <c:orientation val="minMax"/>
        </c:scaling>
        <c:delete val="1"/>
        <c:axPos val="l"/>
        <c:numFmt formatCode="General" sourceLinked="1"/>
        <c:majorTickMark val="none"/>
        <c:minorTickMark val="none"/>
        <c:tickLblPos val="nextTo"/>
        <c:crossAx val="1321078000"/>
        <c:crosses val="autoZero"/>
        <c:auto val="1"/>
        <c:lblAlgn val="ctr"/>
        <c:lblOffset val="100"/>
        <c:noMultiLvlLbl val="0"/>
      </c:catAx>
      <c:valAx>
        <c:axId val="1321078000"/>
        <c:scaling>
          <c:orientation val="minMax"/>
        </c:scaling>
        <c:delete val="1"/>
        <c:axPos val="b"/>
        <c:numFmt formatCode="General" sourceLinked="1"/>
        <c:majorTickMark val="none"/>
        <c:minorTickMark val="none"/>
        <c:tickLblPos val="nextTo"/>
        <c:crossAx val="97166452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Dashboard.xlsx]Analyis (Country)!PivotTable1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a:solidFill>
              <a:schemeClr val="bg1"/>
            </a:solidFill>
          </a:ln>
          <a:effectLst/>
        </c:spPr>
      </c:pivotFmt>
      <c:pivotFmt>
        <c:idx val="2"/>
        <c:spPr>
          <a:solidFill>
            <a:schemeClr val="accent1">
              <a:lumMod val="60000"/>
              <a:lumOff val="40000"/>
            </a:schemeClr>
          </a:solidFill>
          <a:ln>
            <a:noFill/>
          </a:ln>
          <a:effectLst/>
        </c:spPr>
      </c:pivotFmt>
      <c:pivotFmt>
        <c:idx val="3"/>
        <c:spPr>
          <a:solidFill>
            <a:schemeClr val="accent1">
              <a:lumMod val="40000"/>
              <a:lumOff val="6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solidFill>
          <a:ln w="38100">
            <a:solidFill>
              <a:schemeClr val="bg1"/>
            </a:solidFill>
          </a:ln>
          <a:effectLst/>
        </c:spPr>
      </c:pivotFmt>
      <c:pivotFmt>
        <c:idx val="8"/>
        <c:spPr>
          <a:solidFill>
            <a:schemeClr val="accent1"/>
          </a:solidFill>
          <a:ln w="38100">
            <a:solidFill>
              <a:schemeClr val="bg1">
                <a:alpha val="98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40000"/>
              <a:lumOff val="60000"/>
            </a:schemeClr>
          </a:solidFill>
          <a:ln w="38100">
            <a:solidFill>
              <a:schemeClr val="bg1">
                <a:alpha val="98000"/>
              </a:schemeClr>
            </a:solidFill>
          </a:ln>
          <a:effectLst/>
        </c:spPr>
      </c:pivotFmt>
      <c:pivotFmt>
        <c:idx val="10"/>
        <c:spPr>
          <a:solidFill>
            <a:schemeClr val="accent1">
              <a:lumMod val="60000"/>
              <a:lumOff val="40000"/>
            </a:schemeClr>
          </a:solidFill>
          <a:ln w="38100">
            <a:solidFill>
              <a:schemeClr val="bg1">
                <a:alpha val="98000"/>
              </a:schemeClr>
            </a:solidFill>
          </a:ln>
          <a:effectLst/>
        </c:spPr>
      </c:pivotFmt>
      <c:pivotFmt>
        <c:idx val="11"/>
        <c:spPr>
          <a:solidFill>
            <a:schemeClr val="accent1"/>
          </a:solidFill>
          <a:ln w="38100">
            <a:solidFill>
              <a:schemeClr val="bg1">
                <a:alpha val="98000"/>
              </a:schemeClr>
            </a:solidFill>
          </a:ln>
          <a:effectLst/>
        </c:spPr>
      </c:pivotFmt>
    </c:pivotFmts>
    <c:plotArea>
      <c:layout/>
      <c:barChart>
        <c:barDir val="col"/>
        <c:grouping val="clustered"/>
        <c:varyColors val="0"/>
        <c:ser>
          <c:idx val="0"/>
          <c:order val="0"/>
          <c:tx>
            <c:strRef>
              <c:f>'Analyis (Country)'!$D$4</c:f>
              <c:strCache>
                <c:ptCount val="1"/>
                <c:pt idx="0">
                  <c:v>Total</c:v>
                </c:pt>
              </c:strCache>
            </c:strRef>
          </c:tx>
          <c:spPr>
            <a:solidFill>
              <a:schemeClr val="accent1"/>
            </a:solidFill>
            <a:ln w="38100">
              <a:solidFill>
                <a:schemeClr val="bg1">
                  <a:alpha val="98000"/>
                </a:schemeClr>
              </a:solidFill>
            </a:ln>
            <a:effectLst/>
          </c:spPr>
          <c:invertIfNegative val="0"/>
          <c:dPt>
            <c:idx val="0"/>
            <c:invertIfNegative val="0"/>
            <c:bubble3D val="0"/>
            <c:spPr>
              <a:solidFill>
                <a:schemeClr val="accent1">
                  <a:lumMod val="40000"/>
                  <a:lumOff val="60000"/>
                </a:schemeClr>
              </a:solidFill>
              <a:ln w="38100">
                <a:solidFill>
                  <a:schemeClr val="bg1">
                    <a:alpha val="98000"/>
                  </a:schemeClr>
                </a:solidFill>
              </a:ln>
              <a:effectLst/>
            </c:spPr>
            <c:extLst>
              <c:ext xmlns:c16="http://schemas.microsoft.com/office/drawing/2014/chart" uri="{C3380CC4-5D6E-409C-BE32-E72D297353CC}">
                <c16:uniqueId val="{00000001-5A61-E146-90FB-ED7DDB000030}"/>
              </c:ext>
            </c:extLst>
          </c:dPt>
          <c:dPt>
            <c:idx val="1"/>
            <c:invertIfNegative val="0"/>
            <c:bubble3D val="0"/>
            <c:spPr>
              <a:solidFill>
                <a:schemeClr val="accent1">
                  <a:lumMod val="60000"/>
                  <a:lumOff val="40000"/>
                </a:schemeClr>
              </a:solidFill>
              <a:ln w="38100">
                <a:solidFill>
                  <a:schemeClr val="bg1">
                    <a:alpha val="98000"/>
                  </a:schemeClr>
                </a:solidFill>
              </a:ln>
              <a:effectLst/>
            </c:spPr>
            <c:extLst>
              <c:ext xmlns:c16="http://schemas.microsoft.com/office/drawing/2014/chart" uri="{C3380CC4-5D6E-409C-BE32-E72D297353CC}">
                <c16:uniqueId val="{00000003-5A61-E146-90FB-ED7DDB000030}"/>
              </c:ext>
            </c:extLst>
          </c:dPt>
          <c:dPt>
            <c:idx val="2"/>
            <c:invertIfNegative val="0"/>
            <c:bubble3D val="0"/>
            <c:spPr>
              <a:solidFill>
                <a:schemeClr val="accent1"/>
              </a:solidFill>
              <a:ln w="38100">
                <a:solidFill>
                  <a:schemeClr val="bg1">
                    <a:alpha val="98000"/>
                  </a:schemeClr>
                </a:solidFill>
              </a:ln>
              <a:effectLst/>
            </c:spPr>
            <c:extLst>
              <c:ext xmlns:c16="http://schemas.microsoft.com/office/drawing/2014/chart" uri="{C3380CC4-5D6E-409C-BE32-E72D297353CC}">
                <c16:uniqueId val="{00000005-5A61-E146-90FB-ED7DDB000030}"/>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'Analyis (Country)'!$C$5:$C$7</c:f>
              <c:strCache>
                <c:ptCount val="3"/>
                <c:pt idx="0">
                  <c:v>United Kingdom</c:v>
                </c:pt>
                <c:pt idx="1">
                  <c:v>Ireland</c:v>
                </c:pt>
                <c:pt idx="2">
                  <c:v>United States</c:v>
                </c:pt>
              </c:strCache>
            </c:strRef>
          </c:cat>
          <c:val>
            <c:numRef>
              <c:f>'Analyis (Country)'!$D$5:$D$7</c:f>
              <c:numCache>
                <c:formatCode>_("$"* #,##0_);_("$"* \(#,##0\);_("$"*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6-5A61-E146-90FB-ED7DDB000030}"/>
            </c:ext>
          </c:extLst>
        </c:ser>
        <c:dLbls>
          <c:showLegendKey val="0"/>
          <c:showVal val="0"/>
          <c:showCatName val="0"/>
          <c:showSerName val="0"/>
          <c:showPercent val="0"/>
          <c:showBubbleSize val="0"/>
        </c:dLbls>
        <c:gapWidth val="182"/>
        <c:axId val="1785491296"/>
        <c:axId val="1784916464"/>
      </c:barChart>
      <c:catAx>
        <c:axId val="178549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916464"/>
        <c:crosses val="autoZero"/>
        <c:auto val="1"/>
        <c:lblAlgn val="ctr"/>
        <c:lblOffset val="100"/>
        <c:noMultiLvlLbl val="0"/>
      </c:catAx>
      <c:valAx>
        <c:axId val="1784916464"/>
        <c:scaling>
          <c:orientation val="minMax"/>
        </c:scaling>
        <c:delete val="1"/>
        <c:axPos val="l"/>
        <c:majorGridlines>
          <c:spPr>
            <a:ln w="9525" cap="flat" cmpd="sng" algn="ctr">
              <a:solidFill>
                <a:schemeClr val="bg1"/>
              </a:solidFill>
              <a:round/>
            </a:ln>
            <a:effectLst/>
          </c:spPr>
        </c:majorGridlines>
        <c:numFmt formatCode="_(&quot;$&quot;* #,##0_);_(&quot;$&quot;* \(#,##0\);_(&quot;$&quot;* &quot;-&quot;??_);_(@_)" sourceLinked="1"/>
        <c:majorTickMark val="none"/>
        <c:minorTickMark val="none"/>
        <c:tickLblPos val="nextTo"/>
        <c:crossAx val="178549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bg1"/>
      </a:solidFill>
      <a:round/>
    </a:ln>
    <a:effectLst>
      <a:innerShdw blurRad="63500" dist="50800" dir="2700000">
        <a:prstClr val="black">
          <a:alpha val="50000"/>
        </a:prstClr>
      </a:inn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(Coffee type)!PivotTable2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a:t>
            </a:r>
            <a:r>
              <a:rPr lang="en-GB" baseline="0"/>
              <a:t> Over Time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 (Coffee type)'!$C$3:$C$4</c:f>
              <c:strCache>
                <c:ptCount val="1"/>
                <c:pt idx="0">
                  <c:v>Arabica</c:v>
                </c:pt>
              </c:strCache>
            </c:strRef>
          </c:tx>
          <c:spPr>
            <a:ln w="28575" cap="rnd">
              <a:solidFill>
                <a:schemeClr val="accent1"/>
              </a:solidFill>
              <a:round/>
            </a:ln>
            <a:effectLst/>
          </c:spPr>
          <c:marker>
            <c:symbol val="none"/>
          </c:marker>
          <c:cat>
            <c:multiLvlStrRef>
              <c:f>'Analysis (Coffee 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'Analysis (Coffee type)'!$C$5:$C$48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4B3-B643-AD61-E618776AB9F7}"/>
            </c:ext>
          </c:extLst>
        </c:ser>
        <c:ser>
          <c:idx val="1"/>
          <c:order val="1"/>
          <c:tx>
            <c:strRef>
              <c:f>'Analysis (Coffee type)'!$D$3:$D$4</c:f>
              <c:strCache>
                <c:ptCount val="1"/>
                <c:pt idx="0">
                  <c:v>Excelsa</c:v>
                </c:pt>
              </c:strCache>
            </c:strRef>
          </c:tx>
          <c:spPr>
            <a:ln w="28575" cap="rnd">
              <a:solidFill>
                <a:schemeClr val="accent2"/>
              </a:solidFill>
              <a:round/>
            </a:ln>
            <a:effectLst/>
          </c:spPr>
          <c:marker>
            <c:symbol val="none"/>
          </c:marker>
          <c:cat>
            <c:multiLvlStrRef>
              <c:f>'Analysis (Coffee 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'Analysis (Coffee type)'!$D$5:$D$48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4B3-B643-AD61-E618776AB9F7}"/>
            </c:ext>
          </c:extLst>
        </c:ser>
        <c:ser>
          <c:idx val="2"/>
          <c:order val="2"/>
          <c:tx>
            <c:strRef>
              <c:f>'Analysis (Coffee type)'!$E$3:$E$4</c:f>
              <c:strCache>
                <c:ptCount val="1"/>
                <c:pt idx="0">
                  <c:v>Liberica</c:v>
                </c:pt>
              </c:strCache>
            </c:strRef>
          </c:tx>
          <c:spPr>
            <a:ln w="28575" cap="rnd">
              <a:solidFill>
                <a:schemeClr val="accent3"/>
              </a:solidFill>
              <a:round/>
            </a:ln>
            <a:effectLst/>
          </c:spPr>
          <c:marker>
            <c:symbol val="none"/>
          </c:marker>
          <c:cat>
            <c:multiLvlStrRef>
              <c:f>'Analysis (Coffee 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'Analysis (Coffee type)'!$E$5:$E$48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4B3-B643-AD61-E618776AB9F7}"/>
            </c:ext>
          </c:extLst>
        </c:ser>
        <c:ser>
          <c:idx val="3"/>
          <c:order val="3"/>
          <c:tx>
            <c:strRef>
              <c:f>'Analysis (Coffee type)'!$F$3:$F$4</c:f>
              <c:strCache>
                <c:ptCount val="1"/>
                <c:pt idx="0">
                  <c:v>Robusta</c:v>
                </c:pt>
              </c:strCache>
            </c:strRef>
          </c:tx>
          <c:spPr>
            <a:ln w="28575" cap="rnd">
              <a:solidFill>
                <a:schemeClr val="accent4"/>
              </a:solidFill>
              <a:round/>
            </a:ln>
            <a:effectLst/>
          </c:spPr>
          <c:marker>
            <c:symbol val="none"/>
          </c:marker>
          <c:cat>
            <c:multiLvlStrRef>
              <c:f>'Analysis (Coffee type)'!$A$5:$B$48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'Analysis (Coffee type)'!$F$5:$F$48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0-8B06-FC44-B112-0766F41A856D}"/>
            </c:ext>
          </c:extLst>
        </c:ser>
        <c:dLbls>
          <c:showLegendKey val="0"/>
          <c:showVal val="0"/>
          <c:showCatName val="0"/>
          <c:showSerName val="0"/>
          <c:showPercent val="0"/>
          <c:showBubbleSize val="0"/>
        </c:dLbls>
        <c:smooth val="0"/>
        <c:axId val="92904159"/>
        <c:axId val="93177055"/>
      </c:lineChart>
      <c:catAx>
        <c:axId val="9290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177055"/>
        <c:crosses val="autoZero"/>
        <c:auto val="1"/>
        <c:lblAlgn val="ctr"/>
        <c:lblOffset val="100"/>
        <c:noMultiLvlLbl val="0"/>
      </c:catAx>
      <c:valAx>
        <c:axId val="9317705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904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Dashboard.xlsx]Analyis (Country)!PivotTable1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pivotFmt>
      <c:pivotFmt>
        <c:idx val="2"/>
        <c:spPr>
          <a:solidFill>
            <a:schemeClr val="accent1">
              <a:lumMod val="40000"/>
              <a:lumOff val="60000"/>
            </a:schemeClr>
          </a:solidFill>
          <a:ln>
            <a:noFill/>
          </a:ln>
          <a:effectLst/>
        </c:spPr>
      </c:pivotFmt>
      <c:pivotFmt>
        <c:idx val="3"/>
        <c:spPr>
          <a:solidFill>
            <a:schemeClr val="accent1">
              <a:lumMod val="40000"/>
              <a:lumOff val="60000"/>
            </a:schemeClr>
          </a:solidFill>
          <a:ln>
            <a:noFill/>
          </a:ln>
          <a:effectLst/>
        </c:spPr>
      </c:pivotFmt>
    </c:pivotFmts>
    <c:plotArea>
      <c:layout/>
      <c:barChart>
        <c:barDir val="bar"/>
        <c:grouping val="clustered"/>
        <c:varyColors val="0"/>
        <c:ser>
          <c:idx val="0"/>
          <c:order val="0"/>
          <c:tx>
            <c:strRef>
              <c:f>'Analyis (Country)'!$D$4</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4-54CA-AE48-8668-3E7213030AE4}"/>
              </c:ext>
            </c:extLst>
          </c:dPt>
          <c:dPt>
            <c:idx val="1"/>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3-54CA-AE48-8668-3E7213030AE4}"/>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54CA-AE48-8668-3E7213030A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'Analyis (Country)'!$C$5:$C$7</c:f>
              <c:strCache>
                <c:ptCount val="3"/>
                <c:pt idx="0">
                  <c:v>United Kingdom</c:v>
                </c:pt>
                <c:pt idx="1">
                  <c:v>Ireland</c:v>
                </c:pt>
                <c:pt idx="2">
                  <c:v>United States</c:v>
                </c:pt>
              </c:strCache>
            </c:strRef>
          </c:cat>
          <c:val>
            <c:numRef>
              <c:f>'Analyis (Country)'!$D$5:$D$7</c:f>
              <c:numCache>
                <c:formatCode>_("$"* #,##0_);_("$"* \(#,##0\);_("$"*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54CA-AE48-8668-3E7213030AE4}"/>
            </c:ext>
          </c:extLst>
        </c:ser>
        <c:dLbls>
          <c:showLegendKey val="0"/>
          <c:showVal val="0"/>
          <c:showCatName val="0"/>
          <c:showSerName val="0"/>
          <c:showPercent val="0"/>
          <c:showBubbleSize val="0"/>
        </c:dLbls>
        <c:gapWidth val="182"/>
        <c:axId val="1785491296"/>
        <c:axId val="1784916464"/>
      </c:barChart>
      <c:catAx>
        <c:axId val="1785491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916464"/>
        <c:crosses val="autoZero"/>
        <c:auto val="1"/>
        <c:lblAlgn val="ctr"/>
        <c:lblOffset val="100"/>
        <c:noMultiLvlLbl val="0"/>
      </c:catAx>
      <c:valAx>
        <c:axId val="1784916464"/>
        <c:scaling>
          <c:orientation val="minMax"/>
        </c:scaling>
        <c:delete val="0"/>
        <c:axPos val="b"/>
        <c:majorGridlines>
          <c:spPr>
            <a:ln w="9525" cap="flat" cmpd="sng" algn="ctr">
              <a:solidFill>
                <a:schemeClr val="bg1"/>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49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Dashboard.xlsx]Analyis (Country)!PivotTable1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'Analyis (Country)'!$D$4</c:f>
              <c:strCache>
                <c:ptCount val="1"/>
                <c:pt idx="0">
                  <c:v>Total</c:v>
                </c:pt>
              </c:strCache>
            </c:strRef>
          </c:tx>
          <c:spPr>
            <a:solidFill>
              <a:schemeClr val="accent1"/>
            </a:solidFill>
            <a:ln>
              <a:noFill/>
            </a:ln>
            <a:effectLst/>
          </c:spPr>
          <c:invertIfNegative val="0"/>
          <c:cat>
            <c:strRef>
              <c:f>'Analyis (Country)'!$C$5:$C$7</c:f>
              <c:strCache>
                <c:ptCount val="3"/>
                <c:pt idx="0">
                  <c:v>United Kingdom</c:v>
                </c:pt>
                <c:pt idx="1">
                  <c:v>Ireland</c:v>
                </c:pt>
                <c:pt idx="2">
                  <c:v>United States</c:v>
                </c:pt>
              </c:strCache>
            </c:strRef>
          </c:cat>
          <c:val>
            <c:numRef>
              <c:f>'Analyis (Country)'!$D$5:$D$7</c:f>
              <c:numCache>
                <c:formatCode>_("$"* #,##0_);_("$"* \(#,##0\);_("$"* "-"??_);_(@_)</c:formatCode>
                <c:ptCount val="3"/>
                <c:pt idx="0">
                  <c:v>2798.5050000000001</c:v>
                </c:pt>
                <c:pt idx="1">
                  <c:v>6696.8649999999989</c:v>
                </c:pt>
                <c:pt idx="2">
                  <c:v>35638.88499999998</c:v>
                </c:pt>
              </c:numCache>
            </c:numRef>
          </c:val>
          <c:extLst>
            <c:ext xmlns:c16="http://schemas.microsoft.com/office/drawing/2014/chart" uri="{C3380CC4-5D6E-409C-BE32-E72D297353CC}">
              <c16:uniqueId val="{00000000-8453-6346-9F5D-41EAEEEBB656}"/>
            </c:ext>
          </c:extLst>
        </c:ser>
        <c:dLbls>
          <c:showLegendKey val="0"/>
          <c:showVal val="0"/>
          <c:showCatName val="0"/>
          <c:showSerName val="0"/>
          <c:showPercent val="0"/>
          <c:showBubbleSize val="0"/>
        </c:dLbls>
        <c:gapWidth val="219"/>
        <c:axId val="2139340447"/>
        <c:axId val="1972759168"/>
      </c:barChart>
      <c:catAx>
        <c:axId val="213934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2759168"/>
        <c:crosses val="autoZero"/>
        <c:auto val="1"/>
        <c:lblAlgn val="ctr"/>
        <c:lblOffset val="100"/>
        <c:noMultiLvlLbl val="0"/>
      </c:catAx>
      <c:valAx>
        <c:axId val="197275916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934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(Customer)!PivotTable2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(Customer)'!$B$3</c:f>
              <c:strCache>
                <c:ptCount val="1"/>
                <c:pt idx="0">
                  <c:v>Total</c:v>
                </c:pt>
              </c:strCache>
            </c:strRef>
          </c:tx>
          <c:spPr>
            <a:solidFill>
              <a:schemeClr val="accent1"/>
            </a:solidFill>
            <a:ln>
              <a:noFill/>
            </a:ln>
            <a:effectLst/>
          </c:spPr>
          <c:invertIfNegative val="0"/>
          <c:cat>
            <c:strRef>
              <c:f>'Analysis (Customer)'!$A$4:$A$8</c:f>
              <c:strCache>
                <c:ptCount val="5"/>
                <c:pt idx="0">
                  <c:v>Don Flintiff</c:v>
                </c:pt>
                <c:pt idx="1">
                  <c:v>Nealson Cuttler</c:v>
                </c:pt>
                <c:pt idx="2">
                  <c:v>Terri Farra</c:v>
                </c:pt>
                <c:pt idx="3">
                  <c:v>Brenn Dundredge</c:v>
                </c:pt>
                <c:pt idx="4">
                  <c:v>Allis Wilmore</c:v>
                </c:pt>
              </c:strCache>
            </c:strRef>
          </c:cat>
          <c:val>
            <c:numRef>
              <c:f>'Analysis (Customer)'!$B$4:$B$8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2949-4F42-B618-110AFC2BE769}"/>
            </c:ext>
          </c:extLst>
        </c:ser>
        <c:dLbls>
          <c:showLegendKey val="0"/>
          <c:showVal val="0"/>
          <c:showCatName val="0"/>
          <c:showSerName val="0"/>
          <c:showPercent val="0"/>
          <c:showBubbleSize val="0"/>
        </c:dLbls>
        <c:gapWidth val="219"/>
        <c:axId val="1594219888"/>
        <c:axId val="1513319520"/>
      </c:barChart>
      <c:catAx>
        <c:axId val="15942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319520"/>
        <c:crosses val="autoZero"/>
        <c:auto val="1"/>
        <c:lblAlgn val="ctr"/>
        <c:lblOffset val="100"/>
        <c:noMultiLvlLbl val="0"/>
      </c:catAx>
      <c:valAx>
        <c:axId val="1513319520"/>
        <c:scaling>
          <c:orientation val="minMax"/>
        </c:scaling>
        <c:delete val="0"/>
        <c:axPos val="b"/>
        <c:majorGridlines>
          <c:spPr>
            <a:ln w="9525" cap="flat" cmpd="sng" algn="ctr">
              <a:solidFill>
                <a:schemeClr val="bg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4219888"/>
        <c:crosses val="autoZero"/>
        <c:crossBetween val="between"/>
      </c:valAx>
      <c:spPr>
        <a:noFill/>
        <a:ln>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(Size)!PivotTable2</c:name>
    <c:fmtId val="6"/>
  </c:pivotSource>
  <c:chart>
    <c:title>
      <c:tx>
        <c:rich>
          <a:bodyPr rot="0" spcFirstLastPara="1" vertOverflow="ellipsis" vert="horz" wrap="square" anchor="ctr" anchorCtr="1"/>
          <a:lstStyle/>
          <a:p>
            <a:pPr>
              <a:defRPr sz="1440" b="1" i="0" u="none" strike="noStrike" kern="1200" spc="0" baseline="0">
                <a:solidFill>
                  <a:schemeClr val="tx1"/>
                </a:solidFill>
                <a:latin typeface="+mn-lt"/>
                <a:ea typeface="+mn-ea"/>
                <a:cs typeface="+mn-cs"/>
              </a:defRPr>
            </a:pPr>
            <a:r>
              <a:rPr lang="en-US" b="1"/>
              <a:t>Coffee Size Sales</a:t>
            </a:r>
          </a:p>
        </c:rich>
      </c:tx>
      <c:layout>
        <c:manualLayout>
          <c:xMode val="edge"/>
          <c:yMode val="edge"/>
          <c:x val="0.35997634268544998"/>
          <c:y val="3.2585784643884841E-2"/>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chemeClr val="tx1"/>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a:sp3d contourW="19050">
            <a:contourClr>
              <a:schemeClr val="lt1"/>
            </a:contourClr>
          </a:sp3d>
        </c:spPr>
      </c:pivotFmt>
      <c:pivotFmt>
        <c:idx val="4"/>
        <c:spPr>
          <a:solidFill>
            <a:schemeClr val="accent1"/>
          </a:solidFill>
          <a:ln w="19050">
            <a:solidFill>
              <a:schemeClr val="lt1"/>
            </a:solidFill>
          </a:ln>
          <a:effectLst/>
          <a:sp3d contourW="19050">
            <a:contourClr>
              <a:schemeClr val="lt1"/>
            </a:contourClr>
          </a:sp3d>
        </c:spPr>
      </c:pivotFmt>
      <c:pivotFmt>
        <c:idx val="5"/>
        <c:spPr>
          <a:solidFill>
            <a:schemeClr val="accent1"/>
          </a:solidFill>
          <a:ln w="19050">
            <a:solidFill>
              <a:schemeClr val="lt1"/>
            </a:solidFill>
          </a:ln>
          <a:effectLst/>
          <a:sp3d contourW="19050">
            <a:contourClr>
              <a:schemeClr val="lt1"/>
            </a:contourClr>
          </a:sp3d>
        </c:spPr>
      </c:pivotFmt>
      <c:pivotFmt>
        <c:idx val="6"/>
        <c:spPr>
          <a:solidFill>
            <a:schemeClr val="accent1"/>
          </a:solidFill>
          <a:ln w="19050">
            <a:solidFill>
              <a:schemeClr val="lt1"/>
            </a:solidFill>
          </a:ln>
          <a:effectLst/>
          <a:sp3d contourW="19050">
            <a:contourClr>
              <a:schemeClr val="lt1"/>
            </a:contourClr>
          </a:sp3d>
        </c:spPr>
      </c:pivotFmt>
      <c:pivotFmt>
        <c:idx val="7"/>
        <c:spPr>
          <a:solidFill>
            <a:schemeClr val="accent1"/>
          </a:solidFill>
          <a:ln w="19050">
            <a:solidFill>
              <a:schemeClr val="lt1"/>
            </a:solidFill>
          </a:ln>
          <a:effectLst/>
          <a:sp3d contourW="1905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 (Size)'!$B$3</c:f>
              <c:strCache>
                <c:ptCount val="1"/>
                <c:pt idx="0">
                  <c:v>Total</c:v>
                </c:pt>
              </c:strCache>
            </c:strRef>
          </c:tx>
          <c:dPt>
            <c:idx val="0"/>
            <c:bubble3D val="0"/>
            <c:spPr>
              <a:solidFill>
                <a:schemeClr val="accent1"/>
              </a:solidFill>
              <a:ln w="19050">
                <a:solidFill>
                  <a:schemeClr val="lt1"/>
                </a:solidFill>
              </a:ln>
              <a:effectLst/>
              <a:sp3d contourW="19050">
                <a:contourClr>
                  <a:schemeClr val="lt1"/>
                </a:contourClr>
              </a:sp3d>
            </c:spPr>
            <c:extLst>
              <c:ext xmlns:c16="http://schemas.microsoft.com/office/drawing/2014/chart" uri="{C3380CC4-5D6E-409C-BE32-E72D297353CC}">
                <c16:uniqueId val="{00000001-E992-764D-B07F-5C7025FDEBD4}"/>
              </c:ext>
            </c:extLst>
          </c:dPt>
          <c:dPt>
            <c:idx val="1"/>
            <c:bubble3D val="0"/>
            <c:spPr>
              <a:solidFill>
                <a:schemeClr val="accent2"/>
              </a:solidFill>
              <a:ln w="19050">
                <a:solidFill>
                  <a:schemeClr val="lt1"/>
                </a:solidFill>
              </a:ln>
              <a:effectLst/>
              <a:sp3d contourW="19050">
                <a:contourClr>
                  <a:schemeClr val="lt1"/>
                </a:contourClr>
              </a:sp3d>
            </c:spPr>
            <c:extLst>
              <c:ext xmlns:c16="http://schemas.microsoft.com/office/drawing/2014/chart" uri="{C3380CC4-5D6E-409C-BE32-E72D297353CC}">
                <c16:uniqueId val="{00000008-E310-714B-824E-CD49BC30E0C5}"/>
              </c:ext>
            </c:extLst>
          </c:dPt>
          <c:dPt>
            <c:idx val="2"/>
            <c:bubble3D val="0"/>
            <c:spPr>
              <a:solidFill>
                <a:schemeClr val="accent3"/>
              </a:solidFill>
              <a:ln w="19050">
                <a:solidFill>
                  <a:schemeClr val="lt1"/>
                </a:solidFill>
              </a:ln>
              <a:effectLst/>
              <a:sp3d contourW="19050">
                <a:contourClr>
                  <a:schemeClr val="lt1"/>
                </a:contourClr>
              </a:sp3d>
            </c:spPr>
            <c:extLst>
              <c:ext xmlns:c16="http://schemas.microsoft.com/office/drawing/2014/chart" uri="{C3380CC4-5D6E-409C-BE32-E72D297353CC}">
                <c16:uniqueId val="{00000005-E992-764D-B07F-5C7025FDEBD4}"/>
              </c:ext>
            </c:extLst>
          </c:dPt>
          <c:dPt>
            <c:idx val="3"/>
            <c:bubble3D val="0"/>
            <c:spPr>
              <a:solidFill>
                <a:schemeClr val="accent4"/>
              </a:solidFill>
              <a:ln w="19050">
                <a:solidFill>
                  <a:schemeClr val="lt1"/>
                </a:solidFill>
              </a:ln>
              <a:effectLst/>
              <a:sp3d contourW="19050">
                <a:contourClr>
                  <a:schemeClr val="lt1"/>
                </a:contourClr>
              </a:sp3d>
            </c:spPr>
            <c:extLst>
              <c:ext xmlns:c16="http://schemas.microsoft.com/office/drawing/2014/chart" uri="{C3380CC4-5D6E-409C-BE32-E72D297353CC}">
                <c16:uniqueId val="{00000007-E310-714B-824E-CD49BC30E0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(Size)'!$A$4:$A$7</c:f>
              <c:strCache>
                <c:ptCount val="4"/>
                <c:pt idx="0">
                  <c:v>0.2 kg</c:v>
                </c:pt>
                <c:pt idx="1">
                  <c:v>0.5 kg</c:v>
                </c:pt>
                <c:pt idx="2">
                  <c:v>1.0 kg</c:v>
                </c:pt>
                <c:pt idx="3">
                  <c:v>2.5 kg</c:v>
                </c:pt>
              </c:strCache>
            </c:strRef>
          </c:cat>
          <c:val>
            <c:numRef>
              <c:f>'Analysis (Size)'!$B$4:$B$7</c:f>
              <c:numCache>
                <c:formatCode>0</c:formatCode>
                <c:ptCount val="4"/>
                <c:pt idx="0">
                  <c:v>3307.9499999999994</c:v>
                </c:pt>
                <c:pt idx="1">
                  <c:v>7029.9900000000043</c:v>
                </c:pt>
                <c:pt idx="2">
                  <c:v>11010.750000000005</c:v>
                </c:pt>
                <c:pt idx="3">
                  <c:v>23785.56499999997</c:v>
                </c:pt>
              </c:numCache>
            </c:numRef>
          </c:val>
          <c:extLst>
            <c:ext xmlns:c16="http://schemas.microsoft.com/office/drawing/2014/chart" uri="{C3380CC4-5D6E-409C-BE32-E72D297353CC}">
              <c16:uniqueId val="{00000001-E310-714B-824E-CD49BC30E0C5}"/>
            </c:ext>
          </c:extLst>
        </c:ser>
        <c:dLbls>
          <c:showLegendKey val="0"/>
          <c:showVal val="0"/>
          <c:showCatName val="0"/>
          <c:showSerName val="0"/>
          <c:showPercent val="0"/>
          <c:showBubbleSize val="0"/>
          <c:showLeaderLines val="1"/>
        </c:dLbls>
      </c:pie3DChart>
      <c:spPr>
        <a:solidFill>
          <a:schemeClr val="accent5">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5">
          <a:lumMod val="20000"/>
          <a:lumOff val="8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(Size)!PivotTable2</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  Coffee Sales</a:t>
            </a:r>
            <a:r>
              <a:rPr lang="en-US" b="1" baseline="0"/>
              <a:t> By Size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23040018273523141"/>
          <c:y val="0.17924225638668043"/>
          <c:w val="0.41580037165509387"/>
          <c:h val="0.76759170000803012"/>
        </c:manualLayout>
      </c:layout>
      <c:doughnutChart>
        <c:varyColors val="1"/>
        <c:ser>
          <c:idx val="0"/>
          <c:order val="0"/>
          <c:tx>
            <c:strRef>
              <c:f>'Analysis (Size)'!$B$3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61-9F43-AF96-CF5A07AF0C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61-9F43-AF96-CF5A07AF0C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D61-9F43-AF96-CF5A07AF0CC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D61-9F43-AF96-CF5A07AF0CC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 (Size)'!$A$4:$A$7</c:f>
              <c:strCache>
                <c:ptCount val="4"/>
                <c:pt idx="0">
                  <c:v>0.2 kg</c:v>
                </c:pt>
                <c:pt idx="1">
                  <c:v>0.5 kg</c:v>
                </c:pt>
                <c:pt idx="2">
                  <c:v>1.0 kg</c:v>
                </c:pt>
                <c:pt idx="3">
                  <c:v>2.5 kg</c:v>
                </c:pt>
              </c:strCache>
            </c:strRef>
          </c:cat>
          <c:val>
            <c:numRef>
              <c:f>'Analysis (Size)'!$B$4:$B$7</c:f>
              <c:numCache>
                <c:formatCode>0</c:formatCode>
                <c:ptCount val="4"/>
                <c:pt idx="0">
                  <c:v>3307.9499999999994</c:v>
                </c:pt>
                <c:pt idx="1">
                  <c:v>7029.9900000000043</c:v>
                </c:pt>
                <c:pt idx="2">
                  <c:v>11010.750000000005</c:v>
                </c:pt>
                <c:pt idx="3">
                  <c:v>23785.56499999997</c:v>
                </c:pt>
              </c:numCache>
            </c:numRef>
          </c:val>
          <c:extLst>
            <c:ext xmlns:c16="http://schemas.microsoft.com/office/drawing/2014/chart" uri="{C3380CC4-5D6E-409C-BE32-E72D297353CC}">
              <c16:uniqueId val="{00000000-C1E4-5F4A-BF59-4FA8E3EF1CFF}"/>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(Loyalty)!PivotTable13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 (Loyalty)'!$B$3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22-6047-A6F4-7D17F15F2B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22-6047-A6F4-7D17F15F2BD5}"/>
              </c:ext>
            </c:extLst>
          </c:dPt>
          <c:cat>
            <c:strRef>
              <c:f>'Analysis (Loyalty)'!$A$4:$A$5</c:f>
              <c:strCache>
                <c:ptCount val="2"/>
                <c:pt idx="0">
                  <c:v>No</c:v>
                </c:pt>
                <c:pt idx="1">
                  <c:v>Yes</c:v>
                </c:pt>
              </c:strCache>
            </c:strRef>
          </c:cat>
          <c:val>
            <c:numRef>
              <c:f>'Analysis (Loyalty)'!$B$4:$B$5</c:f>
              <c:numCache>
                <c:formatCode>General</c:formatCode>
                <c:ptCount val="2"/>
                <c:pt idx="0">
                  <c:v>24216.404999999995</c:v>
                </c:pt>
                <c:pt idx="1">
                  <c:v>20917.849999999995</c:v>
                </c:pt>
              </c:numCache>
            </c:numRef>
          </c:val>
          <c:extLst>
            <c:ext xmlns:c16="http://schemas.microsoft.com/office/drawing/2014/chart" uri="{C3380CC4-5D6E-409C-BE32-E72D297353CC}">
              <c16:uniqueId val="{00000000-8F29-7145-9EDE-D1FD0A80BC3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(Loyalty)!PivotTable14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Loyatly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layout>
            <c:manualLayout>
              <c:x val="0.25064149469039304"/>
              <c:y val="-1.182622033625238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 (Loyalty)'!$B$8</c:f>
              <c:strCache>
                <c:ptCount val="1"/>
                <c:pt idx="0">
                  <c:v>Total</c:v>
                </c:pt>
              </c:strCache>
            </c:strRef>
          </c:tx>
          <c:dPt>
            <c:idx val="0"/>
            <c:bubble3D val="0"/>
            <c:explosion val="8"/>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352B-9240-A317-A258A136C97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2-352B-9240-A317-A258A136C97B}"/>
              </c:ext>
            </c:extLst>
          </c:dPt>
          <c:dLbls>
            <c:dLbl>
              <c:idx val="1"/>
              <c:layout>
                <c:manualLayout>
                  <c:x val="0.25064149469039304"/>
                  <c:y val="-1.182622033625238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52B-9240-A317-A258A136C97B}"/>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(Loyalty)'!$A$9:$A$11</c:f>
              <c:strCache>
                <c:ptCount val="2"/>
                <c:pt idx="0">
                  <c:v>No</c:v>
                </c:pt>
                <c:pt idx="1">
                  <c:v>Yes</c:v>
                </c:pt>
              </c:strCache>
            </c:strRef>
          </c:cat>
          <c:val>
            <c:numRef>
              <c:f>'Analysis (Loyalty)'!$B$9:$B$11</c:f>
              <c:numCache>
                <c:formatCode>General</c:formatCode>
                <c:ptCount val="2"/>
                <c:pt idx="0">
                  <c:v>521</c:v>
                </c:pt>
                <c:pt idx="1">
                  <c:v>479</c:v>
                </c:pt>
              </c:numCache>
            </c:numRef>
          </c:val>
          <c:extLst>
            <c:ext xmlns:c16="http://schemas.microsoft.com/office/drawing/2014/chart" uri="{C3380CC4-5D6E-409C-BE32-E72D297353CC}">
              <c16:uniqueId val="{00000000-352B-9240-A317-A258A136C97B}"/>
            </c:ext>
          </c:extLst>
        </c:ser>
        <c:dLbls>
          <c:showLegendKey val="0"/>
          <c:showVal val="0"/>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(Loyalty)!PivotTable15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s>
    <c:plotArea>
      <c:layout>
        <c:manualLayout>
          <c:layoutTarget val="inner"/>
          <c:xMode val="edge"/>
          <c:yMode val="edge"/>
          <c:x val="0.1936707779770401"/>
          <c:y val="0.25258237565152664"/>
          <c:w val="0.80632922202295987"/>
          <c:h val="0.6724977596439885"/>
        </c:manualLayout>
      </c:layout>
      <c:barChart>
        <c:barDir val="bar"/>
        <c:grouping val="clustered"/>
        <c:varyColors val="0"/>
        <c:ser>
          <c:idx val="0"/>
          <c:order val="0"/>
          <c:tx>
            <c:strRef>
              <c:f>'Analysis (Loyalty)'!$A$14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(Loyalty)'!$A$15</c:f>
              <c:strCache>
                <c:ptCount val="1"/>
                <c:pt idx="0">
                  <c:v>Total</c:v>
                </c:pt>
              </c:strCache>
            </c:strRef>
          </c:cat>
          <c:val>
            <c:numRef>
              <c:f>'Analysis (Loyalty)'!$A$15</c:f>
              <c:numCache>
                <c:formatCode>General</c:formatCode>
                <c:ptCount val="1"/>
                <c:pt idx="0">
                  <c:v>1000</c:v>
                </c:pt>
              </c:numCache>
            </c:numRef>
          </c:val>
          <c:extLst>
            <c:ext xmlns:c16="http://schemas.microsoft.com/office/drawing/2014/chart" uri="{C3380CC4-5D6E-409C-BE32-E72D297353CC}">
              <c16:uniqueId val="{00000000-F443-0F49-8DB5-A40086047E85}"/>
            </c:ext>
          </c:extLst>
        </c:ser>
        <c:dLbls>
          <c:showLegendKey val="0"/>
          <c:showVal val="0"/>
          <c:showCatName val="0"/>
          <c:showSerName val="0"/>
          <c:showPercent val="0"/>
          <c:showBubbleSize val="0"/>
        </c:dLbls>
        <c:gapWidth val="150"/>
        <c:overlap val="62"/>
        <c:axId val="971664527"/>
        <c:axId val="1321078000"/>
      </c:barChart>
      <c:catAx>
        <c:axId val="971664527"/>
        <c:scaling>
          <c:orientation val="minMax"/>
        </c:scaling>
        <c:delete val="1"/>
        <c:axPos val="l"/>
        <c:numFmt formatCode="General" sourceLinked="1"/>
        <c:majorTickMark val="none"/>
        <c:minorTickMark val="none"/>
        <c:tickLblPos val="nextTo"/>
        <c:crossAx val="1321078000"/>
        <c:crosses val="autoZero"/>
        <c:auto val="1"/>
        <c:lblAlgn val="ctr"/>
        <c:lblOffset val="100"/>
        <c:noMultiLvlLbl val="0"/>
      </c:catAx>
      <c:valAx>
        <c:axId val="1321078000"/>
        <c:scaling>
          <c:orientation val="minMax"/>
        </c:scaling>
        <c:delete val="1"/>
        <c:axPos val="b"/>
        <c:numFmt formatCode="General" sourceLinked="1"/>
        <c:majorTickMark val="none"/>
        <c:minorTickMark val="none"/>
        <c:tickLblPos val="nextTo"/>
        <c:crossAx val="97166452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(Roast)!PivotTable2</c:name>
    <c:fmtId val="29"/>
  </c:pivotSource>
  <c:chart>
    <c:title>
      <c:tx>
        <c:rich>
          <a:bodyPr rot="0" spcFirstLastPara="1" vertOverflow="ellipsis" vert="horz" wrap="square" anchor="ctr" anchorCtr="1"/>
          <a:lstStyle/>
          <a:p>
            <a:pPr>
              <a:defRPr sz="1440" b="1" i="0" u="none" strike="noStrike" kern="1200" spc="0" baseline="0">
                <a:solidFill>
                  <a:schemeClr val="tx1"/>
                </a:solidFill>
                <a:latin typeface="+mn-lt"/>
                <a:ea typeface="+mn-ea"/>
                <a:cs typeface="+mn-cs"/>
              </a:defRPr>
            </a:pPr>
            <a:r>
              <a:rPr lang="en-US" b="1"/>
              <a:t>Coffee Roast Level Sales</a:t>
            </a:r>
          </a:p>
        </c:rich>
      </c:tx>
      <c:layout>
        <c:manualLayout>
          <c:xMode val="edge"/>
          <c:yMode val="edge"/>
          <c:x val="0.35997634268544998"/>
          <c:y val="3.2585784643884841E-2"/>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chemeClr val="tx1"/>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w="19050">
            <a:solidFill>
              <a:schemeClr val="lt1"/>
            </a:solidFill>
          </a:ln>
          <a:effectLst/>
          <a:sp3d contourW="19050">
            <a:contourClr>
              <a:schemeClr val="lt1"/>
            </a:contourClr>
          </a:sp3d>
        </c:spPr>
        <c:dLbl>
          <c:idx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a:sp3d contourW="19050">
            <a:contourClr>
              <a:schemeClr val="lt1"/>
            </a:contourClr>
          </a:sp3d>
        </c:spPr>
        <c:dLbl>
          <c:idx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a:sp3d contourW="19050">
            <a:contourClr>
              <a:schemeClr val="lt1"/>
            </a:contourClr>
          </a:sp3d>
        </c:spPr>
      </c:pivotFmt>
      <c:pivotFmt>
        <c:idx val="5"/>
        <c:spPr>
          <a:solidFill>
            <a:schemeClr val="accent1"/>
          </a:solidFill>
          <a:ln w="19050">
            <a:solidFill>
              <a:schemeClr val="lt1"/>
            </a:solidFill>
          </a:ln>
          <a:effectLst/>
          <a:sp3d contourW="19050">
            <a:contourClr>
              <a:schemeClr val="lt1"/>
            </a:contourClr>
          </a:sp3d>
        </c:spPr>
      </c:pivotFmt>
      <c:pivotFmt>
        <c:idx val="6"/>
        <c:spPr>
          <a:solidFill>
            <a:schemeClr val="accent1"/>
          </a:solidFill>
          <a:ln w="19050">
            <a:solidFill>
              <a:schemeClr val="lt1"/>
            </a:solidFill>
          </a:ln>
          <a:effectLst/>
          <a:sp3d contourW="19050">
            <a:contourClr>
              <a:schemeClr val="lt1"/>
            </a:contourClr>
          </a:sp3d>
        </c:spPr>
      </c:pivotFmt>
      <c:pivotFmt>
        <c:idx val="7"/>
        <c:spPr>
          <a:solidFill>
            <a:schemeClr val="accent1"/>
          </a:solidFill>
          <a:ln w="19050">
            <a:solidFill>
              <a:schemeClr val="lt1"/>
            </a:solidFill>
          </a:ln>
          <a:effectLst/>
          <a:sp3d contourW="19050">
            <a:contourClr>
              <a:schemeClr val="lt1"/>
            </a:contourClr>
          </a:sp3d>
        </c:spPr>
      </c:pivotFmt>
      <c:pivotFmt>
        <c:idx val="8"/>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a:sp3d contourW="19050">
            <a:contourClr>
              <a:schemeClr val="lt1"/>
            </a:contourClr>
          </a:sp3d>
        </c:spPr>
      </c:pivotFmt>
      <c:pivotFmt>
        <c:idx val="10"/>
        <c:spPr>
          <a:solidFill>
            <a:schemeClr val="accent1"/>
          </a:solidFill>
          <a:ln w="19050">
            <a:solidFill>
              <a:schemeClr val="lt1"/>
            </a:solidFill>
          </a:ln>
          <a:effectLst/>
          <a:sp3d contourW="19050">
            <a:contourClr>
              <a:schemeClr val="lt1"/>
            </a:contourClr>
          </a:sp3d>
        </c:spPr>
      </c:pivotFmt>
      <c:pivotFmt>
        <c:idx val="11"/>
        <c:spPr>
          <a:solidFill>
            <a:schemeClr val="accent1"/>
          </a:solidFill>
          <a:ln w="19050">
            <a:solidFill>
              <a:schemeClr val="lt1"/>
            </a:solidFill>
          </a:ln>
          <a:effectLst/>
          <a:sp3d contourW="19050">
            <a:contourClr>
              <a:schemeClr val="lt1"/>
            </a:contourClr>
          </a:sp3d>
        </c:spPr>
      </c:pivotFmt>
      <c:pivotFmt>
        <c:idx val="12"/>
        <c:spPr>
          <a:solidFill>
            <a:schemeClr val="accent1"/>
          </a:solidFill>
          <a:ln w="19050">
            <a:solidFill>
              <a:schemeClr val="lt1"/>
            </a:solidFill>
          </a:ln>
          <a:effectLst/>
          <a:sp3d contourW="19050">
            <a:contourClr>
              <a:schemeClr val="lt1"/>
            </a:contourClr>
          </a:sp3d>
        </c:spPr>
      </c:pivotFmt>
    </c:pivotFmts>
    <c:plotArea>
      <c:layout/>
      <c:barChart>
        <c:barDir val="col"/>
        <c:grouping val="clustered"/>
        <c:varyColors val="0"/>
        <c:ser>
          <c:idx val="0"/>
          <c:order val="0"/>
          <c:tx>
            <c:strRef>
              <c:f>'Analysis (Roast)'!$B$3</c:f>
              <c:strCache>
                <c:ptCount val="1"/>
                <c:pt idx="0">
                  <c:v>Total</c:v>
                </c:pt>
              </c:strCache>
            </c:strRef>
          </c:tx>
          <c:spPr>
            <a:solidFill>
              <a:schemeClr val="accent1"/>
            </a:solidFill>
            <a:ln w="19050">
              <a:solidFill>
                <a:schemeClr val="lt1"/>
              </a:solidFill>
            </a:ln>
            <a:effectLst/>
          </c:spPr>
          <c:invertIfNegative val="0"/>
          <c:dLbls>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(Roast)'!$A$4:$A$6</c:f>
              <c:strCache>
                <c:ptCount val="3"/>
                <c:pt idx="0">
                  <c:v>Dark</c:v>
                </c:pt>
                <c:pt idx="1">
                  <c:v>Medium</c:v>
                </c:pt>
                <c:pt idx="2">
                  <c:v>Light</c:v>
                </c:pt>
              </c:strCache>
            </c:strRef>
          </c:cat>
          <c:val>
            <c:numRef>
              <c:f>'Analysis (Roast)'!$B$4:$B$6</c:f>
              <c:numCache>
                <c:formatCode>_("$"* #,##0_);_("$"* \(#,##0\);_("$"* "-"??_);_(@_)</c:formatCode>
                <c:ptCount val="3"/>
                <c:pt idx="0">
                  <c:v>13179.315000000013</c:v>
                </c:pt>
                <c:pt idx="1">
                  <c:v>14600.474999999995</c:v>
                </c:pt>
                <c:pt idx="2">
                  <c:v>17354.464999999993</c:v>
                </c:pt>
              </c:numCache>
            </c:numRef>
          </c:val>
          <c:extLst>
            <c:ext xmlns:c16="http://schemas.microsoft.com/office/drawing/2014/chart" uri="{C3380CC4-5D6E-409C-BE32-E72D297353CC}">
              <c16:uniqueId val="{00000009-53DD-024C-863F-D5EA284A5267}"/>
            </c:ext>
          </c:extLst>
        </c:ser>
        <c:dLbls>
          <c:showLegendKey val="0"/>
          <c:showVal val="0"/>
          <c:showCatName val="0"/>
          <c:showSerName val="0"/>
          <c:showPercent val="0"/>
          <c:showBubbleSize val="0"/>
        </c:dLbls>
        <c:gapWidth val="100"/>
        <c:axId val="66275327"/>
        <c:axId val="33452703"/>
      </c:barChart>
      <c:catAx>
        <c:axId val="662753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3452703"/>
        <c:crosses val="autoZero"/>
        <c:auto val="1"/>
        <c:lblAlgn val="ctr"/>
        <c:lblOffset val="100"/>
        <c:noMultiLvlLbl val="0"/>
      </c:catAx>
      <c:valAx>
        <c:axId val="3345270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6275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5">
          <a:lumMod val="20000"/>
          <a:lumOff val="8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(Roast)!PivotTable2</c:name>
    <c:fmtId val="3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  Coffee Sales</a:t>
            </a:r>
            <a:r>
              <a:rPr lang="en-US" b="1" baseline="0"/>
              <a:t> By Size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manualLayout>
          <c:layoutTarget val="inner"/>
          <c:xMode val="edge"/>
          <c:yMode val="edge"/>
          <c:x val="0.23040018273523141"/>
          <c:y val="0.17924225638668043"/>
          <c:w val="0.41580037165509387"/>
          <c:h val="0.76759170000803012"/>
        </c:manualLayout>
      </c:layout>
      <c:doughnutChart>
        <c:varyColors val="1"/>
        <c:ser>
          <c:idx val="0"/>
          <c:order val="0"/>
          <c:tx>
            <c:strRef>
              <c:f>'Analysis (Roast)'!$B$3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D1F-F248-8A33-3D291FE34C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D1F-F248-8A33-3D291FE34CE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D1F-F248-8A33-3D291FE34CE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(Roast)'!$A$4:$A$6</c:f>
              <c:strCache>
                <c:ptCount val="3"/>
                <c:pt idx="0">
                  <c:v>Dark</c:v>
                </c:pt>
                <c:pt idx="1">
                  <c:v>Medium</c:v>
                </c:pt>
                <c:pt idx="2">
                  <c:v>Light</c:v>
                </c:pt>
              </c:strCache>
            </c:strRef>
          </c:cat>
          <c:val>
            <c:numRef>
              <c:f>'Analysis (Roast)'!$B$4:$B$6</c:f>
              <c:numCache>
                <c:formatCode>_("$"* #,##0_);_("$"* \(#,##0\);_("$"* "-"??_);_(@_)</c:formatCode>
                <c:ptCount val="3"/>
                <c:pt idx="0">
                  <c:v>13179.315000000013</c:v>
                </c:pt>
                <c:pt idx="1">
                  <c:v>14600.474999999995</c:v>
                </c:pt>
                <c:pt idx="2">
                  <c:v>17354.464999999993</c:v>
                </c:pt>
              </c:numCache>
            </c:numRef>
          </c:val>
          <c:extLst>
            <c:ext xmlns:c16="http://schemas.microsoft.com/office/drawing/2014/chart" uri="{C3380CC4-5D6E-409C-BE32-E72D297353CC}">
              <c16:uniqueId val="{00000009-621C-EA4E-ADF4-B41E0608B3F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1" i="0" u="none" strike="noStrike" kern="1200" baseline="0">
                <a:solidFill>
                  <a:schemeClr val="dk1">
                    <a:lumMod val="65000"/>
                    <a:lumOff val="35000"/>
                  </a:schemeClr>
                </a:solidFill>
                <a:effectLst/>
                <a:latin typeface="+mn-lt"/>
                <a:ea typeface="+mn-ea"/>
                <a:cs typeface="+mn-cs"/>
              </a:defRPr>
            </a:pPr>
            <a:r>
              <a:rPr kumimoji="0" lang="en-US" sz="1800" b="1" i="0" u="none" strike="noStrike" kern="1200" cap="none" spc="0" normalizeH="0" baseline="0" noProof="0">
                <a:ln>
                  <a:noFill/>
                </a:ln>
                <a:solidFill>
                  <a:sysClr val="windowText" lastClr="000000">
                    <a:lumMod val="65000"/>
                    <a:lumOff val="35000"/>
                  </a:sysClr>
                </a:solidFill>
                <a:effectLst/>
                <a:uLnTx/>
                <a:uFillTx/>
                <a:latin typeface="Calibri" panose="020F0502020204030204"/>
              </a:rPr>
              <a:t>Sales By Roasted Type</a:t>
            </a:r>
            <a:endParaRPr lang="en-US" b="1"/>
          </a:p>
        </c:rich>
      </c:tx>
      <c:overlay val="0"/>
      <c:spPr>
        <a:noFill/>
        <a:ln>
          <a:noFill/>
        </a:ln>
        <a:effectLst/>
      </c:spPr>
      <c:txPr>
        <a:bodyPr rot="0" spcFirstLastPara="1" vertOverflow="ellipsis" vert="horz" wrap="square" anchor="ctr" anchorCtr="1"/>
        <a:lstStyle/>
        <a:p>
          <a:pPr>
            <a:defRPr b="1"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ubbleChart>
        <c:varyColors val="0"/>
        <c:ser>
          <c:idx val="1"/>
          <c:order val="0"/>
          <c:tx>
            <c:strRef>
              <c:f>'Analysis (Roast)'!$E$3</c:f>
              <c:strCache>
                <c:ptCount val="1"/>
                <c:pt idx="0">
                  <c:v>Sum of Sales</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xVal>
            <c:strRef>
              <c:f>'Analysis (Roast)'!$D$4:$D$6</c:f>
              <c:strCache>
                <c:ptCount val="3"/>
                <c:pt idx="0">
                  <c:v>Dark</c:v>
                </c:pt>
                <c:pt idx="1">
                  <c:v>Medium</c:v>
                </c:pt>
                <c:pt idx="2">
                  <c:v>Light</c:v>
                </c:pt>
              </c:strCache>
            </c:strRef>
          </c:xVal>
          <c:yVal>
            <c:numRef>
              <c:f>'Analysis (Roast)'!$E$4:$E$6</c:f>
              <c:numCache>
                <c:formatCode>_("$"* #,##0_);_("$"* \(#,##0\);_("$"* "-"??_);_(@_)</c:formatCode>
                <c:ptCount val="3"/>
                <c:pt idx="0">
                  <c:v>13179.315000000013</c:v>
                </c:pt>
                <c:pt idx="1">
                  <c:v>14600.474999999995</c:v>
                </c:pt>
                <c:pt idx="2">
                  <c:v>17354.464999999993</c:v>
                </c:pt>
              </c:numCache>
            </c:numRef>
          </c:yVal>
          <c:bubbleSize>
            <c:numLit>
              <c:formatCode>General</c:formatCode>
              <c:ptCount val="3"/>
              <c:pt idx="0">
                <c:v>1</c:v>
              </c:pt>
              <c:pt idx="1">
                <c:v>1</c:v>
              </c:pt>
              <c:pt idx="2">
                <c:v>1</c:v>
              </c:pt>
            </c:numLit>
          </c:bubbleSize>
          <c:bubble3D val="1"/>
          <c:extLst>
            <c:ext xmlns:c16="http://schemas.microsoft.com/office/drawing/2014/chart" uri="{C3380CC4-5D6E-409C-BE32-E72D297353CC}">
              <c16:uniqueId val="{00000005-E48B-7343-A785-3D954478B834}"/>
            </c:ext>
          </c:extLst>
        </c:ser>
        <c:ser>
          <c:idx val="0"/>
          <c:order val="1"/>
          <c:tx>
            <c:strRef>
              <c:f>'Analysis (Roast)'!$E$3</c:f>
              <c:strCache>
                <c:ptCount val="1"/>
                <c:pt idx="0">
                  <c:v>Sum of Sales</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xVal>
            <c:strRef>
              <c:f>'Analysis (Roast)'!$D$4:$D$6</c:f>
              <c:strCache>
                <c:ptCount val="3"/>
                <c:pt idx="0">
                  <c:v>Dark</c:v>
                </c:pt>
                <c:pt idx="1">
                  <c:v>Medium</c:v>
                </c:pt>
                <c:pt idx="2">
                  <c:v>Light</c:v>
                </c:pt>
              </c:strCache>
            </c:strRef>
          </c:xVal>
          <c:yVal>
            <c:numRef>
              <c:f>'Analysis (Roast)'!$E$4:$E$6</c:f>
              <c:numCache>
                <c:formatCode>_("$"* #,##0_);_("$"* \(#,##0\);_("$"* "-"??_);_(@_)</c:formatCode>
                <c:ptCount val="3"/>
                <c:pt idx="0">
                  <c:v>13179.315000000013</c:v>
                </c:pt>
                <c:pt idx="1">
                  <c:v>14600.474999999995</c:v>
                </c:pt>
                <c:pt idx="2">
                  <c:v>17354.464999999993</c:v>
                </c:pt>
              </c:numCache>
            </c:numRef>
          </c:yVal>
          <c:bubbleSize>
            <c:numLit>
              <c:formatCode>General</c:formatCode>
              <c:ptCount val="3"/>
              <c:pt idx="0">
                <c:v>1</c:v>
              </c:pt>
              <c:pt idx="1">
                <c:v>1</c:v>
              </c:pt>
              <c:pt idx="2">
                <c:v>1</c:v>
              </c:pt>
            </c:numLit>
          </c:bubbleSize>
          <c:bubble3D val="1"/>
          <c:extLst>
            <c:ext xmlns:c16="http://schemas.microsoft.com/office/drawing/2014/chart" uri="{C3380CC4-5D6E-409C-BE32-E72D297353CC}">
              <c16:uniqueId val="{00000004-E48B-7343-A785-3D954478B834}"/>
            </c:ext>
          </c:extLst>
        </c:ser>
        <c:dLbls>
          <c:showLegendKey val="0"/>
          <c:showVal val="0"/>
          <c:showCatName val="0"/>
          <c:showSerName val="0"/>
          <c:showPercent val="0"/>
          <c:showBubbleSize val="0"/>
        </c:dLbls>
        <c:bubbleScale val="100"/>
        <c:showNegBubbles val="0"/>
        <c:axId val="108200592"/>
        <c:axId val="1747779151"/>
      </c:bubbleChart>
      <c:valAx>
        <c:axId val="108200592"/>
        <c:scaling>
          <c:orientation val="minMax"/>
        </c:scaling>
        <c:delete val="1"/>
        <c:axPos val="b"/>
        <c:numFmt formatCode="0" sourceLinked="1"/>
        <c:majorTickMark val="none"/>
        <c:minorTickMark val="none"/>
        <c:tickLblPos val="nextTo"/>
        <c:crossAx val="1747779151"/>
        <c:crosses val="autoZero"/>
        <c:crossBetween val="midCat"/>
      </c:valAx>
      <c:valAx>
        <c:axId val="1747779151"/>
        <c:scaling>
          <c:orientation val="minMax"/>
          <c:min val="10000"/>
        </c:scaling>
        <c:delete val="1"/>
        <c:axPos val="l"/>
        <c:numFmt formatCode="_(&quot;$&quot;* #,##0_);_(&quot;$&quot;* \(#,##0\);_(&quot;$&quot;* &quot;-&quot;??_);_(@_)" sourceLinked="1"/>
        <c:majorTickMark val="none"/>
        <c:minorTickMark val="none"/>
        <c:tickLblPos val="nextTo"/>
        <c:crossAx val="108200592"/>
        <c:crosses val="autoZero"/>
        <c:crossBetween val="midCat"/>
        <c:majorUnit val="2500"/>
      </c:valAx>
      <c:spPr>
        <a:noFill/>
        <a:ln>
          <a:noFill/>
        </a:ln>
        <a:effectLst/>
      </c:spPr>
    </c:plotArea>
    <c:plotVisOnly val="1"/>
    <c:dispBlanksAs val="gap"/>
    <c:showDLblsOverMax val="0"/>
    <c:extLst/>
  </c:chart>
  <c:spPr>
    <a:solidFill>
      <a:schemeClr val="accent5">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 Dashboard.xlsx]Analysis (Roast)!PivotTable2</c:name>
    <c:fmtId val="42"/>
  </c:pivotSource>
  <c:chart>
    <c:title>
      <c:tx>
        <c:rich>
          <a:bodyPr rot="0" spcFirstLastPara="1" vertOverflow="ellipsis" vert="horz" wrap="square" anchor="ctr" anchorCtr="0"/>
          <a:lstStyle/>
          <a:p>
            <a:pPr>
              <a:defRPr sz="1800" b="1" i="0" u="none" strike="noStrike" kern="1200" spc="0" baseline="0">
                <a:solidFill>
                  <a:schemeClr val="tx1"/>
                </a:solidFill>
                <a:latin typeface="+mn-lt"/>
                <a:ea typeface="+mn-ea"/>
                <a:cs typeface="+mn-cs"/>
              </a:defRPr>
            </a:pPr>
            <a:r>
              <a:rPr lang="en-US" sz="1800" b="1"/>
              <a:t>Coffee Roast Level Sales</a:t>
            </a:r>
          </a:p>
        </c:rich>
      </c:tx>
      <c:layout>
        <c:manualLayout>
          <c:xMode val="edge"/>
          <c:yMode val="edge"/>
          <c:x val="0.2765219595837079"/>
          <c:y val="4.2264974934597493E-2"/>
        </c:manualLayout>
      </c:layout>
      <c:overlay val="0"/>
      <c:spPr>
        <a:noFill/>
        <a:ln>
          <a:noFill/>
        </a:ln>
        <a:effectLst/>
      </c:spPr>
      <c:txPr>
        <a:bodyPr rot="0" spcFirstLastPara="1" vertOverflow="ellipsis" vert="horz" wrap="square" anchor="ctr" anchorCtr="0"/>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w="19050">
            <a:solidFill>
              <a:schemeClr val="lt1"/>
            </a:solidFill>
          </a:ln>
          <a:effectLst/>
          <a:sp3d contourW="19050">
            <a:contourClr>
              <a:schemeClr val="lt1"/>
            </a:contourClr>
          </a:sp3d>
        </c:spPr>
        <c:dLbl>
          <c:idx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a:sp3d contourW="19050">
            <a:contourClr>
              <a:schemeClr val="lt1"/>
            </a:contourClr>
          </a:sp3d>
        </c:spPr>
        <c:dLbl>
          <c:idx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a:sp3d contourW="19050">
            <a:contourClr>
              <a:schemeClr val="lt1"/>
            </a:contourClr>
          </a:sp3d>
        </c:spPr>
      </c:pivotFmt>
      <c:pivotFmt>
        <c:idx val="5"/>
        <c:spPr>
          <a:solidFill>
            <a:schemeClr val="accent1"/>
          </a:solidFill>
          <a:ln w="19050">
            <a:solidFill>
              <a:schemeClr val="lt1"/>
            </a:solidFill>
          </a:ln>
          <a:effectLst/>
          <a:sp3d contourW="19050">
            <a:contourClr>
              <a:schemeClr val="lt1"/>
            </a:contourClr>
          </a:sp3d>
        </c:spPr>
      </c:pivotFmt>
      <c:pivotFmt>
        <c:idx val="6"/>
        <c:spPr>
          <a:solidFill>
            <a:schemeClr val="accent1"/>
          </a:solidFill>
          <a:ln w="19050">
            <a:solidFill>
              <a:schemeClr val="lt1"/>
            </a:solidFill>
          </a:ln>
          <a:effectLst/>
          <a:sp3d contourW="19050">
            <a:contourClr>
              <a:schemeClr val="lt1"/>
            </a:contourClr>
          </a:sp3d>
        </c:spPr>
      </c:pivotFmt>
      <c:pivotFmt>
        <c:idx val="7"/>
        <c:spPr>
          <a:solidFill>
            <a:schemeClr val="accent1"/>
          </a:solidFill>
          <a:ln w="19050">
            <a:solidFill>
              <a:schemeClr val="lt1"/>
            </a:solidFill>
          </a:ln>
          <a:effectLst/>
          <a:sp3d contourW="19050">
            <a:contourClr>
              <a:schemeClr val="lt1"/>
            </a:contourClr>
          </a:sp3d>
        </c:spPr>
      </c:pivotFmt>
      <c:pivotFmt>
        <c:idx val="8"/>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a:sp3d contourW="19050">
            <a:contourClr>
              <a:schemeClr val="lt1"/>
            </a:contourClr>
          </a:sp3d>
        </c:spPr>
      </c:pivotFmt>
      <c:pivotFmt>
        <c:idx val="10"/>
        <c:spPr>
          <a:solidFill>
            <a:schemeClr val="accent1"/>
          </a:solidFill>
          <a:ln w="19050">
            <a:solidFill>
              <a:schemeClr val="lt1"/>
            </a:solidFill>
          </a:ln>
          <a:effectLst/>
          <a:sp3d contourW="19050">
            <a:contourClr>
              <a:schemeClr val="lt1"/>
            </a:contourClr>
          </a:sp3d>
        </c:spPr>
      </c:pivotFmt>
      <c:pivotFmt>
        <c:idx val="11"/>
        <c:spPr>
          <a:solidFill>
            <a:schemeClr val="accent1"/>
          </a:solidFill>
          <a:ln w="19050">
            <a:solidFill>
              <a:schemeClr val="lt1"/>
            </a:solidFill>
          </a:ln>
          <a:effectLst/>
          <a:sp3d contourW="19050">
            <a:contourClr>
              <a:schemeClr val="lt1"/>
            </a:contourClr>
          </a:sp3d>
        </c:spPr>
      </c:pivotFmt>
      <c:pivotFmt>
        <c:idx val="12"/>
        <c:spPr>
          <a:solidFill>
            <a:schemeClr val="accent1"/>
          </a:solidFill>
          <a:ln w="19050">
            <a:solidFill>
              <a:schemeClr val="lt1"/>
            </a:solidFill>
          </a:ln>
          <a:effectLst/>
          <a:sp3d contourW="19050">
            <a:contourClr>
              <a:schemeClr val="lt1"/>
            </a:contourClr>
          </a:sp3d>
        </c:spPr>
      </c:pivotFmt>
      <c:pivotFmt>
        <c:idx val="13"/>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'Analysis (Roast)'!$B$3</c:f>
              <c:strCache>
                <c:ptCount val="1"/>
                <c:pt idx="0">
                  <c:v>Total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(Roast)'!$A$4:$A$6</c:f>
              <c:strCache>
                <c:ptCount val="3"/>
                <c:pt idx="0">
                  <c:v>Dark</c:v>
                </c:pt>
                <c:pt idx="1">
                  <c:v>Medium</c:v>
                </c:pt>
                <c:pt idx="2">
                  <c:v>Light</c:v>
                </c:pt>
              </c:strCache>
            </c:strRef>
          </c:cat>
          <c:val>
            <c:numRef>
              <c:f>'Analysis (Roast)'!$B$4:$B$6</c:f>
              <c:numCache>
                <c:formatCode>_("$"* #,##0_);_("$"* \(#,##0\);_("$"* "-"??_);_(@_)</c:formatCode>
                <c:ptCount val="3"/>
                <c:pt idx="0">
                  <c:v>13179.315000000013</c:v>
                </c:pt>
                <c:pt idx="1">
                  <c:v>14600.474999999995</c:v>
                </c:pt>
                <c:pt idx="2">
                  <c:v>17354.464999999993</c:v>
                </c:pt>
              </c:numCache>
            </c:numRef>
          </c:val>
          <c:extLst>
            <c:ext xmlns:c16="http://schemas.microsoft.com/office/drawing/2014/chart" uri="{C3380CC4-5D6E-409C-BE32-E72D297353CC}">
              <c16:uniqueId val="{00000000-F108-8C4F-937B-8A150A557234}"/>
            </c:ext>
          </c:extLst>
        </c:ser>
        <c:dLbls>
          <c:showLegendKey val="0"/>
          <c:showVal val="0"/>
          <c:showCatName val="0"/>
          <c:showSerName val="0"/>
          <c:showPercent val="0"/>
          <c:showBubbleSize val="0"/>
        </c:dLbls>
        <c:gapWidth val="100"/>
        <c:overlap val="100"/>
        <c:axId val="66275327"/>
        <c:axId val="33452703"/>
      </c:barChart>
      <c:valAx>
        <c:axId val="33452703"/>
        <c:scaling>
          <c:orientation val="minMax"/>
        </c:scaling>
        <c:delete val="1"/>
        <c:axPos val="b"/>
        <c:majorGridlines>
          <c:spPr>
            <a:ln w="9525" cap="flat" cmpd="sng" algn="ctr">
              <a:solidFill>
                <a:schemeClr val="bg1"/>
              </a:solidFill>
              <a:round/>
            </a:ln>
            <a:effectLst/>
          </c:spPr>
        </c:majorGridlines>
        <c:numFmt formatCode="_(&quot;$&quot;* #,##0_);_(&quot;$&quot;* \(#,##0\);_(&quot;$&quot;* &quot;-&quot;??_);_(@_)" sourceLinked="1"/>
        <c:majorTickMark val="out"/>
        <c:minorTickMark val="none"/>
        <c:tickLblPos val="nextTo"/>
        <c:crossAx val="66275327"/>
        <c:crosses val="autoZero"/>
        <c:crossBetween val="between"/>
      </c:valAx>
      <c:catAx>
        <c:axId val="662753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345270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5">
          <a:lumMod val="20000"/>
          <a:lumOff val="8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Sales by Customer Type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(sale per cus)'!$E$5</c:f>
              <c:strCache>
                <c:ptCount val="1"/>
                <c:pt idx="0">
                  <c:v>Total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(sale per cus)'!$F$4:$G$4</c:f>
              <c:strCache>
                <c:ptCount val="2"/>
                <c:pt idx="0">
                  <c:v>Regular Customer</c:v>
                </c:pt>
                <c:pt idx="1">
                  <c:v>Loyal Customer</c:v>
                </c:pt>
              </c:strCache>
            </c:strRef>
          </c:cat>
          <c:val>
            <c:numRef>
              <c:f>'Analysis (sale per cus)'!$F$5:$G$5</c:f>
              <c:numCache>
                <c:formatCode>_("$"* #,##0_);_("$"* \(#,##0\);_("$"* "-"??_);_(@_)</c:formatCode>
                <c:ptCount val="2"/>
                <c:pt idx="0">
                  <c:v>24216.404999999995</c:v>
                </c:pt>
                <c:pt idx="1">
                  <c:v>20917.849999999995</c:v>
                </c:pt>
              </c:numCache>
            </c:numRef>
          </c:val>
          <c:extLst>
            <c:ext xmlns:c16="http://schemas.microsoft.com/office/drawing/2014/chart" uri="{C3380CC4-5D6E-409C-BE32-E72D297353CC}">
              <c16:uniqueId val="{00000000-DE2F-EA41-8766-6FF8295A7544}"/>
            </c:ext>
          </c:extLst>
        </c:ser>
        <c:dLbls>
          <c:showLegendKey val="0"/>
          <c:showVal val="0"/>
          <c:showCatName val="0"/>
          <c:showSerName val="0"/>
          <c:showPercent val="0"/>
          <c:showBubbleSize val="0"/>
        </c:dLbls>
        <c:gapWidth val="247"/>
        <c:axId val="1801933935"/>
        <c:axId val="221376351"/>
      </c:barChart>
      <c:lineChart>
        <c:grouping val="standard"/>
        <c:varyColors val="0"/>
        <c:ser>
          <c:idx val="1"/>
          <c:order val="1"/>
          <c:tx>
            <c:strRef>
              <c:f>'Analysis (sale per cus)'!$E$6</c:f>
              <c:strCache>
                <c:ptCount val="1"/>
                <c:pt idx="0">
                  <c:v>Sales per customer</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(sale per cus)'!$F$4:$G$4</c:f>
              <c:strCache>
                <c:ptCount val="2"/>
                <c:pt idx="0">
                  <c:v>Regular Customer</c:v>
                </c:pt>
                <c:pt idx="1">
                  <c:v>Loyal Customer</c:v>
                </c:pt>
              </c:strCache>
            </c:strRef>
          </c:cat>
          <c:val>
            <c:numRef>
              <c:f>'Analysis (sale per cus)'!$F$6:$G$6</c:f>
              <c:numCache>
                <c:formatCode>_("$"* #,##0.00_);_("$"* \(#,##0.00\);_("$"* "-"??_);_(@_)</c:formatCode>
                <c:ptCount val="2"/>
                <c:pt idx="0">
                  <c:v>46.480623800383867</c:v>
                </c:pt>
                <c:pt idx="1">
                  <c:v>43.669832985386208</c:v>
                </c:pt>
              </c:numCache>
            </c:numRef>
          </c:val>
          <c:smooth val="0"/>
          <c:extLst>
            <c:ext xmlns:c16="http://schemas.microsoft.com/office/drawing/2014/chart" uri="{C3380CC4-5D6E-409C-BE32-E72D297353CC}">
              <c16:uniqueId val="{00000001-DE2F-EA41-8766-6FF8295A7544}"/>
            </c:ext>
          </c:extLst>
        </c:ser>
        <c:dLbls>
          <c:showLegendKey val="0"/>
          <c:showVal val="0"/>
          <c:showCatName val="0"/>
          <c:showSerName val="0"/>
          <c:showPercent val="0"/>
          <c:showBubbleSize val="0"/>
        </c:dLbls>
        <c:marker val="1"/>
        <c:smooth val="0"/>
        <c:axId val="1851254591"/>
        <c:axId val="58077728"/>
      </c:lineChart>
      <c:catAx>
        <c:axId val="180193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376351"/>
        <c:crosses val="autoZero"/>
        <c:auto val="1"/>
        <c:lblAlgn val="ctr"/>
        <c:lblOffset val="100"/>
        <c:noMultiLvlLbl val="0"/>
      </c:catAx>
      <c:valAx>
        <c:axId val="221376351"/>
        <c:scaling>
          <c:orientation val="minMax"/>
          <c:min val="18000"/>
        </c:scaling>
        <c:delete val="0"/>
        <c:axPos val="l"/>
        <c:majorGridlines>
          <c:spPr>
            <a:ln w="9525" cap="flat" cmpd="sng" algn="ctr">
              <a:solidFill>
                <a:schemeClr val="bg1"/>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933935"/>
        <c:crosses val="autoZero"/>
        <c:crossBetween val="between"/>
        <c:majorUnit val="2000"/>
      </c:valAx>
      <c:valAx>
        <c:axId val="58077728"/>
        <c:scaling>
          <c:orientation val="minMax"/>
          <c:max val="50"/>
          <c:min val="38"/>
        </c:scaling>
        <c:delete val="0"/>
        <c:axPos val="r"/>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254591"/>
        <c:crosses val="max"/>
        <c:crossBetween val="between"/>
        <c:majorUnit val="10"/>
      </c:valAx>
      <c:catAx>
        <c:axId val="1851254591"/>
        <c:scaling>
          <c:orientation val="minMax"/>
        </c:scaling>
        <c:delete val="1"/>
        <c:axPos val="b"/>
        <c:numFmt formatCode="General" sourceLinked="1"/>
        <c:majorTickMark val="none"/>
        <c:minorTickMark val="none"/>
        <c:tickLblPos val="nextTo"/>
        <c:crossAx val="580777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GB" sz="1800" b="1"/>
              <a:t>Sales by Customer Type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(sale per cus)'!$E$5</c:f>
              <c:strCache>
                <c:ptCount val="1"/>
                <c:pt idx="0">
                  <c:v>Total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(sale per cus)'!$F$4:$G$4</c:f>
              <c:strCache>
                <c:ptCount val="2"/>
                <c:pt idx="0">
                  <c:v>Regular Customer</c:v>
                </c:pt>
                <c:pt idx="1">
                  <c:v>Loyal Customer</c:v>
                </c:pt>
              </c:strCache>
            </c:strRef>
          </c:cat>
          <c:val>
            <c:numRef>
              <c:f>'Analysis (sale per cus)'!$F$5:$G$5</c:f>
              <c:numCache>
                <c:formatCode>_("$"* #,##0_);_("$"* \(#,##0\);_("$"* "-"??_);_(@_)</c:formatCode>
                <c:ptCount val="2"/>
                <c:pt idx="0">
                  <c:v>24216.404999999995</c:v>
                </c:pt>
                <c:pt idx="1">
                  <c:v>20917.849999999995</c:v>
                </c:pt>
              </c:numCache>
            </c:numRef>
          </c:val>
          <c:extLst>
            <c:ext xmlns:c16="http://schemas.microsoft.com/office/drawing/2014/chart" uri="{C3380CC4-5D6E-409C-BE32-E72D297353CC}">
              <c16:uniqueId val="{00000000-1BDD-CC4C-9E39-E9F3D5C46A16}"/>
            </c:ext>
          </c:extLst>
        </c:ser>
        <c:dLbls>
          <c:showLegendKey val="0"/>
          <c:showVal val="0"/>
          <c:showCatName val="0"/>
          <c:showSerName val="0"/>
          <c:showPercent val="0"/>
          <c:showBubbleSize val="0"/>
        </c:dLbls>
        <c:gapWidth val="247"/>
        <c:axId val="1801933935"/>
        <c:axId val="221376351"/>
      </c:barChart>
      <c:lineChart>
        <c:grouping val="standard"/>
        <c:varyColors val="0"/>
        <c:ser>
          <c:idx val="1"/>
          <c:order val="1"/>
          <c:tx>
            <c:strRef>
              <c:f>'Analysis (sale per cus)'!$E$6</c:f>
              <c:strCache>
                <c:ptCount val="1"/>
                <c:pt idx="0">
                  <c:v>Sales per customer</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(sale per cus)'!$F$4:$G$4</c:f>
              <c:strCache>
                <c:ptCount val="2"/>
                <c:pt idx="0">
                  <c:v>Regular Customer</c:v>
                </c:pt>
                <c:pt idx="1">
                  <c:v>Loyal Customer</c:v>
                </c:pt>
              </c:strCache>
            </c:strRef>
          </c:cat>
          <c:val>
            <c:numRef>
              <c:f>'Analysis (sale per cus)'!$F$6:$G$6</c:f>
              <c:numCache>
                <c:formatCode>_("$"* #,##0.00_);_("$"* \(#,##0.00\);_("$"* "-"??_);_(@_)</c:formatCode>
                <c:ptCount val="2"/>
                <c:pt idx="0">
                  <c:v>46.480623800383867</c:v>
                </c:pt>
                <c:pt idx="1">
                  <c:v>43.669832985386208</c:v>
                </c:pt>
              </c:numCache>
            </c:numRef>
          </c:val>
          <c:smooth val="0"/>
          <c:extLst>
            <c:ext xmlns:c16="http://schemas.microsoft.com/office/drawing/2014/chart" uri="{C3380CC4-5D6E-409C-BE32-E72D297353CC}">
              <c16:uniqueId val="{00000001-1BDD-CC4C-9E39-E9F3D5C46A16}"/>
            </c:ext>
          </c:extLst>
        </c:ser>
        <c:dLbls>
          <c:showLegendKey val="0"/>
          <c:showVal val="0"/>
          <c:showCatName val="0"/>
          <c:showSerName val="0"/>
          <c:showPercent val="0"/>
          <c:showBubbleSize val="0"/>
        </c:dLbls>
        <c:marker val="1"/>
        <c:smooth val="0"/>
        <c:axId val="1851254591"/>
        <c:axId val="58077728"/>
      </c:lineChart>
      <c:catAx>
        <c:axId val="180193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376351"/>
        <c:crosses val="autoZero"/>
        <c:auto val="1"/>
        <c:lblAlgn val="ctr"/>
        <c:lblOffset val="100"/>
        <c:noMultiLvlLbl val="0"/>
      </c:catAx>
      <c:valAx>
        <c:axId val="221376351"/>
        <c:scaling>
          <c:orientation val="minMax"/>
        </c:scaling>
        <c:delete val="0"/>
        <c:axPos val="l"/>
        <c:majorGridlines>
          <c:spPr>
            <a:ln w="9525" cap="flat" cmpd="sng" algn="ctr">
              <a:solidFill>
                <a:schemeClr val="bg1"/>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933935"/>
        <c:crosses val="autoZero"/>
        <c:crossBetween val="between"/>
      </c:valAx>
      <c:valAx>
        <c:axId val="58077728"/>
        <c:scaling>
          <c:orientation val="minMax"/>
        </c:scaling>
        <c:delete val="0"/>
        <c:axPos val="r"/>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254591"/>
        <c:crosses val="max"/>
        <c:crossBetween val="between"/>
      </c:valAx>
      <c:catAx>
        <c:axId val="1851254591"/>
        <c:scaling>
          <c:orientation val="minMax"/>
        </c:scaling>
        <c:delete val="1"/>
        <c:axPos val="b"/>
        <c:numFmt formatCode="General" sourceLinked="1"/>
        <c:majorTickMark val="none"/>
        <c:minorTickMark val="none"/>
        <c:tickLblPos val="nextTo"/>
        <c:crossAx val="580777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Sales by Customer Type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(sale per cus)'!$E$5</c:f>
              <c:strCache>
                <c:ptCount val="1"/>
                <c:pt idx="0">
                  <c:v>Total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(sale per cus)'!$F$4:$G$4</c:f>
              <c:strCache>
                <c:ptCount val="2"/>
                <c:pt idx="0">
                  <c:v>Regular Customer</c:v>
                </c:pt>
                <c:pt idx="1">
                  <c:v>Loyal Customer</c:v>
                </c:pt>
              </c:strCache>
            </c:strRef>
          </c:cat>
          <c:val>
            <c:numRef>
              <c:f>'Analysis (sale per cus)'!$F$5:$G$5</c:f>
              <c:numCache>
                <c:formatCode>_("$"* #,##0_);_("$"* \(#,##0\);_("$"* "-"??_);_(@_)</c:formatCode>
                <c:ptCount val="2"/>
                <c:pt idx="0">
                  <c:v>24216.404999999995</c:v>
                </c:pt>
                <c:pt idx="1">
                  <c:v>20917.849999999995</c:v>
                </c:pt>
              </c:numCache>
            </c:numRef>
          </c:val>
          <c:extLst>
            <c:ext xmlns:c16="http://schemas.microsoft.com/office/drawing/2014/chart" uri="{C3380CC4-5D6E-409C-BE32-E72D297353CC}">
              <c16:uniqueId val="{00000000-E5F5-F84A-90E1-B9A3514D4D6E}"/>
            </c:ext>
          </c:extLst>
        </c:ser>
        <c:dLbls>
          <c:showLegendKey val="0"/>
          <c:showVal val="0"/>
          <c:showCatName val="0"/>
          <c:showSerName val="0"/>
          <c:showPercent val="0"/>
          <c:showBubbleSize val="0"/>
        </c:dLbls>
        <c:gapWidth val="247"/>
        <c:axId val="1801933935"/>
        <c:axId val="221376351"/>
      </c:barChart>
      <c:lineChart>
        <c:grouping val="standard"/>
        <c:varyColors val="0"/>
        <c:ser>
          <c:idx val="1"/>
          <c:order val="1"/>
          <c:tx>
            <c:strRef>
              <c:f>'Analysis (sale per cus)'!$E$6</c:f>
              <c:strCache>
                <c:ptCount val="1"/>
                <c:pt idx="0">
                  <c:v>Sales per customer</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(sale per cus)'!$F$4:$G$4</c:f>
              <c:strCache>
                <c:ptCount val="2"/>
                <c:pt idx="0">
                  <c:v>Regular Customer</c:v>
                </c:pt>
                <c:pt idx="1">
                  <c:v>Loyal Customer</c:v>
                </c:pt>
              </c:strCache>
            </c:strRef>
          </c:cat>
          <c:val>
            <c:numRef>
              <c:f>'Analysis (sale per cus)'!$F$6:$G$6</c:f>
              <c:numCache>
                <c:formatCode>_("$"* #,##0.00_);_("$"* \(#,##0.00\);_("$"* "-"??_);_(@_)</c:formatCode>
                <c:ptCount val="2"/>
                <c:pt idx="0">
                  <c:v>46.480623800383867</c:v>
                </c:pt>
                <c:pt idx="1">
                  <c:v>43.669832985386208</c:v>
                </c:pt>
              </c:numCache>
            </c:numRef>
          </c:val>
          <c:smooth val="0"/>
          <c:extLst>
            <c:ext xmlns:c16="http://schemas.microsoft.com/office/drawing/2014/chart" uri="{C3380CC4-5D6E-409C-BE32-E72D297353CC}">
              <c16:uniqueId val="{00000001-E5F5-F84A-90E1-B9A3514D4D6E}"/>
            </c:ext>
          </c:extLst>
        </c:ser>
        <c:dLbls>
          <c:showLegendKey val="0"/>
          <c:showVal val="0"/>
          <c:showCatName val="0"/>
          <c:showSerName val="0"/>
          <c:showPercent val="0"/>
          <c:showBubbleSize val="0"/>
        </c:dLbls>
        <c:marker val="1"/>
        <c:smooth val="0"/>
        <c:axId val="1851254591"/>
        <c:axId val="58077728"/>
      </c:lineChart>
      <c:catAx>
        <c:axId val="18019339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376351"/>
        <c:crosses val="autoZero"/>
        <c:auto val="1"/>
        <c:lblAlgn val="ctr"/>
        <c:lblOffset val="100"/>
        <c:noMultiLvlLbl val="0"/>
      </c:catAx>
      <c:valAx>
        <c:axId val="221376351"/>
        <c:scaling>
          <c:orientation val="minMax"/>
          <c:min val="18000"/>
        </c:scaling>
        <c:delete val="0"/>
        <c:axPos val="l"/>
        <c:majorGridlines>
          <c:spPr>
            <a:ln w="9525" cap="flat" cmpd="sng" algn="ctr">
              <a:solidFill>
                <a:schemeClr val="bg1"/>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933935"/>
        <c:crosses val="autoZero"/>
        <c:crossBetween val="between"/>
        <c:majorUnit val="2000"/>
      </c:valAx>
      <c:valAx>
        <c:axId val="58077728"/>
        <c:scaling>
          <c:orientation val="minMax"/>
          <c:max val="50"/>
          <c:min val="38"/>
        </c:scaling>
        <c:delete val="0"/>
        <c:axPos val="r"/>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1254591"/>
        <c:crosses val="max"/>
        <c:crossBetween val="between"/>
        <c:majorUnit val="10"/>
      </c:valAx>
      <c:catAx>
        <c:axId val="1851254591"/>
        <c:scaling>
          <c:orientation val="minMax"/>
        </c:scaling>
        <c:delete val="1"/>
        <c:axPos val="b"/>
        <c:numFmt formatCode="General" sourceLinked="1"/>
        <c:majorTickMark val="none"/>
        <c:minorTickMark val="none"/>
        <c:tickLblPos val="nextTo"/>
        <c:crossAx val="580777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4BDE14EC-7DA7-9B4F-B214-C23C29DEAE4D}">
          <cx:tx>
            <cx:txData>
              <cx:f>_xlchart.v5.2</cx:f>
              <cx:v>Sales</cx:v>
            </cx:txData>
          </cx:tx>
          <cx:spPr>
            <a:ln>
              <a:noFill/>
            </a:ln>
          </cx:spPr>
          <cx:dataPt idx="0">
            <cx:spPr>
              <a:ln>
                <a:noFill/>
              </a:ln>
              <a:effectLst>
                <a:outerShdw blurRad="50800" dist="50800" dir="5400000" algn="ctr" rotWithShape="0">
                  <a:srgbClr val="000000">
                    <a:alpha val="79000"/>
                  </a:srgbClr>
                </a:outerShdw>
              </a:effectLst>
            </cx:spPr>
          </cx:dataPt>
          <cx:dataPt idx="1"/>
          <cx:dataPt idx="2"/>
          <cx:dataId val="0"/>
          <cx:layoutPr>
            <cx:regionLabelLayout val="showAll"/>
            <cx:geography viewedRegionType="dataOnly" cultureLanguage="en-GB" cultureRegion="AU" attribution="Powered by Bing">
              <cx:geoCache provider="{E9337A44-BEBE-4D9F-B70C-5C5E7DAFC167}">
                <cx:binary>zHtZk9y4se5fmZhnU4N9cdjnAWRVr9pa0mh5YWhpEdwAAuD+62/WjO1Ql3TVts99uIpQSCoWO4Fc
v/wy9bfP618/d/cf4y9r37n018/r33+14zj89bff0md7339MT/r6c/TJfx2ffPb9b/7r1/rz/W9f
4seldtVvBGH222f7MY7366//8zf4adW9v/WfP461dy+n+7jd3aepG9NPnv3w0S+f/eTG0+sV/KS/
/3oV77uP7suvv9y7sR6319tw//dfH3zn119+O/9J30n9pYODjdMXeJeTJ0pwrAWh6I9f5NdfOu+q
fzzO5BMtNeNaij8fI/xP2c8+9vD+v3GgP47z8cuXeJ/SL//485sXH5z+m8/r5PM/L5/700mvDn9c
7beHyv2fv519AJc9++Qb/Z9r5rFH5+p/4+rx/ssvr8aP4336pyL+90ag+glHlEvExUPta/0EYUUp
ZexP9cPzPy3/p/b/7fP82AZnr59Z4uzpuT3evPr/xh43EINffP9P3fzvDcLpE82oooTqP3+ph3Yh
TzgHYzHE/xEVEDU/sMu/ca6fGuZf7//YMv96fG6aC/P/wjT/9zD6V0IpPo4fD39kom8i6edP/xmC
Z6/+LKH9qdmrL3//VYAd/pXeTj/hgdbPctE/X7j/mMa//5rxJ1ozibQWiguhIKn9+sty/8cjjJ4I
rKRCmAqMFNUgxvk4WsiP/AlVhFOpGJbwqoS3kp/+eISfMIIofEqVkPA+/1fqf+G7rfLuX5r4x79/
cVP/wtduTHCVX38Z/vzW6ZycCSmY0AQzqaQQ8nSE4fPHO/Bs+DL+C65kSmmLQx4IeS8w34968OTQ
7H12wZ3si2808wNxWP5AHpycK60QZHcJHvytvJaofXUW5CXXVpXJyr3PB1KR46yJO45iHi90ib2R
lMdCt757F9WWmWZk/mpIbrsel/Vu5UN7XXcTLrKJtIemS6750zf/zOI/OCjo91wvHHIgF5xqjPkp
Q357Tq39vrumG/Jaxg/BL/ba0qDzegvh+ucq+d4CkoN3gDSptaTkTBKeEkZ7GmI+axsulnUVF6RR
8jA3yn+Qq+aP3Ox7C0jBJTgOBu/CnJ1ZvCZd3UfiY07aheRbs7Pctq7OqW23p9Pioqlpph6x+w8u
KQTokWGMBYf89lCdXdP1qWN1zB2VWZ51/WCG1LZFnLZwSX329ec6JSc3eujW4FsUBAksmUaIPZQ3
pljRrm5DznZna5Pqdn5jcUud8cildw3BwhpwoOwVlQPWRblH8Sp0in+RyHfaLHRoZlNtEbtD5xcv
DxtBbZ3DHfa1aHCdvUkax892cehDqLlbzEB29arpPQ6XP7/Mj3QHDkIl+KMgkPwf3iXWAXfcDiFf
Z6RuXYztRZ/W/bavWn9wExGHn8v73vWVQJTok4NIRPFZiPLGDxJZ7XKO6nCT+VJeka5BhxhSyH8u
6mSGh2ZSgD4oE1wg+E3PzKRxt6rU+yFftoYaqIrNpVKVe0QKBrD4UAykWAw5kxGmGSTPM+/jXGWk
iyAGCb0emkE3Bjel+rTOFB9aX0fD23ItnOX7gXd+vJgGv5uRlOLZz+/7XewpRMC1GAQfU5TTM9VW
UsRs4v2QZ3NJjZrBQQfn+E23xqFI9UoLWml89XOhp4B+oGQQSgnRgOeoJJqjh/4jlziHOmY+dx1t
cgrRb8qQkZyNVWsSEdXFjEZVdPVQ/xeKJ5xAEuVSU4XU2X3x1lOe1XBfy6g0CJc6bxpLTJn15DZm
Fc4XTcizRkRyM81+LVQjK6NKsj6Sf36kePAxBJmcEozZyUO+LXNTmY2tb4a87euUZ7W/7ZvaGpuS
zatKZ9c7UvGRuP1e70wJgRikW4SguNOHMoVTiLqQqlzybrjYZhLyfUT82jWVzkvpU6483XM7V+4R
i//A4Tkjp2rOwfYY4TOHH8tMhsUK6HSEbHLdx+FmnLC9oNCB/b6OsS22tnNmzFp7qEWMh2pifTFF
Ul383Pe+yyUKDqJPcAWQDoCfs4OsjWr72CsPdo6ViW5Zcz6HlDeL6s3PRX2XS0AUxQKBFOhpODqZ
4xsTd0uYycilz1un2svQdeWBU7Q9khy/lwJeBOHEsJYAv/TZhTZsLZvWxeUBoXhB6r6+W7MgHnHX
79UmIGNBrtKEATQ8R2UjXlZV7cnlwyBVPtu+vbCs3QyaHXnkQt9HBtQUrimTjCgNgPKh2somzHai
ICqLFk2HZWDZcayVOPSNmHO9T+Wcd1Vqn/7cWt8HBxQ0zTXDhEMuVGeopw4xS47MPk8ya48bz+jN
2pXudsbLdptGgkwPcNiI8bFsqNXJRA/yoYSyhgDsKowk+OXZjXcuRhq6oc1TJtN1WTXeGRXI9KKu
0WCLFqf6wk9ociZNa3UlaEffzcLrGx+qCWzAeto8Y5uauWn2xtWGKTfMOclEfZ01ldgOtRQAOoJ2
2z3tA38XJpb1VxWr7FOb+iqZtSUsXQw2ttdtqhp6iBt2v0P8jYuxXNn1wiqlurxinD91LTBEB+lG
cj3QWL1sSj1Lk6SoXc6UVZ3xBJeQNjff3K3TPjwf0ow+BrUxQCW4i5nZdKxXU29J3407Bx+io9v2
A/Gj7/IZrUSZlY3hdw1NRDz4oa0Wg309HwPUE2tEHPRo9qYM/JJNQ/a5rFf+OyD2wRuAUuFdN+zp
RTsl7vMga3kpA2Iv9wYtzWFeKnSZAGfw2xpYsPfejwMxqkbhU9lF9YZFLfeit5UuFkrXzPSyHFmx
TnydimUp0eeFBvKe9UvWvQjEUlnYLa29WXy7Zfni1kRMX+7em6qvTzldRMTzWTFAeBFzvBx8aHA4
4MEGb9yw2KfSSfIm9oPcTFbPy2a87nCdc0fb7bBtS+rzrePqaUaadTP73FppfFep+nKah0wWNW/r
eGBN2WxGJzm9WcgAzYFdbTaYaazZ+7QgVZl5QFvKtzTM/LClOX7oEbYpryufoH1ZdXOws/TlcZcM
WVMTDNVot2F4NjiVQBPENSyHTL4gU7mdsWOi47gcmzFNtdFKVt2BDJTbIsOi7vMAaPX3pV7mCupo
0/SFGPRUmn7xFP7OkHurh2Ffiqhj9r5zerIGHHxRhrppX3ItW3o79tM0GYWa9W0cFqZzr3SYDN3Q
8n6Zd/CiqJv1oxy4HMzixvDC8rSJwehxULuZ1F7ZI2Nhf7ZZpMUBjRaaiWZauws7iTDmdurnPWe2
XodiGit7hfw2ihcDD3LMWZ3wC9Lpqj6089hoU5Z2qw6TrZen9dK1X+d9CFVO8dy97QRfXogdTT0A
452qvNna6hnp3NTmG3j0ctw62nVm3cnyfJEYv9lRFqbDpshwZXvat6ZKaDL9vOj5qMW6NMUySvFp
cbN7pqKqOzMNDnNjoT0jpopTSmbjrv4i5wnvhofg6gONgbzAi1fMINWJ6qA6u4XCymzoTFJhvZqq
PWiIzpW7Q92obDVVY9FXUDwALmCD+V7s24K/bq2tUR7pnI2Hceo2Xexyj/7AWyqmXHOc3dhRYVcs
rKz6YnVo3/Pe1lwbMjuIdctrdit4O1szT25KRcbE2uVj37GQTxXKxqLfRlTljmdLdXBZxxeTxmH7
1FC+UBOzUL8YMzWuZpzSMpo69WgxQnnxjmRzG03TdtEVzpPlILsQWF7PQX+Z8ASHLW2dvXZju73s
F2ggLuZBVDZfhv5yQKi8O0U1uxCbCyKH/DS/z9ig36YdQslgYKGxmURWzbkbetuZbej1vVaj3aFF
RMtNWDGvjFUbYcbaUIPvLQSog1RV/hWQyvNs6sn7DByVpNu2G/kG3ADqhNlEFC+TWyAniNW1KY/J
+jdk3NveNAjxL3zcxw8jdMT+YpkTH69KCOwCV8jyfKQz9Aqj3FaaN62f7oSr3ZBXo1un4zI3jphO
ybnKl2VF85VNoXzespolCP1G45xLi4IR/JSksV2aCytLOhZrV9G3ZInq9bCVaLzgG5k+6F2G7oqO
S2gPeMnYu816Ioxtex4PPcG7M5WdwtNxi7I2bk/tvZVWP4V4HD7YefOfRUPSUvDkyQR5Xy5d0ZF+
vlnnJdtugAmyz5EKXXtAwkViIDHzLzvPYpPX2UA+TG20VW6THp43Y6CTmV21uRxnGD3Fk+pmY6GJ
b4+z4InmcmOr+grmXNzdMrYcFyUTbCzanm0bOFVFvjRl1e0mgt8UK+/lm5Rl3YfdSrQXNsNrm6/d
MqFrDxzYmHej1a0Z+2Z5Bx1gW0Id2fnz3UVLIWfL3l+Wc62QqdE2dzl8mhAU2LjeDq1a+hwPJf88
K910h3KDYDBtECUp6oHMKl/UCv15P/eVvFK9jxxKWdZWZkVbdhVmv61mCesuTMCe+twOGbGmbHZ3
24gloQOQZHUHB7IMUrrc7W5ScFl2QZhvn4d2LbcixLrLjN7K8s0G7EvKVxd8YxSn3VsoXSPk34UP
hwGIEJs3Q7l/Eq1L9gAeur3qJxRAG32EIr7heaiOu/B0NcEjVkGS7HSEp8KPZu7bQPN27EUoNifr
q75MYjeyb+UnJcuWQiVYhtaUbIHkjm3cdwO2JbdeWBLz1J2uAMxI/D2w4G1Rd7JtTW3L1ec62yAo
q3lUZkx+f0fFPkA8sQ71hm2Sfu3nsk85sUObAYuy972Zss69R4JkTd52Xn3GurL2dl/k8GHGU+iL
vdrYHdvhCmasaXMLCCuuOSln/FkGie5F5mghEcAog9Jcfq1m5aVpQVXtUcTdv4jQT1vDKB14sfRt
eVuriX6h+zIeOrf7D/208eelXXUwe0vji67NyNPMr02Egte9lyJbX6g6s0Bm1OUYTL2i8aBn1x77
JkKRQdQeW1n5q9o3xGjpmyUP1M2jqXw23fuh3t9zbtnrzLPlhshQV8CUpmgPTk7p/ZK2nufB9lPR
l5SLp4w6li6bnS9vlx1DvwmKQ0/9KsmW40ZNb2eASh/XSSd8ZcPevi69I5BXCZSbfEHddihZN4bb
wGXzjvESOAsdXDqS0M6gQ9d2talmQLtmqmoILNR203Uc5FDBUAsYqEKdvpND6d2+llPfAzTCdMB5
M4ceGI1mxq92v5W0CP22vw1eZL5IK9+eNT5oYWK7Qr86gQtpoFxXHe9Wtjhv5tLL12EZZmfImgSv
jbTc2zzhKulj48pxLYAZKz9OhMYvaUnta6ExGkyHJzIY1Pj0prcneqdMkb8Dp5Wv7bAM11DnKml0
L9eswKvqXQGgMOiCoVpIEzpfh0IuasQGkTDaY9kMQ3locFdxo21X22vUKX8VElrri6zJaG1IR8i7
bJNQEEWfDTQP2d5KqCjE3hKLaDSSt+QT0ATDZDCKtT7Uum8+BbUmXqi4UUBSMLsE6rcP9Q3b0Nod
YtfpOzQFoS9ZIr4yBPH0aizhxVxru7zBO28uJzRvjUms6d9vnpM76Hv0l6FH22ssx20v5qZGq3Go
bgGEDXLfoAVB5fuym2dmoBB0wdAuI9VlrRf3MtUe1UUne11DpbL0ebCJ4bxUZYMMWirI72qulje1
E5M3q90ArY3NFOBwAARC7rnOXsSmAqAmAnFXs68gJdEsa7+wFgHs28dteLnhkkiwE5mvhzhsyMhp
Vq0BRFDri1U2fs7nfinDoaVM6cLpYX/RZGXsAB3I4QsSGMq1x6Ss87JO+2aGasZXqhLiUvguXayt
IgcGlaTNZ7yJSw9EBFhmmuYX62YBo5dzGoCWXRNrC0TS9jwTyzznGwFa5iXjmO6m3O3SQyXZ8T2b
Gpiu2CxKMygiRsOqANz52pe9MzVb2lTwxdvl0rfLekhsrNeD6DoYOMgpTO9jlBvN0YxApyUk0/ug
KlnMbMLBDE27u0LJvs4Ovse1OIp5srKoXAmTCt66LeYjaR34Uiz9xxnAUGli2UKDjOOgmhzXHmKv
i1Y+bUJq6VHO6wp5QNTcRInWLc9wXFsgm09EXLYh9JLV5caNrIOn+a4mGGN027ixYglhfCrptk95
pSOU0TbNpqVQ7wGbw7dNGflSAo9G53tRMdpA88OxA2TcgwnXuMfLpq3xeIToHQGmDV24nsW8vm5U
v9yq6FtqVgD8Vy0ettbMisqr4Gbwt7Ib2N00r8u1hsHI2xmjAG0CRCYFiB/WDyUhvSHAbYXjHgAO
wgRhIMfEwxihi4NKfRgytr4sZSZLM4pWvt6EyGazeoU9MF7TXh4wzFNSzntIOXkGsMDnqJnXO7Y5
SGx7zfCLyu/8fsQjIPxQ2sZE2vdfNR3T59ZWan3WpH14z10zARyUTQXMVlmPMffBD/3LKfX03RS3
WuaKWZYZpfHo8jpqDHgKJQicyqOpPVgoubZwtEGhKNOwv01jZOsNiSsMpFKz0me4c7zLEQVOPO9k
Fi73uEFLt4LXC5M6ycpDAsiLobz1/XFRkbS5XvdmNdm6xd+zjei5ANvj513EWwvkV5yLbkrNXgwo
8WuY+QmWk2a2cHGn7a1OlceF9WIBUKkgH5sFe/e65Vaooh/X9nPosH66Nm68HQe/zCaEKPYcuM3u
/SLj+nKpyuweykLZGLsglF3RuV1kvvQz8cYDcH26V6eUspTNgg8AkzQxqVWsM9B5qgsSZHqvpevS
JdpcfTXStH7ReqPbhdriJIqksroq9gEDr6Aprz6xiSIwmHcuFwCOaL4G1Y353OGlPchyB4UGnEno
lwNqctaOLuRwpooeoSBqVAB7mDXHUXN1aVkoPeBl1n7cIYh5sWVTf9tlFWjb2rl+RtjMvjZxY/ep
JvFG1VLOl4DdoJlbF13/TnbJ3xBXQboQZV+W+WBd83wDrKBzMFyXchecvYqwQCOMaAT7yujq94Km
ASJih4kKNSX0vdnF5jgDPppgwoo5RXQNZAVXJvpqj2bCPaDItW22Kx/WlkEnKRA/zk0Y1tzXqeku
oMh2XTEu7eyhgVS1OrQyZjcrq0e4YWUbSEP1DI1zpqByApobPo/ENqHgvlqetbTdP6zjON6mess+
hLXPPnRANaucrZ5Agd+0o9dVCBQAAhTRMc+WIYbrtpm26gjN4/AxurGUp1SwkXwYfdXl09BX6hnD
Dr1ydSO3w6yWAXiHPqIv46pYb6BTW23O8B5f8czL/oKPC3uXIIrXq34M7H6rl/0uMEWqXHfMNtBN
VWIA78N8NJ6XCliYAB2I6YCcuWkhCcPHrVdvKOK9vqgZw76gfoKcYiEMWgP0XAfOyba5vVrorG61
a2tQ82ztFY1E4JwxGwCSuol+kqKB4QXxLLkrCRzwXMghNtepddOQu+jLZJzvJAyzyxXJwo0a66Nc
gHgzqWlgrNNp0edTI6a+iD0Kz2AEZjMY6vUbvwjjnn4vZYrPQ02BokbtYEvggYRjxz4AT5O7nsQv
9QZA0+wA9hrTr2h62e9VZgtRte07mPtAZ1ovo6ZXEaIZaownCEiQaWjDtW0SQEnDIvSXhifMA6DD
vl4KeKrG50vj+acaw7DGDOOWQTF0U/OW2NFpGMezKAvRl91iqmrLPPhh5tsLDHTfV5idqdsdoH0y
ENf9Jyhx623CvbDFiZi0ADgWbsHxm5IXMPfihwqWTFzBRt9rA3mplHktWPkixA6QTdUQFa6BS2lu
oKHYkskmaCjzkJjYb7N6X2i+zcApmHYe0pjrQdcA79dZ4/bVCndzx2XKWI5nmUwcqYDmiKqJ5RWd
7XIQG5k/Qf2dxqOWxD5d27LiV71vpLtqfMcBAUnh+cFWJx6nEV31vPPN+u4vvHcYuTED4wKX+GKY
w363qGp89hdXttsu+gWGvZ0jXYGgaF/GDjiS48856x8Qx+AQVEjJiSBEnFj7byYMIsRU7osPMC/P
GJAFk7vNMjoVsDHBbuvEV+i9SQ07DVFflI1Ijww48GlQd0ZcK6oY7GwJLCiSZ5w5C/0ylX0Tcs3G
bgUgsC1mabp4EVloDijryitMQn3sgBouareSY0x6+09HE1IqmF7CAhJlMDYQZ1OtjKvkacWHfF8n
cl2HCQNXTfmzjq/u+c/1/d2s5SRKwZAAA2EPI5ezWQuZosgigwzHgN67Ya31JthpuPovpGjYgqHy
tIFBTwOSb6yauE04SID7tML7oRt99sr5Nj6y5fH9XQCNamgqmALDQW56KEXRuZRtAKQTGFqPjpYE
rlUOlP7H5oEx2EljVDJBFD+buDrblXSxo89X+NJlOF3EVwx4wnGrHxH13eToNEfBFFbSEIfRGzmb
o2xtCdRHOI2wkaiu9z0teVZ1zQ2WPRCs+6gPk4zykZHyd3MjEEqBq8YwT4bxGzu7H+0XO2CoCEB2
Qyc3zYDSlyaIi8jdp1DirUgwbc3LVnaPzMn+WHs4iz5QKgyMKIGqDysLDy2IsvLELUL00Zks2FTd
0lkDk9XxivjtLR4Qvc1WAlyZaAYThzjdeJjRoDzsaij2rBoe0QT+kSqUphiikEtFyNnAk6cepjcR
VCGrPkEXL+tirdY+L6e1NMu630/zMt/2GU152pvW7Nk4X80sdpeapTVvLbRzgil5g/oYPqGwl3ei
7IBIoE48kjm/834F0XWKLUlgqY2c9um+jTHcLahU4+RzSdb1dadXW2wUtZf/YSSDFAVzTFg04BrB
ZPGhFF6uaRBD73PWE/XUeflubbLh5X8hROLTLWBvi8iz/DdPEFdo6qCVoS27XHDoXsy7V49528mb
Hnjb6S6wuiSUYFrC0srDu0x0jXPvSgfz0Yk9o8sMxCskmFsA25lJMBIwWEd0FInZlxMiTb6nqQ3Q
+TeksE3jLntO6huV1uyN57P6+HMl4B8ZVGtOCEQjQ0SeGZTMa01K6IryoedfUV2F99MQ7sSy+xuq
AZJ1afP5ziegQ+Qip6dKMXfAclqeiWqzxrMV6FPcLG9/fq6T2HOtaQ1bF7AsBTs/6GzVJeppY8C5
+7wfcH+sfA3s1oyrQveivd7DfF91rj/iTX/5udwfWIudXOK0sgl8pzrLDdCKKKIwOEUrAIPOpQIQ
WQL3uqD+sdWA71EAeATmp81PjmA/W5+hAGB552wPNVSStofx6tChou82eug7mCOPW4vyuar1M5+c
fMb13ptO79kj8UxOXn6maAabPZqcNgmhTJ/l/k5vALlHGA/MjJQ5LGGSQwfbPkaiFKG/3ZorvK36
mu9l/1E3bHzTkq4yUvTVla6G4WuXYjooacmLPnYwbyJ9EK/sBjyWpdBcF3jAMNcbmXy7IqaPOJbR
5yKgx/ZRf+AwHNZfuVYKnVavzwzXwyLUUg6TA8NV63te1equBAx94CN3d7sss7cYBi1PMw0T3J+7
zMlMZxrkEp8AAexDcnq+omMZGgcEtEreYzZ9WlSJLhDswd7B7g66C5t+LDR+ELECNrFgl4TDGiHs
gz1MKA5mrwRZ0ucd7BPewWrb9HxzjD5SlH4QCBL0SQEVKNiROc8LsNZRN1iD6ZwN4RVyNEDGqurn
qh3wI+gQ/8AHoZ5QMB4sEMJe9ZkPriNnkGFin8cR2xzTvoNmZJtu8JzBHGusYHC3IAzMPoJYqclw
EZf+d1yXt4BUyhsyh0eSz/cahiEygiU3/AfwYmeVASi2qp3mvs9ZhpsLlmC3a4Btj0dC73u/gUUd
2NwFDAlpAHaEHtpRkwrG2lmE3ZBurd+6CD3dHPVy6WBr95l3QJ/83E+/tyjI47BXBRuosIdOzlIq
y1oEK14gjxFXHxODYQTQ8eXR+oT+Y+cBUVLDXjj8Aa56drUaeNEurEOXy2mKV/y0lLS3ar3iNZCr
P7/VD2x12kuD7frTZiQ+/feibwGJbmGsJTvwmLmr/ZH3gl3YGWePSPmhreD/OIGbwmYVE2cXUtii
dl3gQiVMGcFMPN44YILycWUwoxPt/AgA+qGtvpF3ev5NKyPXgGoVA9wqTvurINRsYLm8Odq1f2xz
90eiKNQ6KLSU/x/SzqxLUlvb1r+IMyQaAS/3gYBoMiP7ppoXRlYnEEgICSHg198Zts/errS369xz
XzxGucpFRKJmrbnmN01T9u44MbmtfUDx1bg2WRHHKd3ZqTfXgePxLxq0v3sULroEbSegMMouP+U/
fSseer3QGcq60FN8mqeuLqJF0tuBTEH5z8uC/vWNwRKPriJLUmhLMXnXDMpEYXw8wVigaEi/jGyA
OTYW2b0GyCb2w2DYzsnY4TrbMOu2Zt1fyv171oz1TiR6lIUa66yc4DfHgGTSYwm4gv5iS/518V4+
JBYVhY8tT6J3Bw2ZUDdqh0OWLZ0uF1rXew6hef/PP4u//tizEIU0C1FQwcP63ukI6R5+7TntdyHM
GIemlv1pHNlWxl0y/uJRf+kkM8AvIepd3MOXtvXdYhpax3rQCD2GtJvqSsxV0tclwwxypdOiCtKn
lO/mbP1VFfs3bzvGoA73YhbDJpu/e26dr9sao5jezatndaE4t1D56XScaX2NH/zwiJdvr7DUt9tw
jufrtUuHQ9NYXukUPvGdSOf2ZaHdPUnm9JmOfvvFq/7rS4D/mTF8SugT0JrffUKeT4smE9wHJszc
U0D4cOMIVISGB79yyf/1JeRozLCmYP3HS0jfqS2j7Aga+rbb9UGefw7DLitmTK+X0pM4KOvUQGhf
m1/JSX9dyzls/VjPFKckgaz08+YWGgObUcOkPIyxfcl8tD5mZmPmFyfx5cP/XG2huosojpEUK42+
5090UidD1i2wv0N4vdoWCUubg/4Jx1m2XLxrmCfOPvOnAHptkfcYlv/zbvqb7wlZBuVynCYEXfDl
9/90iHV2o3koqdihls6rfHCi6pqFP/3zU/5muaCcTDGIQEmZ/UaN/fkpOCjhRrOTgAAezY/TOj+A
iZAfkx73zT8/6e++Tw4ghYLlwU3N3h2U68iD1gczjB8kr/e1lvOXlOT6+Z+fQv/uC+VAF+Dch9wT
pu+WxzZoQDq9E7slMK4S4YThSTdlS5mutSjbLucVs/1axuGEuVO/umph/ivtpnoPqCGsMCyHiVCs
046CMPlfLCosq0sXlsWXDuLndwpbC5RebzHKbRt7Z+Gf2qkO8w20DD1mdSGmxiGr1V6zHv47QBK/
eP5f3gF+Llg1OJrBOuFNvDsccEKa2iVRXQgxdy9NkHc3qa3lL57y114f9TWKJEgRF4YDVefPX7ML
fG9xKzc7Ak/DCkt20xyEr+HYUz00ftZ12TEXGSwzFGa1SjbbW0yb+dDBl1cFrZsqE/TpS4NpTPnb
8viDAL3/fQP/TjN+HfRqWt78wbL/65f/5+a/Afnf+Ot///sLDf/vX93p7+ppMt+/Tzdv+v2fvDzv
X38Uj/vj+RfQ86df/AU5/Q9Q6e/Q/X/4zf8ZcRpeBJ//jJz+wUj/i8T9N6r623/4O3pK/wu3NpQw
lLeACVDlYnP9QZ5m/wVVCRxUDvs76kXMv/9FnjICMh+HMaxpEYTFJMbO/oM8jXP81kVZgSxFIOb9
P4GnPy9eKFpouHHT/JYAAAg1iX5eVRJ7lMQToxhAlQMhR2b4L6rhv30Cehas3iSOo/edkrXdaFyH
J4ymMFt6JFz8fz7hcnr96VBHEeYjqfEElNctvkM62f/NEy4CG3xuGZqid8cs3TBYFkECc2xaBkl8
HMWvKKXfGrh/X4248BMcX5iyAPhPoES8b/C4Js0YidoXGH3Eyw0GLORpszL70HI0stfEjFrhm/EJ
wGimbhQsK1WI8ucGjtxkLLPICrYfFyc/LCMwY1hyybp9NHQmEpN5ZeihTmB7OpOAwJJO+06Hvzih
fi7jLv32RT/BVC6nGTxI7xEWDDmWkWGEU+QbPZPpW5Z3V/FAqsHHv3jSz9fR708KcxCLl1E7uNJ3
LzyI4dAnfUAL1MTPUPnENfygD6qR2+8n2/8QP/7vB+FqZTEgVrz4n1fW1ismWwVSLobjQoKbjfzw
ClfYxz+dGn+cn/+Z/r48Jg0T9DvQ8PDu/7IJFwbX5krXsCCsL6MZQkmvsk+LYsfAd7941s/15W/P
wiWFdhH/uDQt7zZ8m3YTXH2wETm09ErsRwHTmt52ob1u0l80FO8AuN8ehi8F6u7CsKK9vyyZP+3M
jikbZ0sTF4uMdj17JVHJ0+scg/Mxe0vnR8OvMnmGwvCLsohCA8df/dN+AliELwiuHjczgcb386N9
rA3XykTFGCbuOaWzYIVKt64tVZi6s/I5zOTD2qffwj7or+Al3x6h7w/VZJcxLmPTtMOxj9f2Tgzo
laBMatXsmqFuAOIkLviovewPc6KJ3IVhoK4FdfplzUOslsSJ6bleW/qp3mz+uc6YAPycocLGZGCs
25Ky3o1FIB0HixAxj8oJDXywEznGV0Jv02nIFP70CA/el157TIJSNOAvTGdLujMjZVWf2OwxcdLb
R45OVO34GG/LlSQ1ia659uQL1ID8hoc9jYsgqke38yzYrohObVxEbd4+Ro5/n90GXmS0tU0LvuQ6
A209aRhYWUifxn5dxyLxKssOLtMhu8oXPj6NmzfDadGJ2a86sPBi8Ok+Uc1wkmGDkccFiIknCS9f
I+CeLwHehOYwOxbdRLG3826UuSa7Js0GAvp2COJywrSf7JeB6i+iDeCu3QBQiRI6ulzu9DbaUtfh
KG+kWee3OnPD9cjHqKT1FtzrtR/uKciBckBDdc62ugHYy1p4HaQToowSMtyF+TDL/TxPxD3xpYd1
X4wjkCXW2WG5sYHl/poze9EsaW0XthMwlLmDDRuXFPB1p2uJOYt/0ioFTmHbrPuUb/mVwKl3TIYF
Qlxmooc5tvmTh+gaHSiv971s0h1xQYHFF6WvAaP1OTA58BtZO37Wbaf8FV4pXG5jupRLVs9XbuAQ
8InhCy9iLdSzx96pgrFjmFdDhI3PLr+YmWDITpPzBPvpYctY8ArX8Qz8xzlbzQyGPKxtZpr7biUp
TCNizPbwWWmIse1gbtw0bxUcfxhHTpFpT6Gum+HRTSvRe/joc3ct8aO8y5tsPPk6xxWi1OrX5w4r
KDqg1h4ZMBAqO7CB/YiUiecpbvvKhXy7NpNiJUaAfj3CgYQVDaJqyCCNDHC7pX3r93aC6Hc1+rkR
h2ScfR8WQxuS8M533Iqv88V4UdVLPQXHNcl7/wRTl3izQ5BjrLWAg4ePDPrEkg89260yT57h4jft
eYoULE95CzN4OTIjPo/bBLGqjJ3N63LG3X6I03VcYM+d+kgW1KTBSRnCXDkM1HxQXW7ifXuhNyLw
IXsVr/lTE8tun6zxjBKbhNNbCL/VPg6cPwarN/cLBNtPTRzrHyH18VEQGe5bEWRHYYx7y0biK4wz
7FosS5/NJY1BEZQt/BoepEw9H+2aIcOgFmFYKC9JWgjumm+DyzOgOq0/8wgAS6GbMDzGYZ8dTBT5
vkh1v73ljQiHXVITBXPVDBNjqLcLTUHZfrb19JFFTfaGDUxVkS4uOgRsmu5nGHerJIDCU4RmlFct
MzR4S20T0YOysNw6jgamVHG99KUOFx5UsAE0ftfg0EMzsfX2HG/rh0Hp5g1MsTpTJbavomV1dvBS
5kOFonZcMfxtiD8sYPeandF1+7K2CIMopA3MIZF1ANM8wNsW6AWRP/w0ZmWnI58/zohmYQf0sH1y
DfhzCe+aFDhaRSPdrmWXmGk7J3FLwmIM+Ep2MgF1cAxasxF4DRUsr0HsxxtDRe9epYM9V5UjAXrV
Qg7UMexcrYGTFkc2XOwNWXbtEi7P+NyqbGqTctix5yT6OMHvfdEYcYooBoZ7P80CVroIBqn42ASo
zgojxXxQI/WHsMYA+pDCpf2NDTHMsylIgisJuNbv3BpsVdrnbVzMxAaPDUkxjCC5al8wlUtelFtA
JQqlr3JNG14OjvNyzKb1NdNgP87AYMlNsMLm8zwa0oW7tlUKeJhoDg5BA1+8g9utcDmWyJ51m44q
MsAJ9NJnU7tTC9fXveEmheE7zugJ3gxvkLWwbsAM2m3V/kkZIbarnrRQ4NNpC+P7dIqt/DjVox/3
cRu69gGxEbIiAGSu3CVa43PvGgBwWZuM8b1HQXkeaT8/cOG3+Aj5LayPoedNyeeQ39JYsUelXRjv
NqbhgsxoPcMV204Bbr9xXRh/YwYv9jaN3QqZ0fsIIjMwhv4unxnZNIzZizob5pdryF/8OFid85t1
phHfLfVsTmsYDE9Sz7nGJoJMd80TB1diRob8vuc+zKslXKW+WkG+8h2uRczD6cQh3bra2NEWNS5s
UuR1jo8aJFsP470e6kegtWY8zh0L4aK3szkmix3krckHe2gJTz5IHjbg19i6+H1N5+m4eSo/8MBv
HzccAOmex63a2yBbRYnTdj6NPaPYG2C3mqILG3rgxLj7aWvn9Cx1s8BnOa+c7jsLCakY1jx6jKdN
4ce5+IO22HN8ag0p6rVun6LOEjQGdVQBOaurDfbwFVot6w+pFCt4PrGgKClMwtoiaRKcYOlGIZxu
F36031K4I8lM6bnLmZ8sSONaPcZDnOoKAzTyJJskUAeb42UXloAPvk2ilT/CQoMTx+stftma5hHH
NBXwRC61PSY8VewD8BkZ3sigh8pm1Xg7womenVtuiSoH08ORM8WLqmFQF1gNk4rwqTdiVlymJGOF
1CKAtXEmB2oBogwbCqylm3r5OVj6HpsNdtm4WK3v+kpFsNQXtFviKhqdmr4EwUgr6TfCSh5pcoyT
3nVnWXuRHNssgp2TGgFMtBiBNcD0m4+ruW9oYj0Y1zcVotxBveTFq59AHpR5PITL0TElp0ezZDkm
YdNIBiCmUVOJmuCvAA6RfNxyMNYFbJDDAU59ZCGB5+vokVvVJie+uU7BHduJMhv91FQR+D3+iNrF
zaWFyW3cZZuEbT9QfJ8nbEMFpdfnzCo7P8HzBaChFVcZH02p7MpLz6PjSJLmtom37lD7vNlzMCu7
mjK+59jyshgdifGGl+WIuX1UIVDHbOXAWXbuaE/sjzGY0yKc7QhHVP4h4YKis5HLgQLFDBAD0Imp
SGsr5wdAJwAh6zns8qNL0ukWiTTkk8R8sMMx4nQVbPN6PYZbcxzSOXR7CBfLuvdwxPQfvRZpA35O
hraww0rPIRKBUAO38Xwm6zSEN5gAhr4AiNV/EbhkUSAEOT+pjnUChmXPLtQkuxeIpwKmkg7ZG4zc
nL/mROkytFsucKGx9FPNa7NvIg3j4OA9ioqAfAoWcD87iC72YYlC1RVSWnYN8TeDBJGJoarVJNJD
UNvwJZzJ3CHwJIhg6W625YSWLTMHPflcnuItqL/IsENlCBQ8+ITOygGdbvUaPKWqyVJQoK28sCBO
fJkkwjXKsUllcxOmqh6/UDPQdu9SGbiS9K2RT0nX4FSZRj3snIE9+RQuMi2HLqOyTFqdV2E0rK6w
M0zgS2ijZ7ciJgUbg6xX6xrUpwCIiyyyuA6yM24OJEM0OebsaTyOPxSgoiJTIF0X0Z3WrrvGiKpQ
q4riSuWsseW6meDUrWO3T4eGH0Uu6rulJf2ztvsJ1b2FZFS0+Yw9QZZokndbMgF7oR3mNDDruw0+
/Y3DrWy6LX3woRijwm82u81GoSq0H8mtI8B7hli6H32b9C/Yhdkhhb36GlhruA9A1f+gHJtthyN6
PXlo1/6KW5360xYsFJ0IIKC5wG3Av7JYu8O4AYJ8cVEHHFMMCKa5WN0VcI8I5iu6tetSrlQk86tG
0gWaNOigRbdMAMaSwAqAS7DDmCTRz0BItKjgpFF0N41DeKjNUm+ndttWfuqDJm53OHXIQXo1zjvf
z16cAEKl4cmIkasz0HKgCQlW8cfWgM7YuX7Rvpo2N6hzB3z/emjCaD3hvGxO6LlqgEg2Im0Fk9X6
FdeEgMdlk+DjloaEF3IAbRn4bjxVgatj/ZweBZ/8biCa2aMGU+MfsyVOoZ2xUNyvoh+/jKmdb+BN
SA4ws4L4HnIH687Y1cPZYRzwkczTDLxOLd6FpXJsCnY1n5a08lsvxvMQ5k16NdVayOdJZYA+G4VS
o3QzXnYRoWnudihN5sdl7qOHAAf75wzz66VqFrZd84ZM1zNGGW+LDLlBNoYk6mZDOEKHjT2Z5hHI
GvZE2zWI+YocmOdg5quvLo7b2y6d1DHmPlkOcyAXZHuB8StaPZuvWrXuzoUbmt/EuexTzOMRqG1d
wgOU6/0GQq67ScYGJChF5V6GkwFvFbUBmsXVig9iAjy3i3AhXwbvDXC4cd4aNDizw9+DXZ6XATMA
UgdQu/MYro9x70W3HwkFIUBWruxB5Cj2J+RnPMnc9eXad/hljlwCDJKn/bqI/lHThVeEjGnlogzf
EMlj2SGfG/5ZQIh75rHBeT4YS14NRTerNtLdJRCrqn5hlhRQFepPIahDKHh0vM7C1tw224CHLZqP
uoobP3/ImW5/9EOPOWa45Mshj5v1ls0rGveJmeUQU1yXpWLtdLcOcXjoEkbtyxAn61Vjm7bcaBZu
e2y9hIOqiNlOevaV2TC46ebRAZjgRD2gRB0+uZmCV2jxlQu5WRREcVRzh+OC67WYpwRNqA5YeIrg
dj4AXAPU33b9GWualn6IxR4ffXyIwoE++7h/qpV6rFU8obxSgGvKWsBnUs4gWz/iwKFXIvd5vK9Z
408rCnpVAPVTH6xxujngb4tvsWgwS5cGAw00udFXDEK6yptxOPktpR6xBBamX2HQnNQYv3/KRhkc
h0VDxAoW65pdZAPcIn0E3qlK40ZrFHqDLUecCK9ALvN9iCbzI2suQYZq2dqnpnXRMxnH+dC0krRw
7bHuIcA48lNguHxkI2beScCX6z5Y+7MHcohFR1P4HjImj/MadY+mntKKjFmyUxhH3022zY+sy+cW
eTbpUlh0ggDPJ+Y/O6SOlVMaWnYUC15XiTWQuD1QltbscUmhNsDtEhR+wQfYtaOqX0a2ZIeNhkHJ
TE1/ALJAOT6G4roB5nnkzSJOZrnkiwzg8kq/ufw4Oc9e82QVDw2lCHjCbqtZ1bZSm0ImAQBY6PRP
rvfssM12UbuFweQKc9baHYcQNoZmALc61s6yYgAmukcOAu6fdB1qxOnUbu6AGPZuFxuyAhpaczDb
gxX4vqqny0MQZg0a6NHAczZPZabNWiA/pD0kHgdbQleNjLnw8h/ZXMrXfhVhd+hwfqwFTXq+jzRi
LBBCg9sbhpf5rGCxtbt5Msl3BCANFe5+9dkldod8JPFYWxrNN3pzSXkpq18ymAOA8g8YLdMhdd3X
Lcv1h9UE8bwPtoz09/hxYPcsGmP1gi4gCifEKuCfyNq8oxtjAmkZ0A53o1gycojDIV2PLfqD9aw4
Td4GgJE4jaGbliZCn7Fv28D4ApVtWBH4PvMypyMm6Q2Y1P0IOxNMcOP8dYbVr8pjdh9Twced1Wis
ChrAGu5m7Jw0IOFuxpa6tyrJvrMVmhXKaFA+wNG2j7mqY/Daq3+EPIbWMheJus56aimSYazL4Hfp
0FI3LoxMuWGgU/kWi7vON7E3UZtWOVV1u9eYOIli6bEIKrNah/C7tBkTTE5peoZ3Iuh32SXbiJm1
jwuNMRTqYqy8An3ZMj8hnrHQr8EZdb6QBwKz/ckOmHDtu04Vzp5Jr9sql8G3aXU1MifQn3+vHQto
FdSSwszjm31Sm+3amxRpTxPNSHNE1KV9S2MZH0g6xOXohnY9rhPFo72NVmxsMpuHMIBzcenx4vIO
+VhdLn1JQG2hLKJTfRsPLbIHEIUSkh2SJbfkRrf2edDuLc3MfLNll+N+ztsznCYbDlkKlvUqOTQP
HZbfca0noHsmRqV+SE3iPm6tStMrMskFhy1o1hto9muFNFK0U0uItJxLsqBCZzWyV0Sh+SufKV/B
O7PMRw4MELQ5xSQWPhtZzhpLo6CeOHBgIJu3miJoo4Ht7BXOh/BLPzC8h23xIZY2kd2AvJmMTEWe
O7/cqGxQ+dEY0aKR00vnC/jL83PjMxy+mpF6B82V7ELYWDGA3lb1kkva0LKFWH63NHMORg0u9uww
gjPjhciB0N1GUT/ss3lCQAZCz+FXVzrxX0Ln2/bQ29Sdwqa3gKfQBrx14PQOjZ67twDkuUYMQEiv
aqC1ZI8GY/WHdszvsEEfugaSQhPFeZEglqo+5cbFyT63LRLugOzh6IXPOLrRHSbyBa91XgrNzUfd
zvHOWJsbOKRl/cGgLcp3ocv8UiCTxLwyCLXIJtiEjR6jIU3LehbxiUl8/j3xgaxLI5BeeeFB7Foi
RMPbYupjiIeRZ+am5mv2DaLn9yGUD3XTAQK3SxberQnCbvYg2uu+4mndP0VT7A6tCdsfEahJjYoB
6GiVBTLG3AAGCFmsay7Pq+hEgk3R8ItsjqyqkrNhfeM6k2SHjmh5jetUjUWddWBwkGHRQEvoennq
w5yTg9sCN+8yb42sYslcV7jYTV3Vc2nEXgTN2lWGSkwyJ4J0yucFFu2pTFu+zfsmCeu1wOiwvsk4
qHHkqerOHjoESoIInEKg4ZKv+bGRmATcNpTlK+KSkmXE7GFtv1II6POuC2R7FrEaE0TF8DU9Rusq
ggMm1+zNbxyhABo1FFpf3ruDHtTWPXA6IiKHSTJfLOb+7FKHz4GwC9Kdct8Fwc4gTHPmBcBzJu7h
a0I4F3R9h/EAfmQFGtnRv8nGIuh2jMbxbYaAt32b0ISB2kAJfFI4DZcj4sCCqUDIU/hA+cBA6HeK
PgeXwvcIuJ7aYz5ENbKalKriIJB3pmb2ydEugbaOMu771iJHZFEU8WV5oiR0+iXSbkdYI0Avu3m/
RIZBpaZknySuvYnnqd4O4JrNg+WhO/ohEeirTL7dTTVp71HV+VsV2bnZpXTREB1Iij/FlvqbWh0x
u0AAAdlhqssBWSqBqpYM0sfXUaKCsmG2flXwcpSmi2mLuDPcNkU2Qal/dOGQT0i2yOZXualZFnxr
AhQJlMtXhPEi/6wbXd9U2xx4qJUcymrhAi5eWwPJAKc0IlsKZCuWG4vtmU81jmiAbQhW6zPMiobl
bY6GrgaNmI1PwRaYF2T9JpjB4e76Hksh7nspslLhrJgOM8uyqmdsQo+c2UZeD9ARn5CUEftdj4iC
8NwmLv/RT2hlC1IjdAtSqbX+EJFtbQGQ8hg9xKbhc+VT3h8v+U7dDmkrzUnJDuC/UfNw6Hg3fpLJ
mtzULtAnkk/+iURA0UfRw6VZf8+1Dh5kYM1e5N9axDvkiaElRqJxD4xuATnNFEG2FOso+W6pz8fd
jGRLgLWqFtF118jmg6gbbaoWYFCEGQrWM6bP+Qvkwru56Z9rmuB4jVhTj4VHv4m3OGzVNC3uJKkW
17JZp6NFWOdNnFpY2BGEQHCr1XHO97iVtYCCCO3s5IRSGCvgVd8irk/NiP+dxQb9sJvDwoSgzK5h
4MEsUaptOsd1DREQb7yFxoaOor8jyG0otMLwqHQIIavxIRu4lJYVk62iGYw+EkwXH8fL9cths0Jy
SK47s8uwuz9jJAj/GlIbTYsQuC2uWkMXlJpqC5+tFOpuThVqwg7aJH5U6OP2C0TT7iDSHveCGjM0
ar41q7iigIM/0g6AUuAlEj/MJRSkSJZoDAEO0CueC9+WyK0bw6LDzOJLRxG1tjdm6/0HrTHXKMbc
N+3B6AjXrmnTocoNvKoVhPPhDYkIzalBTF33oDDCwzfLJt7f0ynJHto2nNRVL9YhKKVKg5fNanJH
ODLaCiKhKCXdKEmFbDWC9g4YMEoeZMPdSL2lHyJy0ch5MDEkKKqenbGW6j0qKrLP18mpq2Wi8RfU
nvgJJQnVCOFw8ctgHSgc2kcTUhulTbdDKLNsKgUHav08oiijuzCiSMeokfeB57lg2WG4xBnmByyD
4yoLcFz3bA5eh3oZjyLFlVrItl+/4MXRmza1ovvcaYRBhLINgydvWY+xC3ILkawYpNGTn7LgIkzW
9hJvCW0gEQZxd5hPzadJ5rw7bqByzIHbZHsWSTsjOgxJ5C/TGrWlXnl0XqFjP2DeLj4j888c8X8N
keaUykl3x8ao6AtdkrDqwAWNCGNcU6Qj9lY8KbqC3UecECIWoFFgqCUWsGqecUJLHS/t/DQhX5rv
ZNZv6JXnjK57WB50v++NzSE5Kt6TqkMs348AJpn+NHk9YZgjcUruory3p8ahkviiMeRZXwKmaPMI
CxyqFZYj5wqZDzEU/yQz/mWehUS8ydKqF+uXHDWzzaC3YxofBIVqIbDvtzkPmoepnjSGZG1nP0Wc
y5Mm0BjjBtFgRSz67bW1UfxjsUv31OrMhacQWt0tksgBL0H3IGMhxnZBJA3yjch58py2t10SNOSx
AeCEHhILLL1OcG+fpFxpeyUwjkaH2uAVFAgndG8xy6Zb2vlxQ1eZs4c2xGG88+Mk75FWY58itP5x
gVAV3V7VE9MPnCMI4OxDJOj33cA/MVRDwNCWGmKkIG2ESIKIfnNmpiFyAG077ziy3jwiS9tpuQ42
3rodjfliy2Fx7X3E+2g79Uk9Dh/GTfjbvmUISlS86z8oAsNCQaidnqeEGYS7pBHmxUwHmAq0w1W2
YfOVWx4gJSaPXJcU8FjDVyLHLoS4pBHnAZmvf8BnD2iJOIgp/tqtzlzPKjH3lKE6CZEe+arhNb6B
3zBDWgTVsFT28xWDikLwNjFiYEVigpUfELY2qmKN+swoxEWJdHlE0ANGpCkx4YNAOvq3mOi8KZs2
mvddb7PwU4tCEIroChsFzIxTerTYNCeTCIeE0jD9jFyo7PrC4d8yapAMk8PS3x28IYjYBFkf7cNY
kId5CGfk/7Kxx05c45fa9jhmERjUHtJpdM3RoUXGUFNaegxdjJ6rVQjQqTbP8yrBFOMH7i1aThv4
ibJORP9mnTE3vcTsfFi6RCCgJUD0FoMeOJQqEKkvVDJp9ziGY3hvW9fuWzkvtyQn4UcKBurMFppU
o8ZfNWLMX+9UaxNZIS1IIQjQ6/1qhxWrJFYSXmfC5iqaA5FdYUaEsE8MSfYon8lWyFVP1yZq+E2a
6PSVOCbKxYTuVnv0+C3vMA7tMaxG+0I5lP5+XRQKUzgEvmEr1UASbX4vjINa1SNsYuQs2nNJyV3U
OgFZp0fYuMSZ8sERVPgkt2sFiun/knaey3FjSZu+oUUEvPkLoByLXhJJ6Q9CoiR473H1+4C73w4L
VVEIzU709MxE93TWwXF5Ml8DDLvx4Kf9RWwpYSZgxOU3vinXFHMSDuU9mXoSO4goioek99IvkVT3
P5Qs9DObQmlNao9SkvIYhF5R74H9ZTeYRuj7Ae5na2vJkLOiRSF9HgFC0OyMyuiPKHvTd7nWaKGI
VhRWe8qX47dyEhvxLqA/yLdQ08JDmKRF6Ad9GeWPwjbceaLqVa7SRFVjZ0KcPPu+SRGiKQrpuW/4
XKlVCxPYAoTntuifKryNmkR2/FAxv6WTh74F0lJGuamjEEwcnDH04yJlyg6eNYuJpK1RCFvSCpSt
EjqI+yzxp+TriPeATfWyv5VJ7mBHxBxy25x77QhMECGGZEqzR80k0xk9STGpxErIuTG1HsnLPHFb
VI7y7IGyp+n/6KZSZqNU2twFo8Pg+mnn37VhLWRuKw6q8iIPnbC1fOR2Z8V4jfxDnlSq0GbJ6rWE
kjelMEmuwSkpOHWty3ZAw3dKmg6dj2LHeRE/eoMRhzex38TPQZvRtWcqjujFT99oxvv1fYgqPAo9
aErs6Y76XwsUeXdy30b3PtQaikNwP4CekKxHWyOD+GbzxmdfTHyw1hFIod1hEsrBHoegekdtEjVI
pBK7H1qkcWh5iPM91nljDW5MIyxxKITnG5NeRfbcEvUZ0an06HGM3fOO0R/aZqiepHAMIyTeMvoY
XVpvLU/g0WI2cedMLZq6JPaJukXUTjU2gayl+zRQrQhEgJY/02GjDlzyz0IKR1O9AzxYtNUaHcJl
X3bAIROkC/xtpZmzaBGFhtQO4YLJQDTa/FGJVPluyIRAOQLFy4eDomN04piVmD8KaPvR+OnYKuAA
Qh4cZfXgV6rG3uizXUSSc5Q84NdeFfdfqgbcpd0iRXgLL3qqN6j/oL+vGWRZ28ICE2rD3+oOFLLl
F530+1WQ0RpyPE2hDaGW0s82h5FHrSzx8seBEsBGRVvWJE8b1ZseBWTrNRnE6jbTpgEt3cBU+x2u
LrQ9KmRaSttoI9piYhI/RF1reltyBQkx8z6rdScHOpQ90ZUIxi/gDJLqjdynQmsmLYO9VgXx3xqm
pbBLLVRjHqsiE+W9mZr+L7GDLm9Xam6CNKfTq9nQ3AbK9SB1njkAYsBNYs7NMZOWqqmRvxlSO9BH
7PMN31r8Dgaw4PzTuPlkl4cM+T53ds8bdtKoRtBWRejJTbvIo19U0/a1ctHcKEMj6E7ZcPPHVPxu
o1BWb2ORQ8RJQdB9UwpffYEqYLgxqja/0Ueyqn2lDkVNJyI3Ix6LEiUqfvEQHEdo+a8WiEB9G1p6
JW56sHm+EwPJLl4slId/++Mkx4esRwXtDhhjBXc+iVFM1YpcukPMm5xGMvvxrcnU6BcYBQW1725W
jEb7/kcA+KlxlLJIKxr+vvk7oI9hcbjTiaGW2hulIwC+5tASKhpGQZQi+Iqv0EYCr9HbljEW0z6O
TOuJWibwEBnh6y8dIlHFfewBkmADQnWzRxU9yIdUDaabQOqGd5Eb9Y+Sl8HodLHMiZNDeGGFR+bw
JqPZ8WUsBSmhER+G3n7Oywy6h9SYthS29dHu5UyKEFxV0NT1UlMS3VC2mjeU6rxjNARxdchRCDVo
FqHAZkeYJsBMSuX5jPY7igdp41PxL1RIuI6sKlq8mSaPInjsC/WL0g7qryAjv3eUJPC4RrhUmxsk
QXP9QHt9eGpiZI52/6sZpqzNSJRmyxgld41GEr6qtUqZO6AU/Ry3mbmT9Da6HVHO/ilHTUkxVhS/
X8flnuOMUb6BKjSzHQ3AxgsMad5LXR20o2LL9fMYgmlgyyKTvkKsvIDIpSuJUAJ2TDDg1AV/RSwi
TxibiIa9DLlDeA6twLbye3q7hfp4fUCnWPwPPK41c3sB46MXgxbCKSgW4FaR1OhQ2xM1Q+Sgv8a5
93Q9xIVvZhmIL1iGwnhgLp6GYO8IQxsTQimeCuNrNm2o5l8PcQ40N2eK2qw/o8GC+FBF+IwqDpDE
p2yt0qTu3VIgr453iIIyKGUFR2zyY09BxKaIWRL3ODYTkvbBi/oUKSuhsXlhDtxkrq5S1etDkcfB
Xh/eU/MmtFZxy/NcLwOiIQOLyQRujjjr6dfLiymuRH9UETWcnI7aoSjdZNUutO6i8M73Nx2N3zVV
mPMZm/HRkG1lzYRgvgS5yz4tTQvQnJ13z3Le7rus2Srt5vqcfeDKT0dmiZTCgWNDEoDZuOA1DoaQ
92VI9ly4vVNv9F3nDq5gC7ZkhxuYlK7nWg5lR4fmrNNsBqd3EVm1SQltfHpc+hAbw9XcdoVKcL4j
+FnY0UizUQsyO4vlWphJG1Y6P0uyHob2pTFvV8Z9jkMnAF9WliX4PXAjTmdUSHyK1KbV2+VmHnfn
dq7syA6lIJvU9P+NG+03p3YHB+iM+39GDQjT8V3PoZTqFCs76EPW4mQ2ZlQ+5B+Uj1Db+GAXfQbm
S32ReGYqoV42HhDYR5ulQmq4dvQv9Va69/ZCetTtlhn4Fthffq99dPlsBy/Cz/vu077q0BnNvYjw
AsKzYBeeTMPJDj8ecgf6GgVVNGQP3rbYvwNtsTO7sO9H+29vR86aAMFCvYITkX3NQQVzBSaUzkl/
+ktqqu7GUOm6rdaI60motuSvkaY71QgoQFZBks/q291PuX6pKadQkT6g2fhPLiwfPwJyFAtw1mSC
QLikFyEAKAcIz/OC1h7yAEcGsXkeka5zIPc/ymXk0opa8cBacOz/b1DUeXRJnDn9+mJD6ujRJHUg
0VqJrPuqfC160sda7Z9qIb8dMSehi3xPQ5fKtlaBm1Wbx8FUnFqJb7Ny2iP5f1f4w/P17XJpPjiJ
FHj1SM3RVVvQU6p6pOsJTcz2ml95oR5FknYtUku7y+9M/Bf8wbSFrP1mycmDoM2dJeUXCigrJJmz
cx9aEQQjKjz4I6IntJgQQ6bb6w+gsdH6c1pNcC0rQZzed6mM7WMKd+DJ3q+P/CwLWIRcbAm5GsF/
ZISsWPgaFTKsSHqatW3V7/NghZhzduotgi3mftB8sPM9wTrgVeR5NMIN3p/XR3R2rxCEnWVoMiZr
0OcXRyv42jFqMRoEW6PN0tO7Iga0naxJ7Z2fJbOgGTRIzm9chvTFDvYNoWmEBvqtr5mPYyb+xQGU
Ylpaf5smI3/51zFZiN4B7yQQUgCzi+jng6tIlVJoNCSVhRB8Kjm2r3QvrOKVPO18/REGpzgsrhQk
ppYSkzm+DchfWJ5tSC9NtE3BWmQgTEC7t294vqzcgedLj/wTMj5Na4O0bXkHwh+HFAyT3MYJCiXv
sD10XreJh/QptqZNl00r8S7MGDkVZGaOHv5zubvC0KQ0jFS5rea/Ol26T4bmORsTW8384/XpOovE
MceaYFBIMepQp0+nS5h7m1mkGzjMGU/8nfne7yr6tpFiukEjrtyq8645uVS55NEEmvNSSLtQIE+j
idVQoZgzv4tbp1a/SNrfHoZRJtIzNjZp95Z1/eb6+M622BxRNVgiFpe4ttxieDuksY+Qj53jUKRh
htRqfzyExP85Cq8SjfXOVoYLuRgXdclRBhmPM81wP6D3XXkUcVauwAszRQyTufqg8C9Vm2h/Fqbq
G+Tywq1J1UetbozkdWxX9u9CPpLlQJarkvTQf0N3SNcWj62uUUYU4rCvASgm3SoimKnSwB0oGZTo
OLbaX3Q7G9DhFCexWdjHI3S+qm+KjRx5w8rqPNt3sxqdTnHdpDZM/jmf0p+yoL4ukWBE4xDfCWo2
BgDznZmqylf0XpIDNRMqVyrittcnk/11vkxh7800ZrDYrNPFFYsDRd0pJXRI13WPrnvnHu/4b9v5
j+3W3h4Ots1/3G23W/6bfbB3jX3Y7eznHX/6n3/pMC1+2c/2jr984D+f+fv4ezfzX+dPzvyHw7/c
+U+OY7vO05O754/jnlju/Cf+7fDH/LfMf+v8P9zfx5enl+PvY+EW/K/jkT9+H+f/C7/zuLJbz1cc
komw6PHEhJFEUef066stdVAahWBWGsuOq3dZnLZefOvpX69/8PNZVlQFKUQNli+Y3CVZ2R+1cqoa
LIRyVl1XdDDwtGMKcAnbqcL6ez3YpUGxSVVRR4CTuItBpUrXh5JFMS1OikdI0ge4xQBo+9tOFvbX
Q50vo1nvTZdFBqbDWp/H/Wn1IhwfdZOPDUOaxG7uvdQldls1LSa53mTNOz316/HOzzrEvJktHYNa
YItLLvFsG1woERZwE+KpRxEhJJeme34zCGm3cqyeH+SEQlcTVSfSFhLB06GFNV4OWo1bSYQHx0Gi
cm6H3YjX16jnwHkwRbnxjbE7Aix5McCVrJy3874/vUdmJdkPPQBDVs9WzNCNMRif1uDdYdFfhA26
Zna9UK+cj8HTEPM6+jR5hWS2hkSrnqaZlO3zThhdbczbQwV60ilHoAuKlP2Oha50+ix5ULBG+tck
YP4FqCpRIpLJAj6eiJ9+QZrgKad2/AKJBouTdhLmSEjGZuNbYpT/vtXhoGoKnqFcYfKSCw7efqQI
TrqLvZUrCTeidZfippTV/59x5NOvWgkdVGDcLrlcQLBKd5hXYc9iOmWyclteWiGWhLiQxSNlrh2e
Biq9JPZbCSBDmUtPZeG/R8aaBtuF7Qaflfte4lmMaez81z/NT48ZuRcmPA8rUJ12rXSOhucQ5nbl
ymqX5gR9sdxPIi3WIn58gRnkfLVWhdgWPk4svOBPI6jAgVMH6XGYsj9rMNy6sBb6whlG6Fk/mOIu
/2UxyKiF7A4qjYe39DX0H2icq+K+rB97eSfSllbD27y7EYddAf+zeg6qW7AyrbXVUHHOf14/3j5q
ieef4T+/ZfEZ1KgJvXBePPyWMd8hqZ+LPzwEQbDshN2ra7tw+JJ4Ry/qgBdsdOxax5Xc4MKyIjXS
ZUCalKwwxj6dc6nTlRwPaMMuKlGiY1JwYQFBuj7QC1cUkn7cGMjbUHZZFjta0NYID9ADgVn2V861
LUD4PxBSN6Ue/HuoWSQHqTFKqjpP+tPxlH5fqhiK6Dbt1dcuHJ+KWjsCl3z34qJdiXW+X0iREW6j
gK9Rul32CoReLjGKm1exIuzK0nxXYhkyv/X9X78eYXgRokTHOQYq83RIYwfObkTazDaa7hZBSbAb
QPvzccMzfKVC9PGTT1fkfLQg3SMC8DBgY5/GslShLjGuMLnxRvFnHzb9C8RmwY2yJL1RsS/V4XAm
w8GXFaF/TZBZjLYKfkfVho6T+aoqzYDoZTpxgwl4bY0Ole3wYAi++pAwMd69VxX9n0QEpX4Lrweu
CZ4TdermqcYLoJlo0m3pTSd/Rw8moatPofaSKL35VJlKeMMyGhqS9L77ioMvJLFB0TPqeEWW7HBi
wpoWXk/1zdAn/2sdNhGEIkTiI5x3/nhG1BwgBA3RygVwvoFI5hULjAWykHNWf/rFZK3qai1CMTHL
vyvqMVpTnb70z+cxO6tOanPBcLFBC/xxVdzDTNA8+a8GrAMmfy//vMAQ8flPiMWkY97WwXshhAj1
ih61HeFaZLQujrQrO+YjQ1ysL1mcqym8XVFVXNprd1qQYeqW0sq2c/vH/6mHKw+gnW28m+1w120R
mXBT50+/hSmobLwv8NR3/REMvP1SuKL997fp+FvDHW/Wbr8LH5o+BaU/Zb76EDc+ncgJkkVk1LnJ
bq7BFiD8o6wN//wcnFsh/wmxOO+bqet7aIYmtGEBnbp48J0oF/v9hOrEps7F4ev1ib1wwdD5liUy
WxYn8oeLpAFjqCluzcyCWYDpklLcFJhOUgZELAV8ExpToKy+os3xrEaDg/k1lN3smMPiwu/HkeTo
6frvOX8X6TQhER2AzUDZaakbbVVTlISG4EEVU59VHDazukK7YLZtDN7Mac1w/Pyq/+jjydgf0OzR
xMXn1grE2csQGGRa/gpBiUTm7zKsnam8j6KDIa8kaOeDmytcJt002eDq+ci/P2VPvDcVwIF4eArm
tFcU7wmQii213Z1K4qlM3j8n04h8z3NLB49anrnYtKKOLIZUWyZ1LskO2o2m9FtjQslmTZ10ecsx
JvLOucpqcalSq1nsi8LSY1Gw0GeAVNfLT62xK+Ryc31lfOyuzwfDHEWTRR7NCOvOOuanUXTssINU
mYC5d+64Ue8CFwaimx3HLV6L7uRQvKNVhoua04PJ27k/bxxzs+IUc9YiW/6IxTcNqbNWqjgCXt1F
rTNspV/W0XPru/CQH6w70y5/x39uAUY/FK75fP0DLE+fZejF6SNNZlDFoKwdDUTGIEKX6/fXI3x8
wmufeLEdlLIyZ5QvttQJprG2+uNHtNW/v2s35gO9HVt/am7DH+lT/rW5xyQXt1OspDbeSs673CXL
cS5KCAYm5YyOH4F6fBk9RnC5lX2a3uboc1wfr7T2SReHH/DljMSXUDwCv5cYng128Sv9dtu9CH/N
vfoMBcdYKeJfDMkxMBeX5lxtMYtxNmSjOYq4xElkNpCaiuD9+qg+cuWzWfwUYjmLGPlmwkSIPHGl
B3x1011DU914+BoZ9jts47/619cKmQsH7+pd6faFDV+i3Ya/9Pv2GK29p+Zwy5/D6wEswVyV5iA6
3bdxHxkFRRpE6qUbub/JVFze/+ZaujKZ8rI+w6uUviU4AgQ1yYWXpg1agt9wKFqJg71Jvi3beNpn
HRcKSEtN910D3aq7UEyDe98Cl+5WeVre932SfAknEsckldMc4r8kRDAGW3WDOmzyRYYpcytHwzDa
sgq6Hw8fA658UVg7KS8BkNV9X9OZzyMh3OhhiHQJikTal8QSIuChtawforpG41JIJJCb1yf64oCx
eJm7kSaPjMWBSEkfgYuKASuxJm7GPvMcta6FQw8JwBbKZtzIcq9iYN72u6orzZXr5fzUnzWGqUVh
96SKQHtO5zU1+j6MCz91Qlkut40Bg9ocMQTLvCrbXh/pxVAgJgyI4bgrLDPcwYokOjYB/hhtB8dM
wvoSUtnsRDj860N0XkVkIKxUFHXJCxZ3WVQoQFKAQyH5UdRHRa/CJyu2zPdKydHZ6Ad95TyQ5bPt
QfME2ziRT0nTffnyHRDi7eui5NZysq/WQ77HqU5yWxTqbdCa8W2z8bbxrb8zXW2TbDiXXrPdGqLp
wvc9+Q2Lc1BCsQ3LYn5DF91q2ktgfEeDbmV/rsVYfFg40D5gS2JM2YPXPlTBNgq/XF8m52fryadU
FhXaapjqBvudDE86tP+lZD8ibPLvIcgVVSxNVErBS1iU0cORVD1CgPnfhrrx2AP7vR7iDO0wt9M+
x1ic3zCUErwUiVFuIPtFj+k381Y8yP5GurF2OMcXPPBWJufSl/sccrGX6xDLcAu2hpNA5rbS0O5+
rAzq/FY/HdRiifnAKnJhjlDdGl8CB191epPPKixyrHndGniX+WDcZI64Uq9YOLHRCl18zcW6Q906
xNKsyhzzCV4pGreO+V07yo+hYx6MDQSRrfUivXR3nqOtrJV5SKcXH0PmOYdOLLq31O5PD0hd65oG
0x2cd/OQuvLX6C2HnosTJbhYcfh1/QNfuAzmvovFNTAb8FmLYBwvSHKhsujk0gM6WTaCJK6IEpru
mh5+t3A51mT7L21oBkhLgjqQCbDzdHhthKJOkXcZUngopSAyGv1s65U75jx3IMKnGPO6/fRiwkZQ
oExLDIit4d+ufhV9NwrWNtx8LiwmyhDRfaJ9NNcfPzbkpyi11sz9YSQvvG/iTfFFn5eFvOVVSJq/
0t29ME0noRYDClDBGxAAxFkKOMrsUht80avRwTpc0o+VhiHhSvX2whdka2n8C/EBkNmL7CvROguR
OjRciuKhpGwbw8rtxp1a/Jufzsc+Q3hZm0XIMR6VxcU+82VUnrO4QyzGA38ezoLP4X1g9JtaLZ+v
r/ULp9XnUMt3tFcgII0gY+qMeglLI3sY2+L79RAXFjcrAgdBqrf0U5ZP2lJFQtcrCNF3vpt6ymMM
ky6Ix931MJfOejzSQJHThgJ8PQu6f17gbWgJvY80njP123Z6RqVQiF58+aCpCClGZHHHCdBrdF8k
j2Xy9XrwDxPQxbqnkstcaaKkKeTmp8F1MEtx4KlIFT/1I9W24dY8bFBd2dHRQTNwaz0JPGt7ZHft
b8JurTxxaRZNENszBOejBHUaXRQEowtjmjlSCscUm7c0/C/Sxhlthr4+9Wpw9KcRkGHJPZ2XhhMW
L1p+M8mQWlYuzgtPSNg4s8UZJRBRR6n9NIZKC1hPJZ2nKk2E3qXIu+3s4Sm8m55wXi6F7U95X+5X
Ju7SpgY0AM8Rb0aAZIugU6HljVYyMGQU7Pbmrd4groQ+cjtPVWo/gCbeWffFXgG0W40byKxO7Bia
7VMYXfsxly5YirX/+THy6RdAuKyCP8CP0ZCuAS/c2R4QZSS2HqMtr0vxzXgOHZ9HUujc/175EPM/
+2wFf4q9vIPMLJTijNjdW/x3vHElf1Pa6mP7/d38Pe2GPXJA+/4WqFf0ZOzy3JbWQdOXTorPw5+X
+afLoy3VqKjmuYDm/kV562xMaO+0HYvOGTbC3ZP8VKyUEc/69KQ0FPRmWCNLG9DSYt+2XPa9X+WJ
IzW7MXDGTX1HGeyhrjfx47AS7MLw5ke7OfewgMuZiy88+nFeTVXBQRjvxVSwp2kf4nF/fR4vHAV0
4GeTR+xqqBAsgphaXkLXllhCo+S08QaI5UqEszo334y+IjbSbFRq98umrudlAaqaRurU9/UueFWh
DtzKrS1+eYzfgg3uE9QnVk3BL2SAJ0HnffxpbchCkGZmSlBA/jt/L6HH4FT7+nvxatzJe/kBIjEK
lXfpUeL0W8k0LpQqGTFnO6UBFUDOEnhoWNNQQNbCqdP1duVddDBvfDT3f8mPpIVP2Uvoaofwe/wa
fol2zcr1eeGAAiKj4D4KWJrQi5dYWkpwlL2A3DC784L7sLwzrL+9vHIOXlg2OtcmlquwNeh+Lo5B
Mw6zJs5ins7li6S+6WuAigtrn1oD3WhqdXSml2WHrG6RmlezzCngEfWxK2dgXlbys3mvLk4w3gcz
GAy4ssJduFgiiaei3TE/9qSdlH7tzV1uvKr6QdSePS2BPV2t3FhngwI6RBhkCEHUs6MXGQf8LnEi
NUucEGUXPLmLWQk8XMlr1oLMG+PTwi8LCfGNgSCa10Adz20FzeC16TmbfkaCSSRmWhTB5uLfaRBR
ohozDLP3oEzCoiCBu2bjfbaMPyIQAykPxF2XpcumLRCikhOUZkoLkRTXtJ6lxHLEX9ePvwtfi3MP
yJMG8wTQ5/zXP30tD20Xsmf8GutyVs4f7H589f85GaK7BaCbLIVZJ+1afC2hzgOtMroEERflSUFk
WMukneyvvPMvDeVzlEUyMML+byNvjqLEB5BXOwn9TsWo/319sWnmZjfPXQqQi13TDZQj9WmYLUKx
OxiUO8OY9VXa/yKMRmUMN1I+GRWf04kZJ0HWKw3P+rpSbI5xo1Rs1KKvz/7ZJcHEgLxl7wPOBMO4
vCTyMqOWqSNkpGlbdAw2+TTuegRm6iR6HoTeDVYZjGeHziLk4gyIzAIJygb7yBQle8x4wuKn7+GZ
iWKQmmxVtPjDldto/ieeHHPUyijdcvkqEiz2ZSpuTLleaA1tJdOEvzSDKPtio8XFTp/M585LV26G
M/iYPMfjnuc5DyGDN/3pzAWe0nrYoCAp4JW7NtkUOto9uxwrQ+NbHL9I0lMQvFn+Snvw0iiBBoC0
pXwMAnYRlbukD9OKEpNS3WAIksN9r8NjPViwKFfqWheOphnfz+UERhys+HLVZHEygfNj1cjiIVW8
2zaJW96Lf1urebq+QC+FgnICJANdCqDhi9WiZnnda7PZqKZ3Iqa1BZbxaGLdFnUp2A3one31eBfO
EKyjMZ5ERQAPgeUN1csIC3syG6KS9Q0oUeQo6cmsPT8vzRWrhLudJyjI2kXOaVnxyOqhe5JL8awM
4IMhTrKnUIKlnGf5dsyyt+vjuhxRmcdGLYZW1emaLI1ZvqA05wa29gdhlh1iOvbkV7UdmfG21td4
w2vx5vvz07VSD3WTGwHxijT8KwYN8mDDzQBPrRZKxDzXWJMXpw32wP8Mb3GLjWTXZRLzQVG93BbC
V5zBtnm4uf4NLwYh5wNNBQKb0+R0TBnmBwhvMIYhlg+l8tTg/a5L8cpr4eKK/xRl8eVwCKriaAY0
DPhn4KXw1jblnTK9+2G10v65NB7aTByK3C8mXafT8SjTiM9GNHISd89Jbzk+elfB2uF74YahJjcD
A7le6DQtjiUklMfKE3i1RSh7BeKrGL569JYyr34qw5+psXJeXAwHucpUgJhAJlmMCa0XUVSL+dac
ihsjvk2U31VfbvQ/Re8fOuXL9RVxIQuE5we00iKx4SsuBleJfSvWHRlHbFnvQoIcSBauvIEvLQfS
M4VCN2ka3JvTSWITgbusOWt5vB6wn3HbfvxBJRdhIm3lnry0Hsif4IQYc7NzWcYPpVIaM7TUnMjY
QwW0E3Ffy8nKE+C8aMXt+DnKPOBPJ4Ouhmlm4c4CzkNNfwuTpt94qGA+Ips1fpOE2Y9R1Qvkl5E2
D/ERPUYFHUIbUxgLz6y++4Lxi9x3h3+fST6xxYtVNTB8XnzmNimmLAnQdZQs71EJi8eh/HY9wsWJ
RIBC4QCBILeEMss+YitjNUcIS4SPcEGUIhCiUjnLsWrezybo1kj1l0JSblDJeShusIROP7XXgPOq
NQ7hMEnfevEVVe+ngi6iQ3F5e310l9YOzRiKI9xmqG0szkaj7DLPjwgVl2DRC039azXpDUXuNZbG
pS1Hi5zvZ9CwhsF0OqYQS618GpCFBnHxPS9RJlHGVZfAs6bMYo0ugmDYpXmBzk4Qyr2H1A9C2frk
+BpGe5Gbl4qjBrt6LSm4dHSBUyHvgOmjyh9p5aeNIaFYZUwaWJWiag6hrhymsL31kmE/ci5j5XET
q5V7fdbWQi4WSJfro5fNcogV3j6IotmD+d54buJ7G3B0WfhfHM48lpH2mF/MVMZP564bx071BQ7n
Jgt3rSG+ZWJxkxe01YA7NmPoCqmxuT7CS1sAmiigWfJ+aJaLEzoop0GLLPLHDzXCSdyOaXZUc0rl
prZSTbmY93N4zJcBAfn36fAQMo+1HOV2B/FuW4l7WyVXMPxtFL9DLhCU+9L7Yshb1Vg5Ui/tPSqX
JOOSCmhkCT5CuFucYnUGOdWQl7L0sWrirdeGK2HmRb98Rn0KIy/qaig2o0g8r0+sADd+8yJQdy7z
bYAHSxetXEWXpg2IP/M1685oyze2rwlSJCdzgoydll175m+rBPUtNEOACm+8u75Izova7PfPB+Vi
lfgWDk7JLH+qt8p9WD3npoGdeN7vEs3fylPyfcBSqUIOSw/+i+td05ChsZD6EPkNp2smagcQ1w3H
WWYgdTX7DkYRV71sp/rK+/DiIGeWrTr3pPQz9QMzx7OtnwAyoW1pSjejnvTtHZKUsmiram+hqd5F
tWnrvRwjIqwFzxiHtkezrYKVOs355M4Ie+rC8MMRMlqmNECBkbkkC3Co3256dKK93PUbDdXk5+vz
er5iCQSDmz7c/M5aBoJ6qrWKRX3Tq28z/ceQ+nYCgxrFUqSaroc634OnoeYxfzq8NckqlEEllDRW
dm1tULNworUUYi3I4lrqNK0upRkAlHobv/5lCZ0dayuJ0KUYIDg4SKiX4FO7OMRCs6tEFMwwBSpw
pkk6rL+SrSKsFUkuhAF/yiVgUkWYabun3wtvYc0rJJEifW38BBW3Mzy2nF+s6S2sxDEWh5YicMT1
CGg6Op5uAeKZtYDonyatnCAXw+ApPJ+/3DRLGTPB6kaoSTpfbfQ6RzThaVj6bCjRev++jSWgIriu
UVxRefAuFoFfVuzhBOO3EMp7am4QKoqjOzMPXbP6oRfB1pRKZ1oD0p5nCnOTg5ccRVzw70uFDD1E
DtBDXswxE2y5qupFLrjYRDrzmFvYmhA7KfK11/fUhXNiZlXDDplxTOZyjXSKj2PmFCJ/jRNvp/xK
8HaYSE9Grd9ejzSvttOr7YO//T+RlqsEQTW/HgYiNeY3eLvcOviDaJtp+KHJ3OabVbrsWsDFhYOj
+mwQR8CgRg+zJye4j/qtLr+GhokN7puhO9dHePFbyjOJHC7G+YXaGmqLVWScOxIA/jF4QjzWFT0b
k8frcS6tE2Bg/zcORfbTfV3lhVh4OgOLJIWa7qtqTY4XOYL2llqvJjbb18OdDQt2CYvD4Ayh0cdh
chpODFmzZh6VzmCmr2bRdHs5NKuN0evaUxV44r9u8zkcKZ4sUpGcKYin4QK/C83Swk5LjCaYWGWM
u5wko2XZoMv17yPjXKTxhxTcbBt+GipM/M4KxKp0JKXYzUKfWdcdhtDAS6lembOzJxWjmmeM/jRt
QOomp6Havje6uiaUGTUc98MuMNagq2fnIyG4U4CKU1fl0bZY714giCUKnqWDz7Fkd37928Cy1pUn
48/1z3ae5RAJ3SW+GeWSmRh0OphSQ0+1oOTjTCD3VLE9dujEW52HWruxE5vqPpbLGykuthJJ5Urs
eRQnxwix6TTMsjHUKKjhncaWMBhBDmIqHVxRNhh5bPImOUj4HehlddfrwcHClSMVFDdNtV02Bmtk
z3lNnMWXaORApqNovmwZVfiNKqUilk7mzx56Bd08pe/u/aEKNmo0yzYYrbS5PuhLM8vC+Z+YS/ma
VuhYlB1XThC4Vmv8EPUYyw/Z/y82+kw3kE3Kr5Q05nPnU36V0jwUDAzXMRu2dmI/vJeSttemag8p
Y+UyOH/HMY2UKtFehCwn0qY+jYV+caLyEMc0D3uYDHqi2qmuj4e4FNKnQgXNbEuEgF8QOkIR099d
/6BnV8Mi+mKkJubqvl8SvW4xSEzTHFUqLMp7FGxvg1CAs9wpDyM4RJxfEcO9Hvzi9qHVgngTtESe
X4uNGiYo3VnIDtOpjR51LcLyqhrQuS5/SqN8E3nKro3j2zawfJtj418fBvPQSW1QiqFWLC1hnJlZ
jVjdUDKCQn7X18Nz4U+4+4pv5bTGWr+0bD+F+vgOn9bTOBZmnHGYOyrK+W6O1jdi1Hrg6JXqrXzT
S8crKlJwitHggkS4WE7y2JiKXxMKWayNUhbfe1V7vz5t5+Q5vhx6AlRWOF1l6PinSzZtsE9Ho6Vw
LPNQIo0IdHP83cb7JFHsrH4LGv2o+9/G4uANX0rpd2RhJpfcCcU2nfZGtlNHR5s2hb/Tim2vHK7/
uPM7GmSBZs60KGhn0FpOf1uNtp+ad2HhSKUrS5PdArkc5ffIWnntXYxDnxowJF0NbujTOIPVKR0m
eAXUM8/WRkB/fYvv4o2a/XMyBSADvjsSvPTlQYwtzvlAKCqvD3HoGydS/OnZUN9GHGvTn9c/3PnC
QRUHajBNXRh7JFWnA7IGTcXsIMYIsE/QGMddxvE8NKqvR7n02dgJQOxmfIa87HjWrYB5bNAUTlcM
yREfY+Eup/npyn3wgktqvVLwON948OpnZbgZBwR+fjFLkicipe2VhVOhWTg07U5rDUgKxsopeunb
zRRuikfKDJBdfLsAM5g4yerCGYx96v2Wk7frX+0sz2UJoMDMc0hDAYVm/+ncgF2esbddAZbeVWbB
StR7giP6IjZWcGr753q0y6P5T7T5r386rSTJC7GAI1rY8yoR/Vs9MdzrIc6vHQZEVQZ8DsCms4pb
aeGkPuFb6oiUwOZWlpR/t4ZnQ36RJ+yatfZXSOVh5Va/HvTstYA7C2a7TV+gKruvW+zkdqPoCEO6
C/XQaalgFv9MF4csoNDbgibAowEy9+mXRDM/sroBpiAAAlgCGHCKbqyuLL5zwCe7FUY6Co/qLCyz
1PD1hj4f/ZZ0N8FdVc8HxzAFh5zMkcfoFRndr13+oqGxEHtPaAC9j2JxROq2shS3XG+4yQzpNCs8
/THzX/+0eOo+8Exvzr0tMPUTx3yz8f3QxVHQtBsYfW1+7OJyY004Avd30E1XjrELO57GpUFlBIUQ
YOqLrSIPkRpE+VBSITC/8l7z8VLsaieuk7XMbb5JFyOl0ofSiYKgPHSkxdmSF/jSCyoW0DnG7U4n
NCygSXwsDf9dw2UjLmNjpU59zqCc++YI7AAvojZOWfP042IEm5m90VROdiv/mGzTDTf/m7Mr7W0c
V7a/SID25SslWV5jO3v6i9CddGvfRW2//h3lvnfbpvVMzGAQYAbBpFRksVis5ZzPj9hpASEOMoEV
gGdI7tL1Sw9IkTMPTei2/R3SgX6ArmW8qeai6rV01RTAwNjTGmPHpKlJ8JCfJojFtGZwAPP0qwLO
dS98yJ7XCRF4YfKCXaGFBb1uwP2BJ2Tv2wCsg4JSNLUtH8o9eFu35iax34r3YoPqg3vfO92gZM5Y
8Cir4MTK89OOnTceFJ+qUYt1Fp4AkbG27MwDF9pmcjF0to45dxRXGuNvw9QIJt2Caugc2AZbtEUc
UyeKiH78UHc579m2EHRfK8cYkWGlFZjvoNx4roEfRDBYRIzUMTwQxXNu+9uhH2Yh53DgwhvoUoyj
SiGr31L317BLPPpevetEhIEMR17st+QJr/aNsVBQ16BNY1atfafu+NPYdaTbAiYDXL4keGq9+uXM
az7/LkQxbuBKJvOCylXF7KUCMs1ztg4dwIU7mHLbW2SlZKRyWlddDd5H6Iqr3Hvl2OnszG5kz4NF
uE2BAq0yzq7H8H0z1pAtfVpfyc+Vf5CBIE9XuFinbbHhbueCy8Pk1l95jKVqERWBHAZ56gHv+yPo
MYFI375XduBNAZGPvdPa6cG0c+++ogs395VcxmTbHjSqGPOvbWqXKzMmvx41TwRYHs9cl/VTgA0k
AYv+xsOlklyGktXBw21lj/7ODgqQVsBnY88AEt3PaPMz3IIWkwfocNulMh8TJEr/Ty5jQ1augHAp
7mu7fk9+IqURYGSj/lW7EgZr8pS8nHkMBPNG3RgO2snBd4H2kJs5UK0FQ6s8G04vTBgaEndtzkOx
URY99oUMxlg6kE7reYTrYrRV29o37lHajPbx8d13/NXgABPkQd4copffqMl9oPeXBCsv3EWO+mA9
v/xjCId5hVGaQ7sIngMYKLp2RH2kgSxdBpCVVDyX42OaY1KYYz0LTxuk+xDtoWPPQBjGiJg0MwFD
nwYwDHVwhpxI8jwhegg63lW4KEieAQrx9MbbhjkNQhFLRZKrtQ3g0HEbrScif6hEOwM/sOgJgCL3
IjGc6URFjoaLVwdCTDyvUXUCZQQjOVQrWjUj5quHVWeuy1OAsMPVj4IH6tH7J35RxwtJ8+8vLg6g
l0RSNkBS5YIfu7DB8G5xtFkUgUYlJBPRsKSzo1ggye2CPsV+Vd1LKIKBV1lX0cbkRS6LYuYeJWuG
CkZx6VqTOkeiuhtheYGw1/NHuVpPkT3m6/vrtXgNIY2F04w+cMxwMAuWADm78Q0dV98nGKkA85N4
hhsQfWPuw5SA5Xcbkgdw3Kz9g7HhwX3N+866E7w7ACCKUWIULRjTt8awHCoDFmmY9DTq5pq2YPrq
Vc6OLSv5Vw4Le5FNUlbRAXLGrQzCQsUuZSLYkgcf+QiKNHfSwI/lQktg1oEtxQIuDECSCWep58D+
VltUkZHAkBGTMjtK8whgzAUMRz80P83HAI+ufeSazvhprOp1+FOZiPKjdoNncY32qk8wRHechVi0
Kbw45Bml2QRvyrVNJYEK1vsRX5BNm344G+Bz1jXXBNnpfVV5chgXPmaVOc7DNLafKauQNgQW9kLj
LCeg8LwvaumKR0rgvyoxrgXj0UpsUogCMeZBl/xVr4EfsypsWepea/0zrctVKXEeVIvx6aVU5tSA
ylCZuhpSJ7Cb1qDhlX+PEqkqvBcLYqibInRRw2hb2TbBsNu493VeuIUNmBF6NOc+LotNf9eI+fMY
IEK2boDAD/NjAFi6L2FhA4F0CLYhdOEj48Y2SmYoO+HdJODBKKGVSSeT8RHPMFDOfTFL64j0FzqK
5osBvZ/M7pVyICkSODttoAZLq/Kogr5IO4hfrdu5pR0eZB4H2tJVdCWR2TlDHqnVgFoWnFJg87Pl
U3+yMCGONVzXPNCgpX261I55VnRyQsFXClkRptYAEN4jmXh/ARcc6JU2TAAod83UZgEklNZGazAM
2ThgWL8vY6HShErdxSYxXjorBx30HGFji55+Dh3qxo6Qur3zNHrGF0fWTU/rN78Cmm5mCFHYBeOh
QD+TinUBRi3pE7uCYeqM4CIaSO3ph+mDI0y+dciI6oDvAFEYKmQroUOEkcJASxsbWABH0Z12/gpo
czWJf8Yk5sPBLJrDhTjG9CpAvPValjd22ilOE3e2ZPK2at5v5oq50oixuMRX80mRswZzeE5/Vr2w
IPGqRr8lwLGoRVpXOc9PkpIU++iP9sxZT56CjDWiIavSpxzSqV3MqaWHX91KtP2T6YhPxVdth7/v
C1x4dl1pyxgmCBPFoSqxoL11ioD8lRNZAUG5T3KFM0u2JAldgGirAO4ZwIpmzS/CSmUY4O0BsmqP
2a5uUTVHCvQLzUytz4nHbmfScQAuJTEeURbkCjOVkKQfgDPYb3VPc4+no1iScj2QwEvJViYimIFB
zs1xJosH/VI2Y6BTXRtya0F2cQY8ErFs/5h4nfsHlAo8TIwlQ70UxRhqlQRy2odlY6s/8n14bNfC
QTg3nMXk7Rpjjy3NgGRdQB8Lt1gvkSxDZdNpWqcHE/V9U7xFivneN7SeYcIFz0W2E6Y1WhlAG9Ws
0LQCqEaAXJVKEnfY1OuPcFW8Wwf5OXwcdzGSBMmvZOSEdks5LBjO3w9glA0r4ABbPT7ABPZ9UL9X
xQOA/8fiUxudHBAH/aeqfk7NAyrHiobuT/mVmrxFWN7Vv9/AHMg6m+hgifMiAExhPOuetDO9YYdZ
/a9s05HaDVeAfgFcn7StSbRC874desPRIq/GRnfv78iSM7pYD53p8aqymorjiG+ZLPAr62e1ON4X
8J23Zp0tcHkMUJrheQYawmunkNRRNUVi3dgd0hIIYbyM0IcQMcyM/eyp68ih6+kkeryzs5T4NS4F
M1udCxggbgYIBtTttBHx1hXtCce1mn18VJLQu6/pUjR4KY/ZVkEs8qTOIK+VZAJcFbv2iSzVeFpz
9mz+Q3dWlO1wNIWxoYmJPRNH25Dsxt+p0XYukKM4rqkrhQcEu5RAu1xJts6LFq8YlJrQ7EewRant
N24QnNrJRtALnHRKTJ6f4Gk4hyQXF0lRCFIX6NCQxuu8dGoVdZ9VptmSQMrsDwif7+/cfFvcW1Am
nAIqT6Jp7WwplIC3bah/Be3pvojFiPrCOgzmbtSGKqOaBBnxXrRBEvAMhK4fMdEflH9RFr3aLeZu
bFqlUVsJi9dSWxteM1Dg8SiMbug9Z4KvS22YOzDV1Tb4z4qtwg1QGLe5k3noI2phEcmmWdWkX8tv
6uP9RfzO5txuFEbTQEIFXl22RVTDXHCrG1DNetK3xk55s5A9bsipQy5GJeKqtN/gOe0UqV1xLTrS
x79IN0Hvvx/A7GJfgYAij7CLkkTkak8DN1S8IeYc8EWnjBIgktYzvgpLRjWPWwsTcoH2EIsETxdi
8UYcFp+UcMhIpQLVAOgkjMmH1pCK1IQiuoe6mB1/hQAEfYhOgpO6YEHYBM79rVuOmi4EMitHYzP2
QwsCNQQYZOzJ24dMmqdxXax5WGrLZnIhiz0BFVJ5tQ9ZhSv6ru5SNyGiPRB106JiTwAVGpKTf/os
HwO3RfEq2StgD+E4lYVNBAEykBJRBwC41ne27cKHJUntp5U8VraO4jVB2dXp0LXNiWcWQglwyINC
BcigyESwyTLVSKY2tlSUiKraEXSvTt7Rijt1GSnpMeQBRS+phI4sFORNdOTetBdVqapPdYjuNz0V
pye9rV5GbCmnYLvgjNHC9FcIc23TtsuLAixddh/VBMTa21ZX8VzR1/cNcmHlLBEp47mLeW4vZm7r
KvYBBd2FuKWR7FtVndHZVWKBeDAvjlVtmY++WlXPUVppHMELdxsa2mY6Zpw+4EIyxtl2oU9NIavt
SNwEpkutU40IMD5UyY+mtZPkfF/Phej+ShzjqdUA6hsqxNUjDoLoJkLpxlWNFJwjYSfvC1swEIyU
6OgHw9Q5mnIY3QLVKmk2V/imatNliZ2mvJHzhSDrSgKjjpGmWhm2A9QpJcxHJnYTP6rZoWgG574q
S+t2qQoTtoY93GYSQ5Aunpu+IHlQulO1k4qMtOm/yARfacXYfAno1gHsLKjATkJ1zMJkcKlQBedy
ss5i3soc3RaOGA7Y3HltfFdGGdsfM6qC5gniOuucZ5s6+uLm0JeWD8lXeAlguaI1i1m+rgLB7yhP
qPUWp0gjPV0D9ywbnzreXOBSKGJdSmLWbvBDKZ1KSBo938v+TKt292tC3cJwAQv9FJxKTw2QGLtv
HUve41Ios4K+7Buz70VbQrzO4J7Ek9E5KnXG8DHsOC+opUP1VxZycNfBsEm7OA8LyGqHp6jfmrxS
8tKbGD3icxSA5lTgJTCtVmDZnHzwX+LUHgvTFt3s0Hugy5qnOHXcjT1ifMtBjF9x6gNLZngpl4ny
R/BzIGcKuVFQY5zhLfZTRxQ4QpYCD2iHyjR6YYDVwE6e9S3mxpEfg8cIHH9wAMnvBDppxFe5fW9T
1xz2eXmeeFSpy7r9Vyr7RsumpJObWTez+CpT7U2uZddseEhAPCnMzvVFapVZD93w3PSSEkF4WmwV
k8dXtWTtwC+ee9LRkY6BnGsL9K28awIVyhjinyJd99njVCSkq2f8+IYHYrf02sRE5F9pjIuXQ1Vq
kwjSMEGi/wiTfjTIIOfp14ADd2qlQLO1vCn2QB4bN5gMalxRSAGSmnbNJowz3enr1nTbpPy6f+aX
6qPoyzdBVQeoJ8xsMqsdFUo+ZvqIc5LIbte+UTy5aSg7cWyt+upTNixSdSDzKTHoJXaHVhlV0lfI
c9GPyTylYb0RJHWLWtFRE32ntHiIjIuu8PIDmQM11AWgvgBMgqzosIpPPaBCwf3lqa3tr9WnbJNv
Q/gqDy3A91dmyUNdymUeE31oyJUfo52gSN5a9ZDxUjlL9nf592f5F6F0AeChRFXhAWU4CgWdgm3n
GOE2jk8AFLAyTq106VBdSmOsPS87IZYxjmRX44+xnrPlr5r1en/FlsKYSxmMjevUnPqqxIoJKSAl
wMm9UgALOj7el7KUdMBcA7DrMMFmYZ6E2Zig7LMhAxWDPcmvfWDYdbWppZYUyCNqnt5sVTQRVLxU
x5Jul0KZ3WospTJ9DVbYdy9p8qyleCMfdN5bZPHWwm0FvAUgOM5t7tdGoaKDJRonCX7dwcGbnGPj
RYaL3XLLg++ayPQBtOORV6xcMg4DwTvKYJjMu4GKjQzaZbKJFe3LxI0q1N2a7nXKdU4lZcniL8Uw
J9nMTF9MKthH2HpT4eBMk26a7ArAEqKYEFXhxBjLlnKhF2MpQq03vfhtkGMLTDTMyWnxHu+jfabE
Tg/+XDtVwmORFsSqOk4wxVtTxmBkgCwGiog19cVzRD8S6tUDZ9J+KRy9XE/GWATZKCYxgbFEQ/rY
mTIZTQDJGvVzHXYu+oc427d4h13KY8432gJa008hT3ly1G26Mt4Vy/GfmtVkjxtUFVfN6Nw/6/Mi
MakxEGuK85gCQIduBn9RDtOixodEPRV+j3H/K09VjoilVP6VDEarYpLExBJglaLXPJp273Y7CWWL
nKhrf9/Z1BEdcYf+J44bW7QPQESpmHYHrhfbnN4Hfpf1CqIcECy+RcD4lAodyJE8mpWlnBjU+yuH
OXSSBlqhOoWcMItemuolotZGH1OnkUdbGd+GSfDkjj41Ue8GfUPKFtQvY/pyfx+XlMUEwjyxiZAV
3UfXbk2JUrUFgAuin+zUJw+p8SyKnPVc3MdLGbP3ubhPFTzOmi6HDEO2hx1GqB8FG7Rjmz4m05lu
um22Sr3hQ/ryOediUTmALYImYsZdZJXrzDQwkwyhnTY1K78D833RAPjC9zk5JPYwIKuD6w7d6EhS
oUeWbVkIklIXZCoKpNIjfx83xp9+aqd/qAw4y+bkHl63aEIHYxyzU10OPGoM9gsYKf4ZFeI5CY0V
hiie79sD67m+pejoqcWwEwR+G+3FXiGoV6IhCgMMOUmfbZl7fjk+DwKuvK4GsovUmN59gewezQKR
uplNEODOmFO7No6J5mMnSElgG8VzXrYPYWQAaIJXpLiJVQE1K+EWBdAV5utRC50/40KvVB7qrBDS
0N69Z2TuyX4k3ueb7dpn3gPw1hjwTkDwg4cL2moh61pSCOxbH3h9qFJ4tXNYrTxv3zgpsR37/sJ9
r8ylC4ZKV4LmD7lQqVfkIRkjP7QTcGeUaBOt8RPbuqvgvxQoOf9k+Gf3/u4cLPdwXJHNMCvunT5V
slcx0KC5gDN2P8lJRS1FJSl589wne33++tolhPO9+Jx7n8vsgGyGSVCDw9AGf0psR2i89HKpLFw5
SB4NrZf+YViN3u05D44t19Ard4OTO/QqbWMwWNl1DE5XXSvAA1E0EVwpoo37mt281GZZYOGFNDhQ
tEcxqoUxRnG7RkIncLCawI8JKmg3n159QCA1yStNBycO9p0h7MK0cwBelaXPgNHVs3hVJuJGoA+1
/9swNlq/4XzYjS3OHwYaBR3wdRr+nbHFqR77pFIxEDnlkjl3z8Yg0bXyRgFeEshfDslYRLqt6yBo
tSNBp+26KGTtFKay4IpRTf11FplBuMVQL0JBQEIqjpZUoN0J0Hvj1N1YguVUGISdKUY5SFWTtBUA
fdAjnVNllfJOQWIGrB+1iqlzX7UbtwHEM7D2AskI71zsLpMRk+fiTt8Oid03e60uiYzhNSHiHLGF
5dMBbCKbqI3JKI4xvqlK8GZS8h4cNJSuNUApwmuu/7EeUAG1zdmxIwvB7BCdAqqkNfSY/O41DEXg
KUsPYsobNpyX4/bwoZEcvfGYDFeYyyP1BaM1K/iK0PSJAmDgKXOTBvzcdFgrOBC6BmwVnRvjLOzS
jEIDTwWyA8DGsQs4tDmNFQNzha3lSHQ7oQPHMHmxKPsCxPG7ksIEUqM1SVMXQ0qHd0sNOB062O0o
EAwDck76oj44R2g2w15prNWVAF4dzTICNKOebARrcNQpXvktj4aCfY59KzRjaGACAFOaImMUSi37
atuGQINUa4U0YNsFOMJ2tNBIomEhy6p1KP1z3xBvL/75NvlrIUyQNkhATO0lWAhwBbcmqFDFytia
fYWp3nYFbnfONXmzksDqAFGpBMM3NfCuMeJKKucYJwojZJkpmjzEnCRjvytlgdMIsSAHhOXoEQQM
EnLkbDCv+jPu3WwTwConmlI7VNwn/3SiH/Z9JYQxwKysxzGtAAEyRHAWUlBuaANIzR4dHorgpf6f
cKif7m/XTZ4ZMs3veBOhxowjwdgIQDH6ZKRDBNOIzuDnAw5YbA+1+ClJwXlI5ntGfJOkglRB5UQq
D/rhxlxwCuZxCbhHZCZu/C+lVpp2IUale7ED/mtvfFq5of2sFCqhbUbLnbTKx5f7Oi8fCyBzY1gD
JsP2BbV+7Y+BgWMBkF036vZZvymlcw2UGyU7JbyzvuBVgMSKxkHw3gMdngXsSn25G/D4jO1yypR9
VZmTU/Y+QA6mTlxLUcCrEC/Km+GfQCEACCb2sgFFeic1eoVBlzDdyu1HEMmrAMdQ5TxWbk4E/Al2
DYEKnAvGb5irIAIYhIzmdOg1Vg8wFKD2Vl4gmM/3N2tJHVyccCkWptvQHXEdnc6U7yGiuthO4x+S
9tUByUr5KsP3fyMFk3oz4iR45WZlL2JgUIZLIY3k2A7ETTt9zXATwXCKuq/7YpbWDP3FyP8BDRSr
xoiJ0xYXqG9Fdgyn5QmRlm2zSsVUtxXFBeedd9O0Cu8PlD08xhE1zsA/rLBRqwojSoD4EPbi65AZ
VkcAqSSdh1HMCzKCYhfNxoIs/mry3ljl7Uhf0iiYcB5i0TjVQwras27CI85DRVYESKDY+F+NXw/P
Uxikn4bRaGvDzBtg6XSm8aHGhfTzn68XZuTQhSLj7W3ctHlSRHy96AOIQx0dP0S3lFWsLd/iBIFL
NnYphgkvctlPFM2AmDQE8cWwDlrR1pLEmfzX+/osCsJVrOmAI7oFS0DHi1xOKuJLmhkA8coHVX2T
MCH6qEy+8jnpIULs+xJv/TsCXAA0AMoKM6jz7XJt2bWGjOyYJ4kd1+tYkRwptCe07ILreloZcu5U
tCQWend5ie4FU4dcFQ1vcHsqBhCv5U5VmPtCmSZ2gPsEDO1O0QhOYPCw35asHAOGGCQyRcxmy2zv
ht4MlpbV6KjokOQNypAIYCw3X9TaTSa3BhB8G7mVv1UCD4AnADkezKdatMPuZ1kChNs1VXegwE3i
WJQK7a7iZKy69j3zhEcjwCGZVdeTrtIi5NrtpPB8Fey2uMM5GzvXz++JmD/hwmVRcHJJcgMR5Wes
2kDUjwrgGozv/a/hg0c1tnBLo2Ahwn5mxim8Tq5lWVM1VGkBWSYc40j3fXNsZfDENE6T/PNrBahW
SLXBe82Oi/H3AUrhQWRVeMgE5RoAhk4AfGGz4E0tL5knXD2o7ufn/Q3t/BSojWIOEBMUEyC3O6Il
OjF59YmFdZtxUQCTC5Y+oIMyZtBYsQI3OsR2jsK6m4udcIDr/DXkTYveMDF3Z9p5TsJiwccAfgao
kxIArlDpYQ6e4JtCJasmZgd7ZR9XvZ0hoTia2drvM05QzBPFmIU5KTGW0Iph5a+lGZIGmT29eA95
GfyFzbpSiVnGSBRbTckhp8C4QwCeT6ON1nTiTRIvicF0B1JuyAggGGUiGhHt/motASo26zFQJdUP
flHaaJtd3T+5C75hxmgGrxrofxEMMGKAEAeAddokdhG/9XqN18TTfQELegDWYJ7HByC4ckO8Xvpl
EuoFTWw97P9EbbYqFIy8+bz57gXjnukMQBaB2AJNnIyhiVpjhoIeIKuRFvsJ3VJRI25p/qU1CYki
3gjMgjRQUc9PsPnFB4DBaxcUI9jQCwCq2QB43YlId2Wd4egU+lWAEObBKSwsIaTh2sIgtQXcKEa3
yjf7TNayFIhZ5lbUfAKUPFduOCHawvkBOSkguw1Ai+BRyehEtT4RLCEHnUGhe/N7Oc5K0mdhQ/L+
n7vVK1Hzp1zcFpEqxHDvEKXU1jPGpgHLVGrT6NRoDOFAaC7YN0RBJ3SK4l5mqxhRV0RQGqK0StiY
o3EcJV45myeC0WbUwi4ofYioy8F6BIdYjGd/EDzeP0fL2/NXEeaghsAskCYLUswes6pw3erKmB4V
gXeVL5o2vA7Sy0htoWfuem/62hCnfAT/ZVSpT11nkM7y15McutWYHBTB5L25l96/s5f7X3lsk9do
KiHoVcAOYJXNANCusLCLDvxvgVx9+L65CqIAs6XJ6v5qLkoFAsqcOsRrmA2J+jTQmiCqMNRUpFvL
JGX6W5YGUqqnTAHrsckRd9MaMCe/ZrjC/5PHxEdynxsgeoO8oJPtsR4xPq2hMVu0g/Gp145oVQBC
p2vxhiBu5rdYucyhVqUSvcsh5Er+5CnhSq3Oo/Lcq14LbcfCK5rRnqJ8RZuNzouGFy3pQmfmXOi+
kNEgg2xUyWA5ukbEQTiNaXCQNPDYaxmn/2LRTV7IY06IOljwVsWsq7wPJCBbNeFKRzn2vuUsnsML
KbNlXfiuqYwDinG81B4tyx209kffUDBKBjEp+aAFi8JAiAiyDkTwQA28Fpa2QD1vVKTdWk3AsB2t
SVkZn/lcaon853hdUKKO+7yOiCJuRM0L45++rttd8N4VHP+zuLro24NPQGYCz/jrT+lkqTVoCdLQ
IWp+ZyaG5WgD+hAz4NwNiypfyGGsRjEr1CUsqCzIEqZnZXDcAHR6+hH9q0IITA8pI2TCAFPCBHJB
hci0HCjsUxgtohRWRTKrsO+by9KyzbkpgHSjln6T0UQubsjEENyndABKFx4oUqztaGu+3heztGrI
H84IsoCKBtrm9e4Y6LcLJToT78V6/qyLY7qp/YDuQ2DDvGpZ8nZf3NJDHqwXmMqBKaAzmH0YhV2E
/HAEqsQUFLxdu0Gyqug+QBPqj1sqpKQyDmnvNP7qvtybig/cKJ5jc+yFPQPW4rWaRZ/rHQ3AQwZr
2JttqXpJM4pELLTmZAI/KH0daFETo/h5X+5NtwcQWIB8hqQFsKTnvAUjuLKmsY0UqpGgwXyLNbXG
XgiHd6FRZDdBZZFk1HwT4m56A3rr6LTxqNpNEj0GivKjl4JXxayTB0EfJy/pxJgEAeqm9z/xNgrB
92FlAPiJ6xS4xddLkwpiIwAFGvVv5bkt33pem/TtjXn99xm/B6yFUM1CCe9syUuEV0N+HtJzmnma
6ZQBD/zt9tRcC2OCEDXO1alE0pLM3exBCNTqYAX+JE5D28LtCAOGN0PNCzD6Ktt9Ijdth2oAcgcY
lSSq8aolPxTlRcjRpq/tE/ml6ncNcCWAWQhe+/vbddPdBouaM/GygXzYd9L6er9yoyvSSsF8gCx9
SImT+jg0nWuofwzNDqlbN72tab1r9S9+gj4f68DNB3zTH1wnbeZPQJ8KylUoN7MmI+iFbg4djNoY
S1cqgb5bkSratiqwqSK7FI40RId6jGOsg3RdskHEO8juRF1hcnr1BHT1JlxXCHmBLZ7Ivd3GXmc8
58NTXzuKGNoiWHAqLVz1pmqPvg8qrye1Xo95BFo9jHQ3P9U8cBLh0JY/MvV3Uz9Z5lG1vHgUvQCt
M0gDp9kTNbZ5znuULsRj16oz1hxFhg9+S6heBYkT6oCFxZMxACOSehyoo9DSGeNHjfIA+BYO0dWK
M3YdD0A6AsuYRrpxRXtUtrCOT6jJwtiCPUqunFjl1l1eacmCkU19n5hNAHHA8yftiL7XdJsMA2k7
YFaBu3H8Ek0ex+bC0b1Uka1NRmXb6ULeaUQbdDsogfwHHM4I2Jv3z88N0PB/zg/QBef+ApBuMzee
P46+nlDIGScMK1sZqf2nPP1taVuJng1DIInlTIlTjm99nTi6tJKVL6RZSK/pIKfviYBEaKkc+sFr
0AwsYKKP84HzB9yerr8fyIT8fhaoWiFh8bUAi29u4wk2r2YQhzNvoEkBtNMSqVPZNYLTFP0oyl2S
YzBOzJ18sOwxykFpe6ZKQ8TqaHaYvwIaZaPzbrbF/frmO8YTGRlI5t5AtgLYFQ3WMZhkRzBsK3mJ
wk2FTi80NMVW4KjGIxiEQtQ7rOoN+Xk6fKmFyVkt3lcw5xGjD4OR+PgKsTVAE/lVNRLJacZzuvLS
nlwoy5w/8JDROPV7zNIBW/wxRy/uXKHXdsM8qlBagO+gBZAuEl9GIinPAK0G5noS07h3GyUyOQ+W
2/69+Q4ALLqFQR008LGE051oTWUuDRpJq3MmrzDcoqgpKKczYlgA2Hg3ig8R+4+XMX5+agNGsa2P
vkat/5ljrPMu3xjrxZcw618gm6UoYKYgTTeRuFrTRiV5Uu1MeWv5iMFrR1LmkPwoNo+iuAqmh2F8
UQXfCeI1aJ/sOB6JTLc1yiuN6WZaa8eRQga1JVkK8q4Ib83Su//NCzHovHogM0VgDb6d79v94iUm
JGkPapYRgIrNuy97hvEhKCGpG9Ub0Lbld5ONERcgUlGp5TifRWvFlmFCA9Xgm3x9YHY6CDwA5UhT
TLXStimcTOi+1Jm38r6St3H9rONfScy+BKbvY2YMklAmxjsls4Vw1WrDRqc6RyeeJOZoyKBgav0E
kjBG4Pi4uaccLQjpSaWcGP67C+bW1v6rE3srqXllGmMILxhVvmMCAwUkEVG6LenkZNGZCrGLmVe0
8oG070ESPVnZBtFOtRAVvabWu1K+GiZgU+iPfjygakFqesytDOSSbiG/IvIdrfP9PbiZkvm+auYM
4kwHgZG1eekuDE1XUh/lZXywLvgPQ9g6Rm2cAwkkuu2grBIZ8Nki2JBHw8ks60fif9a1gF5jP/Im
q3OKloscMid8b1bw4oMYnz0B5XZAS/A8WzqtihFMMmJLQgAYh7JtCUDWjnaNeOpbnRiRc38xFkx/
hlAFaB7WAww2jJlkcib0UQZHkbch8lXCwe9St01LTt1o6XBDDgCPwB2JejHb5Ck0CTrTDVwIgyaA
Li8IexIDwxXjzy16gP1GWOH/9T3fn9PiNW7YLBnRUYDueI7CS4E6BmxRiUESBn6axQlMFX+Mwwxu
Jq6bn0OgOIUlvSotCGGGwrYK7ckP+o0pJntL7OxMDc96Lx0jVV1pXcJJ0S+tCoxwzs/j0aDcQOgC
VjlPyxSHNE7k5ijHIwLsov1UABlA8IsEjVFZ9BoEcb4DDXFkC714NEPKAxD4Xn3GADFWATuYgy8U
lxkDNGgh+WooaaQdyswNTQtMRkot7iW/CEmnBRZ4Zfsew6fxU5hmYNgFz66dRJqMrUPRVjL8x/tm
ubQyV7vERFs0sVLMZsMu6Zwu0ryu3oj6oZgMYgVHBW3kYrY1tD3NOM5h8TxcWMf8+wvf4FdKY+Ux
rCNq400K5spoykFz989L+KDLAtMDerExJoGE1bWYFDU0KZrVS+KtLgW21XLqJMsLeCGBuWmkTh0j
MYcimfUQGG+DsmmyddK/KcM5K7Zoq1blfV/wDtdt38C1Xow7QatLEKom9NKMF2l68wXfS8WtkJ/q
6E/aoikJrWK8LpTFLQNzhozbG1bMJpG0FukFfYSmqg6P4avrDNgyRW5xsgvzgjFnBI1Of8UwC1qL
dTgas5ghyOyy98LE9XNXGR4LBXDylJP+WTqSV+KYlcRzSG6FEq4hKU5SthLiA9pdo+B3GmKiWnGz
HDGDXeRfAOElWc+Jxe4vqcHCK6RxlkptigtJaUK3t8RjpxSHLjX/zWH775ICkfj6FExpgmTk7P5K
7bFpwT7+PvEcyewn/v9dA7HKtYgiEkORDti1BJTBYl+BNYfjqnhrxTxck6IVNfR8wlOFoacMyAIM
wRZQmO59jzh7BFYRdDuhSQbErJjgYjxGUA1CNo/go6SmYMgWzCnmQapadCTtBJ3XwPKdKmKkXV1M
s9IXbjBQzVJrYuxMJW278Y8Wyuu8XVdgetJjMG8C83aidgXKgdoAdDCIR43GM4cni66p9mWpD6Ly
VRhfYAJV5ZPV5k5TFI7a7wTjp4kRu6SVOdHuwupcfS+zOki94d1b4HvDCqkRWW9FvHpot0kyVG/R
GgMyljbmkb7OR/DeIjEeIcDQc9QKEJqBpgeptT4fSR3lLrr7ANIH7DXlxTR4lGJLjh1eDs/MOcsn
AxPqemvUYlByfYAhAKyGNNs4NWHT6Md1TAxGHvOx/qPq2WOtC5v7BriUXb0UbM6+/9ImOiVNscrz
6/aZ9h+S/CewRKc0n4t608aYbJnOpbEDWj6hGsf3Lpyxq/iEWelQpg0SmxCta5mddR89Bmm4qDkL
3X7mlRR2ZXW96vwRUmJ49C7B7Pz4WowTnLujmD9rk0hhTpA7NYoWNgXEi9CZ8hjJuKcyBnFqtCra
d9lCBhXsB9M7Z/UX3gj4uLmyDuoI9LAxvrLJ8zIrR4RoBX0Zxl2qbJQUpOH/Q9qXLbmNK9t+ESM4
D6+cJJWkmifXC8Muu8CZBElw+vqzUPvc3RLEK4b72G53RzvCSUyJRObKtRp/nLdkAnJ2X+heVq4s
+lJa7sys4D+zGc0BTokX3QA6JDULMgSESZ4EHRqNmta3Fdurop99ulHixq1yVIksD9hfdwLfsPRY
qL5qeRE0e5Ce7Ox9u/Z9fOEvjiB6M3Dzy9w7iucefTs0Bqmpa+qDn06Jm3Vgv2D3kbVrsx/TvOLr
LwTJ8HTkkOf/2hM2olSRvEpaTEeajFskU5RkcGPQz9e7XLpJ6pfefjKMYzds45EhJXmcrMxNyZ90
9BPlwazpittbPpMn3yNsWXM2C6UHMwfSoO8lm3dNPocKXB5LXlTJy9jrpKvIajzTCV+0ciMtJd1P
J0OEeuiA1I+QKjWQbQVjoHHIozo0o2OEgliB51L924k/U2sl3fD/sQrRG7QxcgUD4SBIuIQaC2pC
7pz/cHLZNcp3kuWuRV9MaMOCTdCyniRdWhmsuNHQBGTi3tU53BkSHBedLPKANiPJBo5F3hnp5A3A
JBgHTXlt+seqWnF3F29UoGegBMdxfGgNxZNZuH45xLufpSr23sNf4e7P/Wdw+0T8tarcxW7mZmx+
lwAwA5VPsfONSLXG4rlIvFfDRROw6x7Qdut6wXYlmHXEZBQ3BLgWnvho0IIwqvCaUyM1r1RSJ55/
RLfx+/E/P8LwGB5dmMUv/Aj+9x/8x8bdufiFVuD//TM3CNygdA8Hz98+PGy/Hrb+/uH14fX363bF
z/ITc+pR8KnABwNUzX+h80A4UQXtDD2qGHqGvNYLwzDxvn9s45Wje9GP+20IislA8MJ1YV+dX6fy
UBVZMWHy/b3vh36IQQfuSrpxaYVRXgfwCI2hJrIMgn9sNKcoaEITtF/v9697//gRbt4+dfctWFni
i7DkezgnlgTPKJdEiZwYlvbHI5YNTev/YmFQYAWgGtjTS5r0pHIg7pAgCbI/+v77MfzjbrAdvO3K
E/a7G0fcAKd2hIEofVHFWQU7x4+PX8/Pz8Sd3Wd0pM9uBaps/vMZpoND4G2fvmrv6esJGuL4+TW5
qDfyfz1cH/m3ltHlF2lAZYCLToNXPd8pDcAoZcw7t31+XHZ3O0wvb9X3tlvPWxn+9192zZiQHB2s
Uh4Nyo352P1u+LjByYQlf+uvmLrgBuBbRgFPBJDk3ywEgieXx5ZMndNyU0d+AsIdP/bcEWB4GJ/P
f/2buTyxKcQzxMlG1lKwlPiFq7n4LQMPQeG+YrSZl3h/Nm+b+8P94RCsLOJF0lkcrPBMZLRXYzmD
YXjAyg3D580P73bNqSye99Mp1c+3ikUUFTgePjz/iFQZvOf9Bjv1ZW2bXAQe4nCEPWkmeaPI34be
/XC3cW/XLHznYS82ogleOVSDAYAWi2laWpVSBpQOX6m95b73IQv8EKwQdfD57Sq9LT8DK1fv8vE/
MSsc/0yD1PWswCzfH5n7zrz31zYYcB1MXue3Qe/7Fk6Fi5uS01F0oKNwN28AHHhdgMI1iJRL/MT8
r1xMjpha+57xkw8T7gu7jIGe0/+ztPwa9Y/fv+Hg8MPDb1Rco/yw8t/wO34c8O/vw4TjhB8+P8bX
z5PJz8uVVTKER6FEI8rks6/6/rbQ/8/tzb+Cfwt+4UbgP9a+QONbWvwCVUb+HF2iIHAVKxhVhUyx
3gDgwg0jovj+ARf56L5h9LfeDXeT/kO4FtRcxDRIBYKwx0IvBGK1iw5IrWljDaxZ0GFm6OhnJgqm
DnOdzAi0fA0s/t3QdjZIwZjglbu0lNLY1nD5Ve4dcQko3tE+6f7Bf80Q0+X/B5FbgPG6GPbmcO89
7h43uyDA8L++Hn5jWnYhP0ivD/vtg//w+rp/2DL3i/iD+3uNREVMxvD4mE8KAim0qaF989wJGdlQ
lCg1ZZ5aypAaq6asosGsaJDboWPErM1szcmONGW+4mQXlgSiioaKVzIUqy9aHuxIotOso7t9VFCH
xCuO+aj/vxuTkd5kZaOshHDcFQiLAuAwmIFUIC3QXS4sipNpWtb0GKfWIf9Se52+GWzPQorCagLL
WSkWXQSmyG+fWhNmtXJKCDI0MgY33w+g8XNuTfMwlpsEQK/uBuXV6yf7AiKJVTyzJzhCCoB3yiTY
K8Ek+B59ta62nX/lv8iu2qWPNeiDs+fJH36tUY7xm0OcVTQwo7cMrXqQHBf8nKnRvIkqB62H9UMy
/CQpypJr6cIVG99vzJNUFlMzpRh62KCQfJJRgVTBxYxCz/UpXNqOJyMRX6oqCvuDSWGlyLVnddAC
1vlyP2Suoq1F3zx6OJu076qqrnPcM8eWC5NWpSpDXQ7aheUUjvodEDE9nBGde68HzT87OgaaIL7s
Blhaw/IVYy0RcTGh3D4qiNBrhxwnWtzOj3wklZo0dH3lFerNkHyiLSEmv6/P5mXIcWYDE3tuY7KM
yDAb2Ggd/UFVGTC6ujfKn6mBWm2qbrWk/OjI9AO7Fuup7OqsWzkTFwde+AIhYEVzRmfmNr4AZPye
M0Zu296CeX1vdqNvoDNhSlYbPpYWFu9zVOjhUNE3yP/8ZKfSXMvYrOiVJ9WQbN9ISPqCF4dEQJFN
Q/cYG339QGXJKELVqBnkMg2LkINC9Gxr1VWvhSzX5ZvUsYdu7epf2HIAJ3NRAt4fLT4t7dzWW4Cs
S88o5L0if8qUbtsRqrapsZZ8WVx63UFDIFBLIDgQbxRV0mo9tjJsL/s2Gl4A73LleKugAbyo7qTq
xWR75JwLqOr+PekoaBtOLAtesIdmdRI3eQVdoaNFj0q5UxXJM7RbK0aBc7uyxfkGEo8xCPrApoN3
HmhchQ2W6jEpJrmqgF3TD3qlPk79s9PXASFViByz22nDEVynB1uyb1ol+nHd/NL2xrXJKXZk5Na+
V+FkryWsMxhqOhUoEJ1XtMG5aqWFTmp7cSO/N4m678ha8+1l2gBHCgAIzUSai6OvhP0tjZMWRwQj
HjPjeVRRK54UfwTZtZeZ5GAqgztlzo1ca54R/S50c8VFX2baYB80LWCBQCYMe1lwXBqY8q2+A5Vf
1R7s2u3anY1ueojQuumwtZ3AdjZOFOaaX4C4xgizam3JL8J6/gHf5GfAvAJ6Jix54yRRi8pG6Q3p
TimgtWQkri59xYkKeNI2n3YQ9EZR8e9XGqk/hCxciQXtlOdeZU4aQmPuyBBKpYesawrgcrr66BTO
08ySWytFTj9zupXH1cWFiLGCNoa3bwIMBHd2blbREPIlald5OtVcnZWuZU53yTi4skJWAEcXMShu
IfgmvAdArgEaIH5hnezlqNYb2arkyuuNT6dlG2Qh/K4C7rJrdlZTrUSCF0lpwAY5/ACsONwoGGXO
zbE8YoCsFFANb5onEG+4UEb2KjkLoCeyGdr73pHxTohCovxt/5poWVhKqTJTOkiw3Eb3A9rLu7Jx
pZyE6J9dcfhLXhiDhGwAOsxRfxSz0tI0G4pTwD90s3ajJ6mLG+YQS8TXahBiQPKhqCFXaD+CamQ/
D+Y3EPv6vl3YQKps8VoP74y6oDwo54SqcYnBztJHZxxbiTPOPrbpWjfHgieEHWQzedYa70ph9zC7
iIAPxEhL8ME1dh/AVXsmVT4lVMGlYtzl0bi5PrTLeJtvIRsXKjBBIFgSEXJ6bVmlLcFmluyMapsA
+E42Tb7VQdNob2OAKa03QzqUTqim6GmZwGe1Naw79vfCBvw7wK0Kh4x8o5iXZpozxtKE70hjv8g2
uvZsGUe7ibws3uOpHV4f9uKK/mNNzB/040STlML/l1XvdfIbmjz9cdTdes3lLTkEKLRhfjUdUYRY
64hydRoYmwHxkzv0woAlyWGP4Pbcx1r2ODrNw/VxLR4WOB9ka1FZQYpT8HWtPMoADSqVpzgTwK8Q
YW3DjEHZsz5CUzOtgyh5jMrXxE48OXm+blyHtxHCCGgg/2NbSHJm/aDIkHCC7ZKAszE9KKBMv25i
IeDnssffFSr0bIjQnb6ta7A02hUaBu3ATqGqJ0+IApPddTNL9zPkePAWRWM38A7ia9BgutHr3QT3
1jjVJgG6zJ31gjwUNnG4eFi+iVl1TC0TxjXit5MOeAoBjrIgxouEy2bXV8W04gkX9hImF4JV+A2L
Kx7VvG71YrIQlFdZy9AVo2fRAcyxc+k7ak7BHtlo2d6QonStGYdHI8LCooMfIRoYOHi9W3gCmUlm
AqpJS+i2BGpzi9elr84AJLS1l9s/i9bv+rUFuEjwIT44NSnsY1DgOkM/wqRljz6tXxwQHKEHNtCl
7N7SUPOPu9hFZDO6uSpvcsfxhkhded5eIDP4JYf8Hm/tw1MIKKfz67WYEKSlDIep0RK3BwvokIG8
FYRtWrfX5cKLMlx4+k8nMVGHbjY6ayBGWG6T4r6xzW1mdG4EAqPUTPZQp9/EquSO9SowZ+nUAbJn
6WD9Q55WfKr1LUvJ5ODUAbWMaO6GZe9p5FqaH7XkJdXrnZ68K60GdNLwrBbQuEhBBCqrK6Hd0sHE
cQSfLuflQsH1fKpwAJQkmxH4JJrUeYmujNsG0uGe1jYrCallS2DGRn0a4HUxvaFYLc0Zf5qmurq1
lXjbAjpu5taKp1m6IbiaHyc1Qw1T9ACjrEmp0RS1Z8cqnOg2yX4nVRXqa4Itix4bbaMGnl9gAoS5
85krp8RIu5TWXkWjSA3iRC5CQ246BG5SD2THZL0pTFG2RWzVh9ZqlQOwbMpehziKRxWHrNwgS2cd
DEs26NpRub24QKquVkwQO4H0KH4z83s7+lLHXdIGc34fF09m/+e6p12YZpAI/2NOuDPSLlHlhJuL
o6M9bp0qmJtXfa1hcjFQBmgDkQWyVIguhEmupBqEWRFDqynUO5JDVP1m0pfaoVH23VA3tNzka876
stAO53Fqko/85CmQpKzqrQwmJ0/xmzfiSo+/MgoRL9tle/Dkufc38R/pnnno91hxXAuTemaaXyQn
ptHg0ICmq69ByfiDyl6u5m4z3Q3aWgPTwoV0ZofHsyd2oiICbTiDHUnNQ4kC+eOMnjS2O1bVribF
K/ffUnh8OqN8656YG7QY9PsDZjTv3udmdOf6aUgeZcmvosqtnPD6zkQDFv4+4dpDNgQhjQk2BFwC
QpJgTovUKjUEiWjnsJhXNOPYbFra2m0AH2TeNJ0KSDQB11I4FV3zKteNei8ZzqTddFbRJ+5QK2No
Qs4tcxlA3Gg+n6fpQZ24hos2a7wtStXoph5K3domUTb+zJSxgnL0RLQgngnuFWKTbN9Spxt8tYn1
xqVmX8UB2lmam1yupCDhfkAD3aPkFUxWfjud3G7VFgS4vlw4UuL3cVpaXjtG9q0h0RR8MYpd32tE
l5+pquTvhgyArycp9oxnaisT2YOeT6S6cYVWBAbCNTy8JifzFStu8A02u+2tCDioXJbIT6VBHQDp
4eZJo9qAdmdGh4ClnfyB3h84T11OzMrvChKboRFT9YYM1Yju1HoABUjRDka8aQupAFetQ2ZXVyCU
krWzvHWoOshQd2QqxIPAh4T03lhS+Hp56m+GLHYAAyap/btSQBYxMcv5ykit7ArNSTZIc02+k0ex
eYP6XeVb3dRj3ipMMngX0in1OTeIh6q4GXmoIhZ/aD2xozkDPQ2a9jRiYRKxmLlNkxpfhRN1P5Wk
m2wvI23zyVqlfKqSagbVDp1sv7Ml5ys3ML2PVmWR20YZZVCuTnmluYM+H/RupkHfZOkOtycu6cGx
N30ZqaMX192u6Fh6gwbrcscmqu7kbrR/0rEeElct46IKmxY7TGqAvb0xjEkrjiWUUQJV6hPiNzkr
91rVR0dZrSXeEa9YaIRXZelYMOxdNEuq1bvaTBHgow7QUV4zzZT6A6hMqod6TOM9xC41yE7VM51B
3Elp5oJPoDWCMYtBTR8P7a1kzAra7cdkdint5wKiTpWq3NdGX9YBGxRGjlLXaIdxUNtAwyvuV+9M
dIP+txL4euyMv26+5UGZg1QgAPzw5tr3g/bECzRNh91T1Lj/ZdNDw2ZMj+rwI0tutcwt061WfTWz
P2kHE7pTKx5hwSHgWY4kJadrQxeN4FervnNomyHU6hLj0Pb9rUF+Z2oBnsV6AyUqSCn3YaUOe3RP
uS2oOzu9WnFKCy5QgysyQfiAd5AuFlxKSZ6LGMG4xySoXnsbtCINOk4l2D9Bv3R9uAveXdNAoMbR
c0AeijlSRcqNVukk5EiZa5q3dWF6SbudoucIBeHrppaGhewcemkAswKJrHA919MAt0lJ7UWtjnws
1asbRQanDjr+qVG48CJQUiZKVrozM1GFvG594bpEdh/4SnDRgNxVXFakn/sGbfWllyfTO0cZO1Jz
7CR5Z7d/2x6LzXtmSrgxc6lXQWEFUyAf3drU8CWsJZdqINr99UEtTCkIagG9A+EMbiDx7aKNk9PY
E8gr074MosKofVWqnqRxCFKrCOxcCsZxjZ554SlyZpNP9MnRtEhqxn0Kmzkb3LLR8Ap5uj4qvhGE
K/k0XBRp5aLaSfR2akuvBn+hXuZuNjZoSfm4bmVx7k6CUuG9C0Jp1s8DK72ZObi/pdckc26T0oQ8
C/TDiL7pibS5bnJhYNA0QFMmzjWktcTl6rQJIMMBJwBib14rM8Q00S5PlL+PDDUL4E9DR3pDwVk7
X6EOZRW7jmtEhkoHJuFtGusI3p6ttbTX0tMZveR4C+I0I0YUHdVkjrVWkwRcoziv73TMLBQWprk0
0E2fg4RsMAm+Ik4zNDqYgx6hlw3xzkfUM1Dm54RkByA7rX3c9s42JiaahBEY7dUG5WxFh7wonmRm
FgGCMFT3Y27a1FWbPl5jFVzc0CcbQYgAEwMpbo1vhMZCOm1IkeXJ4rUq+oKfPd3TFv+Ik1NTIRmp
DA6MQNfCVcetwn43+oORfJpGcH2TLTo6CEsgiYOklnUhqJKyzlIqPLZ6ZKpSufO1ZGsqrrNGCb54
fk7sCCNKW4ehQoIRafy8sOzTrmUPfPdhljs/jEi/qbNsxd0tvfCwr5GgUh2uaSRivZ0+KQ2ZNbVX
AxLVxbMb52WQzx+xVqKB5mMoPBUCrLriX5/SpXN7alY4UFlbFmqTwiwDy1JdPGvTtMnXBH2WtqEM
fgoudgvSc/H12uVaO/UyUgQ9qqME4o8ZYSvzt2ZCcN1K1SAMIDBRFCCNnqL4Qe2Sv8/cwLFBTAmJ
ad4BIOT0Gipbfd52SKnI9WPZSj9JlIdFVP+LDMapGR7FnZwnBoyo2YHVzQP7aJ3foYsawdExRTO5
E2j9W2GuuO6l8wvEGSAwKMCBTlzYAgVFzaowkAvtptivKjSUzlbQjTqEKiLfKqbw+o5bNIfuCRvS
AeBWFV14OpvUZAoe3RFqfMqcBwYFiUDdoEofH+u19rulowyEzX+tCfuC9uCaSidYa6S7GUqLqvob
7IOdEcbABZRr18ZS8knh6kHAdaA5RNwhepaoM/CmsGb+0a3AsTbj8JWnz84QgdT/96ivAYiWJhO8
mBD1c6Cvh8LI+V7RtRHVWpJRL0nGwKiiGu09OjoJoTAxxdbkMZP9ur58Cw4DOVI8PCHpxx8x4m6J
R3QUWDUq/xVxldG8I8TYqHjSrgS1SyPDm05D9hKJPFOU5bCnyUpw1koPotz9vIfEheuMQdzgRbcG
SFw29d/ygBiUaRHy53OOoNZq3itZdqvkZTJjt46201qV8OIG4+hAHDIdwCQddVJhvRpWWU0/I17u
pQ+dQhihCnQZGt9rRFLflfOzQJMbgogrMsAo5IOd53xjkCGRtYgbUhpkTEyP4cGelLE7g2BNC2Pp
nUQvbRmO5ZuKTWp6FfqhxwBZ/uu75bIQJXyHcP66bHRkFuE7TCT1bRWYECe0inu0HaKiR203Kg8W
QONKQMvetZODI6047QsHIHwAX/wTb9rOELyYoKbo6QqULwebuAgs3dJAYaME0KAgUdCoa4HKxY4S
jPKPOjEaaTUz0gFGuzEO0vqmQc4oj0Op30rjj+szvGgKRWeE3dCTUQ1hodvIYSpUJzIw3gDtRja1
GuRN4qu9H0UrOJSLo89HBcgPqKIBuDHFzWtnlaWTBpxgo3M3I/fTv81r/BvLJiAChQ4+8HiK9dFU
1vuScr2/eKLeNPqT8pWT9+szdlmx+B7HP0aECzZu4mgGx3rmyS3kc8CzJreBpBH2XvQOSjF2qm8J
akFP5ZinYV7XwwHF6KIKrKEtb7I8MVYeNcuHBJIk/2/UQphOY3WuEx2Y4Vj1LdlDnhRvQt+I9lb/
hEjGSXbUCSEh7JvWMTE8VE9WZoQbuPAWJ5BswS2pXabPVoEPsNLW6xSvkAJN35ny0Wih7wBpXcl3
IPELkgb6qRu7Fev8OXrNurAe0qRPxkSxhSt5E3e3sxW5avILUoLD8CbbYd6EbbMy4uV99g8GXZhx
B9KZfclR4Vr0kWePU30s9K/rw1o8mCdzKjwiKirPSs1NgNRQbj5BFV3Yd/0MbtA1NbO1wfA/P/E2
elHJdl5xQH063VbsQ3LkEHiflZfCkiPlOUtQtQL4B9DWuRXQR+qNE4MRDQyNpAkLsDtN7yxhoC3Y
D9Hm+uQtDenUmDB5Sm6YY6/A2BANgUkeUmhNNf1KKLN0GZ8aEeYtwr7DXQwjFpyN2h8LM8yBQZOj
tQ2+OBpUejUwXyM9J/ba2F1J5qmF46zBull9jj3gmUbhG0rQUDWw46ccZHMK4qm59FiD5O9dPP5s
2MpnLA73n6/4LvidbBNQ0PYJ6ojoTEghJ/ZzNG60/Cn6NxEOWoDRwQI8LNq/hW3iOPCcZgagN0Sy
9cx37Ftp9FGg+fv9gaCGvyDAeojo93wzmnUft0MBevSWjMDs/2hBtj2kK8SUl02duCiglY2yNvpj
MBRhg0x48ssOt6LIYF9jOc11cAFW9jZTKRgPceoyUCYhdAxIZrOjbc91IKfDVB1H02obyKLkNv0z
SMjdgkC4Io7qzWnMfJvk6h+5zY0UdK0EZMKVUco0bCfQQwa6XXTdoe+1EbiQwhhxHzR6rfu6VhJ5
5UwvbQkblOzow0IzKZSXzqcxL4HKZglKWVRR/TIKCgVklajvTiuwUn5cRQ8PugUgZ4EgQ3zFfeXJ
1qtrRaOShYmkDWGAZFtfeW3oKy+GRSMA36HECkugsz83EjE9lsAKj1CzaveAPLmkjFeujcX5Agc6
V2sHrkJkEzH7mNF5hkZs0qkZAHcfjdK45mhM/kjXCvBLw3G+tYJQrEH9QpizCJ3udJrgnbKpcO3q
oc//NmWC3Y25QkYfzzhgxIRL33Z6Q8pzDMbg9Ntsl3af1w/p4ghQlsZrGDWnC4y2Q9KRODo0PefB
+g3OCaB842ll0b/hMuLW4m9f/MRbB9oC56teNWpBmzSFIEMbbRTUPlS8IwpfMn3NeCXp4FOAP23Z
daQVy8uj+8cw//OTPd3XBJLEOcSPLFr+7HvL04m6cmyWttvp2ITjqbS5DdUEjI2oP1Dn97UxkGwj
nIyV25Z7y4s51PFe5HgZhPfCTgCHoWWnMygkG0uJvJh+jg2eSsNb06f3zkhMKNnlBxl6gdf3x+Lw
AE5SZHgeZD4FswWe/13Uw+zUQ19XoZqfpdYvFJ5fS+n3dVNLNzA6olWgZFB1RcfC+WLRWFerqYWj
k6hzOySqp0CIrSNZcN3M0ohOzQjvvrzVWdWZ8HNTpPWuNoxeYVUudNLvUpZv/2+2hCtQz0CMKfWw
1Zc/7HxfZse8vmVregeXeWl+B6LjAeT8gAFf8GaRIplaDXeVh77GPwzSslRmrpXHaN0Fcj1u7rMy
9yv6K0H+5PoAl4/2d2YLPafg+hAWTUZLeWlyJZsefSxmdLCqu8m8jZOdqv2p6NYwHnjpp1+ZV/63
XhwGLp8G0hoZeETBqp5U0MbiMmNmE9+jVu6UvynY0W1guofw+ggXXYiJniGke3Uw1QoHoNL72KLA
NHq0Qy9sqzTbiKRrLKVrRtTzrQ/Z2BJ7H0agX/06RPKzVayZWJwy3FVA+/D4Ukx7SpPljLOEm2SS
2B9Kkl09TB6Y5bf28EGbNR24pYcIGkb+a00YkCbjaTVU8IpMmRFIyyxAosslw09I371FvXOrGG/X
12nxgY4OUdSjkfuHJoewJwxLk4pEgskqrh+GufCUOnmx7Oq1lFFWgzqHUSp+V9a1G2nvmjP5KtN9
ZtfBes/M8lz/8ymCi4n6dMpzimvHMQaPSnAutx0NmNEF+bhywy1MNGAFClKVuBl4u9n5zmkbdabF
N7PwCHWTdpNafmxsTavwif0hreXO16wJy5owuwM+B8puqIu65vxCyftIVDAD4Mnk3Jjl9vqaLrhq
6EkBIgrSIguBg+A+27oxZnWA7BE6ezfItjDpt9E92jNdueQW7lZAGEDGgdsHNDSyEJ/oYyMlTcEl
iUA11jyb6D6RbkodXZit26Abl9UrWbqleUSNDbJAuM0t3Kvnq2YDRefMEbxmPt+P1IvLca8GO5YG
fdeuiFQt7EWL7w+U5MGpiCGem5KBBCEyF8Nqmb0fEVe4I4OOiFEQN8qse1Nfw9ksXOMwyEsrGgiX
oTp5bnAm1RhlEi6jdFA3TLKBUBr8Aefs7/fGiZlvTpGT0K5p1drouJkIz6K0PdatF9UqVF9W/P/S
DWcBWwB4EtT3QDkrnDDqGKyrZ8hizYBeeg6RcmgjlyrdT7n+ACBq8mAnk/YZUbML0VuUoWplstjV
Y7Oka7ftQhYORCAO+qU5P+aFPLIUo/eusxV8S3qo7RY8mR2aYHjs7mpaKMlwaMhiO/Tn9ble3K4n
Zvn1dTLXYOUuxj5WEb+P0gOtcBBj87WK7Y3kzPfUSkEPuka3vHQkT0cqzLosFYo1DTCZjB+J/DGo
YT5zAv0bA0KETusma6QQa2MUXNvcRjSpTBisJgm0gm90fikigj7h1BuKD7QAXJ/S73MnhDBnS8mP
0cmcGtEYaW2poXys/hnrYOw3qr4jzsFydpZ+53QvrAipkbtGuhuilSfyok+wTV4gh5wU2s7PbbOh
mytSYRt1MiDj7baztBCNHTKUWwDH/DcDRU7BBPgOrk68oTIyRj26laCgagKh0enA+Q/DBJrNAn0O
TIk+dYKWsSwe1Bu0vT5JkaIBPtqZHtgyHFzicbG7/kVLo0dzk85p8IAUEDN9zlADoVzqmPnIDiwD
cubpJm1DW8o2tJg3141dsIyij8o6sSZm9KpUI12dGMhPlXdMKV2JNhTM7w9wXl5c6f5QpH7ZqEca
h7Xiq561M5PnOj3ASUvFo2y56f3oS76SrnzYQsiJ7+LVR6TP0LMs3AuS1kpIqWEWRlSjMlrf4WpY
meil6xt8zgA8Ir8AKIGwxZ0sihup494qS6zMn/oMRKqTNezUZqZJmIxO93R9tpcsgu4RNHqAHiEl
I3iNnqJOYZcgZUUbeHrHSIs8mTxnR9oriR+Rrl2JvpbsgcgFbWTI0nD+2vODNKEYBT15XK51CSoZ
hUgfcz7fJIp6l8fRiq2lVx6EBP+ZTv4xJx5DZx1gwRSKgowretOfPXsx52BQUCl+G9VjESOe/3F9
Phc3CfwDNgLOCsgizk1CAZ1kaYMVzAfHjYr2MERr/MdLUwhZdbzjwEkJZXnBFymRks1gVMq9oT3I
+d4aHyV14wwP1weyeOaxRgYqosplA5RdaQ01K37mSXmfadINjenTZCcBYew2Js1KQLk4b8CHmRCp
1vBqFOZN7sjQFeB/9zRG231rVs7BnNeENPlfIt4g2A7/NSLshzpFLiDuYcQwRt9B24+UZj5VV+7+
5W0HaXeOCoP4qHhZ5IgpyzRDC0SvFw/NoKC7uN4lQ7yVIsi3ZPqW1c5+MP5Yzr8Kd5D1tOCosPku
0OEmuCGdKHEQ/zPN75IfimS6caOGfRwBMF5sCuMDrR4b0HOuOMelqUUeBSRogP9DtUlwjkibGBI4
cZFsayU/YrsZN1H85/qWXAwsT43wTXR6nse5lYcYRnrJcdC1CRYOIgW5gaGmA3R6x82MDGmZOg+j
5STunPz+P36AsEsr1N2kvMAHEKkI9XJjzT9IdKtPm64lAWseVPnZ1r5QqLxud+lwnI5b2Ldt02l2
ocFJG2kVStrGNkf/uoWlWI6LrsJlgVABr6zzmW2IQrS2nXD8gBPXlEDpX1Jpo0tbjrnKofZ13dyS
C0MiygSBNiBeyBOdmzPmCA4uhgtTFKAQBi/toKiaflRSElw3tDRzp4aEGLWtjZIADpF7el0+sbl8
1sq1/pOlnY/qJ2eLR1xwQUOR6FGu2T2itbh7t1FvoPerALyl1Tk1wUd5su8Nuctp8R3aDy+4vSyo
B+L96jHidfSeKiv+a3FxTgYkbHInc2SaRFicKbtRmh7wegDD7dQd1wKqNUPCtgaEUWV9hplLoxvF
funzY9M+WvFKTLW0PigjoEYG6g4u9HQ+eWM627MZ2TizuV25vfSjrul2IOXKfbm000ywHILRmrNa
i4/eKJaNWbfgGuws1fdypDCoTCjpy/X9vJSzs5AjhNY8fjdNsXgrd2h+ZAPySQmTPhjVNqDDguyH
7E0GNCfG+DC0v7TB9unUhA4jAcGRsmuC3g975QwvemN0loPmBghb0DIILl+rzQH59QIuf+4gKJj0
I/o+UPvV0fYJjoZBcoC/o2gURNtVOnvVvNa2swR5QkEelE3gmeOTLuzUGAVAJbWRaIAWfdBAfWGA
frNJc5dBaTeXdrqWqeigM24I1D8iVfEMu1mZBe4YxZDidBKEo2k6NC+skuf3EEqULMysfdmHAHq4
pJADVlV4H3rX98DSsTk1KYzaiIaU1ISTzjVjmHS/2mRTDZo/d7+u21maXuy1fxZYOJ9G6UyJBVEy
7K0xwTyWIGKxfNNqbkhHQPijO+ji/KXN2QatkkGqJpByXiVS4FfBtQkWjq+e9ao98AluiwisEihX
oPPM/jMbn9T8NcXHbmRepm9a9i8SjmiVQckdhQwACYRZtrUpzgBOgFtX0i2xHNepooOaPnW2n5q/
0t6/PtlL4fapOWGuaYVITUJB0iPx/FZOaE7VTagmIpvK846K83Xd3OIegoAVEiqIuC3xLQuuZrAA
toDiZ8z2J+pX9e0sQ5x5jaNkcVh4yKI9EgS5iO3PnW+czBXTE9ihxRM/FD3djArxbXq019Imi6Yc
lFw1/INuGiGmqBu0YDYphTuSFU8mW03y0ao7RT+Tv27iQxYABWxwFnByPEvEMCSTPXag+UX00gWd
Afnhhz67k83Bs5RDu0YzyfeZuP9PjQkPZvB31CS2YKzs23LzP6R9WW/jutLtLxKgeXjV6CG2M3fS
L0KS7kii5pnSr/+WGri7bVow0efuh/NwGkiZVLFYrFq11kAk0RZMtdvKvcIjceSZYpLANJ1rNZdg
ShmPxvSVCfeoBHD8fM3xLHgCJmUxc4me9aVDSC16/yWBQ1Q9WBcwZonutl2Bg8X6n1ZzZolJ/aDJ
YmF2HJYiDHAJCoQJw+MwvN8+R2vh/3w5jH+TelDFsoARTU3sWnls68SWtECSnvOptlt6qmvvtsXV
DTwroDDxEJdN1BcTCig0PmKQuRK3SfYsE84ds5Jx4maFRifGmlDGYl2cVgDpVMvNCs162cCkvFtp
IE9qbNH4GrjoupWju7QfgfRGQQizzYzjyS0t23nJ0nNtgDa24IOQ7FnVQTwilPs8wjDc7T1cydWW
fAHE0EvHFcjPSyecpYb2ioI9BKjPG3XTQ9n6toWVo7RA7FDDxSN8Gfa4tFC0bTY1CvpjsfCzio75
RG2ScWrSPBtMZFCzRDTyGjbmEeLj5s/UEO4kk/q3V7LibxcrYb7NmKSaElXwhIaUUAB0snqbKE8S
lLz/f+yAEPJyx+ZoQB1qxmoAlrdL8QRARE8qh0tlra19fLzTUV3H/1jgKro0JKPLWCsNnrpzAzCc
3TdTldoxphfdUKJJDGxnGZde3teWF6Imvo1HOm4pYAxQKlaKjQrEOsBruoGUz5RjKH0JbTDHMfFh
rf+N6QsxsZu4Lu7NzgpzL20IinQJnSPDzqcUwN8Op87Y9OhkADtWtoqXZpVsa8JMf4TjLL6TqI3u
rKSaftIoM8IHkFOgDKsSMj+OohEFZibpv0LwOt0bmQxRLcEciqCqqmIEaC8aiTPTpg+DJuyM4c5q
UqH2lTaV4qDpDfPVgmLVD6GpFQUse2X8Xk2mlNhCFIIWyuzkYYOeYOGPpCEWJ/SvxRQg2YDMxEMZ
8Dwm9M8VboQcY8JOWHRupwUNMrlK3dD6rlK93Hy87U9rp+Pcmnz5mSPSJxORYc2oR7SjMZS0UJOh
1nDbzNrxODfDeFObzvCcCWYk5ZeUP6Th49B/1bze3tpbC/N3Bkp7SNcspB6Xq2lCLbaUGCXFtv6q
FFfOA0U9pTFxlGovkAAYIqu+1/WH24vjml1Wf1Z4GLs4ypAao+Cm/Bqg11zmj1mb2jo4MLXBFtVT
K3gQoRB4oO4/g1xM1gNWUfRBLERnuAuzXrOeOwE4utzpDRCIlz/ngfpARkXDS5+2Oz2aPBO5cZRq
W4rRilR7wONwO8flblJ4lGMrl9PFT2H2oGvAytBJ+CnqKOm2UoIdArQNqtJFTl+mW7nkyQGv5BQL
4wUm6YD4FTHAd7npoR4WiZpjNDor9acyKz2QA6Qg1g6PvVB+o/y+AdfCU6Wavzhf+/qAovauANeh
g8gQ45eMLxuRZrTU6qHoPL1olejHUv5qjQVA3tmT1QJ5DMA7uDIcqW0wvE3vE3Q/wVD81MlPak8O
ofRMDbBOKbxRmusvsNBzmKICEmxwMVjMRadpfVKMhliADqkKWvoh5JigMHU/iXOw21LOiV61JuO0
4bmyCGsyYQptORKnjVRgyq10p8KAdATwSFPpyhEQnLyT/adKcunpSIVNoMdBm7cA8pmvPedhqZoJ
ZLR98pQfKmjnbPYPe/fbcjc8RpU15P+5Z7GinVoupaMATStnKOdtCHZ2KTJzw+kEtTuI+gBm6apI
yZ7MrVHu0lgI96KRJRA1qdr4O5wUUXC6FOS3Rp8P96I8kQ3JTakERXWayVDGDLv3ONXo6xABiGCD
wLzexeOg7SZRzO5FMAN5RVRy8N5rMQoZOBpeAOlpkK1jQgWJ5raLBwr0mjAMGL/uD6LZagj76jt0
0FKvadJnVMDutSyY61TBdG//ffvgXN0Bi24bwPP4D5cb0mbmwM7RnBuxIdhg+7HDyLdGyD2CH1Pd
3rZzlbn8sQMiEqBGQUVsMkkleuZtLCew01TPmZI7TcVhWFl+6IUvMgaYg6an3TTn5WKAPsEvJOmB
qxPJWwPj7h3oskjawYQJLiutD0Hgyhsc45hgcU6lRBA8l21qY91Wo1fR4nyH9W0CNmNhfcUFxdwI
IZX1AVy4WANpbajCN82jrP97+gLsGdC6C1YRmDAmFgO7PgsKSCfxgMh/KEocWK3xqks8jOuV60KY
BwIdKOCiWoeePBPs5pFQXasREaYRjC/oE2I0so+DHHCs2757LUa2SAAhmsrA74FH4IoCWRrRZTan
3Knld4oCjfo2lG4jufm8G8QXtffD3o7jjVKDOxbTT6JyypJtHG1ExZHx/93+NVdfEFk+KGSBUtMW
uh2dcXQxI7OAmIQUHvo8ZbzpJ7Aj8S6SlXCLL4fEA6NxkL5FI/gyLgiZhXdfPGeLVN8J4oHPz4t+
HkSYniYbEpKbfxehglQhWNfRdwbmAQiSS3t9PBgKBQLKiQD8AnyDaj9l+ZXyppmvzhfm387NMO6P
V5VStyXM5KAgG9UjaAg5n2flCoYFlANA2wG4DRvotGxKpFyDhVLpvUl8KWYXePwgm72Qpxm8thjw
qeHpAQrl5Thf7pmuzyFcATlPapHuvisSIDa6nEsnu5yji8iKPcO7By1W8BwuvJWXZoCwUaBBUOdO
VFggK1Y62UmM+YSmih2COLKaIVE+fdIh97MWwEjt6ba/r0ASLu0z34xEgjboUHZAw9Dyh3qw60mY
bEWKj3P43bSJPwkqBjXxzKe8UvPax0SrF6ks8incz8wOlyXgaXPRIqtEgyYZDnLuLg+XkO7nlNeL
vQ5nWOZfWyx0LBlByBwnsKXMHYD0kKOmeyXZmzzo4+qaMPaKviImSGS2fJ7GOlowOt4EGGq0JbHE
6IjfT8es+1nwKMhW8hus6cwWE0XooLZ9asAWakp4L/8WJbyXN3oI4Qzjc0YfJlF9SLMM9Pm2z6ys
ERUSIGdxDEFcz3YaZctMWtCaQ4sk/44KqCiBJczAHDHZGRZP2WjVFqp/cA9U1vHf5fEQxiYvSA9a
FEtu0doOZDkQK82JW0ig/Dv2APMOwHbDysJKxT4tqw6UntEEDnOrDXTpMKcW6rQSKAw5+7fSqr00
xJy5SpkaPVvI0vt8n8aHuQqo8ks2PYpavtHbQ7FHa1CUX8sSlIZenz7c/n7LuWJCjopnJIRkkJli
sH3Z87O3e6FZWfSHlC/URgAjwYCQ6M64QAeMpwK8SLLyK+WN3K2cvwubzL2qIJrKuQoiwFnNIBbk
S3m4MZSd1vGaz7zFMUGlqjuNVBTDWYpCbJBAYVET+IG+JC10O3VwEtFPzPfbG7r8+BsbqjIVSuQS
k2nKWFxhoBS+61p3Vn/OrYoCnENJs/13a+ePXubzTVQcMKiIZ6hZJp6CUf60uRNQgE9r6tcgcqRV
z7l1Qet5tcLlLYqXFMqiC7My8/nmFAxtUi/F0BcrpDEYsip8m6O2B11y2RimP05ZO9hFJVhCMIE1
bt8IUVu6aRNLrxKkpYEIrtRtJoZGcgRtovldlJL82TdCuBMSPdpO2WT4NDeSZzMageBuy6x5mueZ
BkZRV/eiYOp7fZLVt2Ksm6C0KjW1oUQUhk6pTeLPhHbJT10ioNYZK0H/gQp+EbqmWsgiGPpoPbh1
ljaTXSfmoAT6KKhPY0p665RaRUncbiYdqEoNSkM3UoZq2FpRrkt+nhLzTe4ht+KWKIA2Xp9Ncw/x
+tz6XZUhZlu6SItKLwwFVfGsSZRo0KQiMZypRekcxCUt2t/FUFe1H9U51baCoQ7mo2zFbQKtAYlS
6DblhuEkQ5unOxEoEWxfH4H0N1doALZHqzuFSRZ1Wx2KEZvO0ieYsGj+HmMO/zTOaaU6Sdkaml+Y
WevMsjmFbmUKaLnn1QSOB82E2s84RxBBy/KMGkGuqKEXgpw6BrlxZNyRsjYgAYJpWVzx4YBUH1Ia
Lfh1MnX61c0iiDszcPRpQTWAzOk+HkOp205gIwSlUWFYjZ0IU/ZUjpZ+kuWKJh6kwdKDPAkhtbU4
o5IPvh5hsPVELd4HRUtAD2RVo+ZM8yz5gJYpn6ih6eZDZo2ApnQxwQ/W2rbz1Bl4NJ9kIipNXRpX
J2NWi/55LmkJdm+rKmowjuVWu+2qTvwUpX4KxDAuElubSIQidkOMcQ+yP/M9ViMDDIphNAbi3E5o
AWNw6QXdnqR2SF52D8NYKQ1UQIEXtzoDEqCGLBRfY6WNv4ZYr9/KaRQPKkoem1qLjH0vpDkmG6LB
MNzRGszcjkV93lpZJTynVps/WnSoexfQfMNV8rjeq31EIjvJDPmpyvLGD2t5mj0IloASoR2j9LWU
mvq+KZVMB/fz2G5MMmCIu8VAN7GLeQg/tDyhX2UttKaD/vwcAEAihrZiYNbKJdTSMRNHjDpGOx0j
zSaUeT7ymaQbnQjKay31luZmZlj+Rr24VR0wEugDGMPzGWwLo/ERxZo8A90Xlg9Jo1VBY2py7Umx
YZxqq5AnG72LmYCJH/zcQIFHRuQVeTaizqmE5MMUJLlHDwGuCe9GRIf8SDH6IAtfQD9SUhyyvAtH
KHFkY2fPYoSOoY5nwkGg6ST6BY7spz5J0OpI80GqOFW7q+CM0oUCNSq8svCKxavu8rYLR3kc+l4S
AD1yBBCGx4Ud6zLoNA8meUC59HZwvno1LNZ05LIo0qJnyeZ/caIVbRbCmmB9tDmmylVOJeZPpnpx
2TAWmKwvjNWuhpCnYOvB/JVssq0/b34rgbCrXhPnc7DBB2GLLoqUfswZf7u6Wv8Ugf5Ws5ZL4ixv
ANO4kdQZyicFRl3QIx26Y1u+gqAd6C5q5+2mAgf87e3kmWQ+XpaPKBPKKKhE088MaBuxsEsciAzz
HR+DqTkWj7vm6v3PrJHZXbmfu6FAv9Sm9GjKviKXeC8Htxd1Pa+0GFlEszAxBC4ANtEc9VgX9AFG
9Bc5eBvc9DXbjmMgBem2CNpNveHYu0q+GHtMvlkXWi/KFewNvvQkvQ1vsvOYgrvble/vxjv5znDF
wHA5Rq9SBsYok6aARz+NAYxFLSxK3agGjVfjztZ+6CEEY9i6cYoFsPz3iZ22rlhztnjtGGIEAm+G
RagFulqXripFqZ4aDVZshIc6P5ktp8O+vqN//z6TD0XDAKGhHH9fmMAWoQzeZNrifMh4lBG8dSzn
4+zI1boSadPijmWT2bm0CaFKxvlOnKWwYlGN2gsEeYBgo+gFPYKfycN8N2y+MA0afxd7KNX7uV+9
1JwNvCZs/OMe/+0gW/VLQiuZ6QizIAmaHh/yb9FByoL0fD++/5jcfPtiubnGCSd/Sgps8MToCu6B
ZV4PuIHL/exFSFWj3y7Ys2XXO+1LDqbAPNTfnft8DyaC6RTjLECqwSYv4p6rIno1crqs+cw6E0Br
qwWOKsSRmDR7jr3yFVKtjU1DTwjkHzHnCPzh+Lheq/anIAfUG4tTLPNEQo6ItZK7+rt+lR30Dff6
VgroY/lGd40N7N0+FW2ez16XlLDMZd7DWGgscArZkhaZ6TxSLJOmpa1rGKW3I3JsFEeZtpXmkvBY
8zAiq4uFGC6CKuQYUU5jbLYpmMgrAYvNc6/3oIUIWeug2GuP4Mm6m3zTtx7GDTJqj4eHWjs+54aZ
2Kq3dVcPSNxtUM53oj1Jzyrw1rXGieFrgeDcDBPQ8C2RfMowI8rvBrTBucJOq3nFuQUmpAkG1KxC
4NTBqOuAnX1X+ep9Z9vRXRu5um3aL+2mCB6UrXbPOxcrW4h5NaBrVLS0gcVn1ibTKtbmBqPCdfsi
oaldu5O6pdbr7UC3crPDCi6DBU4GFjXm6CtkGSJrZsQ51SvQhIwXlZ8m5oTTle+EChL0PjCCJwGA
zgRsMWwMpS8oDp31YhkPYswZAf7DcHxxqlGOBnk1hu+gGAmYGpMRDVKttUjcY2cPmjkn2lgnxTYD
4oZ+bXd+sk+9bp8/qE7kUQcD7a/3Y6AddWSFhZ3ftyfEmn3oqcfjHIDSeCvbkfuScfbgaqeZn7js
0dmlFZtJJ2AQIXZU4ZiO+1T3lPBfjwNM4Bui5Q9qZtFi1UeHCJOJzVjEeMlg0vFRVTh/f3E5dpdB
4QWOKPSAwMbM7LIwiFGSj2XsdMq31DyN3W6M8VBx44Rj6Mr3l4WcGWL2KrJCnIuoih25nMGsskuM
n2rmiQ3nk/yZnmUX9CcXUlDCAcaWOWPZjBqxUvZYkKu/UtvwqrvUU44/KxfgMycKurtkNzj5NrbJ
UXvIHq1t7iIDCITn0uOhNq7OCEZtQKYN5DcA2Wj8Mb9FyQsxb4oRFFjyd5e4/cBDca5s6oUBJpTl
HZH0CWOVDoRv59DH1HsFFDsP4LXiI2jBwvc09IgA1GCOehripa11i5X6kIWtXcibDlrZZob2mvuP
sWvZsb+mdLbASK1SkShM0fleLYO+3Q0mJyFbWw1ergqqwgtvC3tpZ2Wsjj0o6R1J/VIr2yz2YYsx
WGB6Uo7Lr33+c0vL1zsLD4Wso6ikw1KpAUBUAA3CY0a8nk/Bfp2bYDzMAgGeWFYq9ss3ZDsBDb6H
qpjXRsEk2wLi5vzr9ge6ftIxFhmXiyzgQDMKi43gJ6+CZUOmyyn20V2NVEv90kyHN0Bx3UVgTDL+
1wkzrggVJvtdIRwq9M+d35ZDHfEtySFJZ0tgBXSn4PZCV2L7ouEJJncFYRHdn8uP143jkKqtFjs5
qinpi6p7pOHgdv50VplYBRuYmAS/98J1ytiA4NI8FBQUeSjbHiGTa5s745Q/UhvVXZ98625kQ4QJ
yozF8VvxRvsIaLBtHnP7Y7Sjz9vrvX4xqGAzOvsxjLeaTd5qXWnEkIVEWdK2YleFXokLoTgn/uy8
0C9ssA6VbuhAMKe0Q859vxLKLswzngwgcWh2IfYiU36bqo3SmV2Tx7LlwdKvIQnMOhkHJmkp1y0k
2Z3JU+zcbo+ND2b159LJH7uNtJmDl8FR/cxWPNXtjlZg7foNOmX/ygC5/AqQK0FvAdcuCP0v3cs0
x0VswUKfQXCJ4hCknuYJQoe3P+pKBAJ0ACQTaGXIkGdmrPSJIif63CeO1gEb9pzkL7f//vVrBMs4
N7D8gLMQ10RAZCUdDHRfLYIcpEy2yT7yzG38OR/FkxZETh57nrXl0YT8gQuwZ+fc8tXZSWq5HmC5
9crMHt7U7z6YT60dY8TxIPys79oE9zovg+dtKHNIBrmH+qEEq1Xqt/l9V33f3tDrUwAMH3Ce2FbA
Pq7SvSQeLaVtIiDzidxtoPB4XJoi/hBWEFkQOtO/bW7ZpMtNRMV4ARnDAcGiwaqMDDlpLLPG7E5Y
3M9AmNQPPa+wuRJXYENB8oer7s9U2qWLGF0tVMMfnsmf9IQBijoYfKTwwyYKDMtBB9HzRneyiZO7
vHbeum28hQAqhZIVZPQubZt6Q6XERAU33ZDepk+FD0oGZ/RaTKo7glO71m/Ihc+HyKez3e57TjK6
4qRY+1/7bMlJJEmlqBT2eyd8AElPg9vSdDEIHIzednbG2JWcp9ufdOVIXtpknn8JRcEuVpeqFhS+
t6g67ow3obQ/Uwf0r1i8C5FWL/xRHXgFgpVkBG0ABDTwQ6kg12NrkZVc9pU5RSCST34YoSNC3WDY
0CjQoM1RCvcD2IlqaPPoIiqhnNv6+lGPLgRua0vC9BTY/9irFOqraADNoCQmd4pLtrk3epaHCwwF
dVsJyHf0bBzAVjXZhku/eqfnKQ6v3OWXP4CJDImlg57CwA/IbZCqbWYMwd2Z393d2y/Tn3bUjfZ0
j0EyD+M2ECjZp88q4MGOuDt2s1OHNrA6nNi/GkrOdoS5UPEUo7NFwN1ZT57eltDA8RNk7JHAcfLl
77AxBKAuwMRNJNPonV+esTab+7DvwxSkaycpbjGe4Y/VfS+3fjV+3Pbt5bhemYJCqw5YKKZoWHR+
WmsAVKswZZa99ZAWIn0Ys3Y/T2mzKYc2ceRp/FTaie5T9BBv276O/Igh4NUGpaShA6bO3DdjpFCh
MbGd4NZ2QqPwWh7pxJJ4sKtT8QhG2QNThxhDuNzIiNR6VugLF6nWe4aAFMzo9mmV/Oig9zQAzWWg
4/s/LArtO+C3kIBiaZcmidInEPtFPTyp74lZ2R1vcmT1XC4Nwv9ngTkWWTZXaT/AQqwg7mIEFbvX
uePHbEOhOPdA7eUT+zV9Rk06cn6JwHRwlrjmMwBxIQlabgBo6VwuUTWhA4HxHTTxEmSzSzqtnqL7
0eZWoVcd5MwQs9JaJVkmJzCkPWV3gBhAlxhgtX2yzZ0f8pfsmyDD4hy91fvlfHHM2UvzYtZaHTYx
RvYs7qCQ/d5jP3+bp8Rp7NHOP3nczWvbiVIGWC2BrwXan9nOwZChPb4QImi1hoE8r4hdat1jGEkk
gI6M6Om7t110+YOXpwIcHwsFgQKCC+C0GYNThSEL4DZTR+5UVy9fch01YZPzUl/ZyEsrzMcj7ai2
ot6Ak//VulMfQI3lh1vlML53eyhb7YbHyZ45r7/rnbw0yXy7UJQSw2qBP4nIRkSJtmkP03iodSAJ
QOAkBZbi397JdYOoF4EhACVbNlBLvZ5QLeuhW/M2HgGmukvv553iJD9um1lLA8BshyI3RtwxA8AO
6lVkSkdVhR0juUvyXUhPGahzZOkHYEQ9QGkq5NQdBSAI8E1zDvuqs2DcGLOV4PO70qMs6JySisB0
3O4K1ABFi9gxj7NnJcPClzuzwjjLQIxUgxJviqdH781PaHH5ya76Ad1xMOo3+2lbP5EXYbTVR96r
h7c+xmcGtZgEXcRhgFY7MQI82W254/jldRy7XB3zPq6LZNZmDTYoUB3F0tzqOUeaZ2Fx1LNHI3Bv
VSIIsIDPaIdQNxs0TmC8HilbmIHAJox3DfRPrsDmeWjJc7HIV0PeNUgewePt18680V998L47w0F/
S/x4B9yk3969THa74fyA664v8wMYH6FaYpZ6hB9A3UPoWl/Jvtn+Tu/0LTmCrMjVC3tXercP3ur5
Plsz4xwlmJ/0Mh/RADHJM7GIhhYh+BExEqo7BuCTQLJMjwDEfohDur1tmrtcxmlQZqCdXsO2fogH
G91160R8PUgeih/aATUlEKkBoOol/r+jL7DRCycuSmgQNLgSDKrTsSXm8qUTLXrITcWpreexrb2E
VHdDazgFFR8a+jl3r5VJPBVyQreXvnxI9n4CYhQDDUut0GBpwKHDPMqNhJXnREoxAW9M4kYdBA26
KFV6Z5ql9HLb4NrpAcgWZXgMQmOkZokRZ6dHt+ZCry0suAYbkUDvhvLXbQNrQWZRYVYwjbSIcTMG
UlmtqahARc8I50DD3G0liH4UmZwjsmYGNkBljhlTXEqMGZqM0jK0iFgW21IK0qriNEc8FZnF56++
zpkR5hjCNk0qFUZi5Ssx/KzcZFqFbuhz27/e3rVVPzizxJw+YG+naOixaxXFWw5AzhiEXzIw50r3
ftsSb+OYs1Yqo5414FFwOusjijZG+mQY3m0T1xMXy6lCaQhjThg2Bnzr0slUPdJaYQlftbFUgD3d
ze+E39pufO73vMx5LW4tfRiMBeloXLO2ZLmu2wQAX6cIP4wE9GGVk1SVXYvgMvtQBL/mlbrXN/A/
gyyK3cz6CvO9MCiXiqdTPDrAwp4nvJfHaiJ0tjC2upbSRJamerGzA4fgc0tc+VdjOkOA6j1mZojb
+Lc/27oP/l2YfPnVqlKTGrlYfDD19cJTVbfInhT1f7i+z5elXFrRoDoCahBYUZq3nARDxekErAW4
87+//PtZgDNQsaZgjgNuj4IVE+zihJcmrnrckp6iJ4timcZ0GQcC/SWoYiCBM56aDv0O+tqIqm2h
7SBsk+mHiLfi7S+zGodUIITA9wnMLKuwGqGxEqqLkqMl3SXhAKU+v4hGe+wlG5Nnt22t7t+ZLcYL
ZJA1aNqiTxk3oy3oD7nyetvASkMO0eHMAuMBhTkVakNhAQLfE9lVzVMZPTaqU9RBDwlCCUQ5Oyny
MWhvQ6G44L1B1w8W5I/BBQIk1NULIxwxs9CH8EAhlgAbz41helETobHshpgl3qFhAboOWj9mhp6f
9ChNSwekafEBctAqiBsgdsvZ87WTd35nLv9+5rOiAmJNY9lzUMvaPfi8QMTfkyc15pw9nh3mlpFK
CRhvEyElhL8mkG1I849a6hxN59zOa0fkfEHMJZOYod5XKKw5JSZLiPWBTrmaPXXqqTfcokw2rckh
G1wNygbIY6H2hvlZNusw5Gis21DBNx2eiOy1466zOLcazwTzkZTcmuokU/EoIMYx7UFUUJBj0fAm
Xde2DuzT/62E+Ua4ngczmWGmHbJurxkQlAwFaUdoorutRnamBZEtlUR7tS55/Barifi5cea7jU0l
TbKBbXzMLFs7AQ7w3kJ5ZCPulYfcbTz5EdfPhlfLWA1vZ0tetuTM/Ud0ALUBo0pOq0A9U/ab9KmM
A6CKZh6992pw+2vpT73xzBIh7WBGDSzF0DZsQJzQ8bRbOF7ChmpDKQ2IO8FCpuJ1XfkyRdcm50wY
8JbBxGiLSpUOOiPIxUuvmCqT6dPtEL36QRbcLyBXuODY5LogBJyvNcGrKItsUcOcukswhhLeE7q5
bWkFECIvXFaouOBGQPeHWUqaSSRT9BJJhzlBJWs/DN9ZiOGFowAaxa70RmVj5O9TeKi0e4nnDqu1
GBDZLaQKqBGCqPXS8wo1jeekrMGG82D5alA+zpsytdVt591NrqHZlX3XOH3rCJz+/doGL9Ls4CgC
Wx9aTpd2gW0uCLjs8QFJ+9HEgq/Tn3Flnaj2rKQtJ3CtRRTARU0k4hBeuSJixQAUpLxmVCdlVQQy
ap+TT6qYtlZCBGo/pG7b/b79UVcNAjUA8BqmiTQWIyWAM1yuwg7lULPcT+17i96ASY+xOUI5KHqe
88mFxgPnylk7eEi7IPQKriMLPZbLLTVQuTMKaYBRFTMGoJUa9hMXMbdqBK1odAlBpYQp6Esjlkl7
ojSoujZq67fhvK1jMWgjHk5g9QGFWW6wNAL2B/wf04VtRnkZzFjKAkl2mJrTjPHVuGmPAOx6eaf6
cR3fg+/8cYIuu5Vx+mSriwTViA6XgeAh2/auxt4SmxqHIkp30/wm6hup4UxnrZkAbT3a6sZCAstG
SUFBt4oIqIFahDgGxZQcIjJvTn0tSp4bYUKLns7o9xUwgqnJe1HvH6zi8baj8yww7qAoRQ4JRfhc
DTI3iZ60jJPWrOaqUEAFhTIG0eFxjFen4pREY4OXdGv+EMuj1e8n+UnoX0j8gMnm+CAcUAWfeW/P
tTzxzCr7womRYWXaUvcY0xmEUK9dY9iV6XKpGZZ0gq2vnNth3DxqxJGiDZtC5FUvgkSeHgb6o5mt
e33+ykXZso308/YXW3W8v/upsT5RpEqZlkhMU4h66QvPRf+Y/jPDLMof58ti3CKXWzlqQixrsAJM
d9ngbcckh8LDuPO+0uKdZ8lMabSjQg2YqfBSy+hk5/pnN24qkQN5vR5UYdazbOqZIXWSMJA7whCY
tJ1o+oD8m1QfwuoRLLCgEAQTgibj/ub1J1dOF9pNwGWgGwROC5XZRotEpJWXIJgN4q4rjOPAZZhY
PjfjgEtHa0HHA8B0xZMTauVIrXAxYdTHenlOV7OdxL2dE8WexhplpJ2hFO6oQXTyTa4iTvqz8gkB
WIZINXg0VBWzCpc7qw+9lCcyHmQimvNjGRD1LRZ/arxJyhWvvzDDPF3Q4YjU1ICZrus3YUdPnYpZ
roInG79ynC/MMFlN18/1kGCe0clacgChoW0AP7QoyRyaMrQtPKtvH+aVPANSK4gD0HYHDJZtSRJJ
EGvS4tlM9PoVSs5e3H/HYRQI4xNcyqblp5WMwW2bq2s8s7n8+9lZEFRh1GqovOMEuM381KQPtq1A
oIF0p9uGVr8ZskNkM8CfSSwBctU2ebTIyTvjBCS7GftQQd3Vc8TJRHlmmPUokPQ2RhFmaBfU+j1E
6TKe7uBKsgseDgyhyCiZYSHMOe7CGqSIpo5wOFpQufCsBtUeG4SDdsdrrq6uBgyNGmbbFmQpc6FA
hwBHajFF49Ht9Y0CbYOM90peN4KZGuQvKMiwMyJtrhTGoJmoNUDqJ5NfJgXkwxHn5l/zMwigY0Ae
KbQMUNyln0URlYUI/AmOSqQgjNERICoAcOrkWoPldMDQ21ZSbv7d56BOuPBoIvVDk+jSKMHE9ZxU
wI/GHZhKrSavXcMaRj9RZs7y1gLfuSUmIs2zoc96iuXFFmgWevWuGKxtBDgIbprtvy9KBgDEBF8R
6CrY+c4hE8LMSlE8rSi4ykUSNET3psbi1J3XvFzW8fqAr+vI3ZkPVhu9lZUJHv5WWoDtNFCxi+Ze
N+yJ+LcXtLZ355aYex98hnM4USyoEPyZAk5vfA6WNyhPt82sXb/nZhhnkARZjLBcmNHmkzFaQVny
OCfWV7IA4nCUNJUN4CBaMdASRR0jL74nipLdD6P3Rt4c1dp5RcX5PytMiEtSSanjpTbYV/dlv52A
YKWcW0FeWwkY9/CeB5slPj6zWRWI50Boo2ElNiLOr+oueZx2zwImielG8xvguIwd+rknqOkcI1/Y
P4gALec/bn+xtYWe/4jlR57dTeDAtfpx+RHddKTaqwCgucjTzuHZWI7BmY2Gjg1uXNgwVV+N3kaJ
2jGPvXAt9qEhb2E4WjEAvGM2k2ZySg0Td1JC5s8qj+8GBQRgCvGzBR9Xm7YJpKh9e+/WcgnM/GHw
dRl3uBrY0cqGjGApgs2hciXxSHBt1HlpA07v6JXXy2gkObdNrkWMc5PM5xoqOYsqERGjzo2jCjoa
ecy/hkrycsv0ByPnBHfeCpkvpzYGUUIduzqVFYCMKv0IK6HdZkP7Vg7iu2gtDE2Qjc8hqMvZ3PUP
+ndzmRMIesiUZhU2dzZA/SRWKJpopji4YIb4oGX4LpbSAbPNHCjS6plU0eJZ6lvWlU49OIXlqRKW
iDzu8XhRaApBQ6cJv29/xrViDeCFgJHoMIaHOuOuKq1LCp4enH1ZP4ip7kyZ7oI0NqgFss/T987M
txqNPC2aNpHWf902v+pFC84C1TvImbG4Xx0UGw1Az3hClF9dmsNxEl+OBlysH7lAOB9ydUvPjDFX
DyY0krBtDZSG5PCx0l/TOd1aLXiIhf8lt8ef+29ZzKZqZd0RvcGyplh1cO3ujcJAdgrZB1qeSCe6
TdzZ5szjUVzrgAC58NcucygL/BOmq2A3JtVGzhqHaL2t1Zg4sbIDnSYnTqX7aCgcmYibsO+e8ko/
GQkIm4QuC+q0t6WBNwSz+ol1UdVBr4rqJguJTKch+z/Srqs5bp3J/iJWkQDjK0hOUpZsyfILy5Jt
Esw5/fo99O5+5mC4g7p3X6WqaTbQaDQ6nFMP3XJ8Fi7JaOdg3Ev3ApQwpo/rxrR5UFeSBO0Hq3YK
LYL2+vhdx3xbekhRAUCvQRDmwFKQmO7mXbKSJnikYgLgKV304hSwmNO3AJVPDXic13WSSRGcTzQk
hmKkiyUZjA++btQMMaFEyKZzXamy/H91LdLW6CINDILu3LXfqNPeRp3p9cFrUEe+bnKfRz/yPPeu
a7ZVSV9AFP7XMMR557iP4qpcpKIzd0c5P2pA7NL63O+t9oAYHqn92JsrUGr0FJTNpW+HP8Cv/Jj+
Y4pIPITWHyK8uzCkZQZjhg8JVOLpEXFtcOqVigyEZyskxew1nicUY94AOj1fZSsFHamT4OUVAshv
iM1DPKf762u6bS1/RZBzEX1dcwy5wMM1fXiKrejW1KPXYJ4lYjYd6UoTei6moG1htxM00afwWDfl
ndY/a7mNphUpx+PyU2KOC2EUUXVMcKJLSlg0QCM2Co0cRIUhhthGNgPspWEGfbX0b+O864IHY2A5
OIO6zm+i3fXl3KrvoYn2r3RhPSPEy41eQ1GCDFehP5nRKbKBPnlDaj/tPkx8Sc0wQtgT9LwN/nXp
m+5sJVxY5cYaqq5eXuoFr/Hsc2dzH/LOC7OvoE7XZaNMW3nSM12F2zEMozLK8NZ0o/ne6P0SzfhG
vwcvPOKqZ6o8p8QbY0kpeNOQlibl5UBQIt4NipMOqlNAZhlEx7wGfiTqh7mt7DuoeH01N68hkFMD
r0UH75d4+vrJyKaA4M1uRMCHRZyqdPo+xQtj1r/h2jpel7al2DK24QDSATgxYglsKkIQYusg6cQb
ASSOSfoTyNu9S0ITvNTE+Hpd2lahBfU2FdD6QIDCHI5gKmEBtEjVgDh08oEMMylv2wYsREYbjsc+
nsx9Z9LPllcNG+2u8OiIqcQymF8ys5RhAG+5IDh11MRB2gISFeFTSNbSEVEWhhFT56R3latX1l0q
fWVtmCvqb8vTe6l8A8FduLPaGIxhNu2RyuTPdv6j7J+KEVicgLIwURn2GwVIQzIAqstdhUwk6NBz
TTFUJfbpKCD84kUAmTHoRpoXDjrZwjwWQyCxVZmc5f+r+9giXQwQRCT2J7CzdC9TvgNYfK2/Xbca
mZTlxKyklPFgmJENbYwUMKE2oIO0F11FVfbLdTmXFrGsGswTHccL9YNgERWPilZtF23Sl6F/ytWH
SpdcSJeH+1yE4Lsio5wdZxExWh+hddRqLyxQSv89y2oRl3c4RrFUIOtgtgfNd2LrQ9u0hjItjdtj
+RTWzrNqd5LM+aYEzJLqyPYtk5CCXVMtjgIeoCzQ1W4bv+n0H7tcaID8KGht8bJEAvh817uonJrx
TwnA+trQHQ0KlgQPOZcNBW9Z11qOELiSMUeX2IAEnJl5YYoJR+trmKIkpUv02VovFMAWKHfkWlBp
E/RpEbiVJvJjtfNAil/pQNzr5vsn+3UeguBJheTKAhO1wFYI9muCAF0de4Tg5S3mOo7fCdBKvMoP
vjf7yc+Yyl7vyInuDB9TczN7y9Dp3J9CDw88hicsejR/BH6Iave0l4V7Gx1A+DRsIjh8kfTB0+9c
+RozXvmUI3LtjBIw9l9UMOpEVsbQws7q4s5xfutm/NRSEFPHT2rfHFAB+tIR6qla7ZohmLrNSvZi
2TiLBprZF4Rc1LeAMiR8UweYJIsgBg3M9CaYu5uaa3taGbsJx3KaZeXdLXEATcKpRJIUFi0sQVGk
STJYsLO6mcv3yQoSm2UzyHvcIk1BmRBPmj64cQewvhzMYSHT9d5i82gNp7AKe9/p5nQBM54K4E93
Nhre1LhvvoIGMX00il6XoTxtfS8KSSZInHT0jojdaQFgnpFox/JMeOqwIFE9MD+ebF7cjkr7M+dS
HIaloVs0X5RgwPas45SgIn2+HxOoqcbQXmJYpeYMo57eQLtbx6w9a568unKQYcp2SjXs0Voo253l
x8+Eo0UMVL8LvpoDhf8Y8OqOMZSxzqyEowetbxhuM6N9VC2P953XNV5UeLDbndW+8rD0r5/ai0tH
ECy6n65SFSPDSH7b7Ul8M6a/xkjWonMRoAsyBFfd0qkA7D1kOMivYrA0O2bz3g5yv7bIbjYltc7l
164spdj9aUw17/oR0jIbsauPl4Ca/1SC+DgTsOY6N6OMeuRPH9M1iYLllHapcF5j89IjYN7JKcNM
92174/gp43cNZq0b6j5Pu6/pvj8NzIBXvL6HF679fH2J8PoynDmIygQaK0nrhwDQb/PddQkXh/GP
BPCAELxB0H4m+Kq+U4BeR9CGZhevXXS0nJu2eo1S36ISVWSCFlXX52BUqiILIKicdtH4Ux/v8xG1
XVR5/zH0haCS4A/NfsiiUYckZFTRYm1aoOy1WFFISqDbewM3aqM2iRfHovBKoSlGjgNpqcaNG41l
8C627Am1fbr+ShBO8KRGZLZNWN+sxWziFRt4AfAJHUN/gPcMDa8ZrO/XzeEPPOilxf+VKZxo24gi
p1Ihk+fVW0KsAklEEBCoTpodrKZEUhGcEQSZuDiZ3nmngzeqyaobEwC8yEJwhX4AW7z5RJZXua0B
v3CLFrHyu95G6XOvxPod58AhAg1tzw/Z3LReXMINV11r/8ZDOHjtJnX6QN8mEC+rUQdLRcQDrx4r
coxImX7apZPcWX3Y31kTEi9cNcfXuG3vmpYb4F8sdJAOOpR/9vZUHu3EMQ6z1ei/IvSZoDqTZJVr
KoYf0/FFLa1sD0iRFwB7OAe9IIZfK/yxcLhyvL6km4ZPce0AA8lBM6jwlFFyYtUdyRswOb/rFZsU
zizK9OR2lM7tXVx0i+WvRAkmadaDYysL040Tk6OJ0CuyD6Xzruixq1mg4CnBWOun/3hYBFIxj4qL
HMU+9AwLZgoullhBJ3bjTmgJqZt0N+XoekGltjbyfQR8gylrkMlU3/75uqLJYZnyRscDJv7Pz1/e
91Y3LWQgCLbQ//XUG3HC7LL5iAPnTtVkRc2t63QtTvBfQWQZijpCXKIusDN+Y3+NW1nL3NaJXwsR
XJdV285c9BASFr/ygvHE69OnCjwdaXFDAlPiki+TJsvOwe8DwRotShekyjydh3J0ysY10eWYBj8G
m5W149GAJRj1VChrWubkE3OmlgXax/X921xQoOAt0hf7EfYvVfQS41pt41rkJzhnXT6/tZXEnW2u
50qGsGlVZtA6GWtsWgR8zHk/hMSzYoQN76T7qcvQ8rc1Qh8iEM904A+IvpMmRWgMOOk5pUyNLF//
GI1CEgRtXTvL4/V/hIgUtgDXUME2WzRuVTSvUQ5CnPofT0otZrESIUQ9ZjkreadAj6bkfmQjjTS1
rtn/vL7/W34R2SuiOShIL/Ru5+fXoa3DeYy9wRAMZg2IGcMEYs8G9KPVpxJT3zSElTDBCdOWzqRI
IMzpXwLzUbNL9IR+2CkyhNYx+se9f1hAOHyUORYgEgBbnqsWdHlpBRrmTigp96EFmP3R8HNZL/RF
fkGQIgSHMfpVCqPBASqc+yBpEejsEwJ4f8k5vayPQ84S5fxPoCNa3BTMVm02CAny0FfKPYDF0F7b
Ia/7DUPajnI7F1+tyXd6mTPcOk5rucIq5lMEvp0CcVwezOjOV1iAqyuRZTRlUoRVVKw0n4sEtxeA
0kC07Qb9Lgp+XTf17SUEFiB46DDjAm6xc4MIK0dPMJkNatn4JZz36vB1NvaJFoEseZ/xndJ81NFX
Lmt03DJ6ZET+I1Uwel0hRYPZg+WG/MGrV446sN7fKP2RJi+JIRt83FzIlTQh+EgtjlQ4pp+AafrO
6acOWsFZGuEse34Rnq6ELCqvg+6xiMPAgZC4fAq6B+LcjyCf7EB7H3kNxurzwh1CLylltaEtZ7WO
rIQNLCMHWGYtIiurDvbzOKLMEN13Q3hfW9MPq8l21w1m66W7diDC3dgN4zzpM442iGwPaYuCRt+x
mtq7MsFwsZWzfHxQtVbiJLd2cC11uXpWi+skQQjm7kUqeXe636Q9EefLdcVkPktYR2Be0YZoENG1
I3hInCnCYAr4kHP9ptGer8vaVAdpd3T1AaEFyfdzdXILdFy93jfuAO+LtpDToBvvNZcN92+qhOmD
P1c+kn2CmLItkGDrIMbAe80dbeexK/XfNCz2mbRPccMMAbRIlnsFZ8m5yHbGXK/ypK5dwz48kLp0
h/6echmozbLPwiE7kyL4jXzSi0gzmtpN60M5t6yWhWUb5g0B5gKPj7Qt0vznOzMBtX5KAggwQIoE
RDk2a6BwBeVdbTA1UD6jBsjMdiDJk2+4Q1RfkCbXAJ2zlArPpTpBBJqhuq2BaoKoCaxyo6k/WSWo
APLb9rY04qfr9rdhGGfyRF8VGpodKJCn9DvasbgB/Ex2nJtEotdlGwlI2NaKCXFnHplm2kQQpFVH
0E9imKc19ygjJ84ryNlJlbM0OYzx3pjBJtthulKf2XVVN47a+gtEpFs8jIyhJPiCabpLp4kR+5Dk
h+syLuud52paQjyQhR1eR8v+Jcrko10FrfUOUBCa28ZBFsKK/Q7eBJAQLwWePBIF/w/hoDFHWp+g
uVE4E8mMVPFAUJGiCEYMDBkr9i7lb7n+0gBeN7COaCxn8T9uS/qj8l+pgskqZUoG1epr1+p2Wujl
xMXjcAcaMRQuyixBTcO9vsjbG/lXoGCzQ4CRSGWGmsAjrOwHZwTOlOQBs7mUQFNFBRnlQ9QtBKUm
3QrKsBxgrgAPvx+daPTUagJZp0YzwEnmJQMfcwcIeoL+Cx3Dd71eUImeGy5ueXgA4wLkTcs84bkv
aCx4UdRUGrdWlZ92WXlhgxHQ62u5JQNNnQtSCTw23M65jC7pm3ZyTESWZV8ydJftDEvGcby1XyjD
L1WfpTwn1lIys52UZJhr0Kpj/D4kLpnvo+LHdUWWxRDvg7UQwfaVFGMEcz/VQHgJ3TH5loKcGqh2
ljvU++uSLst5MPi1KGFfWtWp6yCFPua4wCmixsyNt6h8wXQTQM8YOHPT5C5KP6i6n7vDAJxVyjj3
iPV+/UO2fPf6O4Rz0HLMqYNFCb4bI5Mlfc3VyUPsCSyUUWIlmzsIuk68gAlwDMQ0SEIAGxRVBBpT
cMUWu4koblnsrqtz2Ra7rOtKymKrq9Aucsoo1VNIiY3M0xpvnD5s9dSrN1G1D4wbdKvvAnLLkzvN
csfu3Uh+B/OHtJtsWbULQ1p9xbIWq68AmqsKsBAUXin3rQnbWbioSrI2AlFijfyrrN9wc21NVBrR
iqMt3Xrn8jDmE6SKBXnz7JRe2hgoTlnkh9Easlck3TjsKGku5fGlPo59PBeVxlWUlBEWGHigKI2P
nsFQ7nMTltwnAGIHHDAwyfkJQ5Xp7/ow7fht/Par9LMHcs89bY9L+Q0DR7fqQcafsr0G//kwKqBd
ISdcdSNACt3KfkmCiNH5mFBJx8aWgyBobFnaQZZMjrCvMwUvdprT2s3q10qFj4gP7XQyZl8jleS4
bK3zWpTgi/jkaONMoU7b+CqKLgmR1TRlEgQXlFVtirF5SCgyQINqFUtkpbDNG3CthOBd4nHMuN5D
BI+PRn0T6f6Q/YjUQ6z7nXIKmlttlBSrtqwACJnI42BQ2kbG99w8uzrPplhbrEDfqbZf8VtHJuIS
7Bs+Bi2qyOYBJh2ND4IVBHqEFxDgNVywPJwAr7F3HK/55HvQXHa7kmXgjgkYyqiZBcTVwpdhsmy5
7LV4wTKUIjPSaVGRlzWgf0e8JJiln/gsiV825eDNsqDd2BhHFB4vtokZxIZDzWl8AKaTHn+YxYNB
Xq577M0NW0kRHLZKlAGEXJASxyozlYMZlm7T7a4LuezuxZZRB7QNFlD10Zwg6DKQtLP6AvUGx87u
FXVfo7/Yfg3C125m1ChuEucxg3wdvJKp78hO2pZ4EAgilQ0ckT9MaedWmU5mGGnF1LhkfGj0wRut
Jyt6M8ZPkn9RKhbNXmOebBwKisYmiSPZuIsIQHVw6wLLGWiqwolAY5aZ1D2IQIzIxlyRP886q+3f
HfcbdMBwGdfKhtWciROOvBlNmcrnhXdkiHeBYt9RZWR1j5jekGEy/XHpwjVL0M1v48rDCDJSH+fL
Gtl6XwdO2rrDqWDRbnADrwBHPUu87lTse/RRs8L/sL2KGc8YNGKWG4Mf8TPzklsKiinrXYaPt7XW
qw8S7yA0OevDrOOD5s4l/Bcacjy4ughcv314V9bTv3gQYwEW0gEwpQJwUTDrPjQK3cohT9OYwxQ3
0z1o/dl8iw5Owt6HjBUWSyb3+mn6M6p1ue5/xQpnltQ9SgINxL5mPnBFw4p1ewBOs+CoP/Lb+eDs
ehANj8zxne9I/YLIyzn+aA4BsNBZuGs+7ovZa3eTG/jXP2wr+sN6YIIWTO2weFt4iYQtV1GrxIcF
X5VdeYvOvM+uAgVDcBv6Gtr32cRwdx9lfXAbN+mZWHJuh0GYKtpMITZsKNNoz+y364r9wWu6XPG/
igkbTdXB6CsLEsbP3qMH3ef3xX38rfnK3eAFgwmw6xf9W4kwDD0I3inyE/b7//kJwqZnZWKEaZi1
IE5rWOe3H9qt7hVfH7O7z/fyztgPbwGGin+AjQ8MxNONDEd5q0XpbJGFW9chYYjaKpZAOdyND9lv
2y0Ohnmwj5/fir0aA+WQKd/1F/vF2VtPE/t5Xf2tB9uZ+MXvrUL6sUbzkM6hvvHwYLvmvv/QvJEV
LHz61NzSbX3q1iOTNdVt3I4E/eeAfQOvGQBVBQ/ngBelzOYEUMuB35Q7g3Bkx1N3ND0URtX2TglP
KEmpsWu3rvqdY2JcVnzbvLswGIPqCoDH0XwvrPtUWqVpDVj3ucWjlIKnD5AlcMro9t9TeiwcsLGz
EJA0WX4/2/el7N24daEAEwEjq8AXW/pfzxdeGclc6B3kD8aNHXthfMydEPng1+sbLBMjnOEBk1yk
UbG/gQIXVhW3AB38VOroWWsDSYxKliv34jTboLG3NWIZmIg5VynKo1YzFltyHgLQxET74Mn20+P4
xf6C/tlDfzM+K3f57xfjJ/I1O1wluwZT+KPbvMlO1bbHXH2KoHaNSdUhVLC6yYRj2+PtiCddvAP5
ZAyBY+0S1u/V3XyyjtfXe+ttsGSLAHUBAHYdj/7zRRgnTY00PcYiAJp4tsa9QoAXgin2YcxmFvHp
AQnWH21LfdLIqF63HDZS48AZxNHCOJIQE6VKTStAO7eY0rkL1F998Hxdua1juxDBgUHGVPEIEX5f
nQxnCJcLkkTTNILlsbDAvaaFaew2WSiD8doyp7U0IeSKw6qZqhHS0rbFaJW5axvqT3bvJlxnU/R+
XbfNtVt4ZfHKAvSmWG1qLC0cuqFo4XK4h1Lv7aimkpfHVqIfaJvUclBB/pNBPbeNMMbIrUrL1i2K
ifG+YHOAfrza9pOguOnz/BQMIVN0frAA0DM3nVtoKZJ0FABfhuywbjkGND5imGWZmr+o4ZA+C2nf
1S1QTGx/Qb3XneAmm9L9GIwHLSW7PE931vCigX8iU+k+7aZjTjRWAUyyNuJbMHy5kVIcu26AF/8e
5z8SFLWMrnTzBJiJ3AZ6dZuiqcGShGmbJ8xCAQi5fICAI1w7X8VEJ5ESqvhyrfpmDbeaw0j7Xtr7
LnrEDMGY34BjhV03jq1OK7KWuazm6po0A0Byqw1khk3CODpCcqq44eBnQLhXi4fRudMwIeJ06GLb
dbIhzq3wey1cOHZRGpAxniC8G5SvbROfTPtLo7V+nGZsDCqmy8bQN6OCtUTx6OW2gRGbRd0SPXnI
oUT5e4KEH8bezdBkQ+XR+qBiVJzqeNa2LFX3XHHz9Ncw3VjOL8niL1GgeK+sv0aIFlA/SUN1xNdY
ceM5422LzrbE8Mjoz0HiW8FjlX9TlYzlyVuV/lLsF4n8jbZMzEvBFcGhg8lezBgYiVZXEemw/uRL
jWgIE8l43RJyNExWWzsnQU+arIa7uecrmUJYqnNNK0e9b90mfYn6nc1P4A5iYJXqx5IVMhSyDVcL
+DY8pVEF1FBdE44U5nOi3FLRlpFh3qRVnJcKTAfcSJnNv/elrOC57Jewn2fShMNUB1ptgrceWYsc
HEXpXVa7QWB5hfkMOhiwS97pVHIrb0tEbhizrEs/jaAf2iP1PGkQW1o89YHs5gX6W5wBKyijL0MH
xOPQ7RNZ/8KWuweCLAIqeFfUycQyeazHfWsa6MMDxHtj3BOwIROMWeu1rw5HkvrKnLq6gr6XHwZY
JevkWNHDddPduNTOvkCwomgaqBI6WGlqFd/ypiyPTktqyVWyaTwrNYXF1fmghMXSNsn78BiG3DWN
p9oE9pGd7lr9XzRFQSWUyzBJj4tLRGS14tbKxhlb6XDVt8js2vxN4/wLBvp3Uwyr1UqJ8Szff2Gu
fyWKaKwI27S475aOTfTzYqjqEDShm2AS8N/sFfp3dBwOYKUJXl4BXdBQxGjmVfAkY6Uyf1dVSSFw
w6lg7f6KENx6QGgJZOPliRXnByQUmTnulraDPPTGCPybyrfrKm1axjJtvIBsgw5ZfN6DQgVorxVU
ylmvUCA2P9R8b6cuzSfvuqjtw7aSJZh6nztT3QyQZc2F+ji15Z3DzadudvZlj+5oSpQXovMGlBYh
goQmnR4D5Hv8yohOXZrFD0AJkvJrb1xcwMb8q79wMpy+HHoHM+tukMWvtGi+Z2p5n6bJZzC8Ziic
JUHgDUqwN5KYzXqOx374ScxQdpdshHpnnyH42wKMpLG9tIk3+X3vGCetAXHb+Gp1Em+zLWeZ4neQ
Eb4geJ0bUEtMixweura6t8LkWGDYStpdtxWeQKG/goS91o1+5LTDuvb2pxp1e3NqkRINMJ8b5Qea
voPG5aDZI6NT62XNW0P6x85w3kqssJYn9/GketzJJG5i83CtPkrY7AKF71GN8FGqwYh1qyNObOx9
Zr0GjblDY7nEXWx6pZU4YVMVRemUmmCxuwm579Ybe69AP831U7W9o9jNhQ/DhCGfh72DOub1GKPd
ryrdyCp3AUZMDTRfJZrkDtlevL+Clv+v4usiNoMeYOpo9M9/6kAis/hTZ++M3OumTxoMkq2SqbWE
Cytp9RA1HO3dOBCU4uXKVKfZK1p978gQeZcfurg6nP+oJV4dRbYATGRoW4/4e4Oseap6WZu5rfFW
RZ5lJzejDB/3D4KDKBKN8hbQlAH4aorXSBKgc/FP8/+cjYexGpmGNoAc9FipXtwndHQVs9zZxs+u
+23kv0gCZK0MJBO545ldtr9uPls2uv4WYVdng1QJINqxzkOcsxp1d2+oaOTpPEoO10VtbelalLCl
JaBD7FiHqGQIgamnMQDNHOM5c4HQ6V4XJdFKHGOdunIkI1qzXUNT7oCTtgMA7cG0nq5L2bzQVhr9
SRyvjBRWk4J2CmICJd13XH9TwNJBjNZXQsrSlriJhk62wdyPFmqZfexbHPU2HcRCg+1f/5at0wmv
DtwZjEEjVSok9mx16JTKgBk34eCmRc3M1nIbx7gd2g+ujS9DPsvurK3QAaAI6EiwkUmj4gjGgCil
jmx4UzrRr07dcdYUINdunLzyKkrAYBFqkhBie1//iiTnXiEoA/SmpxBp2ZXlhsps+zUfgK/ZG5IC
14WxImlB/5SfHUxPofxxLqlsR63lNMR2WuNx1HzUMv2xf4YXv75vl0luQZBwKlpQ2AX5DEHlLf1Z
7+Zv2UkHMTKgmAxf3/GcyUKAyyaCc4liJynuCjBpq5CoTq7+vTgg6/ow3YXP/SFl2d3oaq7h5k/g
Ef6qTcw6lRKPcxkaCPIFU81jLVA5OMPc6Kg8OC/ha3qsXmNURu0vU+jP4FtkuVt9IfezrNfzwnwE
yYL5aGk7jK0WAYLORtoreYvyctfKJtovLhRBiBBR1wEfwHYN9WYNULZdwxpSPjdolgBAzWuotSwD
F0EzOBKXd5lPF+QKEdcIvZabBdu672/V+OCwykUh2GHdwMgDKv8ncoMmA49+uW7Bm4uKRk60aoCU
2hYJX8qhSdRZx6IGwEEkwI4uXgMZ3tPmaUS6HD0EQHhwRL4VAgwNpV9kVI7ZHwbD+ZXM2kOrTOUB
xPS7f6HQX2Hi+ejBGqUCtAj2SX/N2VHJfocyKKHLBOmyWSsZwhmwIgNNsxQydOU2QOncvI2tHhwv
dFeTU6P5c/kpfepJFtESrB90qc6kBZDpcJJ7dRrfGf2ks8QpFL+gpJd4tk27WKkonINMDfLRKsCQ
pdKnCAnA3sUM0f9vpwSTj5w4mq2QY6fsD1tH310OZmRJ1LJ9rlApW5ClwIN1kXibAcs9YPDZNZw7
RQPh2l2ho8efjfQQpEeDf7EUUH6ojIa7ynjQUy82ke2WQKdfjrctBrP6imVzV6GGk9NysgZ8xVgf
VcpIBKyM2reSHxEq0p3BhsAzI0wIyoBVN41mJVd4XkQ1WqLLBnKn+IWYLkkOc8k9k0ucyOaBgBiM
Ei1EzxeMk83cxUYeQI6iI5DQoYdm1ocgKDwCJHeG3h63UjVPaegpqh+vm9FFIIO1XcZxiQXgWtDj
CldwxQMDXW2QnVT2SbcUvAFQ8x3pd7OwjqHs/t3cyr/iMM5/vpXA7a6KiSTgAAHqiPWrHDUvDICZ
8wz+bFbnNSBrdlk+HId/wW250hOrfS7Y5GozEXB1ghy1QYRmHkNe7yzAFPdhJHmVXlZjljVFryLK
dSZBX4xgN2nXjF3OIctG2ZH1wKyy0fCWG6k3mT0zytFf/l439D7R0gO+1ZttSQi3vdCrbxBiOKAm
tDkaTWFTVhx8qQGfcZOZueLFAABwc7XEU0fBqGg42tOp5KR+yMZ63wLbWFZUXDzr2YPvz2KgOLHg
VQEccnGVq8OrRWmGDgN8iIoJ7KD1+u4QW59Ku0uMXagDHwugglikOmGjzH0tLvBCNHUsjIGgcRrc
M+eiKxpz5L7xLInC6Z4qlZ+ksiHiLRehg8kOox4LZ62YuSeT42SDWWGZ+Xc72Sf0p6P4qSGJb7au
E7SCOODLBgrZBeRjrIxUKcp6CTOMU2cWhwiN3oO0rLbcSuJ6mQvZ4TI1twzPna+XlZZcs2NEUaSH
ix3B7JVbqFsZbamC8qMzXyeUj0H4NXyMZfENQN9PlR44rpbRr0GrU4ln2nSLpgPzxwsLjcViuwBQ
mHEp1RlcU5P5AQ2euTUfWpB+KkPrJQF/0rvMN8bMD9Nv153iZpgOhAWAnsFsIV8wWpJkQ0+VFKLL
x9oc97zWP1IUGLP2ecZcrBZGv+ykwLjG137oWF++A4088oeaHBsjQYwG1g3n/fo3LQdW3BzsCWga
l/FC1PrON2eymqpqJxgzH+NT0oN4GXB3BmVBMN4Xeb8LEhn95ZZtryUKMVMJSPNpwvC6C0LzilGE
ao2avnMDzVhK8S8CprUsIWDSlBaJkAGyEgTSzgAMm/K1HCThzNZdtxYihEy1oUSN5kDIBPcbxxXj
IINyTgH6t3r/+m5tPYTWogQDKtK2iwpga6H6TJDX9p0UbFffgyTELFHCprBjZSdx+dsi0S2houPY
Rknv3EDioeRJv1ClqkEFSbFbJ+Q4OWCMNgHgsCApZw+JMktmMy67geHfLQDBoni5xO0iZGsadKYC
IHxE83v+prsTwwv2trhDDsi9UXx0mx6d29HT0XCV3ZXezIIv3wBZexxP/EvwrfqpS/Z4y+ejbQ6h
FPLB6M4VDEnJagPADnDIVEeLvmXf81Aar225YzTJYCYW7YG4X4T7vciz2TBS0HwGT/qztitOod87
3oiGMWMf7lCEG5ibSq6ALdtdNhVkbGAXtcRW+qJE2qBoAGSSm9ZUPmYTYMi8BF7T8HhaAn8xbI3n
pgFPuCSa2VIWmVrMpKoYpUb5/dys6jJDKKECxDabHhK6a/MI8bZEuS1Pgy593KGoQy/djucy1HYc
cm4MQNnsfijzfQiwCuerKeuR39QEHLfYMg1kt6IHRbPblOIqxQGx+UvX9a9xHTF7mP3rR38z/MPg
A7BSUVxDplvw1K0TBKE6TohxnTsj8s3kZsh3ExDGu0fV8AvNp3gkmbda/+W64E39VnIFfx2NWhcN
0bz40BxdH/GRVs9FpuyuS9m6h9baCQcsDvkcZgNWMbLQXFNT69ci9OBwHaQXZW7teNlpXpXn3/+N
XHTbAxbYxJ0s2AiAjyraLOyBM89cntkYKjSBdqo8BKje5ho4ks3f1yVuuZI//f3/LVEX3ipBm/Ge
5gAKpgUKhjHYVaUTKstPiJf6WoRgKnjd6ZUZQoQNesyyw8nyo/AxHN5K083JYYF1C2TNYlv3BKCJ
AWuG2egFd/f8sAVGaTTzQgOV9IVvG+8DQE3GZPBo397zGjRbegZUvel4fTElUsXF1HG/J30Pqfb4
MJcPcfdIotdaeWz0Q11hbExiLVtnYaWk2L7sUKdLFApxQ/xSpDcR1dk/73vDzbeWIZy3YqwLMySQ
AXA6tEUyQ4+YzmM3B1xM68//JjW3FiccvAkYkFOlQpwV/UhRKs5Hv+4ku7SVkV/GvJehdYS/F3id
NAnbCrBc8MQYueQ7jfThO+guzU8+J84O7C/5y1jYyb2F9rvZnepQechy1YxABRwOt1GVpjetYQ+y
2ZeN7VzKuwQs8OpCsSPobucOL1s835GBOgbhqbEwR9bLQOG3HhzLmBqm1dBrhghbOBk1BsML2iNJ
OAyVcavYFXkMM+MmqbTxkKjdaerJ4CGGuxsB+c+iuJgl9+CWmktFCfHbMlUsZl9rCxCYGeCW8cZ6
sfXHAm0Csh5sbcN//6la/a8MweXQvpxzB+lyt4WpJsns6y0AylNQserTIejHL6S1UFMyGdcqN6GO
m2Q96q8aS+LxMOWpN1LCWvW7hXzgdRexEQWcfZlwnmwrqQJU0QA0HWIY8HXocIZOYbO/LmXDq8O4
MaMKSB0MAojDxCYQLpClwKuS1L+T+ktUf73++5taLDEGILrRZvJnCmGV72gMtQmmBvFw5vjghWox
hTZVnp3LIKM2bYU6CHMxcKXBj5+78YHEOKYJXhg0OBHlV9WjcUnyopCJWJZypYpqTFUMeFU4A4z3
9Jx1tadOkvyQTMby/5UMgOb1mJPAq8UufleJn6BZuXz+Nzvyd6WWHVuJqDW7a8oBapQ0YpXxZhff
gwx967JIedOyVjsiRMpcI1FoGpCTdyeDfo17yZ229ftUAxKqDpovDLAIJxcccgaMGpaLAXWwT+do
v/evr9SmBwSZMIYpcTCA9S+oEIIMqjXQVO0W5o3THsbGtwuAn77rEejQjf34X6R9WZOcOhPlLyKC
VcArUNRevVTvLwq3fZtV7BLLr5+DJ77rKpopwnfe7c6SSKVSmSfPaVErXBq2ml/WH5tjwLr8PCHY
Q4UNTlftbCtOvzYcxdHf87V9GnonfqkPtqcvdBTmnE5Dam4T8MNjNydOlxKNNXo+FgKkQ0rWIOFw
sqXm9kzCQy5tfPM6mcpNMy6rhGAkipvewI40epYxGgqStaXHzWxcR1eNYLoJTw4Uza63MQaDrFJ3
ePhyV3jycxc5wkFzzQX1A9ggrLtRUVTaN366XoK8zu4mIBAYEkOlFTMb15brug8IBxEqsK07PdwV
3YcVLVQZZvMScF/8a2PiJHmW6DzDcAMavKYTbYKV+k4P3LfXoUMeA09ZqD3OL4kgF0A11PyG4mUl
IEDhgCVZCvKNny079s2CCfAIY18myT9IQywZpQTcFzjT1/vWxF3VJ5EEzT4pKp9lZD6fhpyIF91i
xYYXVP1I68ze0iiWTmYWN7uYKQzs0oa+obkcboO4at71jso/yjinG1kJBj+WDMwFo1SgrXMRUL8L
VL6TySAwsGNmA6YkGuglBh3ue9HpcuFIpVV5IG/gxyYC/KuvSeFGNVePdW9Kd1VJu8aRrX5Yl0oZ
/FBjJT0SxsGOWNTdQY+j5h5jXRz1zrCwkUMwu/MjXgdeIKuf1pDweJXpNVUdFQncE+dRhHxDYIxW
DKhfdFmAblOhWQQTK6FZY1Ie4/ovDUn0NTaufUSyEmwVo1RWNsUrExpklr4Jiy4HidNQVodI08Zf
Bo5+AUCmp5Y8y5xeD2Mvs/PWL4lR+dD5sRn+Eet8q2/lA6EMAFB5CDXopQyg7SPjRD6ghGCNoXra
F47OZP2gFjLdBK3dAexcyzWGb7GJfstSzTOqQXrvFMKkjeBp5HLTELYfExGt2WCTN9aEALLIsvQU
I3n6GKhF73AD6StJCTXuRiDfA8F/Y/a6p6WBLla9nCiv2qDaXmrwfmeWjfbG00r9R88j+b4103iV
V0qEagVVWepJWZ6+soS0pRvYeforo0a3izWJvcSKENs8Uwa3ant2xH/nx9CyMiiCm9qRSr3yDzKJ
cGt1anxUIwMi9TkkvZ0SzcZXu1TJQ5sFdoxJoUornEK30tanLAiA8AL7zDZX6+YhibUSJB/EbtxY
0/odZM7bD1OE8grW6sw1IpqtW0WXK7yGjPTeSoP6lNIyxmCIPSbQdhecg4Rlj3k2kBwU7WGx5XlZ
vgc6CW2namj4HuchATaQ13i8ATJvP8eJKfnQ8yt2lMvaU8YLDXPvbRJteKIOD0qrZT5LesOVqGQ+
GGZJt42CZGwtdABDViUvqeKQDF0/8LpBMnOd1nX3kBaiF06X2vTQGhLbECrxDY0KSXFM6LZ+Nlls
Psh01KEiITXOAXgLMw/67ulTHuvdWQ0a5cMu7NgNUhtjXXERZ0+ZJsofRoqatqNmpLGggByWrwLg
77PBjQgi94Wmrbmks73VQvh1gOqEn+Z1+6SWvVo5gVTlX51ou5UCGM2TSsZZlNQCVMFhat6B1Sey
w7OW0PjAIiNswQSg1U8qmJ38nHLkOHIup5DLo137olVBu6Upq2C1JWQPGj16CrQGBziXDUCQQQS6
DVkh9m2byO99rikOQJc6frphUeb1IjdPrEJJ1VHgZduSRiCYF6RK+nVUDNVOr6Tkvo8HTIjYelhu
EzMM/Mzg6ooaQ1ih/m10BwlZ/S/A99rnwrT5llmpnboULai7DAWyLOgBNy2qvPoRWDQ8IRpyT6pY
/2kytfQHXZNQnMi60KnNIsZUIrj595GIUDewe0LXpR6zc4dw7YM5RRUODAUYkC5K39Ks5KgXefwo
0T7ckFAzcBxApORYJITihZZ1+7QfhJ9Dbf6d2bWEYbWQr1ifmJuRGa8bhX6EV1W9ibaTotalb3KA
HfTetO6EXoJzKc70VS4So10XhFS2azEAhDEJpdQ2CKiisvHUsE5DVMQqYKKMwjQx26tr2YqbUaO5
ZmAmK6Ik6ZMVayjSZ3UnDQhhRoXx3FofCteW6+QrJBi/djrAOV/K3KarXquKd1OnzUaEaeL3elq/
a4HUbEoDE42VxJtVZVaFp42bjrmx4tGSB5U5rZ5Yjmkm+cPI2nIIGrveA6o7bBV44jNnUrhEhDJ3
lRoXWfHk5pZKxFCqI9cq2aoMAZE0XhTr5XbeumRj8nCPwdIk0gJpa1PvYv5a2aCierhtYi5LvVjG
78z5Iku1aWYSpYIJVX8LMVzDl8aUZtegQ+QABQ6V4CtdZwM9RLB7mSF/Y8ou6lYSi8AwtJRrj0ng
NOUwLoxMPobQ0taUGxghD+xHeQpOw0ZyCfiTWuh7usUPeXN7176jhHWs5cLg5MskqWEF6riq1sUg
bHY/bO7FHrire239bHvyYSkXncupDLjuOP79e9T8ehdlS1JLu0Hi1jPgSdp7S3rgxjGw7oYlWYol
S6PDXDhEieABRoHRkrzWw01QWY5OHoZkndvewibOVIkBCiI6polxO6MJc20Kc7QGEQym6EN8ZypQ
CnfErnEjdaX9+usZ+vGD/bE19XNVKWiZxbAlFM/ST4Pui/a/HCWwc6J7hlKjMh2RqzqipgpFcx1D
UIadOw37Lw/+PwamYw1p1uTECscSj3jOWp+E+5yuydLw4uyBBWIKDBVgyMSnuf4qpgwJm5qPDzwT
wg/Q9wIR31K1Tp2rJl2+ESY1MU1Pu6pN8EYwoAwFgORbs71rV8FIhRLfE890w9Rp35odZm/XxVcG
ShT7GQI4mxblu9WCG47vkWnwuPwtkxdmGEl9olk0doX2OES+DEyTYr6r9qsMWCrOl1SA9MjXhX/b
7lzkxXwqPIWgB/ntYVvxLMyVEZIq1esSEjBpVbm3Lcw+1S8sTI5ywAs1sEdAqs37j0L5lQJLaYPe
jWjoq0Y/wc1+rzdLBCuztRbQt6KHAMyN8W2gso5rrVbi359WdSEQilOdbSxQKLvBXfR5e4WLxiaB
v6zNmHcSjCUWKrjR1hA+xw1jGX4Ubrroleq/4vJrwejonFOHuVzhJG7lVYwWE4PRMHK0TfWL7dC8
cPWfshevunX2vGBuXMN3c3h4gBIXeNFpHUKXyzKg0ghfeqgOmpduPyM3ODYO5BoxPHpP/XqLVpd1
Cu6WeqJzDgRU47+WJ7trV0MY0NFFq9QvtulXcJB/Vi/x2lwoln5nY0J0vjQ02dHMTiJIxsOQbjj2
OX/xh3XkMAeaiw75xY7GY/iJp98pyBxyqp4XaWvm7jw0vTCKr+uAVkynXmoTI316gQ96zB+bO+te
LxxrXaIC7dpu4MYf+X2/b7fE9tjrf/m2F5YncdCww9wOR1dq3izDuUOKrKyJp0F37acVOr0PSj2v
3kef8VpkrrJdsD7ryBfWJ5EPsmMSLntYL19avM82d4rppC+tV+ykdQSmoNvmZnd5nB2HIgRINadj
yVEdpioZseo5PUFOoAWzTLFu6yNdIu6Yu8FGdpX/GZrEPVAu97YYIeRS9cSrNy3YcnlhLXPB+9LE
5JKMS7hrNIbWwdx2DPAYRft7HDyUBW10LaFYAO2TyZHIbVTw1BFsa7f7tl+bYL8zFsrFc5fwRVtu
OoGh1KyWFYHGFGauDq2V7hpM2it55Gqx6t3+9nOmCOZ/McWGcPINvpQXgxUGLbAjYQi5aICJSA9x
rpUSL13mcy59aWjy7WUprnTWjIbqpjigbpfsMtSNVmZT1/dmZVK3EiDxE4R8dDIYnclg+CmJNJfr
0dJVOOfw6Mb9TjwByZqOEqZQT8oHzGK6ZuLLKoawwsdA3jeQOO+UhULynD9emprEkaxQS8RxmBoH
diLtoQ2XsEzzFqDMC1Qz5lunt5CWpswES+34Fl0X+UkTC9nzrIegQ/2/vz+9azKw61cd/n6Z/Yo5
mNkyFKRsc6VFS9TOc8NyaCcg4wJMBCiVqdAwHBGYjQqmLEE8TO0gUZB8I2BOgbJgM5jAcpuOGkSr
IMnBetOfequFAAVH8VE4scZQXZIx7mlvuHLi1EZtcWEv5u7dyx84ceJG5Hzg415w6dUi9yHZsXAV
5m7Z7Mpioy0hLGe3/mI/JsEMZV3cQxGaENBzcmoIepOid9V8E6AGdzsMzEXmy4WNv+TicZnZsSGl
PRYWYyJCe26kkywvRIBZPwVbJwi2ACpH5Lw20UqZgTYSAIWxeggTBU33RXTT/H79MTFx1Z5AMBPa
r2NLCuDkkLn8lPnBylyVHrnjW8nLvqInfrYWwvVs0QE8Zv8ubXIliMEMpWL8TlnkRKfmXpUc1Med
X/JB9SRv5I1cUm+cjWB/LNrjC/7ie0VZaueAZwLyF8luWj/Vpp+lb2l9kNjSaNlso+9idVMYI21p
k4Q2fCPdDgdtr3kog55st1hF2/qn/FN1zEO/AdOY9TgstKwWXMaeBE8KSeu2VOEyYVRs8jg6ED3d
/BfH//fTTXOfWlP7LqbYSJuA3FZrUSCGvIyZLjj/0veaBI5SJJWuUOxhD903GZNzmXDKBPJl5zZO
vdtL0kY3v36XGAoGREAoip6VATWQa+eoghhF9ExOAXGQak/iQbILjVzGo8+O4heVysO7Zaf2Fpwh
LTja+8SreNO2DhRvEjdoBuqUQxK+ZlUh32dUjaknt40x8vwkHAM0GOvdZZ2Ghm/eE80z1bD4xWMR
tJ4qse4XoGJQqKVV5Nd6h2myNiLqJzjLjG2GPGPfBxbvXBpUwyO3K+WpaOTkndZltA2qsPZLFtXs
AL1G+5jIIl9wqLmdUaDSbqICbeLemuxMwGVdsJqkrgnZ2rVEBnVFSntbFFW11bQc7QfgIkfdXbGQ
NM70k8FwCDQzZmrBuQUg0PU3iViBWTwTXQj1gb/YDlsBUhF68nbY5X4OvNNTveDY38/OtcHJ2YGU
IpAIBAbt+kEDy6dJFlz6e7C9NjB5ozR60FgS/MhVtBU41XNUYyiCUawvuPP4TaberEFs2AIxwEh8
MAmuUilKHikBc5FGrThPTpnGHS6qhUTt97ef2kEyiIsJw0iYMJh8oUKnsa3nRupCC7JdFX62yQ9a
7BZ7dGVVVLsQ4bK1cg5eb5/WuW28NDv5TmncKHpYwKxS7wbhStqvPj+mtFi44Gea/yj5gO8NU3Hj
+MQUJA6FA9GUoQ5/EFWG8aowFEcc8/Yr4lK9kXVuBZjSL7pPK9NxbXZtAc1XkRQryqm0yyF5ep+C
hCIAHd7AnqtIT+7LVOKfhS39fdg3AF4APdZIvYcx1UmmkDEBGFjS4vq2Wi+SEJ66hVfi93Bs4LkD
UB6K23jLmZM40IKRthUVfErt3UpZqdlKAFJQIyhXypI008wHHgsYUIdTMFH/7YUlZL1IBThLXHS6
RPZRdXdNvoqThcg2932vzExuGAEIKUgxaer2a9A8pI7q5o/mPr2j95HbfGWBk0SO6seO5JULTR51
dNHJyYFpGzsJDSwDVK7XsU3XkoYmCVaonI2zvgPsYBV/6g+fxkmgceAmW2sk1uiZ40Zbze03McrX
C+49E+2ufsLkFCUGxuytftzk7J1Yx3hJEG5mvBUec7HGSbSL5Uigkw4Dxk8tchrq/F+4U6RCGHnF
P8lSSjlzU13Zm3zOMEpDEYfw0HDLjzlxMpDbD2udO8Muc5QHad2/QoLPfdGemvfbAWkmm71e6uRw
SFKqpbqKpVZvIOHeRpYnXnWnzB1ldCS3eUz8v7+rrhY7HqGLbDbsxSDSaAzxXebI0irosoUDv+Qf
k5ACbWHSsHFNmZpsiYg3ebGwhvlj/ucQjB/0Yg0lBKnKoccayizwbQ00sN0raZxmCZU/awcCH6jg
q6Ny38QRDaEUIRiqGNq2DwMAFYH1o9FOIGdY2LGZaxczxn/sTByQQJQW2kR4QwXSfS+Odfsq8SVP
GwPDt8BxYWPiaQmhat0J2BiCx5gmaMytMhMaBy2mbo9q9RBlW9n+0f+HzOVqaRN3GxVGpMgag4Xu
cqN2C/COlvSoLX2qpS2cOl2Y943NsTyg643irgoAf0m826d1ycbE7fp8oEwF/AvP6cfB2uQgn8ZU
yG0b8xHBhroMUleMmE3hq9xSo0CvsWElKPm54dnRhkJiI81cU36GPKYevVTpuYY0A1WgXpw+SUtJ
4Ew/CUEJWk8YgMGkAiYDr49XXpesFjncnpe+Zj4I5mcKuNZLUEna4Ktrgac7pIsyc3O7a2PcBKP2
6Jph7vTaamOEpOoj5LiV13l0W3wOzAFDnO2mTnBnuMVRfsR7bqkONvdYAOr6j9nJR40lLcYugBeU
rE1fbDo/cJxq37n8rTyX+6Umz1xEubQ2SbBNkgx9pZgphtw2hX6kFWgkvGppQHn8zdOzfmGFTCoW
lc0syCHAilG9ZYWnD0cLKpKgWK47IP7ebnvsbEpyaW2SkihS2Q2lCmvQrFh3Hka8XSAZTkiBYoet
kV2rb4FXeOHjWdtBFzj2IN8plvRiZionwLT/+Y5kkpXkHS+ALYT7DHcfwKoehw2YD8/26h+M7fvU
qdYFcD37fbcQV+e9FuN2qOiBx2CK7BkKJcktGalgWgFJVjkgpzOlx9s7/P/w0T9GJj7aDoqVoJ2T
uo0vPGPDT8yVfrAD4JZQkmg3fCnDm83AEIP+XdXETTn0TdVagUF1raQ+XXdPwUP+1g2uQhzZWaqq
z+7hyAE09h7xZJ84UIsagF2O+V6UIXk+NPGmXXpxzpvAiwBDO79R2dfBJW+ruI06hDQd0CEA1bok
cGqxcI3PJT5gsvifEWty7DorNOMBA7TAvjzRTEILYqkUubCMaWWjxRuujxluIKksAAI5EL6jS19j
7r2GSW10bMBuM47kXW8V68EZaLcxVqEc5M7j4l2YvpZs+/Zlwa1nVwMEPnh0AH1SpwMpXIvNoKc4
OxwaTA1CBHNMHyHfUc/RdnCLB8izLLyfZq9XEB/+a3NylKxMbQSBOovb+foXhrdXljes80N6KrfA
ZvjGdumTjUflWyy+MDg5SqnRVMQUMCivg0f2HB2SbbcqXHkhRsyG/D9mpsSgRhGFpK1gRvimDwKZ
2jewHLEQ7ZasTE5qnIW9opXj7v0cvOCBHiCtB/zu9rZjLGzZ7wvnIr0HqJBCRxNW4gOFCFr4Wnti
FflLd/FsnnPhC9M8hyt6E8Qd7OgPCq7+Zl+tUJB8wxDNw+0FLTi6OsnvB9Vk0E+EISJvBuoF1Zaq
z7dNzIVsJE0YaQHXggmUzMTPeN4IuRnH55X0vYAQaFB5OYYPyCM1fcteJ+qXKfu5uTBFOJPPwKoG
TOF4fu0pAZQRckrGrqhLbQF5vsaJKFDKgOIsndvRsybHaMwJgRFD9xzEThPPU1Ke1hjsZG5NOEj9
Sodar7n81uadY1JlhYFhIMglvq4xeRIMS4pdM5H9yvokuRBJIktWBOs5+uOZdVKW6jqz+0hQ1UEs
RKl4GthTE3rfAB9geUivE+mrg1xVeAyXUvsZR4SBP2Ym62hCrYkqG2a04BDEBxFuDOrfdsTZrbow
MXk8DCpGqzEAwlyIjHltLTtF8HTbwtIiJqdJqoIKRX8sAn0XTJ18haIB9H5hHnMu5yLg94ACtIIR
pW+NnaG2EgmCCwzkK7oDyTiHAo2ZaU6WnVDShb3O8IZ6VeTPHX+mS+yEMyHwyvroLxchEPQGIpZk
OBwT8bq2zbMsyn1vZk6gkRXYmb0YYMnMWpqfnrn7r8xO3mBRGgeoq2LRg/ZY00NqHDvlXas+tL8f
hkdJ2NSBrNUxu4veyPX6GNQSSC2bsRth2M1JeHliRIKUT7gQn77vIxThbAyFjEBeyEJNvNFoeNlk
PQHwPqsdnR8LEEaXvdtqW7lZC/M+axeaT9+dE9Ce0RY0J3AKpoilrmAEwwomGrgpZkqek/BRqt//
1v+vTEz70QbHuAjNYaIw+LrS3zROvPrvNS2gpQcSbEy5QpPcBDPd9Reiit2g+GUB3AUZwi+rcNmX
7RR7qHE2lWN+SEdyTrx8c3tp34PHtdGJ2/dSYbZtB6Ol2a4IyBzbpRx95rUKE+BZg0soUPGatp7K
pgnCqKQwscqehJ+6zI/XGXis0m1NnNyFiEP2Yq4L96F17EO8tg/G9vYiv8f6618wCcJMl0gmR/gF
poDUytZQV0ITeI28/LUZUwOXDpaJXB6h7PoD4ngxYfMIC+TPhr3XOt+Un/gSr8PvluD1xWwByghd
OQMEHtCOmSTUcq3aJUsZag0Oe0xeFOEEq1hxMZ/sRLtoTb0UBLJufBSrwGdnjB/eXqUyc+Cu7E8i
SZkOag0NUzwidoOveKmvvyun3led9Nk6/jLXP34tGBxDxo0FTzNtLg8Viy0YpB+G4rSym7yIPbSC
V8aRd77yBfLGpTV+D8tolNrgBpCBJB+xudefMpZ7qTI6eEzlSef4vjyJc2x65EAKzIEPa/tDcROv
pK5mLL4rZpwVpUjdAjcByMm+SUoaUo/5NajxuiylqQMKgcdU5qd2kOqtIlNp4fzPLfTS2uT8J6YR
D8DjjuAeTFzoxY8uS5/U4N0a1E3ffN3+kjOeAziiBYoA5K3g3ZzuKmZTaQlSG9cGBVQn/+h6DtDX
+baRmYgGyhdEGohWQm112v3slK7JMRaJFxM4aQwHObr5gBTQWvDKOTNEQ7YCTUUNndZJtDYii8Wg
gUXxFC1cSFQWoJy6vZCZm9TSiYorVCYz74s+tJlSigZwDuonw1sIrvc42hZ4ZSg+poHQbmVLbv+b
5mRy1BCp0TcGJAqEf9M+ejhIzA6DDJpNhVUPjqzT3mVUpvedZsI/zBC9BSc0Ch2yCYJ7dgusXqlY
KL2gGQCZPAltqNrVWwk90GiowTzcSvoLozWy+EgWxSYutGTwhIZERGakCde8TSEUIpCUHOqq5Qe0
96tTqYDTcV+YkX5PBoKIPfSDrzZ9uCcqkz/UPrf2XWTVWw4HjlxFYchp9EEHxw5Br7ZyysAmX0zO
O8y7Wv0nZm2Mh7ym7BxKdfJaJBbf63bS+RggjR4KKyD7IsvU0GOdLXZ6SsibKMNyrSbjqC4zogxi
G6KEAEhkCW+QU2iC9ZUsfiBfjWtfDRRIY5IBGU/Vmuy+zapm2IN/qaX3tiRrd3FnQ8m0BY9WA8nK
MN+aRti/FLwKfTMSGEXNlUb1AAsga+C7hwhvrbyA6gXv49YZoIB5l6qZ/JaUA33ImzqiLjWNcsuE
FHs6qxSyq+OMgwiThdk+K5J8h8+IOW3NTvp/1FLNmTO0CXuKuFqgoQAGXj+r6+irbkpof0omqKJd
BEQObGEZ8LcAbJ6fqjkUXyK04k8lqLRVFXBQQOZZqh30sEabscF094L/zcUHE89NvKlBbvx/KR4u
cvDIjuA/CaBd2Ekwe75Ayw7O5t0+VrNGACFDqghb+vThp5tpVLQWICmS9SBqP+WeoS2YmAnhKKz+
MaFe3x42y7A5MYBYdfeRGMSLeeFVWQv4i/JfduzC0iSiyjnPi1bCYup+o1S7Gsn2kgDOzA1hoSyJ
G8nEKCPmxq4XE4leFci9cR8l4AQwQCi+JudwYCudKuvbn+Z7sQs92ZFLD4MHaAFNC6ERzIRSmaMI
zgZXh/SlKjXrIYbcaFO4VLB/Ymmp8P67EjSNeJDkBnYF7yJ43SSOC1aWYdDgupDO6Nhkh7ccmnIQ
L9GfnoKT2EPf8GycEmBs+T37DFcWslc1cJbAvXO3CTqAGN+UbXAkT3uQBg1MPWOI9VriE0CHOXgy
bu/tjPgANvfCxOSm11oKqrkGJmzqG9xRj737icYqIOf3duZpD+U2OlSOvV2qky4tbfSvi0NdZKmZ
Ny3sBhpKl2nvtNlCer9kYZIQN73C9f73RYnwWkenTl2oJs6UJixkYkjHRhpS3MWTlLfBsy3Pmh4p
d65KYOcwzfcMeP7KLS1QUjj2UKc+oza473VGxOA0IY1Ur0lU9gtA8Bj+G9X7ImpFuRBp5pZ+mYVM
zn8agJUi0JGFtPxZwkuAhAvAwblQdmlg/AEXX8+qmiRXocvtlq36kqjZurQhhdUXu0xdsLQUZyZB
s8tlEI5IaGrSItpA1itL0RxovEY+huHfJ71XIW2ya51iBiKh6EDnHfUaAgVw3UvzF4w8epm0NNk+
F9SgAK6h5oJZGIyxXO9gGeSC1zbiZztSAUVOEYJMeWNXmgMCkDZeuhHmPtiluckHqxUQD2YSzPUM
MC7h9fIXFY5IXxbCydyyLLSRABxA3cWYqjJAWbIK20LgFbjiK3Njn/8BOOgnQmcFEAEGVNfypt3b
m+Kttb2lDs/cFY4cH1VbDKN9B80S3nEjNWA7BCkMoN0WAIDKkK9uL3HByvTZ2YNNiUQ9boYYw2NW
eE/0R8L92zbmvtbFSqa1ETZUQwn6HASWwiDrVksqID+U46AgU2gYjc//f+YmZyzq9TKtU5jTtJ+p
+ROi725BIYkSv962M1cjgPzJv19o2uiJS2Yp0vgIi37YTzJKjc5wQM0Ml8DBXAGpIBzrZPn/YS4b
qiu4PnGdA/aKweXrs1YhhFSUK+jJ4SZghmsbj1w9Kz2quNGohdL0y5C12YMAXLUxFgow+jM533ao
hG2Q69jTPCuAttL2Oedn3hZsBZFJAfSQZC/AYedCpQ1yOixRtk1gb6+XiYS+1cxWRc7S6nwlafdG
winUuzN5W1jlG7HMJZDUrEW08UeMFBSLyWSRhDd6XSbIM/M+BVuspkTDJmkj5UNNqBSCcLik6Zp1
nC00BWbut5H5k5hgrcTraHrx4hNnIOZCwzoLjW3OjyYt17dddeaUQwcdLTwC6gxAoSYrk9D2tKAT
xFw5SaB/McihR6q6A9rf/Oe2pZnu5zgdAWYE8OGiGjot8EZMQNVd9ACZNmuwTjjSD1t4mQPuYXfp
kTNzAK9tjYHn4t6WhiRWwwq2MLTFTuxo/Qr9kZlG9dU7N3TCo/wpL3yrmU7/tc2JWyo5+LZaHDY3
X4VP8jp38HrzwGPoasfw1Dg7YPAXdvT7x7u2OJ7Ny1XKCriD+QCkHqDDP+WXJHAbp9/2Tu3ZK3pW
3HTHt6Z32+r3s3BtdJIMtrWa63k/LtM+D9IetO0tcbUG3aE+dm+bmkk8r2z9lou4WGDOhEGaDrbA
yl6vZCxspHw4Z/vYuzcf6nOwsLbZDTVx4NClR09Unzz2LF1kaO/ImVtxEGYhwsT6U9ktfbdvpxqB
BMEEcWjsRslT4gNLg8aC3bPM7QcONTB+6gJ9IWWfN4EAiaEkdLGnw7ZqLlehbmRQf+yDbQFFWuRC
xc/bX+fb5Y1lQKYQbwJZg6FpvT8IeWTptMjcwfi0uofCfK8wiiS3C2a+fZPRDLhA0bNDUc6cgnYC
HictZgWxW/o+L+0j001PQZv39mKWrEyOkt2KFlEdVqoiWw9RdYgN/RfL2MLVNbtnGNDBvkEzHDMj
1ye2iYzYzjGj4wbkLco+uxTjeDWaaZ+3V/MdnDFu2r92VHmCDCtIkxtxCzspSklSuR66Dy3fDSHm
0kjiGPYJurZZCaKYhbfot2xgYndygECXlQaCjnb1ZmVJjZsJ24lTawV+UEfXHuVsibl6ZkfR/lQg
1QtZJ4DmJxdY1tGo6ZoEd4itu0GXgwqzdaj2QrsFupQlQ+ORu4hFJJJCRethqNZSdjYjTd3ibZDv
+6r4AE/hEo3QzE7iYsak50jiphvTvIpLLOGKhiBRF8mLXPZeE3DuyAwXppwdNWY6VF+qdc0tUUFS
MaIP0KeYlr8TUwHoJOaZq3XEbQXeTaFnZ71Dy79tWluQuxklYMBTi882zaci0ValZSJ0GFBMshhU
YIiC6qq2mLjNrQjUzKg1A1auq78vmIuPZvdyIdoEK+qT0InUJ2E/aOkqqpbmwGbCx291lv/ZmThH
KEs6CFvBFjNQc42BRhcILC+pB3/hXI/efFWuGzfuYj3j77hYT0dDDL4xrIcOmQe+fVdr/dpckd4t
yE6B6h2e16Xk1ZAT48M+0hbOwOwy0eOFhwDQiEnba/OgwS0HTcEy7VhdKVKyUnt9paj54+1lfksx
xlX+MTPFtVIdbxgphZkgDF2dfrRaedbl3GtUBbM9S844a228iMd2MpGnEiYRdOOl1kIWhaKEKxf5
XtY/o+ifQNRemNar20ubuZjRVsXbEAR84D2aOqQi1XJZCyxNi7J7iWkHs/xx28LsN7qwMHHFUoaO
BrNhwYyhzRigX6s0j3qSLrji7EIgjIW3A2Y5v/HuNVHWMyGDN762ggfZ7M7aIpf7rLPbeFuiFK7a
aMtdexvYig2V5QacvaOPNIfoZf5kssEbiaLOWbZSxYOpH81/5LBwUT1e397HudCBTiDa4GOKA1a+
a+sgmi6hZorcM7buYlK5Wfsz4ivM17u37cwFegxW4rJGgQzt4cmRrgzWKmqkwI5mHger8DpMBFLI
A6JothaW4kRs6Sr7XgzHAdMwdD2KxIIvfMoBmQ5tlrU6NJbQ+3/Vg24LVmD+YabavmiMI6S2iQsh
6idSmY8QhW8dIwmVbaW38o6ycmvoleYXTQmqMEV7vr0bYwSZBjgL4UXGFD2E16bv0aowlDbqoahQ
tYqj1S5IbIPSL9g/1Iic3n5a1N2Z+8zjqPAoTa8CezRGh4uIGqQgUSZVgJci+hqUf5og2ygGFzxW
/2FhF3YmCaZVgkYElA0ArornprsXmH4zOo8Zm8I+KoVf/DUuDJ/4twTv2EgCTnfiVkAcGRJYzvEC
sGJ0pIHglyCWXi3BceaizaWZcXsvtk9vmrhWLGwfse9bE/SbQ+BZ9tPtvZs7IuNTA2gQ+CvURK+N
WGCNYEAWgYutO9HwyCrdsVBzlaEftwr7/5CbXBqbfKhQrvKapTGiji47ZblXo/9D2nftSI4zzT6R
AHlzK1Omu6u9nRuhx7S8IUXZpz/Bwfl2qlhCETM/sNibATqLVDKZzIyM2HZlK/GGtTvn2IhwkRZd
0nUKYija6Og/90GtgWIbtEfZiy5jvFx18D+bJ2plDYupjmUCU4n20bq7qXig+jNpJYm/zIoQLW1v
LKYOQIHAc/de+za3d4PiD6MkJq9GB7w04QdIjT0xbzSTcsgzNGLRTEtCr/+l6lkAa07XANgGgSlD
DdxZlh+suTgkUvG50KCEjJJwDWV5o1fUgUMguYL0JvFzSAq5zsNlHz+f8ecxGRQVqmFi+hfIq1Mn
L8rGHYmB244QqGumBqj6wMMIxix/nPK93qBtOZoUEgu9zzXUtfpHZdWHYvI2w9wGAwESxfqyiKxA
uLbleMdg1Ax4LONM4QgXfzyiA4D4yJyQtQ1i/lfRdttGe6mXQGkObRVe3om1/eaUm8C0eiCtE/e7
dRRGFob5U41U+Y6opRkURjodGqO0/8UU9h3PRqAukAOe7rmJyBLXHhbX0OXgzTG2Wn22nfHp8orO
S4OwAVoa8C8iVUKTXQjGUFm1K5U/x5fa2jpF+jKw7NANv+b4pzGOewxPpr4FukTLHJ808HVbOtjW
FV31B6uXdcjctWh67M88szsK2Uwjea948GfF0p2XvrCASwJCieXRYDnzkxlPWryB5GUN7Rzd6auw
1bzhE545hhgaT1qOfSqVACmB1jy6wCi8Tr2WgXwiBm48JApFTJvTsbn2aON8r+bFewTFfwl0AaBS
TzmYWB5A2mwEA3BRHwR/JfdzSNC8l8SdtixtkmKTKCYw9nqrVr2vdfOUPtReyXD65ribAsBzGjeA
vmixMZfFaKPeJmWx66jT3oNwGmO8WV5CKQsDmhiOnKx2QxiA7QlTMLJhAsPjT2kPINBMRnLrUaYt
vm1P9U8FJPrvUM9gIPpyiIpeZWLiLTWZoG6pOyCDIPbQ6jb0kh0D+JxEBbR7mPID2u/2PabpvSli
QzuCk2zSy7tCz/pQb43E9lPTLrdmialfnyhq/GoC5txf6QzC7VGOXsadRiu6TxPqbKZ8QE4QuwnO
O+ncSg29OXdexpwkDIIlQ7nVKAMIxXTbepN7rGswBWOO10PSTZ+xmnJ+m0lpo9TSWxn31FqMP3Yc
wYvpMi4UxJV1AOEIv4vBwvfooKLkFpLr/rxTgOPiAQKDBAbFgbOJwC5XzVTj1ct5uquhT+6Ag2gz
kxfXLfw2v46dvSEDgq4FnWOTQh4zuUPn1ArKLRTDjuB1TFH7aB+Sdvm4HApW99ADxAyYRlPDlXJ6
+LyOLENdwg6b6G5MzW1D8hdoNTy2/SgJbuvb+MfW738/Ouiom6NFxevMi73T3O/q/MDMLJjdT7ON
liXqioec9pI66srTAlUrvHAh+shvCxFfBmXDhGYdQQXQOyTkvhkPdPqRpJ9zE+TWZu6A+AODwOBr
KB60zG/0MCveWSkpgJ7fWqe/Qj/d5lGjbsxS/IqhAP9W/ARtpLBWQU2WhmP7lmaAIkgGxs4dCBYN
3gXFux61feH6ri0oGmYpq4PCAncAUTZm5u7HWGZmpbILO3zwGwgxgOxFdeN4HOy2XBokWqP9ZHrD
QzakdMdS78o2sgaaLsUYpAaedhi82mcNIRF40F2Ja52nrxrmZ1Wu7Obq6PoKCfniFl4L7uga29gd
kK+k27hy+5DNACR4EIHxTSvVJVFhbYMhZ6GhEQqL2OXTT9oOUMbJ1LJB6XwqAbMouyAhkLjtW+3X
5TO6cnD4Htv4jACkaVjqqalYm8pKK7C8irxm3q8inX2DwmeUD6X6HMBMqt/Mi0xJd219x0bNU6Nq
BRJZasJlJ2vZ5Zr9ztJ+01BTkkKvL453UlCqdxxUogQ7BtHjxoS0Ug4Z+aq6pd5zhbS5unOBXKZR
1R0qcH1c3tHzqIcNdW3M92NLcbcLhwOSHT1EoHA4uuoXBR9j3tzGIBmpFcmXW93DIzvCsY89jzfo
sTbaXTXld1DOaLLRWv4ZTgsUp0sRto/mXm9pFZbC6MOiNv4Eia//22YJjuDqHeDRNRZRtOiNK9W+
yNwHp7x29V6GJFoNk0f7xffz6IaoWhfUSQ0WU7t3ivNTwUDSMu0NJMKxdjNqsd8x/R9WhxPF4QwG
VOjEQTzPIP00uqhg68wM0+puzm7rIdsY018/45Ez/rEjqt+OaWfMago7qVZf21odMbsMl/KvO8bu
qRnRs6dyMHsVZnplQEh2o7SiYVt1ktWcd8K5HQ3xAVxaAIOIr8ORjG2muqjqAka5oBc0xuaGDElp
7K3e1aawo3kWFXqPwpxLlNsMlGaRAQDEN3eshmu9gx6dP1Iwdl721TUHcjQ8XzQUaKHwKTiQUmMO
xVOqBg0BY3hX52WkfjxqTuernel+Nvbc3VlZMrJAQT8BmRyCbnT5J6yd+eOdEc68Y1ATjxTsjBsP
T02s/ewcM3QayRNubaHHVoRjr9Xd0s4xvrMzvmFQ0dcaLYjJw2LcpuqCFBhcJf+yLrBVoWmFkYCz
Z3ACQV6o5KHAnmVuvMmJal1BT7pAA7e0JF9xLab9nrVCKRhsJWINFNzoLGm4qb43bmjc3Ge1DAa6
eu2g5ce9GIT0hljYTeMiZ4uKLguZej+hgTHvdHXHho3BIs271+3UZ70EU7t27WD7wDaO0gpSUeGj
KYqnzu2E0roFDIejsaBc5n1lmpFdM8nXOn9UQ7UHTQKoRXHdUjEjcgqP0CXTa7RNMWyihMsATKb9
QfUDJn5r+nLZ51cXdmRNqFE61ciWqoK1FEVrt94aKkP5sPMbqVQqPz3idYf7Ghk9kK6IPvxcHN0Q
ykIhG8rXNVtq6FpsY3hVCGVGn3VKkDtaOM5vHgDYM5kOcels4lym1r62VvwAFLEN+7f3nP6Cqmra
ZBpxHaYmeJWqH72LOSWV7FUvk3zDtTMO2mAkKeh/A1MguEu22G5dZQoHzdwN7rhRS99j95YLptj9
CEZkx5GJPK95DTo/rotOILJpsffjQjtV68qsCSb3c9GQYN5Xnel3Wuo74LXqZLR/K2k7NpIPt3Fn
BULkdCt10rTVzAhKBr1Lrslsule5AhyzP0F7FdNSlG0Zc7v478MLpoLBxKpz2g6knKdm7WlopoY/
Sazc2kL1YtNCN/PygViJYBr2z4D0LWdWs61TE4MN8LwDuoJghMQr0VEdQvf2sokVP4R2AVhrXX4O
zvPmfibe0lu4gatqpxPgF6cbCopQL40lfrhmCbUBjB8CAQIyfXG/mrws9MRG5IcEWD4mYeNdWc1D
okvsrL4lOdpNVT0Vui1iUmFlYCaaCuxaU8e+YYxALjwRDyN636z5LivuWvPOtrcLYZvLW8m/hhhU
uOgEvhiCsip+LQCYezMZsUCmfCqmfl2jdFUnkgf5StEVwFa0VHGsINKBsc5Tn7ApyBOtCocLJOY+
nbdNcz/lD3aFMicEcG47+1rXN0tmBiPST+0DpbbLqzzfXhMvVQNQVzgLF1oXcsNpKUAQs2C4eBq8
kI7qTlE9zMQ3AQrEG6U3XpZsDLKWosz6PLSJBGp2diS4ddSY+C/AXL4It60x0rNgKKcIrOT7mLq+
juT+8gLP/BQWUM82VJxpDosW1lcOyUSMAVPibhyZ6Z5o1xOESOv3y1bOMwfBDL+ijq4gcPcrqoIx
40B9bfUoeTG+Q1o21O2DmUDg/bKxM88UbAk+g+FUDZL1sDU4e4qkISN3nis7dvyPnLj/byNcJwkt
fwRG/iOOFtQhUVholwDVbU2bouxbP0k8LXCYNm+ZVxR+bY0FJnKKJJxyNt2iTQLtHG20rrqqfxjY
Mkt+0dm9wH8QmsQQ+0aMPiMtMbJ4RGU7xzC3/lU6jl+5t7Gq3PfeiEMz/cuxwHkwEXJAn3iG2DOG
ruxyC5wbrRYbvl51Nx7Ue6OUNORjyOx80zD1jiWLc4tgf8hdxQnzRUapvea76C/xQiyKPGdCT2MJ
meJsoqBR7D1/MPdZ+y13321HEunWdhZD7Lwcys+KLRyRsaFGX/UEjF/uGOlTCTmzIkxxx5fGRzKZ
wd9777E14aQsgz7kOYU1tmgh0fWodO6JDDzy2z3P3BeXOXpZGJLXxNGn2HLTCexXYBhobTzs3KFC
2zWxKxNkHzOG/fqp+/Smok6vKSEIDRkAvGjmQQ9q7zg5fZ6MAmKPTHHMT3dIjBDcQ0vvE7MqrlQy
12lULGhPofRgd8801boIZX+oM3eYQIySxa5edJtZkcka7VllpvIVo820A4xDfbHimOxKNldhnprL
TZqZ1avSx2DqSqASfY/KNIZq/2XL+esCEB70iIWzrKfFlDhehs2oxh/jZE/3rjO8NDlrZKTh3FXE
bccUCJ/UBaMWMuHTqJEz1tPRxHRwE4Oxq/rezb4XXy+en0yBa0a6cwX1C7+V8RyfJcWIDbg7eX6K
nswZcZJrMie2K/iUzV6W/mlqr8DjxRRwhr2odKdlkgCscR8Vl8lTcDDIgCgDGPnTZfZN31Z6goNp
shfI3UyA5BVhnEUM9Av5u4ERKli1b91WYnjtujy2KzypMC5SAwWIdbod22bOtBtnWed1LRgASIa5
MI3nwaLWDsUYsF7W+IJJvmu7PRl3M6kCyw4ae/kHtzw2JUSCokkwU9TAlJuwYEzsHSb+AR6WgQBl
KxKuyySfyUJTmIk1UIBM91Px7qEYFM8/U0i4Xz5pZ28lOCL6STYKh2spvtUjFNR8kHoydo736OWe
71kPNH7qVRrYteSWWhmMB8kg79IBioDZVXHsQCPKQKjBL+nUXxjodtonfcGXixTy0MWvnrtVzEOf
8L5W5e6M4qtrb1MHhaF86w6AkP6k4AOp2qdy2dV2mNUyWeK1rT/+fYK/2qQzCitBFM60Kyi0DFCt
dB6M7jvLJHnk7yFM8USCk87GUIwLCIiY5hnUxYPUwk5Q5NF1ti3n+zL1SQru4eKB2HMIXLxfAIpV
YqigL7+1GAGMg5L8sIyrYnqtXejeT4FqP0yJ5L47r4rCJ45/muDmPdrrKO1gE0h1Db1zbH40gLQo
Dw3vOa82dh4Oxa5RwjKpwlqX3O1rDomwiFEh+COeUfwLHaVxxQRJah3N3MDVk4dKB7eb9YMNbVho
2AbX2EzNz8snYPVBgcYXXkwOspYzgpB8sM2xd3Dc+jny3AdgoOr+rXae0+Gz9x4wcm8iKYaKy2Wz
/AoTvz9GOzktBb4+NKdO1zmW+mw5ZYsJ7pTtgA3xza64s6n5t9hy/i09LAsU9ByJKZghJE9jdyjA
fpKqQQMOxBgvM9mYz9ptdmyEp4XH36xrvTopYGTUPhhYHNnWqTZG+jxauyq+02UDbGtZ5rE5wUUI
ma0km2HOtnJIHGEC5nYCDYQne4mtBQMH+j8WWsIq5rGE3KCfFRyTBpeXUQyBmu/p8piSIjK1z1IG
AlnxemQfHhDfkEnFIJPwmZzYzKsMc9QoTjzZCfUrFMWS5i7R/MIImr9GzYKg9Nia8L3GXE9KZYK1
It8vUCkZPYxxpMDF6X5lfjOSzcj+wd1PTArfDHNfem0NMKmD9kdlfTg2B1XmGCsf7MSIEL2XMc9j
yjP1ZKx8Ul6leoBt9V0aDkRyrvTVL4bzhBYChKDOFJcqSLaV5sz3sHzKwLkAEcPaCFgTWklk1s9Z
bgbp8LOrf2b2Tbzs0FAJR9P2DXXj9mg+7FmyoXEZan1Ewa4zlb2fDhskaAXk4tK70ZOE1dWtOfq5
wtbguulrPcPfp+jpeDQJNLp1yHfMKUeOLKDKtkYoiFJ37L2FJ30x+d5YYae8ZQYq3Mwv0r06R5C5
a40bDxpSzT2DHOiM0rD+6FnvZZVuW9mNvnabAVDxvw91NrTXqWU8qip+jYdthip3crCGwCpUUDXu
bXA8xON7T6etZd3XVThOsjLtSrCCeYuPt+OSsc602PBS7yae6cfkfvKedfRq9OZqSiX5xMp1cmxG
5JVQlljxugxm6u49o2OYtLuayAAHMiNCQLRMJZ1MHjc85VsHgrE+i2yZGvXKXWKbmM8DiovrDYrz
rxr62CW0MyFgaX8v4/1ShqBtoU4ZTsV107xNr399DdsQr8MTEDUjjLIJvqoytUXVFCQ8xRwp7s5y
nxZZRrO2a0cmxE/T6qOlOi1MUHIokw9iR0otOd3rJmwMJXMU05nC0dwYCzM4byAYFGbzTc1vaP34
DxuFoqSNAQikZyILRjroGl0crGKYnhx9Pxc3oAq/bGKtJoma8h8bQpCaLY0AwQ8bHn1fvpkc2AY4
7S89+9YPD8DxAM1bSWyu7hzmVIDA5A9ysWpIWtZj7p5zpdB9knxlKIEYn5eXtRYOQef4nwkeIY6y
oxj1dDCcwUQXR6Oyw5vGCvP6dvEivZOUM2SrEW5Zb07K1AScFfMCkNvRdmP2zVok7d+1m+R4OcJH
Kvp57DQVNkg2+1npm87r7Fa+p10bfz05izzl2JRwODWH0FjjdEBj80NTrsruq53w7t5e/j5rxRGk
/qDcBx8dkmSxcbIALOzaPdxuRnbn2UDrOBqGloZrh9hBrFM8jNtbNOC2sxUfUid5SMm3yz9hLegd
/wLBRdqpbLvBxS8w3P0w/7KHZyC5Z+eKJN8bMNqoshXzQC08PsDBjzYKmqQuSlBChWHwlnQaNTCv
9ADg9alfZi9OE5XxFVDZ/uS9GaggMzzFJW+eFZZhJEvoHuGMYxgDClGnR8GplBlACBu0f3732n9C
0vW7EaY/m2CEDsqeFn7yM/WbN3Zwr2eJ7ZWjAdMOXpW8zoeZ9lPTBWUkdnCP8BDpuiEGG4cp+uuv
COZkwHVQhMdki4hCbiunnUjG9SEIBCTdja1uMXACtJZvZSGSPODzLhvkbiF+xiODv+PpUWSx9Zpq
7RTDbczcL/PWXyC40t/khqTpt7Z3x3aEvRvUJHHNysObXElA6YkS8ATlz3/4QMdG9NMP5LToAtdI
iYN0RA0KLMje20glgK+V2OVo6N9xYVy0tEU8SWFDiNUo4H+aZ950TR9A5veajVnUVEmQDLlk31Yi
/4k5IVRmCkpdigqfK/WfBcH8g675pRIR9wo0cVJqX5k1IVpSq0cWUsOaboc0/8wHEAdSTKaFlv5Q
9F+XXW/l/QPmdVQvQFOMqitqJ8LnskqPgIS9CK5b0KuDgf252c5XdI/Gwt4LlJcsMO+SG/Aq3Crf
qN9E7Ta/CRFwwDjz12hByBwd/xRhm1U1tuveUfLA6QiKYlfMHDDUvLm84POzBiM6qlJoSPCCjXAG
rKVC13nCevUOd16PiRxwIDmPjrK/bOf8KoAdDq7C0DIyU1HJN1+SRm0z2NEwEeZEqEYt5E2vc3+w
HyoHKHRL8nIw+ME6jSKnFoXtQ/031+IYFg1IrgXGexc95fts20fPPzx/ec8ef1RdlAVdMGB2h/lm
mN20fnnVPCWbJTIiVOi2smbu+Tk9/UmCK5fq2GDEgm92HNF6N3hXHfvwrLBmkoL0SvHv2JIhUrqA
UqYda+7GFmXm3q5qdYfWFlSKWJwcNCPPN5lXWXiW0uanmdrJY6q56dbuPel4zqqD/ffhz6Rx1FlL
xtHGLxkDipJMlAZexL6Xqn8/h61PAA/zu2tl50h2YHWrQUIKzAhGms+oamMKfoZKxWA2I4eursNS
f3CdD6iiECqJhquefWSJb8DRbVVZuUprB5aKsQ1B+KkQqNBNICgxd+n4NpgPJvvr+xEf98iiEKPA
o2RC6AoWDWfbjBEEnPxpuovbf2i+c0MYzUEl3zTPyC7MKa2nuYQh1QkyO7C0zh8AVUShlfZfsfmo
Zs+Td6vl//Tt/jMrDiHHiZoD0MTXp4V56flUube9qPYidZSUu84zgJMFiqAbkHXbXdXAkmJGVnkY
l3ttfr8c+FZef6c2hARAUyAb0qdpEXQWBpmaqELjlUGbx4sz3xpeoDWpzPtBlXilbGVCKqxmjjrM
GlY2QOhIGWN4yLcYZOmXFyezYp76fuzVldVyB8mM6zQHkSO0Lf8a0smvQVwbHme84MizUxstrZp4
8WCDWH695L4LajzMuaaogl5ezGrIODIkXBiFV7NY4wd5QuvKVH4k5OAZ0QKCfNmU/UrIALkt3ikO
uKiQZggfR4n70lucBEn7GFn13ZCFzHkamlvAWYomdKq/93IM0oAfw0JjDn05YQdzsNtjhjRDES2/
cbT70nqv/j4DRdfzyISwdxlwg/k4o7dW1PdMv6fDC4Cjy3yn95JrfaXVempJuEMngjJOwzEU9L34
NANa+6U/vCbBuElujFufjIHpp59XyIHvuisj97++1G+lxFNWGCN5kxdhEXkTl53g5+Io5s8gS3Gn
HhgoDbwjvW9u3Sv1k5R+8dpsy+s6DZar6WuC2IHkvK246Ild4a4hPZqrzgC7bnxfqk85CVw3MI3E
z+fd5cOwFrZOTAlOYw7o8LU29tktv5jybv9KxwA6C37XHzTyquWHJJaNg66kCicmBScqFZDMuDlW
h77NqL0v6pZ6N7UMo8L/ipAXnlgRHGiYwbQ1u1iYp/2cMaquhLH3SNLHElLWuuTkra4IEGBewOTN
SuGgq/3YpeOIlp6JivyAZmuGOcTyxuglX2slDoPK648dIQ4X46AbBYOdZLnTrTBunwdZ7sr/hLht
cHhEEN5EB4PjqcvXzE0bPQYrcYx57kb9MmT15HUDfL4UIxHqGc2Q4aJa5CwQvAFPUGQX+tNiNZJ3
8qoJlJE5okZF4BUeOyAhsEYsmkepn037aCf/4sG8Tv0/A8JdD1lrfVpqLjdVPai4p/TizikfU1l6
v/a5j80IbkVzMiBrwTrSbr9ADwwsI7HEo9YizbEJwaPSpEvSqcBK3OZVyT68hhM04nIv/JJIounq
V7Exq+sCGqxrIk+LW5gjKDoBVLCyGxPiFV1FJGFTZkFYTIHEtQEPLaCOuBJQF2wtSUa++kGOliDc
B5S16GJ5QHco6UtmPhszeCdGyRdZtQHgoGr+Zq4Uy7kJSPxIMQFZ0Ux3ihK6zY1RfV0O+mt5CQAV
/5kQrpeSJl1htjDRzrfM9XsvNIElbg9E2fUt+P4dT/Jh1mIxF7jC4LSHbpF4jwK0AsoYA523dN4Q
Gzo2DZ7gc6jYN4jPBES0l9e36tRH5oT1MctLnZH3TF2KgdVd5ryCm2Omu7b4++zbPl6XECzHwSVD
tsBQP32z8y1Bv8KUuNzqWoCA0SAfyYdYhGvMJV6FOQ10vo32eWxfsnRvJoCBP+W5JOOSGBJnY0k/
9lVFEPjVeTdUz3jBgOBqALrWlqhhrjr4nxWJhKIJ6NaYBrx3YKdvStn4lGaRJxOPWbuRMX1qQcsI
+aorepzKRajAbgwXN3wTvV7qhmr/Gv/1iJGJtPDIjOBpGstzLU1gRlcfFOUdLJuXPXk1PeNjUir0
K0xQTQlXQJPbeR1zgCMYbCKipNduXoRGpu/AsH+tjrdTXQMDq9fEr71O0ipbwR6YQKijwQeuVJQG
xKZpjvlgx2ULQtGtdl1t0QIIVcUHQmprgAw+wiNtkpj83U0W049jkzySHGXciBQ9yTuY1CGHmT0+
1/uk87U3LyBh+4VK0ja91R60b0aghFTxlZ+Xt3vNazBQCFJ9NPHxn7DbzKg8Y6lx2Cb3rilKcGrt
RgVQvv1lM2snAPhRnj+gUg9xudNFpmwwoOyLE9BoWz3+Ncx3XFT3so210iBeY/8ZsdRTI7Sae1I5
MNK3AaC/oe4eYufDdLaeFWgATtWPuQcSO8nhXruCj60KqVcyY+q051a7+jpjYGAz3y6va/UTQVgC
34jrQonErFQflnZpcSDYpNggX3LybgtuAp0ExClsFoAxC8Ool22uhUYA3QFwwxngaevpVjIAXQ0G
gpHAA+7GYbcYPBjcZyDdwWot+WxrrvEb547GsQYoHf/3I/+3C3fOjGoE4NEaoqIdI9IjvdRfLy9o
zQrILf+3iWLlDcivrnD5JpLms3L2xP3oZSou65HryIbgCWQcYtKCsi3Q7H3aQaOUWgDh3pfsHspQ
YIoKGyVSZdOL/EuchQ+Uj4BExCgb5mtOt28yFk6XAKMxM8FRjQGbHKK2rUICJ2Pu1hp1PWy7Njso
LEZVfq5kcm2rroJQjV48uAsArjv9AWWpuEZf4geYyA1LIyKIIjE4VZTyVa8lmeLqUeAtcLSw0MYS
2TzVyugH77egDM3CJa+jBCR5flrqSHwt5x8c83e//f8b4z/myDFBLlTGEwGYQW3vIQ3FxpfC3Vz2
ytW94xzPGFDkgnfCMVOS1CnrEr6vEWhqFYrvgJWqdgPLboC9k/EbrLrKH2uigDWxCQN6FguaM/Mp
dT8W+p54ywNaKNdq7SL5wcidKZv2WL/fjqwKp4LWLjHBtIvzfaemQfJYDwGvJ9160XILMqF98uxt
3c0whmOYRvEtJDQl33E1QB/9AP30O5YJUfREww/gBOs8Dx9kZf0VmATShiMTwiF0FLVSQFmHW3Sj
bayn9DlNwyE0r8i2vYYYxJIGzlWQfKjvkNYL6T85ESRuMbKI54ZY6q+qFsRpKYyb+ZexKP4y+obl
e/WLJZvyWnfXP5aEnURvfEo7fiJ6FTOYnW974O9+GAaAJz4uH4wzV0XT1kGXGqkCQH5nU+amU2nZ
qBoUInPGXR+nQWZ2UV6aN4qdXHmWG4EENGzGTuIqZ7eEYJa70tGRHwrdmkwCswU1MHlnYI7MiSp7
/39bnHDjgZ+MJYMHK0i7XCxjejEwem28z/FnWVzHk4ze6CxqCqsSApna2AVJgWcOqBmlcWinQe29
qfPj5VWtWgEqHF8L3K2geD7du7pMVbAqTGAIN25UwHOTcOwPhvZ+2cp5gZov5siM8InmBeMZFTdj
HpZ3CP4Y3zH2A6afK/Zm79kDr3352i/pq4RHqZNrlpvlxF1gQdehgyrcclnidIid2MOseaWmDo11
+uXYoaPfDY3Pwa4DRqAkt93ZcRNsCi+DhHWGM7ewqWE+Ov+aoNfJaUbyW5bKWNf4nxKXB/wThllB
woHLXFhekzKnop2J8+YeaH3o0wM171j7aiwPgynJLdcc5diWsKxeV5a5b2DLxPxUakdtHJqIysoo
OWayNfEYc3SYM83MGjuFnbQvo2YC6WgDbL++yWvm24D+272skixZmfgAWcakJzThu9jeNckvTMBm
eDF6MkaFNb/gzX8Hr3zQDopIHloDbqE4Fsw4he+Wt/Z4hdzZj9m1LhsHXQuIx6aEbzWZ5dT0Nkxh
8CRuPlVnbyW/Lp9omQnhM9VNaxIQ9FPMIk0gcb1X2h8ElAOXjax+mT9bJpZ6vM4sKgxnwuey3gSN
ak0hnmRBVCB27TvNi2Wg+FXf47OCmAtHe1KsYdmsdaluQy7BnPTXJc8TkI9OIL+Yr9Wy9ufOeAM2
PPiHNSIBAC8LSot4ap/6uwey2ISOKPhUDYUoCi4SFsxpWJpP/2IHU2oG+oPoXgsfLGk0ymHANPDq
cV+CxRCznx5whq2MhYL/obOg5GigIUIpBvwhwj2ZgY2h6xZsIhk+u/YarRXfaLZTEQ00NOpIm7aX
F7Z6ro7scSc6ChhVWyejPsGevuwaJFF6mLAPRzvUrQQ9fJ4vIrJjYsIGXgzDfmdlJqpnIyI7tnA8
eLecFeCt2LW77ECvyhct6BQ/2Sf3cRT/8vpd8V3ZXF7neaFEMC+caqNLO9Xj5odNc9uXPlLU+nt5
rWyzsNulzV/7JZCbvJoLklQ8wcUHvl4pWsmyvOO1H4j0jOwQL+EsqzCdn3BYMdAq5I9gEHoK3l+Z
haXPC9hQSb6brBs7eaFTqHivl7fud1/z1CcNFW81E3UYFXVQcfxkHrVlqgYocsxXip9FOv7fbYGk
v9WvvA2G8JptZ/gqeOr89MrZZ6HZBddZSCRV+HNPxa9wMdmBzoIKhLRwMsBSlldaj79d0jAFCkbD
iPUmbe5bKvHU8+B8akg4EqObpBjUwnIn40ei+GAicLrvki2V2eCLPTp29qC6TCmwGPWB3ZDA3rsb
Y4saxhbPil2/SbZp0EbFtvaRI4R5ZO1VwBfNgy7JX1cyS7ROdYiMcY29cziOOS+YO5tA/5q80h92
pEFM8s7eguDqlxPVu/zNOmhXs6SNfl5wRrZ8bFQ4ipnlTZnOjbIfEK8KHX/Z0ZvMN/fdBjDcWxn4
YW2vj80JsVtzCzVVBpjL55tO+7KHH41sMla2j2IW1Le6TroFNl7bvXsAjc6D4muqH9+8eVfZEzto
h4fLHiRZlCUc/cnrC6Zzg/q8z629oW4xJHnZxPlVdPKZLP3UR+eqceK4hAnnyXhD+giAZ/Zcbx2J
O5wXS07dQSzHT+rC8n7m32cPTKl2gzF+bVNuzGechajZz5t+9+JGEDLeosiWbVxJqD4HiQv2hddV
Yiex2XF3HKM4SG/MW7bJP6oIr6vr6XHYMZxBB2dR3Wf726/pXr/TwyXKvsdw1F72W3i5Xgy1R74q
Dtw3ap0bMXj4cB77CFMnN/kGMrb1xouKm/x7996+Ktv89ik9gB1uK3t7reiQnH5xIfJ51mxZBf8S
85UdxVuMZ3nXc6TtNP/XDcj+fxQfyoO78yRvI76/4poxv85vFww2QbH01M9Qtp1VprkUxVt1W7Lq
miaNpF+xdlqOTQgRJzFydQJMCLmHMuzaNtllOC2kryWIlLUrCpeTiqEh0K6dCd47RslAqYxsNDeq
X4uBokZXOVAvSa3HFIzIETS0ZeWptUMK6WYHzK02B68Jwc2cY1cnMX/wgTmyTDCwZ2+HIUqXfYqx
HoYh/UISedaSjiOLhtBxiomlzv3An0fNa9KQCNNE34Y6vlnsQUZaef6iwE3PG0C2/Zv9SPAMUFUW
WcxfFFAlvC4S9giuxwwyOPbzNMaPvTqEYBl+uRz1Vg/BsVHBVyDSR2ilIlF0kuUemh6hXbk/3HwJ
POfb7DhBkWSbmeJsNLPyYDfdLeD5W9V5wQh36JnDVW05m7ZIJDf1qgcfbYXwnUkNuZoYhAuBxpZN
3NPbaWyDJiWS1a/uOHIsG5PgeFKJvWCo4vS9O+GgVIA6MJD5zwlIJQJbvV+mXeco/uXNXj0wDn+9
cblijLydHn2m0kXNXayqrD6YUW9cjTxUy1c9QI3OkgX61bUdGRPuM+LZiUMGGIu7KnLrYld0YJIF
PuG6Y3sMTEjC2uoXOzJnnK6NQgvDohRbucQQFxrGKLfUYMoUSVosW5Vwe/WKrSpDjDMyMc9XjM80
CxX1U8vfBvfa+evOOa5KVAT/+158zUdp6zB51Ms6bGGD9hOSuJCwn8lU70sIAl72jNUoc2RJuIo6
paaZyt/Bdv3VFNH/I+3KdiTFte0XIWFmXplizoychxdUlVkJ2MwzfP1dlHQ7CSc3UPfto37oU1Kt
sL3x3t7DWo0gWax6nAiFruMsnxLUP0F+iBYPnpsabT+oLRMT721ZsaC8cVP3sRVWbHsdZtHHodv9
f2G4Uyrwtal6Ds+Q10x0/Cwi26ELZPc6yrItfKNwx5NGilgZDRajVUdD1D1Zf227XV5vNMFG9fc6
2PIJQaoRpXLQ7/Lfrtqno+kLsO/aEGyhwStJqyy50K0wlVbc9+K6QM8MrmQMouKpe2l2hdYT2dew
exK0pkrtXi5e9B5Fn+yepcQmaz516VZCshYkBdAcB5cAv40y2KDVEI/3tFQtVt6UaDLM8ruhfS3X
+r6WNtEgyFyhZQ4dUXzPQaog8KUpXvBZQNRtWwaILiUabdJcPccBrR+vn9mSGWKsFNO/E/0lhrkv
N7JN0TiZ1EFlyyV1wbV3MwS9dx1iYfMmvsBJHAY60j8StZkalMZI0RltCtCnOVHZInruaEg9G2uk
3Qs5HbBZgxMLxQnwM2Mu/nI5ZQZPluU4qJD6Nh0/zFxwSJtbeTRgIk50dDkjltgNKGCM96lKVz43
pFoAwIWuoJnAHDWGqdFKzc9r08xIBpWxCs1DUbdXKQ3f9GBgLqk7SAPEEmOPqS90rigH2U5Ay8dH
nRma3cp+9pCrvfgY5cl4Ewxp5bJUqD2DRioyOYZw7OSyvWlq0qUWUTNYRC6z4qM3kuqVxWBGVCuS
v0oiCDntnuSC7RtZ/1sUBPW+grz2TRljODkpknBLQNX7J2q0RL4xqa7sjNGHPGM8itqX1tdZ5chx
KO3ysRfcLhjj3SiG0K8GF63qHxQW0mPhV1D1IWZTiJhwqqXBGfpB09EjpqRgo9QyU9qAQF7JLX9M
lNClJJdTqxL1Cu+ILuzcWNRaF0/J9qtterOyQp1ChcmkjSnbfjemO4y/9QdKhORYxUn3aLAxf66E
4kmS5TOg2m2fpZAHH8RxbK1aN0G7F0oJhIB8SfYgKB6/N3pt2CPJ4/sGBdJtUJkEalcShovTnmQa
2p6jMncVDa319pCI2kZR0bWhUfBlkTgFWSqZlLTlXt/joxHctC2rnVC2xV5tW2M3QJe7RdGhDyHy
JjT1B/MbEuxR4UcTgwAllX1Za1HmFkqpy/su7CW7ZlliWnIPpSY7iUuWW7U85A9KGVHErQw+GnLe
z0leDmBDNU0PrKoZswpdayxDqcT3HspvDRj1skFz0NjYV2jm8qkHrmua20XeBg/NWNXGQxz3zWC3
aiq9gCAx2eZKnxMb7M/M6wgZPkU9YE6CAfzcTQTWPg0mjsshqa9lIPdWgCmVaviiCAzz3kpQgPun
MZLtUDeV5FuBqkVPOVT0OgvdOJqxTUlTH3sp19N9hdKC4gz4/920EENMEZiGr1oyqFpbK0tNfQTz
To7sjtxlrdekqfIcYVjWt6s4TfdCIorb3GcY/S6Iig7eEYI3EApUUIJmEtrkWOA/qi1GBtterE+N
XPdeiPt6X4VpsfWF2jzKXRxJwA4YdXSxDrZ13NF7iH+NO7lDMRVyNhFxM7+ONko/ojc0N9sBS1LB
qp7HertrSwbC/z7qQZgLafMvOWoDcM+2EYKoVgLHEhjS/aMsCPGDqGfdH1DAR+5gjuxu6LJ6G4BS
9pHEMcUXSI3xwFLqO0mgyndFRQQ7QpMhtgNr9tSiRUfZKATlO+S5wRuvJ3nwJlGKOlYe5UZ39tM0
2YNWQEBtS6zjO6WrzIcaTPPnRE6Ht26oBt0TmWxuxk7y0+2oC9UxJLEONw+NFTepmXaHPlgRlGWG
EJNjLcb5vSrU6UESNPqVqQgRrW40UQJUlKpzIdsL8mP0obXdQ92h1R3CivVeA3eOoyYJddFkr69R
TZMFZwfuBLDHTSwzECPgIuLO1BPVQA+FPTSp6AgjtA/6xNaz0EZa14Nvf1KLP0qMIbAQF2djsf3v
IcicNDupYv/7upv6yaeCYtH8x3ARWSWKeRWwyfPGgaW0jwmItaj+3veyMzbBV1Z8FIF6DH0EnWAL
jFYFGRad1/wHcM4rJkJspP2UvO/onqaN0xSpk1aSXSYKBDXJVlFqV4uheIFSLpTYX1Y2YMl3TQ10
4CKfuk1+yHsIBZV0E75LK3+zEIJMVejJafWek88xwGypiRp1raGlNM5D/Ee/EoosGsOkLjupb2N6
klu+Au6LPtYLwNfFrQr1bXwq+zbdp6hWr6x0IamG9vBvqOmnzF4tGTgR9LopMcyNsYcIg8e0cJHb
tErRHtpnLdr04b6RViL+hZgV4kjTGxriJQqeFpegDNq1Pkp5CCLhAtWxe1YlfTuOooEuJd3OS3Yv
DL+uL3Qp9IJyLma70W6MVkEuugsDQRjjBpBRFdkdhj0CKYT29w50JTXdXMdaiCQxRW4gV4kRH13m
p1DbFEzmuQzqq1D+gCQV+mWd6wBL9jEHmPZ3dmi4BqFZYgCgqUFUA1XY5Cbt/NeYYiRZS+NiBW4y
Nz6SQ0c6WsIRSaJexx2XolJ4b3XEcbUPZfcc0pdAW8kOLm7ZN4TGJc7CQRhyoQNEL/eO1lcQ7lo5
lJVF8OF96o9Kp0lAaMrfRrtt9Kf/UJ8G8QeqX9CmwuUBQpPLY0GvnTowRvCCiMLEMhr4+qKyBEJe
Uyk/tmF9N4YYySq6tW6Gpe8JVOuodWKkEKz63AExOR7EXJRA8IEuYz/5LSYuwjUhhJhp/NivDdwv
ugf4KUyrT08Zjf98haQfBMjU4Xp6T51asuLb8oXcIIraZZ9FbQ0rWZwla4dAojnNSBkQN+e2NW0w
DCxPrpGRxwIzOeNvQT/0azfhEgq6lcHcMjE9IrNxeXhNiGetiKEEm6a3VWkPfm8VMkKIf998hxn/
GQ737aq5CboiJmI1SWiJoOjHqMcxQ6Aap+JKsXbpo9JU0cCc2/Tl8k0nvVB2Kg1hFgg3jrExHge2
dpMvfVUayhIYCkBSAM/my10bWlFBqABTgEg05n61FErXfeTbqYSy+/VL7yfh9jQtMn1byEDrkxAQ
h2VKhaAmJqISt3/FmweSNYd6U7iKPR5yL7K1B9/TXf0JtXdrwFDVPl1JtSwudvYDuM+sM0sWx/r0
A+LKivp9mv5h48pdu5Rin63yB9up2RWojYwAEbYI+wv3lIBEprL9Texpu+zDf6zO3Uv5vsa8u1R4
Bi6o5KF4gkwcn91WdaUpUwH1raq03kF3C7Xw95DYwe4Bb1tpm4A5xLt+oP/HUr8huQOVg3HsmI+l
ina7I9ugcbRzC6Vcl9jCm7ZV7uleuhHO4natersYbYPgDf/DRBm4MLloW1LzIZRrH8qum/4oPSFR
Rp1o42/RU7CRLDRrRA/lpjs8X1/w4vc4Q53+fOa2BxI3hUkFHG1/ZqJq+dLK7NhkgLyjni9rMuAZ
wGi0eBsHACiPaG1vD/QrfY481NXI5/WVLLqAOdJ0m86Q0lSrWKRgA5MSrfv1a3qMXAFNlZ66Mff1
hr1cx1v+8r7Pi7tmgjCI2hoi93aARj0QjlhK0Vlx93gdZUEaa7phvmE4g8T7ONdJC5jaSW5US7QL
9xW6heLOfxC9X9U2WlnWzwmhv1faNyB3oyhaH7WtDkD5A828yWkUbamzmtfqMRgdeW15S7E+0qgI
9qG0gTFtzuoVNSNUL2AeQ+zUr9VGekMry8m4Vffqmn0seVMds33w2gjw8Yi5tI+KVlCFSyCyEe6C
e/mhddDlWB/pq7EL7yE02RwMr/5FN+aKj1j8sOe4nF1CoFNmAaqhNvlgbvicOiA6RFKhv0dvtmpL
N8o7FSywOp6SlSBl0XYwsQZBNaTeFDTjXq5Yi6IizJiG+JKKxbZKGVLyaj1gxDukwi7MOix/LFDu
gjZDgnvVUOjDWIjVU9ZBLtJPSL8FCXB6ystczNzrhq0Am78X5r+Ns+t6NMDbhdwGOGRaWwr6XSZ0
3nWIRVNGnhfDgXjZTd2Ml+svRBrJnaEjrhkVpP/kB1K8dVK4ZUlr5yk6C5I/eS7etWq4kq1YXtw/
wPwUE8zdqKIBG+9T4nV66KUk3qwsbtGcvxfHS9SEGjJ/k4K23e3zI6R0kX6BmxSfDEgo/TkKp/FX
/CVa8loJeOk+n+2pKV3uaT1mIck1tbLHVHyuc2kb+NVm1NH/pkPkjRXg8iy0c5Urb9fXu3TdznG5
iyKWS3T9iNjSRDgX8e9C2Ov503WIxR3FmCfCOcyng1z5cmlpMfSG7mNHEzQTIH+p3mroJRdfr6Ms
2sYMhTP8JhIUlg3TuUWfRr5r1trhF6OmSSISjxMJRLx8iJ3SohOjAFGTfItF2EVh6TfiuXC0j8Iz
d812VVhrcUV4YiKuR/4EW3e5b6OWIgzP4DFa6Vnojkxc+Y4Xjx78Y5i1wsA7mGMu//4ScwR6L2FB
TZmh8bi3huKuHdf0RpZRwOVrmHjTIZV2idJ1IW7CDqsYqnvw+hXDufzXxBRwrVPZC++SiXGDN7CA
GHVbd3B2xfD3LX7jYy6IdtV/seMZDGdhBrQkqTh58ILuVIVZib9VtGcxWXl6LH4uMxhuw8xYRGp+
8qfDsE3yI9N3jeCwtUfA9GN/+IlvFIXLwnRmlEIKHiiSbo/0KJbvse6YZGf0LhlWmguWHSaejZjx
Bm27zFNJC7HaKl0R1nbzy2jconX7vZFa8ibeR47hgizQaB1IXcgrd9vyJzvDnbZ6FrqStKREKyfc
fbfRb4V7vOdOYBKuT7VbY3BxjbFq8egwRIV/pqFeflxfERutl6uotik5RqMKtV+2o+UnE/IVnpTF
oFz/RuKPT0V5x4AfxvENoDzwDO2g5i9keAnTHUszJBt2Nb1LcguER871e3Y57ppBc9eSXJJOFxss
0vxAQdR8CR/IfXJigZVuQfje2kyww5N4yBxxbSp70WZnyJyPbFGbCOqU1TYL7ay7T2pwjj33zU1C
j32xNmm11MtMoFAHgVJ0FaLTYbrYZsYj0rDqygLrrHSnOol7H0Wy/egOZ32Tb1FyPMm5ldxK9yvb
O23fjw8T3CcmaO4x4cXbkJyBEEkdYbO1077g7rf8h2D3Fp7M7XhegVrcz28o3ohoZ5ggYMIK89fG
1TbFjfqb/clOw21fWoOneOqZeeJ78BZaq/mAybdcWSWfo5eHTs6aaZWtA2E5KwHBoH6Tbt+efDs7
rBrOss3OVspZDmlBzVD+3VTPtMj23NrRqbV0W76H9IKtH+NT8nutiXkKa64tkXOvMdQ/tBTTlZi4
vS2FAxPPZWcJGrqe3OvnuOhhp0wmhlDBYMPrUeF9TBPq4xgjM3YqTPF35u823F0HWQxGZiDcVcq0
sm5MigtHUH2L9PeoUl4HWNquqbeJgPJ/GpvjrhWWt0liBPi4R1Rr6gFsk0F8ynrTDvJqk+pr3J5L
V/UcjrOIoJYxppcDrqG+FSuB15QnIfeStdHoxczXHIgzA6nsaRBJ2Ljek3c0s4qtavVOf+iIVR7Q
Qqi+N2CK7qz0rl/7vte2dDrT2Q2W92aMjDqglY36gR6BzBodiGa4ym2Z2+ad4sWbYDe6vpuuvWbW
kPm70yhrqP5id03jVxLuY/1xiNH8sG2od91qlmx/vrucWZpNp3Z1DSAVTZjQUMrCjbTKsLboCkxQ
+eFf9Hf8nACH6LRRTzFsMdGOZOiBOQTxS6nsYt9q6EEM7yG/0edgKjhS6ZGlth+upPuWNnT+C7jY
U/Q7kLxNWcw6uY2HB3QQWOhlQdHVMmlk/fs9RSsPrpOp8GPwGVNdZMlo9AgNI1DdCp8F5AHXyqZL
xzaH4CxTKKtWEiaIISN3KUUCTPM9KEfa11ey2Fwwx+HskLVpkjcpcGpzY8a/GsEtoZ+efcnqCX3W
TjjYiXnbt9vrsAt+FWYiQ9obVMjQB+SushGqWHirAJWUhUXI77aprCSxFPLQ+2jCWyMfWrjKLuC4
q6ydSDPRNoaHaVCiW7JwMCC4bTEoi8fdyoYueIELKO4yG/FaNDptemm1iVvWbB9Umnt989ZWw5lG
2Qq6PNSAaJPbkbwM5MEYH9L/8GTEQkCZBDVdTDPz8yJFp5haNgUEffeAJhw12qX1ytW0lCabY/AT
IgSsS2mdwy8PRuxgStoxg8TCXOlbrWeWFBRuHY3OGPVbiDPdXd/EpRfXBTZngoMk9abaAVtUXmnu
dmwf59sseh4LtwqfAnVbyw9DsQO5vyLeyf9ajBPkBLPd/atiMXM8TA4Vpeixu0kAZUXxswT3MQsh
35eJz1nerljMwt14gcYbpRmHMZteXY15JvIfpYXQaNpC6/mAZs6VfZ2+JS6oQ84ToZsyiQFj2PjS
pco0l1rDx8rUAeFyIRxFlHahwHmGdivKvP5blqLXtCb3qHbdGgr0LNnr9Z8wXVnXfgHnCbLEEEzC
sFrat+CvNTqCBreS2DopVOc61OLGzhbLZSKgypM0YorFNpF6CIXAyxV1L5utxSSQmyaf19GWFzbR
IYLIGKPH3DGKwRjGKcHC1GKn9M6YoWlxcx1ieUHfENzdEkdt4Qs9IAj6QnvdytmIfOuRtRvKnq9D
LX+BIH/93+VMy519A0QKQShAEHwNexTO/BPxqpPxiUrMOQXV4l7ZxndrXvUnjfz03U1t2NBGBmHN
DxoI0jPSRsCsHxuXOplVb9EGK4Ch20aZ15U3idO7iZdb4V67wR8cYbsH+byql7xAcnD5QziXVDCY
ZRfjh6i3sf3MDmB7STRbqh0DcjS5PWx/MScvLOExfZJ34UqD0aL7ne0Cb0jo+I1KFac8xNuys0X5
UPu2IrlRep9rayzMS7HhxZ5zNpX1JTO7bNpzL3dAbrB5rXq73VLHvCf3tRta+rDx7f9iXBCDw3SB
icZ7vkiB3S06SYzhvqCAV2GoKtOmfugRlPntKVYrS8VAnqQFrhYFdkwkK5OY06gfmFVYeRcuflKz
X8KddBiSvhrb6R2FSbnupJgpeK0wJQ0F3XDNoU73zY+rb4bFHWxk5CwnA1at7NPjCVWZ9kzP9VZ7
xEOKWdDrtSOv+RScO4q53es7vrZM7pRFqTNrLQS0oKNrQcO0Tc2csmws2kJDYFV7b6F8K0F775/z
5S6PnKaRAQ0SmLDw0oMMsCkgqwp9bvBbKY+mdgalhhUVK2tcjLwMqNtDfRzlBn6MRBglrclKgPoN
swak6w0tvwOzBMnW6Fqnn//zIL+Rpl8yuxtVtQDflAKkAIWnCPQVGMUQ9ZVrYBkELCtgtjUwlMJ5
r8ioaqaKSW13NUJhI/doZXihWDnXLWN51/6B4aM8VvXCyHTA9LFHBSf1z6xyOnOl5ryGwsVzBrjp
wj5OsWNsqw5ftXmmqQMGR+v/txjuazYw0TAQULbYCHPqnVhFH0KbFi8po39IK4crBvcziw1C6Tn/
K2cHUSjQTCpBzyhs/VP2S6hQvVdKzPh3jnrGjGOyVvX4sY1/ATU8zjBkj+Tq9JnPDC8T1RQzVANY
+fVfVP7qQV9U+LfVWovrj9tigiESJhswTonuNe60mqrpghLnhX7dYxPsROkm7g5SdtdoK21/Px+4
HBJ3YCLEapsQs5rQ/cg3Y2keaA3tbjmVHVPKG0yBKVacFRvJZE5fVZ+5uhKNLm4oVog+AGhcgAbv
ckMbDLmNtTltKJKbpqA407MGJKbB13XD/PEx/13nNw4X9RqYPsHMj4gdNQ5UPSjUE9Y+5J+ZOg6D
uzASMoxQy8Uwk3in3ZFd2FrSXfUHug1wMQ+17ghPuH9HG0NLKFpdX94Pz3YJ/eMS6bVcDiNsY9++
DCbEmfot7TGlI38NoPqQhhtR3l5HXDw4SCgjPsVUGgrzlwenG4PUER8bmkArT0EvOfkKByeQopVQ
ZfFTgEAThjonFVs+F5IMUSNRFQbKwG5Df+XRI+YAq/xWXVPAWVwQKuUy1gOCAL6iEDdBlQUUDxMz
FnZa+WWY7YcZR7ZYFiuOZQ2J++bK2I8GvwRSJ92ZhqckL3Kl22nAVoziZxQ9WcVsSVy8A00HVRV9
giUVxmkE2aSMQfA2pU95pdyXrDlGYm734aOUP6dReFaR+hei0e2MNwVKA0NeuqMW2TrK1cpqPWBt
E7iAqInVQlMK/DZSOJXp5spJDEFSf3/dSn+E8tMOaBikRUUVhHr8gwaDeJ1EWmgfG/173Hy1LWrV
O7HYD7ndfV6H+hnIc1jcsYYJCMpxHCBzd9NXEPLfhq2HiVYQwTngKXZA/+BTO1stE00bdREL/YVF
CI9GDLQw8LJpykBJZ7DpA+lvM3Jb1WvUz4snpX0DcCfFZCEfWAGAQosdKh+H2okL2WvXJlUWr+gZ
zvTnM9+qS1mbaA1w1Og9SkZLJXeE/b5+SIu3yQxjWusMQ1CEYIgnjKFJLMpe+zzAqEBo0+beWJPA
XNw3DL4rGkYtFKjJXmJ1QQtFgQFYJd7LgKosEcQVaxMWixY+Q+EcW1hW4DoWcfOH+GQ16ta+BXXv
RjwbvqcYj9e3b9HNzMA4DycGcSeTSTw9Ek++4eqVW3aeSR7DAK3gSEO+XYdb2UGeDSwFN7akDn+D
g9cG7I3Qs5Afg9VC/aJRoPNnUoPHsC3fmKXkgzyG8uS3k4Puta+iG1gitTJqDWdMYJ/VjfbQOL8G
ay0bvmjx38A8syjJM9akGYArwdiMhDmFBoLDWt9d38bFG2IGw7lqNYKGmE8BEzboVg9TS3q5DvAz
Uz3dQTME7uorZDlhSgOEUfpSGtEqym1nPivKvVS8hNDBFsjeWKtaL4dbM1DOu/Vhi0QgA6iaw5tB
0wXRuMOi0MIAiiPrn0g6emF632BqnplvfYQZvuYFzGCPLTrtClRSqdI9Xd+IRYOd/STuqhQaMVBz
TP/bLcUon/GQ514Z35fC5jrM0oGqYIgFWTb6IcHYeHmzJHmdtFmtYRxRcqKhtZNxXIm6Fl9WM4gf
nx6moY0MCgN2cMPc3oKYou9FT+Om8dgnOq1W28lWATkjxYCsGIiToDk9Nl/pzt+3B1BiopFkRLes
BCZF7/oeLh3VfIGcyZoBOhKSyMAeti+96PT6HdFf1c76/6FwNupTmAO4XOBv4j9gkZYCZtX9e21+
XYdZukjQf6miR1YFwxd/g2ldVlFogCIYh3QHHhyq4o1gDLkOMlkVH2jMQPjbypByMZRA2GUXCdTQ
gwezcEx6Z5RWRQ9VRp28rVascMm3zRE5mxClwOxiCYha4SmB3Uj4xjGvlR67T5auCe6t7KHOGYRh
Nq00dAATskfWgJT9abWdcNHmJn4uHBIocf62G86ij7oWlHJoIHeiltWjrhXVth8kTy/GVzMjzGKd
0W36qhycKGilvaHFr11WQKqHumb0oZrKUU06T+7HeiU5tOQAMdcN/mcN7LTI/F/eJ6bUKKGYQZvB
QB4tVTAmrPnQYPlFNdCEuNetaGmb51jcNoOTUBSSCliYbQWljWSP5YfSrXBhLm30HIT77BASBQbI
9aDtO6BCERAni9sbEHdY438S6JzYrFGpQbIGDdWXe4ewzwiroIfrI44KpsIw/XV9wxYPZwYwrXVm
NOB1C0D4AICAQClekm25iSy/fc4Ul6RrdGFLnkXHEA5oENHRjenTS7DGUAYxAnM75BTf8+6jWBv9
WDr9+d/PLaYIG0UPfBkvUuiaBHLlhPpjDfKKf79lc5RpS2dblqKF2E/otAq6a9WNL7oKae3YwAv3
4TrS4nrAnARmRXhjEAZcIsVdkhlGBk88KNQuKk9ufE/S366DLB7KN8jf6Gu+HNVvJYxYQKYJDUqG
vglRoL6OsPS96KoG6jaYMvTruGWkpdhlPYWbkostxprNFHw/93RtbHp5Hf+gGFzLeKqrkNKRsA4p
8BLy1fvhiof6WTNFHArOgYl2EcpVhGcfaBoV98sABA2iWamyQ25Ba26jfgOyOMPf5eULvlBWb/Ig
sjp8r3hl/peN/OcH8NwEVBBoaUw5ABOPytKwfO0pq177dncdZtnsvmG4CzsQI5KRCuskYCs14Bvi
B3MtdFm6d9C/JYPTRDHBFcBdBf4gV1JLkaBJpWe1fECHi5juMijprOUul7z8HIi/E6RsCDB6PomA
YaLx1HVPg7BV6tcy2SprImDS5F74IGYOxl0NSmY2pVkArAZFt6c/mFZkDdTSQut8tF5eRttyj66r
WVs0Z18/s0Xrn+0n91BHiTeNBx3IFAJnY5LZebTixn+W7yfzn0FwnzFNOgqOK0BA9yhxqnvwCd6A
sXATnHS3cIpdbrtW7wYPnZM+KcfAWXvPLj7JZj+AN//UKLVwBGW/bbyTh+AmeyZOXlv04Y/wXp3J
3b5xSqs8rdVWVwyI7/zNpF6pBgOoEnppKgYxtKPRHIvaUdh7rK00xS6BgTxDwwQXfCSGhS5v/DEw
lbiZLuOeZV4kSXajq7tmLLcVMe2I9OAKzld6NxevNXRmECgCa9PsGIeJ6fMoAoM4/Flk+7KIthNL
liMwnt36xU41oETyB7EyZtFvmHTUmVOvqVssPvDnv2Ay7pkLAj1lS6IWvyDIbiT01gSO2nl5fAqD
Uwn7ovc+HrzXv5dlTOTNpgIYxr74xCZkies6akw8anykmRRIsJ2j/CyUhxBFX19LoMnDrDJYcYV/
g3D+hgBnJbwHWlc1TFFcLjU2jDRJNcCC5Ev4RIdPhVKK2R2aXkh2aUUL24Ag+6bQ897WKZXxIJE6
PFKNUcQvg2xi23T/uttwykqhGCiipxaEI3wRpKFjxkopSGy/vK/klxgKY5GfrWz4UhAwB5muztkZ
S+k41IkfJrYiuAYafDDsrTzQbmV/l67BOQpny/Ew6q0gYil4Z1h6IVv6mkj72jo4W/VFkogpAYLK
7roEWUNgKKYVrin3LTlIUH6BWVuaPkw+2GCGmBV5SRP0R5XPVDfPJRFuZK0/GFqzqaR6e/17WNy4
bzj+bmVJRNXRjxKwFDabnvR3Iy6e6xBLYYWpoMZGCHqCILxyaQEa8dU2SABR5R8yOtJZCC7Lt+sY
P2UKoPZp4HEGJjHyt0f8EiTR4rIFN3hid/bomUfFDvbBn3IbvgR3+W+kfOR7I7ekTwnlElRLUzvD
RNrL9d+wYCEXP4FzxY1WBWi9zBNbrAZfsTS0BaFPRZB/S3iTQyitV7veuQ65uLVoiYHPwOvjB0Ft
gaR5ao4Csgu+bA3+TWF85ZDOuQ6yaCLfIPxDoUcBWOlM0JQZVQPBPhGqjitfL1lyf5gjACEEqFph
+5yJZEHnB6BiRS45skBWnXwJt9GhB6cOGBLRPnWERg8c/ehqN+F+zTwXmxXMibMKxDMYkuQFdAjS
XEZR4csG1WFrWggvjuxUdA9sxxy6aYKV7Vz8wL9vXT7NqjJQwwU1PocB7YdZ8NEIhcXMzzQ/F2u1
okXz+Ibi061EGYwuirCyPoidiI7HqA8dqe9WKs9LWdZp2gUPVVQ7kPHhjk+UY19uFXx8SkItKsCD
qUcf/C8NlDlyOx/Bm9mg/zg+yyXUO+q1We4F67mA51yM2EqUaazEBaN4AupTPTJOjhkXtizeisJK
OLwUQFygca6mqpKMsQhosnxfI+cw1m6JVlU9fG5keHdk4Y5+/R/82wUo533UASMxoNxL7DC/zUHo
N66+MZfeMBcQ3MsskI0sEWKsSxDufNWrDFcOA/Thn1T/lQloUxWs8lNOBI+Gbhi9hLSx28FFasfW
0TkcHTrtQwzehuLRaH33+g20vOdolsPHOdkYTw0lRywpoh6/rcmfE/ZVtb/U0etyY5OUjwrGdKAI
CYbllct1qfRuwK2gHDJV2H9IvsqRmsWhgU0f9uIf5Q3UCu22AIkLe1Tt5kB2hdtBRGhtrQv3A97y
UHzSQdwIz8ydA7ha6lSQ4EZ6b3ClX/675II720oyL/iT3mhecmvCsnf0bu0Wnv5iLkQFsAzROhDh
Q+mF/4oHxS+IViEc7C0qP2vZia4NnyyuDe8b8CEgr6mb3LcTC6Lcy3qDL1WSN3r/IcXeEIByMd30
a13nC97YAEnbP1DcF1NAgtvQMkCFxIkFR2y2ZroBT+91y1zwjRco3GHlfVGbcO6JbbBNL91W4A+4
DrB4KLNlTMuchc8dVTMpjwBAJRsKclHrhdHa1P50sNzBmxhtRU1kUoxWzenUZhhhWApl1MbxJPHj
tgNua+Im7DfznYiAyNnOmAcyZwsdASuLW/quL5C5kEmQY3ARyUAOi7sGtfEE/Sy/kSEcUazInRKV
urUc1yIk+LkkDcePy4R/iBGT+rHcolqCVE1cPWbBiTQCsndWPaBtOmksYcAjYuUqWThFdF9/g/Lr
FA06sByg6XjOtLMInbP+47qhLDjBCwguS1P6wSgXPSACwxYHq9QtbRccDWswVg7tb/Mkby6zxfAV
u6qt1Y6AB9uW8+5RbYo99QfwmoCcOx+wkbJTy19l/KqRBxFzxdoxATM7MdB8Y1giA6mGGu6iVvOG
pHQC7UmC0mkifUSSbqGT0gJZ+rnv1FsqrM2PLlwI8w36cb1FbUjUCj+7RVJDysDA/myiaTJ1/8M5
TOyFIt4608z45ccUKKGfV0OF3L02glTdNJP3AGYIqSdFDhHNqrjZ61SDlprIQvPfx+oqZLrwDRP0
ykOmlLOCDlIvaR1EaNuKHzLxkMYrq/tpyPj7IYL+d6Af3eXc6pI2j0qf4u+vUK01Qf9EReaZa6RJ
Cy2GgEH3LtIlKNZhOZebOHV9qJnKYjuO7ku0yoPwQd70gaMFgVX5t+roFOBJMI+1XTyqilXbtmSp
uTeuXY1LywV7nIawY1Lv4ttR6zAndJCw3CL7A2q1Yz0Im6GR1tqlf7pFiLRMyiki6BKglsV53hoD
ZkVcF8jEDZb6KG5aR3xO9v5RP0HIq7b0U/KZ2skh3usr99JC0AdkXcQ0mIFuWJSPLzd6FMVGyEVc
wKguQP43TOryPGRSyyyM8dQ3ZV2MIKXI5OouQ58/Xs4JKWWHRBHmL5CaukXvFtiss9ysNEfufMnt
qrJFh7zWJKklSHGAYa+ChY++3lSP3Zjh2GSRGVvJp//eFU89qYgsFPSw4LvjTdPPJEkKpztW1zxT
8f+HtOvakVsHsl8kQFniq0LnycmeF2Fm7KtA5Sx9/R4Zu7aaTTRhL3CB+2BgqqtULBYrnONVtQAC
ifeZ1hKYu3iq0McHNgOKtMVDHxzn4UlOjsBod4j29LdBBLr84p3BqxT4ZIz/d0Ffm1QdUNWfbzF0
DTi/IPLB5wHWrUg4z7skXefx/EwYC19X4eqoc+zFuXXlZerNMG2zyrdBkxLuTH0DxP2iuctirwh2
tibCIl4UYWWjNYi72EIR2mJv46rLUlNPahQw9BAFtdLq/JSkWBuVbLCjq9lpqlM8qdIk2CEvFs2g
XgL6ItHGXiLerugfgimJsbMSpFgOqBGsk736HnxoTnmS0Fggrr4PvOJbj77CbgAIhnPI7vTb6Off
jwudyf+VrKwyL0kBZZdMIL9I/wvNYxBv++DNyLbXvYkbxf5o+asAspJiAMQkMXpIsZtHSj2lTrH0
/3JdBvdsqLh1TF1fQO6ZQNI1VtKUWo+yOgoZamfcRETbmgFW/zIAU0iBIHBd5t3wWRXI0oCIW3bD
mIdEU2lSqHRQqc5tl9Sqo0Yf1xW6JB6Fb6zOILvMGEiZDV1xLKrb5kEeHemFuJM/bH+kN4Z300ZO
5FnbN2UHZmzA22KhBQukDtYMQVSaYTJXkHXxvuH616jngRocwZj4WiKCXJ1qdDTJLhQtMvLO4loE
Y9MyIkGgzBDRpV437lWMPM7egI1uspFstxHymXK/IcH1jqopwhxbNRpzSvUcU6SA0tk07b08f1OT
nd3cAWTHan/a2j7V3wHJj8ks6hbyR2MIylY8+Tj3xAAvD1oy7EM7qMww6cBTA7ANsOiitd+rgoPH
lQC8LFQuzGUTibmS5LksqWouI7Ja4yjZjRwLVzKX784GUBttLBltvGUhgYlgdSXJVQA6C3cAmrN5
BFCQQnYSvQlBzmtiFQ+0RUDJB4d1JWgfXr43cPr+CGZvDWr1Ydv3EIxlNSJtFe0zaW+V6aUpD8rf
z/Cfy2Lyo2TCJVkuSpZhsWmmj3JWwS0Qe9dPvEgj9ohVeWpOyzJXpGmOOd+l+RGPkMD8lNsdBp0F
0ngHem0/5rR1GNtrqLzohNkr671pD8nw/bpCvJi88PaitWsBAJl9DJQlGC6rtkPcD3SMrNTxzxj4
Ns5QzJMfjeHs1yYIba7L5BlxqdChwYqpdwD/n8epUYq0mCyDeBl9aoG0YbuS/AKet4kcBvp8XRbH
hArAbAAGBAIZUPQxvq93vVJIJmS1BDVfVTefy9acN6kVi6AiOaERVHY6Oox40wHCgJEUygHevDZC
VQy+Z2WKb8PiHstMt5JSHkrtNpK1jW0gPb6uH6ctgj24P2Iv6vdjh8vPQPyIR7IrANBARssL41dt
UneSZB6a8rkOo2MfNeC2DdwAM93AM9WdZAbWtfWiJ9FO73RXV76u/7ALw+NmxAsQPAh4ooE8hzGH
EZedTST0dGndvoxBCnI5NfFy1AMEh+SyWgNJyzyEiYse8CYW406JoUSpvUw6AyvnoNkJMIexyhk0
0XvQDz9mor5GmeaqRX6vgFHnupY6G1oNPMUIntLAELdRG2OijjVHQxTWco4NpaM6lZhWF33gSzsi
81yAQBe2KwunlDksVVpYUWfmbgmALzDoDaD2asFMhykAUVmCpwwaXKBcBBof2CwZQyL7TaUU1G1u
GpaOYdwLK6GXHViYi2DS1wacKjbbWcD1rpYprQM0QEajAYtBYBwBB9ZupCm5i2TpLmuA0hKow0mR
pINt13tJLV6qar4p1TBEGUbe9E10n2tU3wKX9VCg0x1IuuqEstYLiraX/arlpyL4IvWHc8Em53Yf
6h6EJTQq3FoyN6WS7eRoqdfIGDbHtM0IFGUwVsrjVzgbXqKELulrQZjkfHkQoqigy1n4jPD0Of8F
TRngNp9AcFcoh7C3nLB+RF9bkH7whRDUHTUgwlvsMc1SUEyW4GhzIxyeoJG3JipfwuG3X1vAZymI
AZh9HSsCNnD98QRgvLhJ9TlRSQy+uI2xkW4/Ry/7aJwac2BV42ynr/rtsXftu/x4one1k74+Sc/R
oXy3AEpy/cByosXyS8ArgFnjhXqUcfIuqXIF6PsF5oypn3cv1lTP4L4ad3NVL7AYHhZkH5USE5RG
IwpVXGPrwLiBdPSS2VwPFJsVGkaQrSfkYxoBvFAqAJiZBTPonHMMFf+IYWoQRl7j9u0gJi5ap0nN
2zYS7cddXHb4nst4JvDHwFeGRtC5b9oAbKGZhO9p1o96cNvn3/Dsb8dHu/mm67suEDVUF19n/Wct
b0kpVs/TdmrtYIqTwp0rr6hv6eSg4Abax2E+6NI70Zx2eJFEYHiX02+Lluh14RqD0xK26UH7kmDO
JkXyupParf0g+4WrfkeJAZSeXrbvt/Trx3X35HnIWiKjpzbHBZglKUY0M/lu0ooDeBBuFKsWXFs8
MSDeRUos4+SDAe7cnGZFYiKlmAQ10smv22lf1Q04RWOBI/KCKDwERD0Azzax384ctpYMdLTHAp/t
LjqNm34P4gVXeS9O+lfiyKIe1ZJ8s06ylsb4PSqYgTKBIBl4Rq0n7cxtvFWO9XG+TZ1ydDqBDXmn
DAj3qAjhslSwwXJuwyGxo8pWKpyyCYDgzU8qEnDZW4b7rSUs+q6c3rJKo5MzSNAUJ92337Cx4siS
A4gixaOn/jC7H0j7/rrFC6k6rhzAaOJVoGjMo0NNFDD0mA2ClPysADQN9dpU5BcXL4BFBsgIFBmt
+iV9O9csMGo1qMehcPN9cmffPJs/1D25nQ/yE/Vc22k8YJu5kujxxvN6HTEL8Rc8I4hdjFQ6RUWg
dQhaaCvltQmQCtMRJjmXiM2/lPsjZnGc1Web8tCK6rJH1LhDrb73kBIWrg1aXodurZviVL+au+pI
9rMgdvyCBWL9f60fc9oMFELyMoN+6vZ9hOD5DvtqCFsb7alw6M/yVKEe1YcABVHvQNr1Jh38rnPT
D/BBO8a+2l0PZZcNGsYOzHE0pcQMZeAyuW3jGzvrCbiYR9MrffWpLLxmM/rE03fVKb6jby56q9el
8y4oHUXbZWAMQY7tyoSmXRBawMNi89il26xJPWV4oBFQjn7Wg5cVgkIRx6NRIsLyB148GpgCGNun
fV3rhLYlWBVl1+pGRx0e2uI+tmMnBcxtJRox4viypYPWEPrhxYna2LmTSVNvVLU8Fi7N+9lp7a8+
RK6qqaJZaE6UW2jzgNa2vAsIW+HMNaUMoljGR7Rr6QDuYrzXe2MUpLo8XwFaPRpbaG3hKcUiKCaR
FZrZgDKR+WK/W6fWsxxMWt+T2NmY3uh23nxYlrlv7E0omp7ghdkz2cx5rZJ6qroKslW3+S97rU+Y
QTtildWGk5LSnbGa5JQv8tt1B+UZdq0x4zA2reAwKaQ2APvETp2oyMI5ABaYrTDqimCnXoDKqJ1F
CzvC35dqv5Sd3KZOYj8rIJ2mvhpuJ9HGLC9ZOhPI3FYlpaQty0Xg0dy2J+VkHecj8aWfjYdJDcWR
j40gwnBVxEWFriTytAuYi3QIgKAtwzetYjx0ZNwGKK+Y5D/N+sRD0wkUa4sGgaCmyf1uGLpGPwoM
2Djv5wdvAKjYQPEuRQ7f7qxwwHKnaBKE65FQS8HuJb7fBaC83mlRgd524YJMxZH01zTeA/aiTQAj
4Nb9iwo8iPkewxBh/JF22x7JlSj15Wm5/gXMx6TG2I9VruNMBLN0wDiWeqdXxtf1I3AZMzHGi20W
lJzwiED4PDdlBjz+ENBepdvRJzkHhMihHY+tfifJB13/eV3WklGc343nspjPRodEKoDqjv5L92Hp
2zxwkvGkxDdENJsvUoq59UDVkHV6AUFt6GX2bRK8kMAFrX2Rn0ZVcOlwHrML1iK2M3Q0ZUA4uvyY
VapB5EDPaJWXmIm290X0JmuGm2SAxLIww5sb22nEvGX6FBCRiy7mOjcnaItWHsqkUrVGFZwBeGhC
ZV/C/zHxs7di0S2+GIsVg6VQC2BRIE9Bsniu30TkCWXN5fbBY7ktbRcwsZgsuKuKYnPdP3gKrST9
svTKkkY9x6BDVgo31eZdpgcbShJ/HszH62J4CgHVXVeXkjQ25hi7pVSpkm4KcLLr7M4i4edYxzcy
KkwYuhS9mTmybCzVgysVlX2k9IzxTFvJUi2ELDUpj10X3s+TubXqDBMC9obSdidr9wrQR9MKUPzj
rao8mWZ9ChsDlMKfNaUC1X+1kJmPuf49rInbKoiLpsPvmY3gregVX6+Vg1Hmh4RG901m+6kyeRaq
MmB5jZwx/+tog1wJ8KAoViybXWz3eejViQLuunTzBpOyyn4EnSqyX8DGLev57ffrH5rjTyBaQ8UZ
8wrYImPzptkM6ykrY0ibsZiHk5h+zL3gKhLJYIK0ERQ0JUFUunWcO3OwzafQq7BSel0TrhutNGFc
NqzKUVYaaKLTrd1+l+LbKPWixP//SWHugqgkXat30MXEaGV4SrU9yqyqCEWKbzFUIsD3aaBdwBwJ
W5lBLRpAlxTby4q+A8oeuk6CUMI32G8hbEcmGrtBnuvl00s3uX6XWbtkcsdOMGh0ec/AnVGnxxQT
wZo0+8CpcitIRgsGkxoNeXm7L7Xq1OklWtSp6gIgcasOluDdzjPf0ujAJigeA1ikOg/HaWLRmmB4
w7XtxKUTAYR8viWtaE6Ek3zYmPMxl5APQewyWEWrRJnKCr5gqjfY2tsWwed1b7vMBpZq3jLNhtoU
1nqY+kM0NJ1aa3g9WXaceUMPZCoaDZlfpPMTILjLR8UKM0H8u3SL5a7GPAj6YkAKYMfoDLMxuhkP
dDeO5f0okWNFtIekNm/6KBK1pS71A4MH0gJFQ4oKEDbmzM5IrdDvRC7exl5PvuuaH4BHTn/vZPdv
DQlBqOmjumchuLJ3TBwoWtcUyIbL7ttofg/qfdi91uphzgWH6tInzgSxl0dTUMtIB9zPSv3Norge
RIvGy9E/v52w44rd6qWYh7lYtvnV6P1ctK2JjGY8zu29mW+l6K0Od9VwLNVj2AiKlbwvtBa3eMsq
3yjCPOnqDuLScnIneT9P9TaI36Vx1yapIIJzZRGEcOxtWOClZ45tP2PbGKcaFy/4We1kpxvzQ6HV
vgQQ8FIbBXnHZZBYKC3AmYlBExBisWfLkNokLJZbaRgyx7I2g/0SlH99WywygBABWi8MWLGzv0XS
21MxYG+sK34a02OVnIAAm4jCHc/nTNBlIH9CI/Bi5FZRMCitWYsU5cEMsPU+PFw/PZcxHI8SBHC8
In9FISYMdXJV5tjFLLFp6pklxty/Qv1OS/YZ9iuEOGc8L1gLY94KqCNHXZfiWrJn3Ynp3rAeDKN0
LHnfiGoBPBewUJvCdhLST0zInTt3CzSp3IhguAqLpmm9XeZfjUiUmHClLHQbuP80VPgY60V1YaAl
jJE6Ij1MoI9XyaNkifYGeVEb6cJvIYzV7GpYkCAhZMbhLPaAFZ+VgwzIrOuewP04mB9AboryNDZs
zi2Wl2Vj0RhibGocM1mSdqhgNI4eju9WZ96oYZAJjhBXIha4ZIQ7WdbYxm9kRDkQenEdBdmP5ToH
DnAl7SXQ6rTF9rpyXBv+FoUZjXPlej1vm6Qo4A7TrqH7aigdYiCFFIjh+sNKDBPmzMCoum6AmCD1
zf57Fz2W8et1TbhGQ08GE95oWgAm/VwTkkR6HadZ6arqQ59sWuMgkwBwna4ZC0IDVxkEHxkAOIgO
LKNBpAfloGVQZmjiDWBC3STNvo1YpLyuEPfTrMQs/766htJssE1M35YuBSptmrhj7E8KsNcKQebI
C6VIe36rsxh2JSc2rVRVKOTU2OzROvs1n8N/+fwrEcxJRaE6zNHcKd0+fDTiu5jczaOg3sL//H+0
YD5/o5OuMhZHbsDCE4XHDogv2JyO9MLphc/3xV3ZhGRlMvYZUZN0aCodwrock8LG0KB+O28l493s
bK+1Mr+fdcC2dombFP2OzuT/Z082azCtJOirEPIRXjv1ude3QSPqLgi83FDP3UJN+5jaJWSkNfGs
6E5uCRAzBLFV4OMsKWBlFlhFUyFEAY9Z6/f2xlAPlqiAxPUNLOdgEA0VF+wqnKuiydNCKAMpQ/kV
5E41+X36kAagaKWifI5TH0besJLFuHqkDPFo9ZClbpVNd4hvi9viBR21nTU7YHNE8nDf7azn66GC
+62AbWfDWLig2Csq0q0GNcgS4VV+1io/zX5aogi+/O4Ll1+JWKLIKkokYdpqdgC9zPzVzj9H5YMS
t7ef7EF1ZF3g35x61GLFPwotCq+kgQotVdIKCpWFo8SO+j0/1tijkraxR7baj+vW47vHH2FMoAXy
TFoMOt60taQ5Wtx50Ti6yL8H47MwXq/LulxZwdNvrRnji7QdG6OJIEwGD7svu/ErsE5867Y/1Du6
Jy+SQ/zebw/SVtvWj7FXilIz0YdkHLQJQwCtFDBtVBs7DDD045sxDRgA/66WN736Dy+OtbpMWMas
Ia1DHdLUXP9MrSl2MGm1mWplf92uIo/5NeW28hhLC0tML8KubejXwbORexbGnuZkN3ZeYYKkEHdo
tAuEJNCLAlfOBTtlOisgUgL/F45eTV97kuzJ+GwEi0ysIpMEjE6AgKwFGYjgG7JMiEUwN1FIIbQb
6k2mPgA1FVsQW7X5DuhJJxu+rhtXEF7YsRN5phWVl/CSdxGGMjK3bsvHVLIEWolMyYQYFQtic59B
jFx8GYlbtgerC1AD3EWDOxGnEb0fRGoxQSZMy0gaNcgLphurvS2KZ7V6um655Sdf8w4mtPRVWqKU
BBFYNhynT20SZD3cLtPqfF2MINtBaCY9BNhj+zpP0iMW5J1SiR5CTI9NpnGM87syDUHeaopO3AWb
2Hkk05hAUttqJScxRJt68apl3SlJw6NlTYdUjw81kd25BHOyYvrGKAvuB77/I8sH+YuGRu+Sn60O
ex50Wae1uIwSSXdT+UtOom2UzRtlDrysTm7mwhTUhLi+ggQCbM14NGvsspM2U31Mk+XEGYNvVoOf
Y2VsoP9SHLRWYpikS+/smiQTbNoCKSKzbbce4rs+Vr1M+xmRRmBGzjgULqNVl5exo4mXX6xnaIgG
71LkxO/Zg7mvbupdCJKiPW6gQzI6yvdkL5oO4H6/lVxGTbC+a70cQa7SKk6bUZd027bwannGZv8b
7QVZJveCX4ljXvC6kcyNKqGZHRSvEoaH7bem8Gbg8oruVl4EW9eRmSOhSHkOKgH45ajSLdB3BpBz
zTtUWnwiOWGE/K8RwTnwdFuLXH7S6ijoWVhWaYxaQZP+l9lHqftvbF9oFLiRpHnXgxnvqy0PXgXT
2ctGHOMtddeDEqxbghndWIETxe+qfQqmYqOqnh2KaGK5oW0tjnGSrLC0smsgrkKWYoEVPVIdyX6w
MWU0kxOYI8rsZ2eaAiV5L5K1VNZXwMZoldryCTHRNG57oElSDKyY6u66MXkBZS2Huey0wkpoi9qS
WwzvVHbl6J5OgtyLd/ksNXMVML0AJ2V3udA+6UKzQswq7OK2L4NH3OGCS0Akgrnf8kIq7QLYpq5c
BicMQ/hVI3q8cQ2lo1ki4/WGdR7GwVHoqeLcxuHVDOoo0fcGu7yJ4V7/GtyD+1sIim7npwjFKRA7
jghI1jS9z+1zTABygiLs+NlIT0msPNg0F4jkmg6TqGh3Yg0TK3fnInMMG9hBg69Dp/ea3Ould10l
riOv/j7zaUY5n0B6DgeLTXNnk/guouilh4XkB5OoHsGXhZUczAppYEFkvpEZ9fEQK9AFPdHUsdTm
fhq6Xa3H2yoStbX4/vBbls58qs4aU5UakCWXyPTLN1Jg/V90DwsUYq97GemMFeMBiiH8Hmsajp04
2EeJI8EJ5cxWovFooIYNpDALUGVMSEU7WLV7TCS704MROcGDN34VBzMBrQpQZd/C7XgA6JVH94GT
HkRDwNxwvpLNxNdcatrJ1qAjKN1sJ0wjwIfEWC4bQetMRsAJp7sBj5jrXsm5rgAjumxrY+kTizBM
eE1zI4mw44ah69SPe0/vHzB+WBeeRF6vC+I9CDHErsO8YNoCuiZzvuiU52ZmEgwDGp2vT9lWSudN
QEM0PeZdq/9Ex/zWQF0rmcxTYohGAHh6YpYI48bYbMX2IXsiZnnIhwQDNXpXdZ6WqrmvDJQ4HS1a
QAWruSdH1SgwLudoLKuBGhZ/MEMBCzMhJQrsFqPG8For2udhBxBHFDM6ESSwSAzjOKaST3NhIeXA
lGWtZo7ehc4g2rD71SJink5nyjCeMlMyh+FyERt32W16124Ayu7f55uxdWbANS6FtOazB9C0Y4hw
zTihGct9WLTAmAM2O9k5UjXv8ilQ0PtLgw5Lu/PnMJG/ZyUwVCxwLD0EAE0tOf/5x+pnozGzDo04
c9Lvsx6zX5DWHsGjnB+kCWBm0ijdo+xmHRWkcq46Jx/gocSUmAl0nzg0wFQXCl6TPKfF8oUG+A90
uoAheP6TykmVs1GD3j04vasnGlKPliG8d8IaPRHcfzwvWgtj7qcOXW65NCFsDEfMR0kGUDHM2nCk
aPq8Hgo4lzssjUYxHm6wMxtz8gq1GNLAX+upp24a4XWTxrHkKZO0rybwgdUpUZxmbH62Y/F8XTYn
yJ558eJqq/Q8783KjJdOgTHdK6qr9g9t86jSU1Tvc1EjRySL+XxpXynz2EBWOA6nvDOdOmlcvW/8
Ponuk55sQb8s+Iice/LMtIx6bT51BUDrMOk0my5WrS0V0P6ar4to3fie+ecTMqpNCUqzTYnmXjg1
txZy8irfamXtSjYQo0XIJjx/AQAc1qBBFYc5HUZY1M6gYQU7nts1Te9Wmho7GDofX4sc64Wynv+I
Uzpti7pPXuS6ywSVBp5JMUW5gGFjZ52wK/PtSOMcqPIYQ53LGlAAdXtvtE3lxUbeuPM8dgJ5PNNi
oxxMMjgZmH9ibqq5DfpQp9C2yrAR1b2S5tAFOyW8iVuBs/BedFjw/S2KRR6ci0w3Yh0hTx+NwFGM
HuAj0TejNV2qBm+0q/cYt/2aSnU/gWnx+kHkCicqyFZtVcOCOzv4ACSNYqqWBgZGsoJ9OmnZBhfX
NysL9wl4TB1ZS3SMvw6vBSEHuZrKzfUfwDuda+XZy7kxUHhHzRFD4Mk9kC+c0FDupKJ2aY8dyNmy
gJ0o3V+XyfOlBfcO2Fi/AMAZmXZS2eWwjGF0+M+UATP+osTUm0JBhOXqtpLDZATo7jd9AjBQIJUM
3k3uFTmW7qt7iW5s1b+uElcUMpwFNgRJM1tvt6SOdpqBYF6UQB6Ks21oOSD1aGtlZ+hHW7QOyRW3
JOawIa4QdoguANyj8at1CBLHeFfNpuJKFabApqyYbklGAE4bBzdlOvw9tgRW8bF4Ae4lvJsvJmgA
FhXU8YTsvARgsKY5SgoYue0/2HIlY1F+dTklNNcCeYAMsDx9tj0FgFns4lX6hAx+j0VJR5NEiIU8
e1pg7gDekbYQozFZXZ8NlT0vs8SD8ixJLgm/W/O+GZ4ztBGFBSteIF8LY26nolODyEKJGn3exI36
H3qSYLo8wlH/SFHvDIZjbPz13DdYz1GpwBQKlmewNHdu0jKKezlZRErKvBmV9jC38aYbTEEw4Wxv
Q466LBcCdF+12QfqjKW4plqyJ3XoHFN7CmM0YzfRhGUFTw2/0PpCdUyyQWYl2gfkGRWkL8tAKY6D
we4HJ3KClZASZ11Gl1SyYz+LX2TrtTMPofWYg4CmSAQ5FC+KAScHwAhASQeREHNDAS4hTBoJNlUi
9akD4kaXqX6ERccamObXTwT3lljJYic7bPDH6jmFXXX6I5qA2hkEwC80zJc6jIGhXuzVdqwcuSR3
thy+XhfOu4ltbWFqApfCMhJ67jtorvVNJ+N6JCkAN4JHgsQDQ3QOkUI3LwVTPyJhzNmYZ2yKJgqE
9doXCbdqm3pp8lZV/oiVyut6LX+Kfcmt9WLyqXpugCyzzGr2yquafgAA6B/+Ptr3mBDGsho2d87t
FsptaJcEf78h2ZMS9Z9qJnn/IoJgvAgsCYr+q46zipSlXGukQDMPULZeauZwgEiQHHHwd3Ci9d8i
fv37SkReypmcUqS41h0IncrTuKfb6b76pm/MJ9P5KP9T/MAv/Ma3twDV0/bXFVy+wcU3wqgxavtA
NEKWdm7DOWj7IUE92rXk1jVyZ2qIl4s2F3nBf5ln/j8hTJpQ96lm18uYvUZeKmufpZ4621iM1txs
vMu+rmvE9bqVMOY0FWMwVUYOYeooOQqKhLoi8DuuzSwA8wAgEOsK7MoFmj2xpdaosE4h5vKAOQSK
1PRFSZp/kgPQBwQFeSnon3+bbGhwWJfpOduOhq2Md4BPsRbhKQpoaa4bjfuFCKoRCLRIGtnHgCQn
NG0MhD8i135rHpLYM9qfRgk84fxZCx6vS+N9IoQ6YD5oGAS5ADgC22ek5RZcvpzeWlRZJVEVjveF
/gjAkuK55aZqtrPUhgBz+LCgRGUdItGVIZLBfJ0I3e8mTyBjAmxx8qAZt0i0r9uJdwGu1WDOTSl3
MjphEDH0pyhx9WZfdp7eCL69SBHmwBg5nqSdBim11myyim4mTPwBUFrgzbyLZ1WkZN+3lqSSdliC
gFptWtuJyAvF0DE1v/K/5r9GhW0taTHrKqImpJuQWkNSGQCXpQrczNymjSDh4+zWn0tZ9F1JqbC6
OJUDzNbH84NhA5+xwrUN1grQ0L/0wNKMCBDQ+wm7RYAmmtveyYt4k6bJbV2Noh8jMi6T0ady2uT6
UjTtDtIdeZoeek9xqA5KZYds5X2wm7zcT17sNyHJ43KU2AtkbWzmEp50o1GnBMYebfI6YIM2notN
WqEkVESHUdcdBK8tMCq8KPuH0cT1d2YZZCO8cTt9GSIN45tx/AQOuzb4QIGbALOiPF0/ipwAibcL
Hi+4IrHZzb4HezuItALjT6A8jHA4voYCgMG9awxbvT8kotjCS0chTge0POiZEPyXM7tyrrQCd6eZ
4PVuR9KtriAtNVoUZmK3lbAWBwjFKTL9SW4ceUp31zXlhIMz0czpSfW6beoUmmbKTVL6afWaizj5
ON4KERha1ZZmBXaFzrXLzTKIx2UuI6keks6TdB9YxUF/bDVBYZuriwrqatSesPHLDrCBE0UxYgtm
7M2dOh2i4jUZnq+bi6vLSsRy162/lGSGNIghIo/9pLupAGcpjf487oiIAoVzG2Df7o8yjNXmeiAj
yEgwI0Q3WXyYyvcxxMbD53V9lvPKnGdwFyGdxmsE2LPsQzbNpL5R6Yw7J3WU3iFu/qH53Ul1AsHl
xnvKAoYMj2YdGMtYwGciB0V/Oi2ixbdvpkP4ON3GAB2U9uE+g7RO1HHl5BxraRdzogUp5UiS0ds5
RdvkVJ6iTXxjn+RNuJ23xrbeirbNuQKx0w7kWcBVXswvWDSvo9mCesRInB79x3b4h5OKD/S/Ei6G
F6gak1HpIEGW7vvxZDf7TITXzv9IKxlMlmNLszUEPWRMD7M33aaABPlR+9MmeIvepc0/PLdA9gB0
eDRPQQHFpqFA/FN70OGga6LVAQrTWNJGFiyitecdpJUUthxtlZ0mlwPy907/1oJJVj3myVs7b68f
JN6NsZbCWE4Psg5Y19AlIU6a604xHtNkIyVvRLvN54frwniBboGwQKEZ67IGe5bsDhgSQC/CcPdU
gw6kNxtnmMvIt7BnKkgXeX6NSjrGchZ8apkdXZA6PHhQVF/6d4PXzO1xkkVjJTzToWuHZz2oWAkc
/DymGnbUZyrgiUEvpSGJG8GvUmxVVLSSgjzo0aetZfvr9uNFceD5Lnsi2KEHMcG5xBYJ8BAuT61q
BARzXzmq9GikoWNMkhMbApgAkTAmra80jB2lypIJ534BtLdpPDRzspkUvxORq/Ci+VovJrdfxrRs
umwU9uOtDCzkRi2cIPEz8IEHLTYB7iWk4tdNyXPFtUjmQqwH2k99i7wYM5EHmpNvLRADND0SNdJ5
TgIfQXHeQBcOwyXnn6yf8UQJJZziEbOkKn2trFeC0Vxrr8RgXREk2Hw7/hbGFmmKNpsKS4WwMox2
Q5pjtxnEdG2wj3Xw5VjzT9UcO/BlyKJtLF6sWmnJ4i5EcjKYyTLxX4DZu6texlB15vgmBxvu9c92
CVoO0NG1JMYruwBL7v2i4qCWH5Gi147cGOCQm07gtvYzWfMSObob7e+yCY4V+wV36TZpVKc1hzu1
fA5HHa2m2JG73rv+y7gOBTIdNGSRK4Lv7vxDg3c71UoLZ3M0w13TIGDH7X/VXAviNfdUov5qg1JP
hTsxIUBpMJisSQihpvzcBE+tdlfn2/lHOL39gzoqchEFUPuXG+wDqXqpmhE/KfqOE56FxMKmr2j2
gasNkg4FqPco67FpXJU2WVTpkCKb9AG/BcRioGUHUlOWFodWEV0KvKkrjJv+kcd4z1zMM0IZ0mA8
blWnln/M0XsxglO508Ezpt3MyvQcyC9WU7smGF6vm5R7SFbCmShHR6lPadgjoMrp0TaeMjl4otG8
sWDZ65K4vriSxAS3UlNmRbNh1oLuMJMzJe+daBuGqwxZNpmBs6IBBOLc3ctx6PUmhzJx9AOcXXa+
iRvgXohgvPhf7I8cNgsKcdzBS4MvFk++sgn9JnHQ0Lk3Aj/1pVMpGnvlWm4ljjleJY0zowZ6sys3
WM8qgTq+rC79S6hYCWG8kLSkV+N6eYwNT9WwS5vHJNz/gwesRDC+JhVpaMfYvHEVAwoUm0mNAO0m
CMY8Y4G6Dm9/RORLdpgwo12gFRBSVKfM8uvqFFn+dT24JQZ01hDwFtRpYBqf+1kM+jhqjTKSLPur
m57DyHJGbF9F+i2oJ6YxcdTkyQbk5nWxywFhn5drqUvcWj2X8cCdiBVBKrr4RSu7JhYkrkvgnB8o
hEEPTIiD85Cd4qkwPYBYgDiuj+oL1fD4irXwsxsNzNS0opFITpjFoKCuoBeg4N3C5o0DyCLNtkE8
kJQfgCfwzInupXzybKNxtOTrumYcrzgTxni3NYaKGg0QlqWHbqyR6zjDIGgPcq23Uohx77ScZ03p
UZqZMYk0qy9q+kixYh5JP67rwkmoznRhAunQSHJT4j83VscXbPBvrBZ7saTyapvcTJ32Eg65bwrn
u0UmXP595X7mrJJ+WBafJPRYTcxzZAUg3QUhguPjZ7oxJ8u2u1Apa+gWAp0ksytnaEXDWyI9mGPU
YbRwTEPokYzaEes5WDAiUCQVXHecHPtMk+XfV+aKcoK0d1mPAOCX2Z7sdjPW6nKeHKPN3ELgE3y7
AbAWCNF4hrE3X5spmUEaRG8g1npac6xiUc3pVyudCT9Q6LcI9tJLS6nJRwkijI22w3apr7ujA76o
l1v5bvgenjBv+4zxl5tyG/i0duhn9h8V/QjezXv2I5ir0Ghqe9kCQWUocrrBIcppNFxAQVmgXwFQ
QKe46IyaIrH8UPVHdSZ6RKSXWqWA1LQynEZ7yLLv5Xjqo9EJR0EQEXxIiwki2hjTplrKrqZZOuCl
tCVR9sIPH3+U+R/Srms3cljJfpEAKlHSq0Int7PH6UUY22Mq5/z1e2TsvZbZ2iZmFoN5MtClIovF
YoVz5i9YGGYuAWmhtmYJeNCavT0wr4+2aYzuugLUL9s+2533V6LV4xxHiCriMKUQCLILDJtO003Y
x04bur36el7S+tH+Vo3zHn1mpVVKIAnEL2OLrJ5sZ7IoG7pStflhgpz/KLWsbtpwjsZGtPC6NHyq
stcGo60dec0id1TsTgTmJjIKzpcAhQ+d9xr0UuXH1n8VpipF6zabzMIk5LIDt9GA32+s4Lc09jsA
IT41hb45vz1rcdNy6fiqU0OLoJtm4y6YhrnEDcDbagaIWuB5B5c0czPloIuQ9taKjT+Eci4jrOiQ
thSOGIZu7kOPgLpyl12Ee/gPTXHKa+kBPiQTEfitRgNAKweAPujl8e75uaZGjMjHVyDW7JkbpmSv
Ih9mSO8GhobOL+uqdfxX0kkuu5JDkrYtJI0Vhi7Bsl3U/3KuFhK4JcwNo23JfJdVgF03unedbZgI
ZG31vlzI4H2sWdZRpc62kb6U1v3ErtAZMCSAzlfR5ixYslWXNJMWGWjFBy8W55JkqTdKTKTjDCu3
qoxqjekO9bENrwtpe35zVo/WQhLnkogVtW2szd6iviO6qxPPKkQead0AvrXhPJLKlDCfemjTSwiY
Ok9SGy9TPLlo7FJ28qq3wUPPVHQ7PsbpS945fSs42aIv4BwU0E0RWzfQss4/qPqOEarzq7h6Zy1W
kTtMU2JNfjrMGmaPrL+zZK+WbvwWB9dNazDIFaK+e4GB8FSf+pT5WhZAIQZ8SYM4/uT0DHCGgdOJ
SlEiUdzhon2lTK082yLyk9K8X8/h+NzFB11UVhNJ4o6Yijm63qhnSb2EPuWLUAocubbp8D6IehtW
vR8Q/9GuDHhd5Jl/er9yGoGPPWdIiPkkNaC0o2+NflOLurFXT9dCDH+6wFNfszkhOBm/MW3V9Ufq
C9LXq6a9EMEdrsbs5NaYX469eR80n6O2P2/aIhW4o6NHJQWqOVZKycAhFTOXtFvV//z/CeHOz6iV
Zt/N66R0FKSVKbAytip7/n8J4W/3tKqiBnkCvEtxD0WKN0m6bYQiaEnBevFpg6rDzEk9Z0tl41eg
vYZsm4hw8ZT5IJw8db733OQOCngryySeNTFk29oB91W/flVuQO10I1+VbvQEjFE3aWzNrY+/WGNn
pV1eiHjSVw/r4hu4h0BpogHYnGM+YCs7evcYdqVT5cc4PMqYND6/c2ulaoj673E150OwCAClUAli
o4QwVvz2ldH1m96dik9/eIiDakMi1W174jWW5ZZlutFp+nL+A4QrzvmLwM8zGTclItCNfJQxc2xP
GzB1faZO1Lt0P23zo39Redkj2dyyt/rweF7+avCx0J/zI00j02San8+sf9WKXxJIE7qKbhJZRkmT
mjZ4u0PBms8/ec7GOL+SB53fm3O80xSgUwpsy/eAHmhLonFD0Xnh/ItBs0oeZtWUcW+Cp7J/EhK8
iERw3qWpJo3g+oepWhtjuMuSN+GQwRec+Jnl4i/kEVB9uTVBjehYO/lWvgttNKzdIB6tJpdd6ttM
doonZePfRU/0idj9TrlqHcv9pW5TNxUlBAQa8wWvMjOlsWVfm/eQtDdWfaeFgntnXQRmN+bCOp4R
nH00idqXZD4R49TaQbSL/V+YGz9v9us+5lsGZxstVfxBNiEjTMZfYdrY4aBt4sG3iyJ/yTRRi8rq
KUNvCgAXAYePVNVPL1NW4MlLVcQfBgaKgGNpW+2mq0K3LA5BtCeiisZ6sgitFhoapTF+xQ/8pDSr
0yEdkfS9qx/RKw0TCY8YsdPt9Ea7qkVl4NUTvRDH3RqVj/n70YB6IXnRxoNZ7oMcbOCCeGENgAqs
Yt9acRcDoDEys8+hlbQzb0ePXIYHNXeTp+K1suV9tI0O8Y3u+N55U1k1x4VU7obQ4wQ1twxSG/WI
1kYyPAWSQLPZTZwccczvyagFAN6df5T1VaLQlKG+kWCcluzk2KuB4qsMbs22mjHYU/z0DzotBHJe
v2oVKVYl6JSYo3KkiI4dv9VRmiSjCE5rJYoECj/K1jMkNshaOBcp+6lUqXKdOm03dDaJaL1tirz+
+55NNNl+ryDnMyaziKNhQgNia8W3UxY4ITMukkEw/bxq5wspnNdQ4CBq1kIKTbamCh6Gm5Rc6aLB
lzVU2B/KcEvWUPDBDNbcTTkxF3PcCalsGlyVhTfkj6CjNMMLjNGF/kVX340RoI421j893o155hLI
xTNG9k+H1YNNXuvpXHFDKUwdjvr4SkU+eNXqFzK41VTRgqPpKHrMCYJAddP0zWh+N5Mn+x+l5pWi
Qf3VzVuI41a1llhDKh8qadqzPr7LygO1LoSZvhVzV1EqwDSnoaHGx6MHm2Oi59m8d/U4OF35FvgC
G1x1RwsB3Kr1WqCFhQEBVbON0wOg/oREimu3FfJRwD6eL0gc3Z+bj5l8KTAZ3Lk65tldETQHS0ef
2dRG+qHB2NwVI6AQUrQ63Z13S2tbBJwTE02JwKUBb/tPwcqQDbqVDXBL9M4wbtH2OCgXsShls7aC
KjhCVOCWoIGY7wED86VUlIE6Hy/F9cHhwvQJnPTq9rwyK5aAxkoMY8MckGfj6xk13KEUmnriEEy7
A7LNJzbwPUX8badXPcYAwZqIPizQq81MVT/XLJV7KTTUqnbShl6G7MNK2oOClzQBPWQUfxqozksa
wLiVdp8TUXf5iY6zcBXGjpkDXM08oKgpRyqCNQgvxmgTRvpd3E2CHN/JbnEiOHtXoiEi+QRmi5bO
QILyjiSJmwciIpLTDD0nh3MPasakKQGGB/D5j2rwq0fr4UBva8WNywPFHFVCnuFBBGHoicF/CUVD
7BdZhMW3xWYlQAHquqkd2oYgM/Y3IJPZGvkMXShqRhSJ4mI03O7jyDSICkzqDcNoR2NvV511jbYV
AZDEif/40goJZlRn0JbNhzNxMlgd07GUUuKk0WOTbbKutn3jV5W+6eZfB5+ctFnxxQu+YnGtJREU
8+VLalZ2AVTlILRjXRBizFfejyCNk8NdiZhFIEYyQquRpdsh6O2w+LRIfRiCpw7Jy/POY323vpeQ
s/o8yEslyaGU1HhhYl3GgFzw++taZPYndzCnFGf1ShY2mAhoweg8hkhxMKQf/LS5bYz+mSn9VTv2
GFMdtekioZEm2rlV4RoeeIBZwtQST/7TKSAul1MI1wGjLhXuMLxL9d5KgQpQ3yfFJ4s2/7Cq3wIp
N+FZMDzBhhICcxR7y99t41rxUwrAzvNiToH65lVdyOGee0y3Sp/Ufe2AvR64Ix56i92WomlAs/Xt
b+lydOvryUtddi8dqXde+Kq/XMjmznlnddFo5LNsoMrqGB4wFGufqn9PXcDpyN07ky53adZCTvxb
8+hB8TTT0+8KTHlkd2Vho0Mg2JILIc7r6sFYqDffSIvTznpALmOED2Ifcy8JXGnne9pl/6j9SbfZ
bkxAC+tUnxFoigRObXVdZ6AzvKYBaMv3xuLZFua+D8GmcmnJje2X7mhU7vnNO01Hzqu6kMLtnqQ0
IR5LkBJVW72+1hlmWQwEKrVLKrdgucfGbYnZEFxIVvdwXvjq0i5kczuapUYXgnm+dlijXYwJhJDy
WEjhtgqpINBb9aULUdwupklGooJBVCb1WymdtpgGtcvUdHIKRFBN/3VeM9HezX9fGM1Q+EWbZBAn
Wy+FfJuDlUsIwSNavfnvCxl6Yo1VMM6rV4W4Gm7TZseMgzkJfMuqKsY8QwO8MZCTcLdQ3ahNYMYE
t1B2kUhuVbyj9/L8aq2HQibG+QDqp+EfJ6NEOTM1FUR1evOEJNkBBdbK7aeXSaov0YIFvpriOZMf
4iy/Py95NXBYCOZuvbDO8Jtz4BCqm9oqnXyCI2l8u8fgAuBrvIjqgqajVUNcSOTuv1Q3w5Gac6hC
Ct0eFGMTmS+D393KpeSkGhEs7WzXJzHEtzj+AgoyEgTdHKtEjQSmRfa7m3Oc5xdRJIO7fLIKAIVp
BJU07BpeBj7GfckoELJq7QtFOD81Jo2utTWEIE/rAsUIaTfF9DC5iPArFwVD8ux5TpcN1o6XIUyf
DyjLupRHZcSyldEun7ZhfhP5L3591NhDo2q2Pz4p+r6NbopgXwcv55dz/YFlfgvnDnbfN3kWthCu
JR443TTlktEnPdqNg50k90F5xFyE2Qlum9XQCO3BsobmZkSWnMeaysKo8xBCMyl9GgJ5awJco1cU
r9A1u66pXWBKgaSi0tu6sgu5nLJDHZgD0oHADgyP04iqDKXM9s1xzjwZSOLJ42MWtMAIf9Rj4v7L
Si+Ec36nrRPVmObXUANQf0m7zLMrQ38fo8gNjUNrbEvfZdXO/+vZifnOXYjlvI7EJmYFHcRKCuYZ
zNsSYJi6X25k4/G8gqu+eyGIczYAAuurJoCgAIi7Ix6TppRtNOD8nhezeja/xXy598VNFDV6NBRA
gXSCAZx2ZY+EtTrZkl/aMuYGz8sSGczX3xfCglhjRVxCWKR8ykhQqo7P9j7DbY7i7dhvSLsZarsT
zw6ta6nrOpnTbTpf4sjTlDUGQyzfoMuHdb4TD8zVIgmJ2dRWq3ynAIgWLf17jUSehoXGUPJ9gk7Z
xHoc1T9F2u7/aSm+v4jziUWVSiB/7fCWKm4xedF3113iZGVw0DFDaahbqdZs2ngWEwRTX1PoJ+4R
/Jz/WQoucKuTQgMeC5ZiKl8qpm4xOwlaXXoNrGAnxyRIITFbjm4xjnjozMEhEdnrQbpXyb2aBMjt
+Q8lfevNl6xWMHqlwEyCQwcUPLtXAjBtyH/qpPIYAyJOLhO7A4ANWDEQlZbG3fklXL2NF4pwYSGa
u2N91KFI0t10zZ5F76UiA07VZcMo2K11B/u9ZpyDrfyiszBsjStFuWiU+9oftqS4lZtrDW8KybCV
v2Zd+/Iy3wI5z8oqklCth3UUmm/j0O9qIjt0GLzzS/h/HMhvObwTzbRc7br5XKTXpuGVJsBHUpsR
p6/2ceygX9LtJruX+61A8Oklrc+0C6ZuAutPpyd40FadNApBAFyEx9oPt752oLB4PF/a6C1GWmuI
nC47DqkLbhDAKQqc62nVxIR8AK2AslhG2ULjFJdop9bq/DJkZWNbIFkcNzG50ECH45emmwIx2shv
KuJUSeZM9Z0OAMkERIWjqO321Ih/fgd3nYCYqmqDEt8BaOBig+RKb0dDQFwtq679PALcj2KMm/OL
f3qzQCZSzMjVzW23fMYeiWzAb+sqwjHrKtF2rHyIReWT+bN/OhmIwGgZJl3xwj5hg+6mWjaHkSLN
RlGZ7xigxXKvNTX0FAeKa/nHOhhFFaI1tWb4HACbmlTHaNvPN5WkAAOk16DWMF7RKrPTccOGP+eX
7jRchttcyODO5UAtpjCm4UEVOKYEsxGydou04AwTuKyJP8ybk6KHEjn68apMns8rMX8kvzlLJTib
a5EZsCSAXmMa5FoyWoDDe5QdGxF8lUgMF8D02A95PmbOUF6qw0feP/nprakKkA7WdwTgjMiyoFWc
n+hJR9qzMcGOtEpvN2wTN4ItX1fjvwL4eR4/HM2RxBBQjPdVtU2Nx8C/VzpfEIedXjGwLIBrYJoa
OPw6j17LjJBq1rxawMxWcxto83C8U+HrHwBpAl+HLsUfk1Y0D5MfBZiuSWJf8IpQVpcSWBgEuQLA
yfBl3CmiijlOrHGqTX5Vbv09e9WZjQn9dO8lj+j9d+jVxfSh3htu/2zaKAo41REIiOet83QQAdrL
lgY0QjrfD3znolqqE2UFIMI1gDgeBjd8pS/tptj5dnrE9E3mWQ9SIRC6rvq3TOWn7zClTgtKK2jm
64h2D4oiiHxXT/VCJy7oqhopkiNQjzqBeqyKHbV+WZF7ft1EImYVF7F1Glq9pJkQQc0rSd8ztHxp
taC8tnoWALEMunKQWJzgKXVmOBEaQUZaVg7LfuN5OeSRXZub87qsyQF8F7huKUEOlX8nkLgdYOVx
47Td3Dwxxd194gOh0gkKvDNtPxhhmOdFrl3EyNUCoZ2gmI0nws/lw5M+VptKqoGQC17Y9pNRYkc5
zN7obF0bns5LW7M3TcElNdPVAAOL840ok5a92sKpaEO+TU2KZ0/2LwoBvhklNQAbA+jmp0LGhHbU
lOIKltEalAHKDRxXlWyn6rvW3J/X5gv7h79RAACBzAMK8ebpftVFlCR1A/PeW7vmGWAs7pDbw3N/
FTt+YCvv5r7fTFfU/pVd0uvxZrx+qZxxZ+0MW7UbR0TpsLa6y8/hTnPZT2QKCnzOvImDnyOn9SjQ
eM6LndOYO9BhnqqK30CEutGv/Mt8S24wgrMzrtJD+yK53aG4pHayBQ3BLj1mXiPCt1s7IUsVOXNt
lLpEPQzyNTBWJMnRDK/8XAJoiiHwXCtFBh19AiA4MZBNm/f3px1FiYW6Zd81Dk7Ns4RwGPRHLh20
Q0j9bZLSndY2mOQPiVcmf5DSdkneiirfX88BfrlhVxooAk3QUPM5vVHH7DYd+sYx7uk29+R36RrF
R9AbX6F4O/YusPLdECiUZmtPo609A3HtYL6T9+DR3ISuYO9n8zn9mPlc6TOzBU/60oQGo1MAsiWy
1Tf51t/uU4fKtrFB17sDjAvmzR3v6h95z9BMuY229Ndfc4bijgSswn8/gdv+YfLHCqwdcJDRATl2
he5NEVjNmoWhH9RQVLgpUMlxgWhaa3JJ8lnL4qOtPi2ts8Ppnnaf51dzTYwMojoF/a4qGK04N5VF
Wk9yDZ5QYYHTlvuU2LUR2+lfz4/MUQUY5AhwsFGo4BkmBwMcJPVkoEwRvJpdZ5s+mBbo7Xll1i6R
pRDO8dDAkMpmFqLh1gpvwMybdGA9Sey2FUHqrvm4pSjOAeXMl5MJ5OxAcz9SK/GyNhWc/NWIdLFi
nI35ykALqYOEXntOw90QXuMxIhe/ahz56DnvBbHF2pMRNz4AokE5gDIzpxDIy6s8wnC+k+QPGUgG
JEW1q+AjKN414zXM9ud3anX5FtJ45Xwr6ZF0RC/NuCuTN0mEgb+6eGCEwglF9c3gq2KxGrOedQgn
9O6pwdA/uYoLJPSsF0N7BuRg+dc82l9B83fsznnprCNjas6xe9ShGxKVFVzJXqqK0hXrQea3mPk0
L4LMykittC8gJtH3msVsXBe2EDxxbW+W0R93iqZSZRJLowYQO09dcSDWr/N7v+Zylr/PWdoUy0Xa
Kfh9ud4V3WcPYglr3HapqLa25g1mmEnIwtVl8s12oyxHhBLYABlcuQ9sXdl1uKL6Gi/u3XmV1vZl
KYozZynIEs0vsS+Fivz5FLtq8FSaoptPJGX++2L3pY42LGogxSSHVO4c9MNQSYR3sy4EsL0Uc1ag
G+TunakFaGxjzaooH34Jdl7FaQIRZdOqCdBvIVwKBIwbhsoCCAmbxJ7U0KUAa4lj2Q7ah/M7syrJ
MGaSWdTgqcWpoxQop4AMA5GLhkk4/zoadj7xOhH21UoZHjkDJA7QTyyDP/mrKrrYmyEeQyVEQczp
DM0pdeMx0gxbU6fKtoDUOSFuG1N9i9r4htbS83kd1w7sUjZnfebYqHmPHibMZk5Oq1c3kyUL0jxr
/hSgoybSE6hcGPxrhgVTkMFe5n46BpfTZiD4rBnIy3VJ3/ok9L2m8mNXMaunTOv/GgsH3hXpCBjM
HAzh8fvT8DtD8Y0pxG1hRIgcWO70BeipzUaQgVmzFfQZW6BpwSAO2B9+imkTydJw6+JS8j0lSVCQ
yt2GOYVVbs5v2NoZWwjiR1DLMe+DYn4bqqSWe1uu/OY+S8HnhSxaihNxXtq6bX7rxWd0UAPKQWqF
SIKGgx2HaG2OyM4ccMknRmlHYTYDarjGcN0WkyhOWgsrkOkG6Coy3eAU4rZOzWRfHsDA7PhI9GvW
XVEEG7UF2lmsuJr80fiiIdE1r79MJHACDasdtAYMuA7RewBcNgFzmB5mO6XEaGyH8nwpOH2rywsw
FzzQkAFFzoxzMYkvT6VWI2EWxe3B18N9ilHMqGo3rTLawHCyu/EmClJXDj7Ob+yaGS0Fc14UjRaA
QpMheMBUQRvuMuAqNIMgUls7FBiMB1QzUvuoW3CXDviQqphS3NaSsZ38LYm2Jn3TJ9EiztvCP+rQ
MaLigzEIh0mGn2cvbntNa8kcFLAbGk9OPhInBE9xJ9f7Lm52oT7e0+IllitnYpkjl/JByQJB1/Cq
rhYuPnRCE7R5cw5AkhRFQmM5SB2axEHndZQzO628QnT9rR0K8IL/Rw6f0x4yUpvonoLFZNGdGkZe
KRevk0/cTmF2UX6AudQ9bypr/hswg4RoRIEn4GFetClNOnkA/oQfqpGLeyndVTmeYNHg36hqfglI
ysBRcsl3gIKXC5Z17Uhi2EFDZnt+A/I+YBwAflGNeMqq+lvU33Tpn6l3hnoz9AJPt7auoACwMF2B
Dm8w8P40olAeJBYryMpQ86mo91H0UofvcfHSkncRwc1K6RYpAA00hZhjUxEFcX4m6rN2hIfBiqJc
0HabEfXKfiMH17K+MWWwIwaIoJ4U0atwNT2/lMtd9kOMWUDS1cgLaJuPwbmVdnW1MV/vpEez8sLa
qx4FXmZ19/QvIntQGqNY+3NR6ZSg0qa0iDqTyTH1o0ZsVf5Nol+BCNBg7fhh9sbC0fiSxPmzRAfl
RjhLQohlW4pdkN9A4NJ8QSyz0qGGrVvI4cyEDYY6mLOcrEEXtLwDabCdHdTbBtUWt7wBnYz+cP74
CTT7ukIW0aHfR/+7hiGSEY1/XeVPeUxsK707L+eUWvsrMfWdqOP6CafayDsAByIvuaWOvJMfNuAp
V23zWn5l95MTbcubGTrVnl7OC167ipYJQu7N2CS+1ORmD6us31i379glszbnRZyCL3C6cSeuI4ma
xxJkdJtEsZXH8uC7w94EyIV/nz/IvZs5GN2ydZf9TpwLzJY4//KiXGrJnT3wykuAqsbqTopyE09k
U6STQ9GsM5k3XVntzyt8cvD0Gez/eyaNk9ZZpTG0FDNpINC+KYoUWPnJxjDD+xpIghRQgufFnWwh
xGGeT8P9AGBiPJl+nvOgSRLNHIzEMdrAy6v6XW0Gh0pE0MS7KkYFDpw689hbfDBqyKj/pIOZOF2E
xuQOpEpydWMFgmzWqZuctdEwZAd4WBnVaS6eQDk31bUAAx2+memeWcbR3ZDEz33Tt16otsfUL67i
iD7l4KLAi51e+ixVES5OJSoWpbWPa113zi/w2n6qCiYZsbgoOumzk1g4gVQv5HAqg9Tp1MDu8aaO
pysdAU98SK2/9TfQHoJkBZOtMiIZTvsMNKVBHUepA/4kcPy0zHf8DHPj8hj7mB6vpUZYIphP+I8A
DiIN8L3NjD+gNPqqbi+0A5JCFkSsSwGrY5eeYcelDd7jl2fU12w0hH/kW8NwQOAEcz5OzkH/GHey
4MDMB+LkE+aUH56oOmhMOa3byM/RbYNPqKYYuJtKZEdt9HR+E9fM11jI4DaRpdLQaTpk+Cbw6QlO
716pgzcjrevteUlr5oJMOSatQL+MwVfuPHadUtbdbC4zu0xv5ZOdNXOZA0Apjq8jnzVP5/+DSBPH
EqkSHE++7hsMBiszOU2dYdhY81umwv/XUVecQsTsdfpqmg/oQhZ3Y2gh7SKqQdboMzTb7LIOhezQ
IdNVM7mqejuisFZJ3nkFlZOLmJPKLSpFs2teDwmo5dM46ex6MKJLRc7rVx9905cmBnquZZ/qf/x+
MIsNa1rUhRNK0ItB5O62H5MMwKCKXAIueSB7S+6qzqmrGgjAhdrKmYMUgvwe1Ix6fcgwtdyA5Qut
54qK/ok4ZL+CTBsTt5QacBP5nf56Xr2TA4BWLzyzYTMEAbDF14zkvCjCFB2ETk/UJ2Osb2u4878X
gVoRoMsJsiRALPnpxMjQt4MVj7iMCgzJqaWChyETJQ1OTB96aLANHZ4LlS/eDqsQXBDIKKCDPSHA
fn1Q8VRi+p2kqc6kCqY8vgqovNfAVLQBNvWZkpt/9E1j1Olqy1KUkiXN8feyi5DJHrx32WWAzW9v
macejNGWElvBu/4Q7dEv7aVz1LgfLkYv27Z2690rx/I+E0YcJy+a2ZF/fxz/UlTlvJekEh836aFd
qvettcdHBtq2Ny6zThAYr/m2pTAueOwZfJE0rwTooRXF7qWK/JHB6n3XSmEiCBhPDiK2WMdoFNjO
QA4G7IKfdhT6aWehbwymat5T/1OS3XS6aYfH89a6JgVNpujqAjoGmj24GwEPtL4Ocx0kFWy4jdQ3
hMaXRWa6JRWNeq08KlARRksOiIoJGDlUzrOUGqNpZkBUVZfu0B46FSd+Z+U7SbuQdWeYPEp9O+pf
IuMCEEZ/r6cJnmQLz2ukLUxOuIXWTrnAiKdDshwDC1vD3KMuYoeScFr2xMVwBsm5bQS8Bk1ng6S3
VeDJF4pnuh1Qkm3wJGyyK98j7ud53URWyek2Qom8jOfzye4abV/IWz8WOLUvcp8zPsCYtV4EL5qe
06LuIcO4fw69ad+58StItq6PsnMz7W7Q+hbY2jHcqB7bnNduNVBdHjrORPXJgsEoEN1+Gg/Tc3f9
NtiYILL1ww0m151Y1Gq3vpwzixho61CH5w65UiB9orcIKxL9c8hulPYiFFnjqghkQtHHqBiI8Lmz
3VponO4rxN5EH7dxT2zM6AL8VMQJc9oaM9uijOFtsBrNXZucZShJGyvtl2WEuT2O2hvL3tM2OSo1
PPKYfFSy4cha5OhpvJsK5PPjUFAxOD318ycsYnpu9+KENHKlzsbZ9KZnxNUTsaR+o1tgDi0TDLj4
unZPKjOxCQkvBj2UXowouUvllnryKEkCQz7xd/PnaCqWhILnCA+5n3ZMzKxH6Rtxf6T+aWSvB4x/
Oe2oaJBIJIZzAn4blb1cQEycX/mRW/iXbYQd0AXYcusbPHfagIUbevHFu7ZP4rAu49RhsRFtuiK3
Iys6RuP4YLVPqLleVknrlCR8aqm0yZJpryvPguO5egEvPoHLSaGGHLBUwycYzA0ezMKOAjv5HL3S
u1Yk+6kHLIA82gBC2HcYHRBcyCdx0Lyd8+01gyajF5Mz8I7VKR4biJEb7cM0H2Fs6PfEhPdHKiIF
EUniHKCq4J4s5mi8anTgLDyjOdRBLumAgYh9ASyL86u6eonMtFXAg0edjddLYmNXqXMUjh7XwU7j
YcSYifYP6Ifoa4KfA/MNQCtODsMYag0hGVYPYKjxrwGpNzK55zVZfcYgsY0eA7SoyoR/c4Lmy9BK
CckZwpw+PwzjY2tuquloksHOI0c2XEOYel6zyaXM+XgubisW+rkuWZCp4Jmbx64MN1P87tQr1d+U
ijvR66Ccx/l06blUnKRv7Zy4Tbqn+d7KRWmj1bsTnPIErPJIOSB7+/NrrKyeYcnwNX1+wSw06/7x
h1uUTCSMgiuI7ewJYTRaFqtrPb4ABKAPZvDy0LZe0b8koZf/NW4IDg16mExEe9h19ABx3zPkSPkk
aMfSyZ+pfi6o4YyF6aDpSRB0aWtuUAP/mobKporCH+dtDctnQUUhqfaAcrTTtggdNmiFPHYgV9jp
m2eUdjfGNdpbriS73mKQKrNz5yXwVCd1THu4kL14n12Zbp/baNsdEWB0j9PWt28L178MvMfztrp2
LeNFhQ489HHKJ0+3Nq7rQdd6hG54ucJypvDGFPHZr8tADIyeQjQ/K9yS1KGZt2BETZ1s1HeGXl4a
ubyT5FrgGC3sIR+vYZuRK1RQq4OT/LnHfZzkLLFAUNPXmRXaUy+T6y7ro0NFytRVq4bcdq3SHtKx
IRSdF0H2dH4tTxPtEK+jUQDvbXwEMow/v4BMtV/lI76gCLYKOXSVF1iXGWAIyi1LXAAzbytyoEVl
19q7b3qB9hJUe7+9QfVd8CWra7H4Es7e44iFLBpghfFjPaPMVm+lWzqT86fdxsCm2gdH/SbwTK/d
0atRkGZdOwFIUaFNFT12IE3ntlsvQSWlm5AtRTNd2q7I3ZA9WpMgr7FmVQhoTLzikNaTT1xMn5Sj
nIew3FTeVgOqa3Xgjb7qCZaSrJjVPJGIHhMZo4k8pB3TaVf31ezKRivpvLQP9E+pq9rYHn0l8jdW
2PqeX5fNXYLEKoZqcynUgNdqqMW/3CsADMEZQikaTozbVQRxUoWMMVZ2579KrT28DdTVqw0YmTNb
FYSxa+u7zN1y8ZwcNa3hx0hqTv3GUl+z1CbCvrK1S2spgzuyMfhuymCa3TJzJ6SHFcx8pxjx2JSY
axLxc60pBEp4rBtQ/VFw5u6kNFPDibY4nVK5Z90L8TE3Jjh3a/osRXCBYVmoI8oOEFHibSj5x4l6
ISCeOwLCLtOuRDMVqxotTjl30tQyVmuzmsV1iqOl1mUw6N4YTnfnj8CqVgsxnCW0ZUnLpsQuTdHv
OneNqrIz6YnWD5a0L4QEhfOvnbjxhTTOJhQWKhO6xRBcJ06TPE/MsIP0F8L7oHhqTC/Pkf37Q8o9
Cm+C3VuLd5dpfM5AgNlqSCzDXZg81PkVba6H6ZJE1+H93y/nUgxnJKnZl+DAg4J+fM9qzU5yp9Yw
sr6btC0Ce4FSazcBUCVVvEgtpLt4vketGzKFdaBkrZ5TAM9i8OclOvh3I0BBvPN6rVmjgfwBKkwI
f06mBiq9oU0iQxLRL8xomyi3tHLOi1i7WhYi+JK5MqpV2ZfzDvVPU/+h1C5af1LRlMXaS2QphTtW
SqjEattDkYbkjoIpgfEfuI0B/aSA8J5S7A3fT6vHBQo5uoyISD3qoB5PwcUlQi9d2/ivQvE8s4cs
NneOrAFYzjVQqYFji2rNdgI1dxq0tlIweyi2TRa7US+wgNWHz1ImFwDRLJYpLky4WDbZWnZsWAVa
9QuSbvrRqdlVXznA+jhvEyunFngFM+knpgQp0qw/gy4J7c8VGAvx8AEnHPoB0EDxJwK0z1S9qaKW
7tOZJ1T5CJDiNFwhuoanxE9hIfiG27DyUaByNKe774GOkNojmIsew4tmr27Sw+Rkd1aCFj+7vLH2
1rbNbMulNhBMgLAiiHjX8oTLz+HRqGjux1klQffsaKK3I3tgXnzp72zpMrhQD+E9uTu/1kKB3GKz
fiyLPIL+If0f0r6sSVKb6foXEcEq0C1bVXVX78t0zw0xKzsIAWL59d9h4o1nqlR8RdiOsH1je7Ik
UqlU5jknXQwkcx0/fur2NkyN75FXHNju54bFxU2l6+Bsifr5js9DGRkih8UBg19cxc298SYLH2f0
XypP3+UbOdbay/XMnnRskn4YMP4W9jq/OxrHGYh6N3dBcX4wPfVbfR+7Xwj37/GJMTm3RTgNNxa8
En3OfoB0hqqE16St//yA9q7VQ/gYCX/EN1/QaIpsoBHc3lU2UvYVv0bHBeU0GyxvhCQ5s7Tioq9s
gXnzvYUZAJj0ThzhTnkgbBJ21k8nQ7fZ+mCoalFQwkwtRLfPzelvI5vvShRa+3Zvjkdqv3TqgTjP
cV8FCi98uw3LrWFrl+d9+akU2EHEtUU0+dwh1JRObC7xU4s2SIdnrfxElUWoC//x1/VPcfElQLAk
BOPaQQqGPLJcK2qpMpM2IYXX1zVS0hlkgbyYtwRcL67NxQq1ll4jbs6L+GXplJEqBfbF5uV809bt
20j1eadU5O2fLwddNX1hPQBzLVfGhdFFOZ3xYFKT+FuJovOsxxv380WmiLVAIwCVBLQSoP4tfZuq
U4wCpUk0C9nnZLx0wAZi+IEWx26Vvlv/XCh16WhbqOpgciz471IwNio25bPF0XZO+bulxUcn4e80
3qKNXS4KQw+WniRaFw6mfywf8KSyZleDlc1zX0Gfu3B55CfJczvB5Wovt34kYotrc5HjYNQC8Emg
bBNkCBfC/VPcOoVuD5WXxYpbiHs2ZK5In6x8S//g4iAthha/IyCoUCpfnHMkJl0tYagtvljlnVKE
HJJ0FQ2aYWtg0OoWnpiSgnjFRmqPBkxNylFFAUIv+6AobmIde5gfrS3izeXBPV+ZFMON1EhUypct
VJswT6LbeNiafKdtLUkK05B2KFOzh42RfmuATMHwOyjmOtNNh4LTHOYDCCOQi9932R5QPbAs3gb6
TLrHieRuq7xeP9qXTRHpW0o+mukIUaqJXwPoSc9vAUZyQXqA0heg4+SWRtzV1bBpb5Mq6JOtG2u5
9M+u6MW4bUD130DBB5318wOiEHRinXaqAH/SP3NDc/VmuFf6xHW0fDfR2p0r7o/8a0WL1GXR1syB
P93JC/sOYCF4NeoEpf1z+8JSIXKtzABaaORgGAIQIWB3+zeVCNcsDTTbE1eU0TeT8A9T3SiTXKZE
WD0KfhisBkklHTWic+u10UMPw8HqxfBlqIgf6dyfnKWk0bxHVD/YNfTboFrnTGMQW0AbYsJ5hKna
vNwsu6+FjtOfIh0zK7LQQOmwERV1WZwEKv1lJHdqs6VXt7rjp4akHe+cUmXpAEONjXs4fzcc1DuZ
29avREAIvNo1kIvP2KORbLWRL58Yf7YbrUwTCQCY/tIVQ1VISzYU2/1HkYcFFvlpqE+lFmSofeTZ
QzLdl3pw/Xit7+tfm0ssOLkBZhMnq29gs8Gw0ibQU4xc90lWDjtepOOnoGzYSLTXogsW+r9VSldb
Mqegw2qwaJk/M+UWDX8FkhnJCHLYXVZs4VSW6CAfoL/WLqbwRlozZTrD57QrdPdqMHDbCPHj1/Vd
XLtvTq1IB0XMvC/MZU3TCP3RqNlrPfBK6UtJscx58q9bWw2J6P9Dk1M1TAeVj/OPVkDoqu7R6oO4
AJpLs6eqT5ZZQHb1FVylbAClfXJT86OOHvpqf932ur/8z7S1lJRP/KUdFSuHQBUodM0YDnq4SPaV
aLun+VbcvyhOL6cBD3n0gRF9wDM9t2TzUZm5DktlDQmskE+QbLiD5JqrGTdF5tuzN28ON1oL96c2
pdNgzyCuajVsEvSLcjssVNNDrdPJQsW6JQ0IYQFR/FT7dn1TL2EV0lqlD5oKR+kLDXarUnicHnh3
bxEEd+Apj+CJq0rnR0WY1KDYudEmlmv1m6KZCfb80tCUJVe0NptyWppAc9b8rR+yp3QYvCF5L5St
+3T1NJ5YWn7Jifd0oyiAqIQlcLF8liS+IdKQKdW/CGpUw3QPMM7QGZWJrbUmRszO/ANPrfH4yLIY
LFrE0co0v+baFlt3bfso2IIoCy56H7KjOg0vNUVVKkj0ImWKDJd2iVcqzVNkbgFR1vbv1JTknwbT
ixhqBZWXKCX3oSBluYWTEZ8Ra7fhklumJJe0LcxZFiVM1dVtq3/V6SNh9wuRlf3IAViev6rauxbt
dQFmz7M2Yiz4xi9Yi6kna/1TzTjxlWpsSNtBhBhP1J9leaM6xwXb5OiPZbpVZ1u7kk5NyeG7icyW
xuBZQ7Hld5685xXwfUT4izatAwKvgL7K9e1d3V1ULiF8t2hjypmVkhElb0WED1lZB9r2bz1L/EZs
1a1XXfPEjJQ1GU5SpJoJM8gib7vaDGeYSEdrz0t9o2C3socgraMBBfEmtBLlTjgQs//3uUzFQno2
NXUwqCWKorH9CEF5Fc28McGU+pZv5BPLa0S64UF/cCyA72D/AvNaAZedlCVmOlp1qjyjVUD9XkdY
uf7BFneXrQBcg/ckQqQDyNl55IJISAQNLjyMy+ad9L6aHqfZbaOvDp2gh1WC076BGfrTUZctAg0O
4ALAYODQLC504v9NLRTCIYnkpUBhGSJ2CwAq+hnojt7y6GDtUUoJUt3EMCHlYPRgSthxYGGCdDdn
Lo+H+7Qa/IgMwUzsV7XWXMcpdgXNw4zmPquol+tbFcYVd7PQI0QQtJDCoqxw/pOnEY3rkWm1V7Ut
UHLIRjJw739iZs/1j7HmaxaQYvgb83kuIDi2qJQ0B+/PG7udBURVlBzi4VWHMLuJii3O8X8zJ0Xd
WuOzas+Lufitpomr0ftMPCTRWzUIdxPbvPYMAFkKjQ3gLDH9WS7KlKxJx1YlNaYe+wVaq7Rzs1zz
W/09dSCPeZjru3pLDnTty9n4bBDVQ0i6EMGM9d4ak2KoPcH9zoAyePGrml4HdavLtRLUrVM7UkCK
SzqQRsMxspy9oDcEYvaK6WqzV7Ct7uBaUrVE1oW4AfXIC3TDFI+cmyls2drjaD4qo6fjAa2nXt9B
YxEzkcF8YCF3IqBHd474dd1pVj/jwpMGPp3iL5k5UhI7I+U0/nHSTv2RN19tK9TFnlF0EUt37jEh
feNcrIXCU5OSo2IayVi1BF+RtJANmOlLaSgb0Xb1A56sSoqDCTGmwRIwoTTJsVkAGnETYlrwHUbR
fhHJtEGlX3uO44j/bxflAdM6KVrmdNhFuxl+8uTBBkOmSOIH1MBuQEF6UWInpChUduZHuznPZu2h
dWZdSgxoTbuJUaw2aQ95EzTZ6A7sWel/RvG7kxxr9qI5ATde2eaYm6XMIEf/03VLByWFNEM1YaCw
x5vMVzhx5w7AJpI9cFK/tawIp+F5MpKdEgO7n71Mxrsmiq135rK8az9CqoXkBoFyC8Pm583PInrq
m8HvKKbmPWDofSEO1Yy32Jd2C8e6GovATgLMHQoKmnzVYhKgOlYQKvUSza+6F7t9jIYwqzYcee0O
WThQ/2fFlB6yeRb1tWLBimXiTocqdR/O2l63vupAlQ0bj9mV7GGBWRkLUGEZ0iWdmtSeKlNTEYqo
86ZU+Y6w94kqL1ytXKUmx8zS3cLa4gRvGJWf6iaQZWCPwyhkfWrxZkW3GR6UEHPW1aMdpy6pNvxl
JanFbFkbGCQHBcsLOiXB/OhY58hYSu2Jdbqr88MkEvd6XF3xjjMj0sGwSkyi7AwYmcfHDq/0gnrN
hBxsi728tRjJ91PF0WqbLXac7wkfADWIXOefE//Q1odux/JGBbhAdvWqAe4ut5EwgfVuFu+0DpwZ
yrkg8rKtj7O6b+BK4HpHMQUv4/PcjOpplNcqTLHoYRa/muHFjl+s7p+/ArCgv1aWG+okaZ1zdJQK
BVagntMIAAWcAOJSTf8ZG403RBsOt3bHYryKZmFaG+4IIH3PzXEHLSV9MWeXDzz+PhiAK+jvxHqy
5702BEO/U7b8YuUCROkS42zBCaVoZkn7aNUYAQ8lzBp8og7gT0xzsIM6vufOsTG3BPDWTvACicSY
Y6RkF2NkgPqs9ciBrRqYuzoH//YtqT+ccXSt7sdsBBwR+J+fLrgHoKdImDC6V9rQqSFFnA2wiAHB
rtJFGM8bH7U58vVC+2+m5Pc9eg651eSLKWXAfJx8r+hfDAsi9LWz1cdY8310hW2AxIBwwYz0czeB
cFvExtiqvanjxc8qiuvvDtOUj0Fv2UsLtTVAC+sivh2spDgW82wfyQRhsh1awRjaFXEIxKpU2MaT
qMBkAu4xaYSvGqXYyN9W7iRoCuiYYY0W9qJKf/47mTWObY8BmchQCzgypPMerRq82xzKlzU0FPjn
9a+95suLVNmiIAS3pVIsjUnPBAPtBdNAGjevA4N+jkjHifropMnGWV1dG9q+YL8uTXq5uaGYvO6N
ZW1zwzWMzk6mQLfZHY/ZjPF9EKco6nSPxW9AqddCBNQQMSwQgmygAMrDyiIGAbMh7zAsvv7UzTud
Fr5Fnpj+BCqOD0mf1gzQv7u+rytrPbO5+ONJFDTtmQvTaRlmDKNDWMx+OX1bCnYWRPY6TH7q0Pu+
bnGtVXdmUnLxcRog82MuJnmg1mFt7jC4cmlYavaeaR2GPh5ofGdSv2vCij0x+n79B6wvmeK9CjwJ
cmbJdXHPs0IUPUMv4g6o+LZ7djqMlZgDNG6reGvC31pxZJGhQkIFLarLKJwURpOirMs8i5Po3anU
6dmOTe1lTkdd8wxRdJ8DMfK9bpbW78bq6Tc6JiJoRW9k7ohO3sGsWusDcRy/jXSl8+xkuZXvlNoc
Bp80IkkCLkj+xYLwgV8So/UBUNd+x7OBKpamxdq/ea7iC/5vB+V0LU+bnEUaHDVTE8/Q9zW9n8Sh
bzylBExnLFH4f2fqHq2skvwcubkRjv8/B+WvfemtU6sOLZ0YXzCeDxlkqNIvLPNi1ZvSt8TYj4BI
YXDadadZybHOlizFnyFF9g9WKwO+8SkRv6CFYfa/r5tY/E56wpyZkK5rJkQxjyp2NUlMXKG6q2qh
BQUzWu6BTOWLswbXLa4EVeCDHERVEP6BpZT2URk0OszGzLyZ3kyOrwrHpfx7Gu3szW+2ZgrVFHCP
TEimg5V1HmcoL81oigfmjcrXuvKtGSiNPDD00h3nLUjNyh0KeXaI6yBLBQJKJn+ZHUan6O0IiY8S
Hb/qiEw/yLIfotlf3741P4RgEF5mCNdIe+QhsppQSSQKjXlmbwEnX9lmX7hmgdFnQ9tBFWZqVT1x
R6pWR6I43eCXGYizGA8+lhsl2NXtPfklS8w7CeMYGWaqwlCBGkzGp3b+UacfHXqOU46uy7zFgFnd
X2qAU2QTU8WsonNjUNqNedZj2cXc1kBDKqZPtOqjpjamIACKcH2X106eBtrgohVtQQJLui5EnIA0
OIHElDTVfR3Xx6IyMEpza5rDyg5iPRpZBj7iZpAfHRBVcTptzhn6qdgyDHvVX9A/pfl3Y9hIndbO
OcTDDMDm8K6FGOL59omqSmozBRAc0jRR9c4wslltb/iIRty4K+vkgOh/fQvXSlN4BIAPiYkUEM+V
hVQchXPWQIMGxMvfar5Dto5BLqkLmq8Y8zCnn3X9HhvvWbWhKHbJxYPEwIlhWSRlZH2uQgIZJ0QB
677351bxM/poRd90aPw0A6R2bmizs+Z9SsG/eOT2Rxp/zvV9u+W0q2nH6U+RvHbsplL0BD9FUbhn
4VwOGjBSpW+p3zII8Bp8r5fHePYrjLtUPItBlmtLAHfNlVFSMYFcR+pBLekn2EZkxCZUzQDRokFm
PSQJcdX6c+Njr6AR8BLDkQGjARmjLAit251eRgRWBBotAwT5vkXlzlkcmYfZdMMzAYm6Lf29y5iw
KLMu8yPwIFhaT+dOXRadQ4EPh+Zm/ptMAU1fSXtTbElyLG/y8ysSVkBuAc0AvM6LRpNltw5NJkjR
FnFiBCYjGFU6pVuI1tW1nFhZ/v1JME1HjLFlBYTJMeDML3ugqpDIRPCJMg+vf6vLVHRZD2gMiG+g
BsmvvbooMaYeGrr4IDgiuqf0XlR+W8bz0Acl2Xqjb1mTLonZ7BP0C6GhO/LuFgJmvwqbWy4TWhdC
dgzJ5UBSt6SACl5f5fp+/l2ldPf3OdJiGmOVfHphpeamPXWrGdQkY+OquIysAAirKjoYEPkBlla6
Kkxb9F2VQpGqciKkyqh21JiBoytBDsg8eMF+6VBvMIr99fWt7SuIqZBNxG0I4LXk+01qxhA/hu93
wBYAB81fYgy4Kb8nbHJ5tnVRrWQdyyr/mpMKV3XV6UIVMGcnKiZp39uYI1ur+8h4tIa3NAXOyQOt
6L8tcYlsJ0dCMOg4oHcMx+xQwTIPFQe5xroncaDaT5sDdlbuq2WJ6CSrBgIZosq5uXFECHUsyBLT
9M1SoeCya5VDXsVuZhw1CPdSqIA5vg1E+/Vl/ilbyAHm1LB89IcmIgqDYQAejir/mjnfavbWQLNc
wdvYaXA+DOUwdbnbE7aj4KDUVo8BGcYOBTCX0j6MWOarlRESQKKu/7jL2+N8UyTv7po2rgwF3j2D
vaVHzxX5yMYNG5dZEGwss96WCRAWqobnG8853qh8gg0l6bg70QrqCAlaxwDX9sHUV/d45W4JnKyA
uM+NSnFJlJjINsZQwEbN5S0bh52d9Gj7D26a1qEOsU8BAZKs+WTQ6cms30Y+35naW6EqrmELv7Im
H6rZRx5Vu+sbvu6GJ7shBS6VxP0ITgvUsUeoBShf9H4vxK6YfpiQfKuGIGZ3dnmDF/p1u6sfGoXb
pZeINFsWYKuyZkwybdmPsdpjvtded+J9W7Gt5V0mCsu+I0NDdEchVa4PU1C+Uc3FoRZALOIhAyU7
EXTQArU66mqm/momtY8B1k/TnGzYXrvIT01LMcwckBvTJYb1RNykTXNA9XrDldd38e/qpBhSDXre
s0XJnXZjiCIEQkjuMnOrNrweMk52UQoZA6lUPZuwlAYsSz/fQ03kd7qH3MSR76t95XiP+gve1YOL
0sh+ev43rvJ3kdJ5ZVUXDwX0YyHIP/otzQJAm4JhKjeYaasX68kapRNqR21vt8vF6qQHaw6d+pni
6smPWY+6xL7PN15IW59OPncdxeD5ZUsLYEmGO0KOZPx5feM2HFDmbGZZNFCmIRdS6tfReNjMIVf/
fDDWFp1MyCnKVD6jNZGrzssSqoeOvzT03+Qc6ItCEwPVG/R4zgM1KUVtA2+AnEPNj0NOIPyevVjs
lZhsz0lxK8b2+/UdW/7Ei6vxxKLkA01J1IbqsEgmyBWBQ/TYKHur/hl1G862+vVPDElff6BqnNcT
DCXOQ48Zu2bvAmW0cdOvrgaUQoxvhOTOhX5ZPsxKhqcYAtCwIKOK8aBOqIAn6gfwgF43qxvfay0H
hgweWlWgTEI3RIpGZl9HQOVhJkHi7Fvzi6P5hIad2Lg5lm9w8Y0w/RCpL576qEqde4UCwmrsEGxd
TAqfd5A9Kxrc3Zh0Gu9BaUUHP/wXTvHXoIx5SboasrYDDDb1ztHvOQ+6+pfqvIIC9N8MSU/nWHFQ
NWuWlWGSCun8iWMo1XcU0Om8UUr781SVNxHUcsBD0b1fhsGfb2JpY5DSlHRI+So38SAVdEO8MSTg
KexTV7j5wbobwvvs5vMx8qnXf7y0t71f3Fo7tCtcbLkHiv/GkVgR2Edi9fc3yRAQpg6cG6Rtvfnh
QwniG2Pf3dZPxRfjjt3O99mX9DAHTxhbYD02t7EPWYlxq5m8Uj/BT1i00SFYijlMhvQFcs4qo6T9
nwHv5o2xQ0vKHyDQ7nUB9NIfDVffJRst+ksaOFRoT23q559iKiLBiQOb3+PZ047jF/VxelQ/Gv8T
LBl/8jSX+8mNeYtd31sbHqetHdlT49KzbqBGRmklsOCbRUGsDqLJQ9vFG8Lh0drhGXss7p3Q2Uhb
VvOJU7NSahTjeRuxHGYhReI3geXWN3nuojr249i8mg+Oq/jkzvZVX99tFbRXelXn+y1FqW5qBnUy
sN/Q2g5n991+GMPvz8TtQ+JrN+qj+kA9Y2f6k5t/eelDZOjZ1vLXQtjp8qV0SlQdH0iEn4BRyRpc
rAueZ3cMFe/P0avC8oPt7BsjoP71ALO+77aON/yiaw0di3Nfg3b81MYC+267GVyrDaBT74oPI8T0
4jD12G02QSQua7wyjKCisXEfreULxol1+au3BWZKOLAeASZtikAHWPv6AtcsALm1kD9AnEHWcL4+
phQp3HnEFNEi86C56mWboglLZJQj59LiQd8c8FxonZ+b0KpiyFIVJlruan6zR5DuvsNzbn+gzO3+
ig/x6+Qmh94r3p2tDVw7rae2Jb8xW82YtQi2aS4AR8YMdj9B6UDZImCs+gmYM+DsQN0Oes7SPhLB
ed7MMGRgovIP6mKQ6UP5LYYkhvVUuBb3Uk949ScKJIM77Taj0lp2dGpecpShSdOSAHwBlJdr/Rg/
8ruMu5Czj4ULSSYv/2bgoVE+/LzuPKtFJxtImmUEH+gLsn591oksagYD26u92wV6d7+IfRT5a66/
Z5af5Ddiq8u7euedmpQSTjs1hkRkMMkxgPJJ7FHNfqj86pYd8v1gucRwtXtMbhde5i7CJ1kQ475+
gzzE9aWvODUoGwbk+1GixVNZuvci3pbJ2KBdM5K3GrDI8oGZO9QUHag49c3DJtBu5QOjsA3952U0
H8B2kj1dn5yKaA33oJcodiMFY8OMMoGHULGlx7kSEhwb00gsaHig3iNrsRUpS4WpAoANXZ/QYdO3
2VQ3sqnV1ZyYkD5ilQqk2hZMaC0m4NWz3w0PYtpd/0QrZ99BpgDVDmTXi9T6edwhTZ8ZKVuA5IBM
1HEe9FhOHpbR53U7a6cAhlAYsxeIG0pP54YApTBape+4N2g3I9JDMCyEuTMidIygNXhwijuWvFy3
ufaNHAP9ZSAh0bmT3S82Mpbloude65RhFbEDivbhdRNrdS4s668NKc2arYRURQ4bOYOQlxrg+Q0u
HXM7I+Sdj7HxaIslXZjEG5D5NeeAEik6kmi44sEihVJGK5ZSB3JUxnQfRb/S8aXeAlWsuoYJAVh8
s4WHI5lQx3qqJiG417HXhmpubPywiww37Pv1PVxfyl87UlhOqhSKKx3soMGYGwCH3Gudd93ECsQf
MxghboqyOPg2qjwyQbHTYozUxfvK+mnOomVwSf3OZ6NHX9eM91M8z9A2ZdWx1pIDp8YnxVgUv5rj
rWFml/q6cBeQvdC9XiRLUI0/PwiaWRmRlo/cE8UYF25L7fZ9qJP40S5G9mMyq1H3soHZJWbsWrmP
OafOfZInGEvSK3mDwXFZtccfXu+q3F5EupCXHEenHWxwiEhcu+k8P8YU00tShY27tO6aI8NQ4jeL
qIS7xYCBrK6K4aGPzRC3T4lC8heHzl3QTXp3UMfJfk/poDE/MdP+CXBiDV7M3VEfMwAI9eyh7pe6
VcQmBzIZYODV+VT/HhIFLydgR9Qghqzwo1Y1eD43Wq/f6H3vbMmx/MFJSOkSpkKA9QtBZDCZZBmz
QenmyeET9yqieE79hn0O6rEMZzrvW0dzjcm4QUL1PbZ+q0334ky6m+jZF9waGO4L5SsgbSv+Ncdg
SrMdIPCqoaUmNjr4K34NRATmVKFGvIjpSxGvgFCV2lj40HqX3g4DgEn1eDPaX6679sode2ZlOcUn
7aV0dqreUmGFtmy4NxOTJ27iQFfTVUk6H9SqzZ9zle5iG4pcbBw2ULcrQQLACBuXPIomUAyW4h9m
1mZqpSD2dZnq1pPwzOHFcIKp3bCzUnQ6syOdGiVyDEzcxNXu8Diw57AGvXHGI294EYBeXd/SlQ+H
E0rhDBgJc5mmQmu6jlUHAQlIhGOhYSCWUh2jOP4X9zvcFzxaKEvjUCxLPvly1hiXhGUz95LefmCq
8EETwDx3c4shsnb1AhaLViBYyIB8y2n33GiDsEusZ8xEDEJcE4ViItBThmDaC4+RDc9xrXsAfw8u
cdoq0Psqfr2+p1t+IgX5CqgA0eUce1qmbo/pUQkwUGUARZ9/YUdb8N+Ijuj0SvlMH9PO0Fv4idEl
PtBy3LpjpuPa2v66nTV/BI4CJBggkZZHxfnHS6KRYd40jh0HdLs0XjKWY4xDKIa3MZ7C67bW9u7U
lnzGogQP7Am2FHpD+c5Kujs1Pha2cvgXdtA0wysFNdALTGMmcG3NMfwkTXTnadLxHrCUVvtNCaSQ
ZmJVb9ftreRnmLyOjinuBdw+MpG4GvN0xpgEhK4SYwaM4bkctqp/K0f5zMSytSdnTHQmpHYo7omh
qUEA1UKqTX4n2n8R6jGhDBMtkIqBNi55Q5yCRjQtR9nk33m56EO8ZMqv67u1wnTFH3xiRHKDMk4s
aHhguxr7TzNJzd0x/6jUg6a9GcXOckYAUryhu+/pDsLG162v1JZgfJGjAbFIx3CA842cMXSygnYg
3gmkdW1zP7QQtIzvc1R4E7/d5H+t3WoaHguQXFtQPrK2RykwTG7ii8uz4RBl5k4bx68AitzWsTia
kBZRZ/NgGcP79VWueSRIUwvPCGqJCJXnq2RRrOSkxSqzsd11en0P/sY/j/q4r/+akAJhIbLSIIur
WGr6JNTyOUsWYdCtER5rjo+vBZIJKnImWCbnK0FBLp/tvsLjkVN/rucQ8kgHWk7+9Q2z1/wCzzpk
N4sYADhh53YaG2Vm3ay51ydaU4Onhw8GjUFr8NUy51YoEouEjmjGFwc0lHtWFLlf6E2E/0jBj3RT
Ne0m11aTVsfY7q6xMeud175qcWXyeJLlj5ZSGHcKqrrBUBfRg95lkKmLVHU8RsKeb0yIuX4BEBrq
Lw2Nmi9dRMvASTQw9iHnnB6Hls9P1BzYa5vR+UZgTKkvOjY7LopBNghXc4f/1WAsyzy8gUrLjVGx
+WFYRSyCWq8x6qzSqB+PSfToDHqDe1JfoIHmCGEmZoqd0Yw0c3XomKNPlDxyYaShijv2oFTRIa8V
CKgpVjCD/xcamRP588AooHd0esDMtRmC2Yp5BEWq525S9HUZ9FoDinM7VM6PcjSN/TS38/vECbgI
g71Iks1o+rvFCB64O2VVEThWIl7HYtR2fVPmn0qcalCPSAmAVEibtjQEVrMJsIjAioKwKLIjybN0
qrQVoMq4ycHZOKZRA8EYTAw/gBJkvgOuF0GXoupHyKqMzr3m9FnljtkkNo7R2p0IUO7y9MbjHqp1
kt+JKWs6tjzoUFgS/W+OwZqmFYzR7+sOvmVHCrq8rkpmQDDe0/QipKQ5qlb0nhXOzUDnxPtvtqSz
FJfN1BY2ajEWjb4TvKPcGEiilkMeYqjt5+vG1kLd6WeUFgYhM4sNFj4jFnIcc/s5r/rddRNrQXwR
CUcNCxIXGIt6/o0GvBlbEzVfYAo1b+4xG7iGdneCEaRgTH2vwbqNMufAyFbDeC03AwkMtTm8R1Rw
0c7tUjoowlhywEo7Qgiihr6PjgJnVuzRDHSvr3HNP05tSUW6ss/G0hbYRmaDXt73RRkqRH3tioY/
Q3/X+I9uL90eE3RQGwzzWFLB3C9jl5M8YPprlGyta+3bnZ4v6dvV+pQXvQlDOdTd7X6EkDJ3Vfo+
G+jvpPljyRk4Gs1GVevyywHxAS6Bjnv1Tx56/uVytKkTtQGGsEBzQHxXcfdDBgXaL5O6VZtewdcv
tkArXgoImKchrTCf83FOItiKR2j99z9nk9x2+rcutjyC5qxGBg9vttrV8l8dSX17EnfUav2Zm3dK
5sCFH8f4X8jhnf+oxd1O8lWzLaNIoGLhOYYdYLZRoACxOR2m1DfIx9zsHfXe6F+vu/BlJIDNRVYJ
uDRshnxMVU6nGm+mzisd9Skvycv2YIrLLOHchLQsI8mVcWoA4dAr8Jkz1IB3au4rLD5Myk1SbSHq
L5Ofc3NSAGh72ilJC3NGqrqDAP+laN3ZbDbO/qq3nmycdPYHwrSxj7BxJNf2cRvWmerjteOBS8i2
4CmrS6IWZqwDeAhoo3w3DCLJBINjLM0AqyGu2QXj5uiSS1gjgKsLyAZSOpgTIJckCLDJ3VhiRSBB
JobfgslqmCCaeAr0eEsUAImr6/t/7n4L1wzvTSCWL+jv9jySxrHwsRgaRR037ouBb/BmL4M0lnVi
QrrrlAbE6CbFshQ03ZXkAVXsKgbui71dX8qaQ5zakT4SuJ3YVQY7FbjkTvtQtcGM8JnUQbf1Htsy
JV0EjV5reWvCVK6jW+u4jOvA93i8Oxbpj+urWoE2nG+fFCl5lZOpVEGtUEDddjvdde6Q7gXU0x/Y
LbhXfoEOrhbMuxvnIXl+y7y32Lf86z9iLYKcbq0UQUreD73aLZ4JZf6yCoa5DgeQISztVokxe+bn
dXNb27v8+5M43IgxnWoH5sDhe1V0yMBnZop/tOGc5YFlp7vr9lY9dNE/MgAhB+9SsqcNmDmm9H3n
mU04G0dm3jnxt3nLaVY38cSKFLAoTYtS7wUgr+VucMReUSw3jW7HtgyY8xj34fVFrfT74Tgn9pYk
42QXq6ZheB9iVVCqdX7bsVt+GL76ZECt3UXTncWe8j756l6/b8IujO7il+s/YC1oIlSCoAtRHhOC
/uf2hWEpYzJhvUoG8Fmceqnpka2K49r1eWpE8sx4IonyZ1OjOvVV/Uvab90zK90r7OPC5jChEQjZ
XymuzHnB5zHCPlbKQ1M/VvEnj3f2+CM1f3LxQDKM5LuLlV2uvv6L/Tuxuyz95PtFOlidyXLw2zn2
NTAfLRuJ0VZH7DLVPF+d9JUULkoxR7ACkqpZ/zKno96XLjHdmFVu3hZBTTaUG1ZP28m6pE821qxB
/3Txi/aGZp+puIvbT2vryl6xsnR/lsE+C3ZIRkUJlakz+Ea42ECAy2wjhPKemzsPQksP17/Tn0rp
eTsMJk5MSR8qzgt9wJgH0NM0l75owgUp9A4jOO5AC+VueYi96ZZ+ahs9mZVwsswTRBsTFDx6wftl
6Ocb8QBKYcfunGh0QenBK881odQzxEFfbzwOVk7zmTlpkZ0xFND4gDmmH0vlWcv2mvK8sZFbS5J8
cSRscBoVNrj1PABHyP1S3PWFD+axF6WBJn53ZsidW9V54uLWqh7b9KGN/R6BLdnY3RUQz4Kj/dPh
hOIqCmznp09rVUuZIWriMT++Nx56fNn6m+k9p0dx7PbJcx+Wihvt82N1T9yb5K3dAhSuXIJnP0A6
JlWksMLK8QPGKIzGENq1CYVW/D1Ltoh5m2v9f6R9aW/cONPtLxKgndRXbb27vTv2F8FxEu37rl9/
jwy8M2q2bhOZZzDABPHAJRaLxWIt5zD3HxBQwyTUIErx7TLaisjCmeqvwP0dH78iN3rLJTvc+fe9
mR3R0v5cbD55D17eYpm7kdJ8IKWBnW9Tu1dtFQX0KnVC/0OJXm8bGU8ScysmBAyrmY61qiNm5Q5l
sh8TELI8eSHv4phPBOsWFhbETmqAf1NRowqSKvlYqR9NzImrV7pf0P8EVAq8GFAspSyBTa0WsqfO
Y7HjcNa8s1GDNswtFXfKDuNgY3EKyJYmVeM8vNSVYwr8JBwKJJyBrcZWIwK/BjjioM4DSopdwb8N
gyVGmwjDV3LvJEh6AtvEN/RtWhz87iQEhxI5BIC7K3dggdL7hxDYzzI4cHp/E3t2lHfOVJu9eIgn
twdB5IQHkGKO6g4J20ProX+dIgOCgYoGZLj18AocHKdpPmWge6Y6YMlGs4gPY3UmjegOgWXg3eTL
ZsjzgCuWg0wnYEdQnFN1TGBcegQU7vJcmDTEAfCAPhpmjFMcW5gnAkSnfdtI1zS8FMU427xXpyaR
Z1HhMdTtGmA1PZoFBZv6tl5wPPuqMKTq5qaYuS2G8XT+1CNvpkBY0hnmkE6uKOhmI/0Q+mPe3kVF
495e3MrNPAv6Rx7j2FpQvaBiB3mx8CqS0lbkZ7/W3al1bsvhrYvxahL1lKLW53VpnpnWqUvlr1zb
KJgJLAjd0SnhHIwVgcgAYvgX9VucD7YrTJAD6qEJqkXVxxH9YhdOH2NzErLyHErO3yN4IhchU4rC
LUrglIX9SDNSToZvtJaseSAjfxm9CQkCt8841jHvPuPFLuQwplhISqDWIsFotnEe4lMiPYe8FrQV
R3khgjFAZVKMUCmht8ZTLYzpWrrKCdFWF6GgGDdnNiUwpV0eXXlSdD8LoCw1aN+abLK7InjMIk7M
sLqOhZTZPhYBeydRQQ9FSJmx7ZUmRcvR9rZJ89bBXF6REGCQbYKEMv1dlI4yIuWFbOn/JESZ01SL
Zaharvg4IK01oEm50XY9BaQpD2CFoyu2jgWOxI6oOVYitoAT6WQb0Db27XWs5ZgxFfLPrivy5ULm
dvdGA4+VNWbTKdSP2hijYJWZzajYRZgdZ0K2LOjxGBfNZiJOCTaLAYC4QZeZWi9uvP6piXXOrT1v
0dV5WnwUc4tkXZQ1hgDtpu0LzZ/K8c73D0l96PyTBMLE9uG2Elac7YUO5n1YbGbkiV0WybNNhv2m
Cw1TCN8SeePFnNIIbz+ZM9x2BrD4jPkMx9F9W5WHNHu+vRKeBObayEvfoIMICb36AxPzcsMdiJ4N
+9bWMF5CD5MpiyvoKtHEZ3BWRiadeop+qfF+6ATHiKk7gKyyqR8BCsI5dCuFXfjzhV0wziPwJ3Rc
9h4OhPicgnAtwCFvz+l0X+v7IQL6h3DIBJkjddUYkfXC1Y/Sw1Xxoa4oCp1C0FkpPJaXOaEKos7S
IgOwmj/1R7H5fXsP16wRRG8zbSCApDAqcGmNdAB64gxSY7VG9yetMMGMXFgrZQD65Cp0Pt3sbi5l
MQrtGyqnZRx2GL+rU7vCnMux+CQn7+lFfqy+ck7n28rQHbCDFktjXDP11CSSMDVgdV/iXfhKnuK7
8XcJIrUDGS3FsbXdq/bg27f1uWo1C6ksoGFBQFZTJ5CK16nT/+lSUzupuwA9tibgPG4L42weCwJF
pQKsTQNkjVVoA+vBAkxiHD1SdXNbztolt1wT47YDLQKEUQQ5qWLs9EQ9BH1o9cBp/N/EMI64lYJK
SZtZDKataL+PkF3jJe9XusYurEKbndrC/Y50JGM7CxG2qElsqh/Rc3YE5Poh/6E+RboZctzw6p23
VB7jhwHyI3bxvEl19up/ElP/aOzaFJxwg3lXzRR+Fwf5uatM4yF5/d/0yfhn+M2kCitIVpSvnr7K
Sm2W4sttGdzlMQ6kG2NJEGfb0E8KILs+JLM5hHsts9seS8p/TPvhPra1AjO9lHNxr+WBlydcYxwK
bm0d81SQjfJ4CTaaMxidC1MvMLjjvItmtiGcvsaVyWVgrmGUG7jBBD1eKrOZ3gia0KKRakstQrzt
z2myj4GUodhyWtth9DSWp8zbtu2mHG2hvItizklcyTDMH2AgwwDEZFDzMGdkGibfSDJQjxs9xtZB
fpAWmjWKJvZ2BLJNtBsD3QFhW8pjNUYv0ZX7vhTNnJyc+jRE30BtxfrBJyhNphah27jfhfFJMM5p
fqzKH7myqciroZmdDHJvgCuLvyXpU8cbRTPFIX4wKgwg+6KjNOB6PtHS205dbBFM1CiuLPxI88o2
isisi85sqo8hEK2mOftTZgKMQpExpeDvOrV2K6Qv6mM9oduDftBJcIRGtYbRleRtNDlFutPKfQ6G
tbLfZcLGi3Y6QMObdDeBVX3cVN1TPJw85ayhDcaPfCB7/vLDg49WbB1RRZrbxnSfROdMtnXZRbds
UWyH7Bylu2h0xQbxavaaUkv0thHZUuM1Lx7QXm0p2SEZH4B0TKTYRvsbKZ9o46axgj5UsFjsI/9B
z49C9xKQNwN1/+kYV4ccvDNlvCP5YxpvsvrT659RN8mMJ9Jtc90kI/CMzxnOjwgyJD38qlWMnZz7
ye2I7ISeqaY/xPo9JyGoATwTQVGsnwIKRu+XLHoS8k9lrG0D7YUIWBpgbBUURPelugd4ohF+yTkw
Mfx3ERSb0VkoQBKDQorcRduUujA/K8pfQOuYeu7U/GlKKzKOondGGqurX4AC2AM8KiiPXTkr5KBN
TmYMVty5vurUYr0TwJvW+Jhblc+J0ptiTgEd+EMRNTcNndTg1Z1Wqmv6TIgFsGt0Xs5zw5eePdV8
r9KCFjXKwpJ2ZFdh3Bqw5WZyrM0GMz73yom8VA4s7En0Td5M9Jr4mSdbxdwHsFSuSGvLRMMkkAzx
0TGxZbDbx1Z2rkTTM9+e9KNvZ/svFI7eaqfkBDrfKJ+XcRWqDgvJzMHU81EnFS617y4hz5H3pTm9
+aUJ9DbReiQOORVOfRy3wY7YhR1thMEUbd/m3QQr/uHiMxj9B12dA0IInyFboAOFaJDOg/PD7N38
x0tm4oazyTE2fxi/bl9B11HQ5fKZa64rZmpOgnrZ4NtB+lHITl0UZqvw1jd//y01MzedGKd9STTU
r1IzvVMt5RC4MdZZ2t2mcbxDvQXionV7aSuFrMu1MTdcGgDWq6HQafpaYtw9c0vVrBzkH+3P5nSH
Jner51gTb5VM1JwoVZLVsxkTY69oG2+4U4QtZ1WzQf7/NWmITD4jGAuqxxVkRLr/U9S2k5jtiqhG
k+8nKk62kQyfTS+bJA5iwPNW1ohBnD7sHuKY98K8LrQAFQ1ZfyArzTBBaPG5dBqk9RIdfI+9RT+A
iV7iQe5mrtCZ0QxTMZr1ebTJRthFAMj4M1jko9gLx4iDTXKljvkbdAr2Y7Sni8AivfyGKilqmitg
sDWSoyr9oe3v2/peX+RCAGNFKKH3qd+E6KsfdHS15WYJTslIpI/oS87MFtxcAvqNRuAMRKOKt3Zg
egOy+X2w9YGGLikgzwH3uTGVZ0xL7mKKcfm+eqIaxhwKIeR5Uvn2gUYh9VIfhpHIhTG3SSBAf8Bc
tOJmu8iO7zz7ZwysmOkRkQYQETKzdilm9nu3sXp7D/6Yp9t6u/oO7IsKKFr064K9QWeDvV4IxkSU
PYS2Y+XKtAQsW2/W5CT/NfTabAAzTxKmtHCtsvl+I5mSQlexP2oA/hE9g1aBZ+7eXs117MpIYfyk
3ClTMtSQAhAEWpkTYmYzjzbZ1nvKd4oFiOIcBcW/njhipDLGnRV9SvwSxi3kD030XGhuL3G85NXF
w4hgzBtZZKEWWyxMiERxl8Rl+mZoET1LaQE0M4xt5yfSRskfAc3JnATzmoloiDZAb6Wj+Z99gccY
oZK6KelRp92IQDAX5de+OsjKD87e8eQwL/BJBbcn0L3hIhBw2xIwpDb+Xn4XDMs/0qfssThoJ6BJ
WTXh5KOu38uzcmUFjGHaN7gDs38+mYzeCGPQa+9w9HZENN8qs3OAUrr7hsngkf1yBTK72fplG1Yt
BOqn5hgiZb8xLO2BfPTusAn29I6bJ7pKMjIrZG48QRuzngQQWGruYGN6wpQBBoUQ2s344DzXCKWX
0r7zR4v8Q5sleTeKkDbY0pluuq8cM+9ghQEAVXOYNvq5RsQaWM0nrGnc8gKKq9v9WzqerhQ9RoiU
558vpI9SnmfylPboeEPLcbft5/SipvOMZtVcZ5wTFWD7gGVgjEZvKCkMqBVRcPun3YiW7gjHcl/8
9O6JUyFPdZfe+27TcxzBuu0sbnPm5mjp1Po6hVxU/L7UB8lOXM9OfsrPk6VZ5bn9yTmW87G7CGRm
dS7kzT9fqFMT5KQJgry3iIwWo6Yx0R9shZsakFpAFWjxLOdo9jrWnyUurnLGWLuYxiVAQuHr9J3+
0X9OoGx2g6di+1iY9RYjUu7U29Fe2Q+WpNuDNdpPf90Gc/kJLFCfIqhDlWhwt+m0K8UPoX2gISj+
3rKElwxfDYyQZQGlOWwIoCyX6o06DXw3Nc7KhIJXBrqkYRA3nC1cNVUg22M2EKQQGmUCwCEjeKPO
p39q0TyLyL69c7WDkprje2P6z9q+2VRolHR5SCk8ufPaF6YTeVWshA3kGqG8U4vpiFK15eejEwRf
t5e4rsV/V8ic+S4atanxIYkab2H4qobO7d+/dv2i1QV9L+ggQJTEHDpSA06j90uYpK9tamQ+vHtj
eOyzDUC87lJez8faapbSmCMHiIApqBNIG4231ndzIFPeXg5PAGMQOgm1QZoF6PRJlX413fb275+N
lvUZSPqC4hrN/Qqwai43XpJHRQHyV2915CdeGwrgmEIXky2Gz/OGqyv5VxJlnln5ACopEkNSqIid
hWFMpJ3j6JT6v3wvdn1g5pdZ0thZZ7z1YaZYgKd+FTtMNmg0v/OS2r298Ot0LRwH4EQxK4mbARET
o9nRV0uly/A98R8wdIGUC51FtZkf79CphKxII3KesmtHbMbv14E3YszoMpeaVkNFpQHGwyzfa+2R
HAsFM9qSk9c2Z2FXEQTYgZZDb8yWhpjWFdocQ28BImwzxJ1g9qNwpGH4Ow6S00gCPGpFMXPErEc/
H+mrP7e/4OpaxwfgFyAEFTGEig7vy5Xm4yAXSYMPkEpkCfE/zwiT/U9PqHn8L1eH/VvSP/gm3+WA
hdtShzKPACIAjALVg8fvUOcqIzR/KYDRR3OCKlalWWmEO1fNHhpGLBMURnmRe4oEsWVFZkzDkNhq
jJpaBrysjmOnV8eGkcXsZlZVtRbNEC4houkEz6Kw4LiA9e36R4ksCWRRFUIdQQ5I7u/0oDH7/lDF
P2+bxJXxX66CHQimrWigiRwa87M/YSWYwLAAtYN/bkoeC9+sjwuHNktajB7PX7IwCcDqBJqnYky3
jPZ9ItqFfiyj2Bwla8A1qhRu0KScLbryoYxI5mSLQU/EpINIFX0qQCsyQ6l9irMSc/KC1eTJ5j/o
crFCxvrCtuooNSAu0UZT8XZ691DWqCHz2JlX9wzjbOgfB/GNxhbj+zHPpHEEeBpNkpMRBLbWpY4A
JBU9KzmXw6oGF6KYJaV6bMDTY14ctayMfurDFrDv1jzEX+nBf9ktjB3D7YMmF5740kBamfZFmsEU
NaWl5ph/kiDZl7Ic2CmOVqUOnOO1UiSDRf4rkO2X0ojQZhg3ANKUJO7EQt3rYX2ofXGXtT+aoDzr
ePFIgQ5ss8zCb+Isd/V0o61NAmES6HJZF1kOSe4lJXYxEZBtL8EwNv30NB4L8KqtLKQwG5inct42
EaT0gKIDcNFRDCK3jQE5ofFCru836dUJB4cyLFIDy+V3lnpxwtFH1Fd+CllC48ioOcao7UUocvh2
UakmOmAHXzFVHqXgqh7RSglsEMBB4d9Ls5FbvUyTHpB+5ei5w/cMshLZutBwirqr/utfOWzHxhgI
vZcKgPnJY8NKlA8APvUYwe3oJkLuT6u+MCTs3HYo8+ZcKXQhkgmZBypnmqBAZIINM3DOgT2aWnX5
gYYVU9Q5DaM8aUzIPIH1FzTcUKQ6k708+cKjbpwC9SnIAE7HyWXzlMnEeKCw0NUMEOOW3pXOJNhj
5jYTwoLXDKRtg2TH6Jq+rUuexPk6XxhnXAgz2wQkSmPkNloHUjgf45CS7bfJzhvSlyQczuD8/XVb
7GqUsNjC2XoXYqVMCjuaQ6xfASS3TIAPyGvrv84Vzdccgjrk3gDBg1aHSxlyRuBdQtSfQ+EYdK8o
rzc1RgjsucqdA1Vkm6ruhKZpL3qgYgAGYzSIHki7A4Zvhem+2wtePY6Lj2H0XIVp3Y2YRbY6/TFt
Rwcd/sBG4ghZ1epCCKNV1IkjrS+x4jjeK9XglGNj317Gqt+cSe1UFWxpCJkvdUqwVUnTAW9IgAql
7letgqAxM2nJS4Kt6mshaP6QhYHEqgL+phKCwGlg5h1YZZVXSef4rmshqoh/8MBBmg2AtYwjqRLA
sBBjdiQq3t9duMlbFViAvAz79bZcimE8COBCfSUG6Z9FZblzMip6zhg2yV9vzaUUxtwFYEY33Qx8
SicZ/KavVRKapfez1z7+1gRmOYDVmFmRAFLGyKFDgYY2HbGP2uibztP2E15wptI3m16XO45FX7sn
CJPxKoOxIcHEQqHJNJ6KARkzq4UZBOOTElmU2AEIx7XIwSsAp5bjEFc3ayGR2SzUjPXYT0TcZ/p0
B/gcszH8h9saXDU7Cghhgj4kUKkztt2RIUfHwQxHpiQ/s6xX30DM56GH2fjrZCNVRRxVHUSqgKBU
WXKapBCmQRpVIJDF+V4Otl0DRFxgY5XvwCq9vaiVhlHIQh8FyjhIwVxhKLV1Lsc01RE2gg7ihys+
Dab8kAOuXwd5q1na/Q/fan9KvO7+bxaQy2jgUi6zYRLwY+ioa5VFzGe6T47oMHamc+c+SFaCv2vR
yNbirzEvbpjPwHSyurd6A9RwW3NAkrKNXiUL5J8gEMmPOUgO+jfl123NXBeQ511YaIY9MXletYUy
f+E52ATPxRtxAovahoMvOBRObzfmtAf+7WOGwcuNYnY8ypDrEObyA2abXzjTSSzrth3wAaG0r6o3
SX+Wop2a3o8KbgqOca+Eu5fCmCsiFGV/HiuDHSS2pJ4UzfGF0BSp21Xg5HuqPGcqOC7p+jl2KZI5
UGOPIYQwhOlp4LJVwKeL4QcdsWHnbQnvBlzTpYJmA/Ci4fzqbL4WUK5elwsERyo3B0EBqTSA0zoU
ZfzObqtD+nbbeFZeYzMPxr/yGPPOQqIWEYG8LH5pVDMR79LiA68/y8hPwmgOg4sRgppHwrHmd5GV
mzvbgXSgs8m/oRiEIE48WMxwRv+fgEGLxHekwDDjYiuLL/TvJ5pUMDvLKPiChxnw8fMHLUzUCNGN
OJYQ2MRuX32Q/HXwOOfwur6Fc7iQwSaOSk0u5KYC6TCQqJ4mTE217WcXhx/qDH01SvdSoR4KLbFF
2m9KdPvF0xvg+jk32nUel/kKJuiIkjDAZ2ClfV9Yhfaz9LKHdMhdycusUH6deh9PmaMghGi0BLEF
2mRvW9TaYVlqgTGoOJe0FHSS8xvDcEr0ek3q2yQdteie8Or7a1a0FMU4vhw4vSWpsVQReceqqEyf
2Er7S6ldBNtxvSXdf3E+S4mMp8s1BRTSEyTG43NUboYURaHUFEgBmNaXmvgOWmIr8e9znpeGxbi8
oUJAMs1SB/KSA2hP5cVcPEUyDo6mkoYZZQiosykwfRWliL4za0zTdgq6hBXvNQMJwpRpj7dtZc3Z
LdU529LiVAq1VxRgxoCzQwdTrx/UuDFJQ6wi+I1m6fDvszKzHpEjwTQNCpdsaDk1ZVSDTRSvwvRP
33RIxpiZYafSy+1VrcVfSzGMkQAvtJPIfAKaKdp69XhSG9UR5ZLzupg3hQ1MlmIYq9DCxhdrBWLE
+jHr50sJrViFRSJ9e3s9/x+X8q/eGPNQSm+M/JlNvQIO9pA0jha+6ZMtk42Cyqzmzk94zZoCGxCc
Jkf27K6uV4kCMIpxgNxi283oUEv5BHwDq0+0/ncaq8NGj6dol80jl2abet2jUKj129Sp6PWsgOOh
AioSsG2p4N7+lFXHBkhQCdDCGuaxZ2NeGKuS6G1IqqC20k61AzRLxehbiBxVdUjImZ345j2+WvVC
FnNdeYPWhXGNVZOqtcN+gkwIm6KXMtatynhPlRFTG/2h0eJNKevvpAhMUaytbuiPYvdHAIUIzH+X
iF+GhNZ3ydgog7CJQu+xrKJDU+foRpZ3t/WzZvZgEwbs24yxILF5SAgBpZkGOj0D+aSwckIRoGX+
Xxdo5+ttoRnG5wtBEaPLApoRxN9DtgPVfSEc8nRmieCYHm+/mWM8Q2dHQQpJFMXfnDhZ8ZyLP/wy
cPIi5tzaqw54sSrmLPtIk6ltAdvKErepnkAPXwJvI0N/dqqFltC+SeHr7d1ajaOXimQONWIkgUw6
DrVGNpGGeQBHVE0h0i2vsrv2wRiRxeJBHa6HSIt1Mg7fKL2wbQh0qhQPBOg7ooZZ3rdkkpxa8t2s
asC0hMTkA+g6KmMf87Dpv23w+lzpaK1CCChiIOHyDJfK6JG6CUHlBZLBKrB6vTXVYDtFd3AmRfVB
AaTSDY/SAFTN597Y6+IbaXOOYX03WN36Ckb1ajy2RS/jK8j5rL+PVrCp7GgHCBfRxOg4YkQTgNS7
3PoqMJf4B+VB0QX+pJuAC296v20GqzcwQEn+TyHMhkjlBOLFFp8ygFoFcCQfSJVgGD8b7VYsd5pa
20Or8doWV1+swBX4RyrjShPfN4JagtTKJmbmBoH5+8O4w0jtL/AAonUYFXr8Vzcr3/Jd2OZ24D3r
15zV8gsYBxvKaZwnAb4gBqlaCUMA/0IxcDb6e2L+xkazzVg50uwRmrFqS9wAta7dyhvMMO1+Aqfp
p2Yqv0YLIz9vnmBS4AVle3Bym4PVvyuPXxJ6mvJdgs7p2OYfQs7i2axXWzcK7ebPKtoYPR5aUo4W
IFwm0AwFwD4u1BHp6kCO76WgR7se6YNmX7chOlSiNGx/q1KkqmbsjcZPUTUizBtJxklsUoqWrMxQ
xwfMOjXveReXR6mrPRDTEq1+BJpr645BVAeu3McG1J3G1PRLcSJWEJSe76Q0Kfd+pDVbgBQrh5yU
SP6WgvQwiK3+hCQHhskldLBsvaCgb2nde/u48sHkk2MO3MaZQmJd6ae7jBjJJqqItqHlFDqlgDnw
nrYAMIhqYiOHXdljWjUvlaDhwakbfrhPAD59ztWKfBrI5Z7SdipaNJNTObKnIEXNqQFi8psSDLGr
eUS0M5AAmEMoqMgf18o7WsXa+xwWndoGCO5R5J4ye2rS4BlYfjo6RlN63yTdSICoZohIx4yesmkK
qmWg2xn1LxEaOwSlPxNvk1YE0o9RiIpZGsGACTbUtAErT3p457LZt4ZRvdKpG58xB1ne02EIzjWY
lPe0iyW0/BHJSfpO/BOWcveA1JD43jWyseuyAL8R8xqpW4wEGz6NUrOrUOna+7EqPohe7ys2Sl/0
pRO75hSUI4Y9ylLMfnkTEVwv0Fu0wKFtYivRtEhx3yaVum+jUQLMatAYmYs8GSicK88DYKLsxe1g
otYkA0wxkqXHcaj9B9WTg5k5K/HuakOX75EFCBQTiKrpB6l8D+1GkY/RzZpUAjXjkhhbUc3Ue9GL
m32QKsLJ0BvgNxUijZxK98Y/SqFiPCIee2Vz2y9+5+ZvHV358qZQJ6QhYxFnRD6Fjwg0PyL7Pt57
9ldmhhv5nO9C+60/kN3oBqbA807fqYJb0pkoJw3q3ADyHmKPzc8WGbtt8NRn1vSQmfL75FAneuhA
jHskZ++OzO6ShwawGo8Ykg5qTxUVXra2NSY4x6ofY/VNrgIApDzp6kQdr+0/04h+YTzoSDJsmpaP
u9uKvx6EQIC3DCOZy3FojLjXcxCkUuGrac2SHAM8ealXWgKgAjXFrMgTsPvEyJGDDx9IWVpOOCXZ
WQSr/eUnMJfioASgTsXEnEXK1BYDzY3Vx1Ed7ise2shq9m2G+pTgXyQ8b5h4JCwVkhbAMLYSqXY9
pcbIGjU+46AEbp/S4fbTBYTvgE83xaTEyK6ElByaxDkpm7X1Lr+CUTlpqpyKqCBaqO7decKwUYXd
lG4wF2Lf3txZcaxil4IYxXYY1RBQpqyttmxbUxmTz2KI/2ii8N6GGBaaeOdoNcgFL4syd95RihrP
5SkWktjQBjWqraY/KLhUR2rDfCQCPDQfb0S7G04RD5d6bZHfiN5gWpoxOxiZKqjp2mSETLH6mYGz
o9fe9Eozafum8VqS1teHlKYuKxSoVmxGww8IYIYrKBQo/v5gKcNBS06D0NoU/XcEYNilHUqSc3sX
18IHDa9gwNnNVOVs1aczQh9wpFlt4ZYztTY6BE3oFMhz/AcxaA9Fd/kMiPvdbL94b/vtCNAjD2+F
fNpWMS5q4SQ3f27LmN9wrEFqCxnMGw9JBMVQZMjwSVG6UtV0uzL2PY7C1s7XUgpzyr0RVNulBCld
XwF7rwTKO5CVZLsauF3F182uSAkpyG6h9wA1VHZYLdSzIhIEiNL6ypnAntvjvkQYZJV1jrH7Rjcz
JCyDitpqofCO25ph6FAYOonh0FSdCaqjisaZNteBcuFYDw+xdwIgwN9v2EIEYbqm/TYr87aFiDID
wzTyrj2YG2+LWLv7lipkvOEkGXFb9niLx8IRh9lWxvgH5gNfIiH5kDw4kUQ1i4ZXSl0/yoBMRmVT
noucjPK0GA+uQofbKKqtp5ixtOkMV5WtSbb0aQA7pUnSlLPUtQ1DlwxYwkVc8lc4b2o7CpmMpxi4
Ix412COgIXWFs2OrMtBZqOsi6E3QDXHpgkGDOBk55oetRPcPpQwAg2JbFL9v79nqRQp0gX+kMAc5
aijIAHpICfMEvUZgSsrjx9IbzrVKLcmrAFtTVbba9XZfac9GlQn/4WpbfsCshoW38gpMFOQpIrYm
Hn/oA/KkU/glKMVWBMJ21fByCKsuZbFexki1VOr6zsN6s2DTdK/h8NaEr13Ly/yupQfQ44e0K9Jd
YFhgjNJLg1TKweyB+Zv41yTSX6k8AlA+BqKJf+zUr66szLBF11irhHtVTk2axqGZoa0ffLCg0CmG
XwWVTmEYmmrDC1s4H8dOUGQEjFm+B5X3k1mGB6CHtKDt1moMT0d2lXFSdOt2TFA9NHRgVrLzEZj0
rz1/VkVGAaCaSXYl5Ds14wH9rXofAGT8nxjGkAdV6sEkCzFR99YU53aK7FF1aUKtMQd6CtL7tXP7
7PAWxlju2EheGXSQKKaT1VCw/FJ0h+fNwHOsPEGMzfqBXqhSPWuQvMTa3eD3AN3izeCt6g9dsDPD
K5q02TtIJXERSjViWQ/9SXX81kd3/hjZtfc5hRtcgGaNZ+1tBa6eRTpj3mMYHYUBJuBLirbVPTmH
79FcWtJNX29U4zS2kntbzqr+0LasgXlEBNsrs1ExAsspjyFHQ3s7GAUDpE3BsuzclrIavi6kMLuU
UmRBogkKLLXimNVj4vqN8E4a0LzJcvuQ+5HOkbi2ruWdzugvlbxeSOawQQMrbxXntj8eguD37WWt
3q86GE2AyjTncNhQWfSlJBQopCRx8I4/b6SKbitSOJE3nTJNQXvZQwY6A2Rrck45h6dS5tmTK57c
DQUCZqRQ3Lx9L7XIqkWk/FqMiUcx58JddYuLDZx/vriJqKxGeltCWlfuBOklqvZaHzxMVW/neWQq
lMcGwlsdc0dk6dRFYQV5ST24KVHuC5BuqjRxwia6G3KZBxu8ftz+OQas26cNmipJiGPQgXndG56r
+k9Jfg1cdP3Z7K7eBv/qkTJm2VAvjIoMchpD/qjjKDCrKBMOkt8f5TTtTJB86ui2HACmU6SpA/KE
P0JTxP/Jufy7WiYPVYdwxtK82koAyoUNBEOrTdAaRHgtOavbCHpCOJYZPu27dLMwG8BPpjKmwmsr
KE5p6QINTJpnW6q3wNvePoqrBrqQxFxxvUCMDExDiDrl10aEHl009E9ZZbZzQrjnIZas2guaE8Eo
jYIPYeuSqoAnUNjN+1hCUigBT8wHfq180hMePA9PFOM7gV5fiIUCUQWRnqjcv0caqni9vqu4hfE1
pzm3XP7fqhifUkdClsnzI1z1jQcVXI/m0P5UKRe3a/UULOQw3iRS/czrgwKXtu8ok50hDSljYDKD
bZTJc0OttLmfqKXx+uB4qmS8SkyCoc0rqLLE8CIS2BidqVozBt59n2k8l7JaFwRCCGJ08AXjBc1I
K9O8ACcXpGnR8DspJAtdhmc6+LsmDYGeiwYuuW7/RBhBj40Mw+CiiUIGxoc8O9WTNxWtgbePyCzv
yvf8+z0sF0InEECztN9az0wJ3cJURbsKwAO1HIyNdmI4Rc1Lzq1pfOa1xhCwiJkelk5NyBNNGbIK
Oy3mAITLiKPmoz0VFaoCvEGU9dt4IYwxq6QTctoNJZopyoPSHUTdUsF+m9o5eQlxBRtvQcgL01Yw
4JBZXshkNhkP0YYI6FUF/N4+C89pA0WicSt6Agag3tpqfvLFLQAj0ZTtNaeRbqV+HzSPJESt4YCc
1394fC8+R2VSGYIwKoGS4HNqzf/o4/qXLsebYvA4yezZm7KmhEorUmgA0ALzxexIFn5dKvxcCXOI
iUi7GfTsXaLTw21rXbs6liIYt2f4iu618qzYCDBh6qHG5T8J91L86omf/5soxu3pwFsjjYSDUdWS
GaQPtVC6BTloAtBgeJN1ay52uSzGRps68NKEYllwRJY42D7qiKPK6eJaF0LxUNGRdAJr1uX2xINB
w1rAqYtr1FSjwEp971AoGWeL1u5c8J78I4ZZSxVi7LGcajzks9NQPetC/aPO7vKkQavkYKLConKs
ezUjs5TInLZJwaRZ1EBimw1WkG+N31iccjcW5j4UUH202i77f6R9WXekuNLtXzmr3zkfIBBw19fn
gRxtl+ehhhctu8rNJAYJMYhff7fs6u40lSu5t8+Lc9mZzkBSKBSKYe/tP1AOF/QOETCRHMRBP86l
gh+quhFzaSfqU94lKMwEv4q6ipwHNCaclnU8T3UgbObFNDypEuTQcetryGZE/V1aWiuBtlbWbPsE
EAr9xnOe6uhWSMSAnjon5ksXwuNzfPAMs72dVEA0iNARv6I0jti30btLCxzIG8/CCdZsGMLNoXfd
Bl8Xxn7MKQCjy18TPdvwTRCkwdBCrpyKmPOVjUyzjIW7bUQRW7yMG1QuoUrOgWdwWvTR7XIgebZd
qrK38kpDctNtuN2fT3QEKuDutJCjJhNMaKEPxynCbfujHlnDZIOGuUP2c7LXrQJ2HVHdl9MyjpZC
0QMhM8d+iKQKohHlck50zRq4OJ+jaCetT6V31WfVSnyO3F2rrsL6u4oWJvGoMTgQPdsnFpg/rR7x
rBVBcqDz7XjKHqwU6QAJLKho31jBUrPkMX8GsREfUEEB+g7fmmwODiG/qXI7mSDRah50fwnmoyBD
t8YQcyLiTu3Dpfbk4w7G3xLnp2sfuhzEOZDYBzvlbmh9o4spRm/FugKmA8FtowVqLw83p5f16NQe
RBlmVmGSZTllPfxB7jw1YxpH6BgZsu6sY1/J8K0V0/60vKMTeyBvZgFE6vj50JvYSTSBqmfcuYO9
aWo3LqP+OhF0Z8LPGXfWp8UuDXNmAMqxH4FaA7FuZD1Z7KXnIo0V0duafHMAizC4zQJczFEXHfUI
Lo5JwPM4c2ztLvXKSE2Y2czVW9cdH52pucycZheG01XuPGaO3tdD9FpolGOAoBH9WNZnG3nDsGW7
mg4LZ81RGwHAHBAJog3Yj2bHmwfK1S73Q7maxLjjbnc3pkuZE2PLfvHc/hIB6OSPZqhvcNGZUogg
HZLIV3CKgVgeelsyLriIZrVOCZrbO1T4ldGIHiBG2SoDN2IHjByUN++rdCm6eNR+H4xpZvXckNeZ
bVaxV/ue3obDZ+UsGZvje/9AyMy+VVRNtlYYT1AmiBKReGhBZ8HPMwZQW9RyBRsX0OIOMPxO74pF
wbPdDw5CFPE6ENzbAB1mSTyRTePte5A/GEx0uifiSgQLrt3SlM5MQNjXRZibjjEAogfoXGVgW237
haEdFeIjKmQiQ0grz4SQipdjaNatKsL9mDU7T9MNCvYXTqajKn8gZmZXhEt1mFOIAe83oG9fZF3E
SQ0w93zL2Lgg7KjaHwib+RJOpIJaaggTuoo1v2p6b6UTQDtOC9ZySZCxpgenH00cCd8bgrLqJh92
DgYVIJ+zRGaxtEYzk+Q3sP9FDkWwA9yrk/I+tfW2FO39aS0/LoaCztA1abA5FZVoalRETjBLDsni
gWjER+9HgHL+d1JmhqIqGpkgOIueJ+XvnSh90CLb5VW0cP06epD5fw9mZirQ0cGTLkQHEsF9Ekx3
Hlh9/GyvcE0RyXpauhUtzd3MQISSDV5XQ1xSX6UuuGGBZZ0tFe8tjWm2VxEESCM6YupKRJjWEgl+
cCFO5XPGw2mj7AKXdFEOZEP41D2cXrXjNxIcVWDSpvD15lUMXmelahjQSSbRJSQvQFKoUpQ611dN
fR6pdY6GaaSMk3FpzGbifjnC/pY7772skklowG/iOHbcmCMhzcYlB+RYaQ2KGP4c2hzNQfeW4tyB
iLDKQB+CSp5gT2Fo3XxVjMVKd1uqtzxZQlBZGtlsIwRV1QBNCyrjW8HZ2HRPk1xC0DqqlQcjm20C
n2YdKCGwaOj5lSXaROuHANp5WjWOeqoHQmaqHwCQ1tIa40BoM0aBYQsrKF0St1gwOt6p4nxagrJf
mrrZRuCDXVadC5EVY4gs8nNWVwut4UdN+8GoZgcWJQy5qBA2VwCfvZLgl6l3Hb3M0CR+evqOCwLk
OUIbPrHn7m9O04F5ptvPC4Ybp8yTFUq1Nz0Q4uvQ+3xa1tFTGMhOf8qaLZUULVc0gj6U/gXuTqMj
10StSbqynX8S6KYHomZL1HIUO1Sm89Qh3SeS6FXu3Y2GXc3ukpde8jOSTJuhYUvgtcdV/u8hztbN
s4uxzwtMpwsb3xWbkSaPyTgslDAetcQHo5t5GKSIBpCqYnSht1b8rvEy1CbVIJbaNjLaJEtQbks6
MvMzpq7vIqfEoNBL3yNN0Dc70n7z0ON0Wj+W5MwcDQf9BeAdx7Bc1FOM5uonMqQmivuuzpes7tFQ
019TCN74j75TFVoly0LIitLHbDhL65gU1Qpsf9PAYl7cT9Efo/1Qe2p/eoxvQHC/nih/asgvpcPo
h+J0ArMggCZDVJv/0bIo2YJRMVZwSERh7crmvu91HPXhesgasAixLXDgY5eksdsHd6MnbnRpLzXE
nlYpx54dB5UKvLbnWGOVPyqQuoe3qk7Pc/5E6bdCLsEkHTfaoHV3XOS/UAH2cfaJo5tGcpx5kttA
2lz1NQA3SRtXztlYPWuU2ETpwjlxVLmAe4B2X4MkPK9gHQvmupmE0Ub4Jg7STau+tuRVLMGuHY+/
HciZWQCr03neGv6SQJw11VmZrVrrO5f7sr/Vzs5xcdb+kN2j4LfaW2pEP7qIB7JndsELhauoOdOJ
2HOKvrfiqUVmswu3XbK2uyXk9aUpndkF2rRO7iiIS8pXkV15zUqEYK1an94xR0/bg0HNrEIb5ZQ3
BFL6Yjrz/e6H07kL3vrpgSCd9VEduZ1HTZVBRCbkGg1JMQBSpHXDxfb0UI6eDiGyoL5jA4nsrT37
4MIWRr2rctP6645AQfHIJS3tJyqDu9NijnvLB3JmOqjQzNwxAhtDhs9IkThkkwNzGlwDfrKx5drq
9sBFSIFUvyDXbNtfbNuB3Jn+udpq284ASkiU6shenLOJAAqkWDMA6oLTdZNGz22Vfm9yFQNiI666
9lMQoKr29HMcXc6Dx5jpJWFTBVwvY8t4d954zUWLYqFyBLCTNS2IOurSHIiaKWcZoVsety8AfZU/
fCgOej8mr9m2w2cfNHn/1bDmAKdFW7CKmDtlIrdJmq0gK9Ir21twPY8aEdMsBfCe0NzFP24Gzxtp
HgxQUqF3XvuKCpCmLteZvfbR2mgvwWgfPQkOpM3WKuqCQgUj1soevrnykfYXbvQ0sBTFnBdVs9Wq
W9iDSwJnK1a0zPLq2gyvyuOErirr0pFuLOurkmx8uiFL4aCj9uvvEc6bdf00RUmpi2J4FA/GGpGG
KVcPpzXjeAnCgYxZpJW1bot0KAZlc/s2yoYobsE4EgMvtl87fLwSQ36Njp7vpo8VLbnTY8umM8s0
v8nsOpPAcpCS55uaE7aqevTFAZW4BHsgsxZO4aOYHwGQ4E1BGNrT5p1pnFnKLgMUV4Nz7IG2INBB
rsjnNeCZchtVG8V52qudBySEBrbYyoczdO79kyDQ4UPM7KOHeCBSqXgIp74dLIGmfBmXAFZaWJVj
PuahmPlOUqVFysJ0fExnMty27adpeKIWRavHlzZ/tOu9L87EtGD9jx8yf+3fyP24fxl61nz0/Jpy
9encQp6IN95VItAedHp4S3JmPlwQ2jkQvrBzEbbdE1ZvgJkUA+JkQcxxcwT+gMBGmo/as/3KqVej
PgrDCehjT6cYJNIdMHYCvXHGWxu0WadHdfzsjHARBrwm0i/zC3EyBCMrPCwaL1Y8QFtk96lEMnFM
H8b0cqj2EYpdLfRdVEtod0ftxIFg8/6Bc5BkkcVr0z2PNmqwNQ67YamX5Oi5eCDBrOiBBLSL+/Cd
MJVjiKDCtG0oWxfBvvaWgBiOnorAMQEhZhSFiCt8FBTkeTTWA1SjSu98scmQubfhhnqbDORxp9fr
qBYeiJrNGhvd3q4MKFIlbtHjENPWjsskXzg0lqTMZq5MUg/tW5BiZZ8iZJiBGMCrpa6poycTqmQB
bhAQ+ktBaTqg6Aj9L7BKDrIT2Sedr4Ddj5aY64hvcjReCrJw1B8Fv0SqEaWJKMX0wT7/caEa3hdl
YXBTQG9bXPp3+oY+tFfuDdvaa/uLBF+q7M+SP+DFnV61Y5v6QO7clXFlUeXOW9RpOguDjY8KzPzG
TS46Z63zhTzW0Zb7Q2GzwzGraNHD88XhuIviZANEzQR4KFNMb8rzctdcRFP82Y75o9gmawCFeWxl
Ldwvju2HwydwP04zssYkox7UZxq36GvVGmGoh1CuqfN8el6PZgoPJc12noHIc4cEktz8Aia5092a
2Be+jxIFspd0K0q6EkvxoSOQ1Z59KHW2CcOwT9zedIcCaeFygl9/b+fxCLpdAM18Vo/s7kKRmK+y
9TPbJEvpbLKkTLPN6U5FZve56TaM0y17oDf553YdbLIN0m67BAt6m6/Rl7qSZ/6dWFvfgABztmu/
NNDuZtXu4SdF63CVn+3JV7m1b62LbOlidMy0B2iFDAzTI0I/M0eAUz0VOVBCVsF4xTLwcy0eW8cM
1KGrMVt3WZWK2xqHB7hRfI1iqXLHFivej8Y2DqXM1tkQgAHAAlLQMWqHYxzwy6YEf+UP0qF2glvb
yNmAbH6yd0O09bW9Oa3dx86vQ/Gzu4IFRANFTS+kJ6zzYgouBtA7Ovxzq60fpyUtTefMLsrerqsq
hEoF+sZ3HnV/r9gf/5WI+bUg73hXBQkG4wLvzc3cFSPTduLV+rSYo/7MwaTNQXmmMEr9bjCT5m0t
3MhxFnfhmXSve38zOD9y56J21jYtz07LXZjBuReapGPv2AYIKfG/SOTNeufWdz+flnF84/91l5i7
an6Yt01p0M2yAYV7ALMlg/UlDMGr47sveXjfhtn+tMTjG/lvibMNoKNCco9BohSXzIYXCODoJTfg
qAzA3Bk6GBCJzEdVtWGLXk2jGF16VUcDwiORV3ffT4/k6Nw5AM0AuoMLkO2ZwbBRATRwgxXmCrrW
VqztS8b12rXIWtDrBNm6/07ebObKZNJFbhqpC3EnvWtQkRX6Ux5+LdntSOWCe3FU+Q4GZ94/cHQD
O8sL2/S8635CEfKZLNo4LRYqdY9aowMh5v0DIUXSD0h5QwgbxAa9vSs7i3D/Dq9R6LGgdkuLNTs/
aFLlbmFDVI1S5wglKxs1vejxnrgXllrILR2dOxe46zQAkt0voflAtRo4SjjLg2Tt6+HcAYiYqBcG
dNwnO5AyU4fKcxuAqGAjhZfptdxPe2SvzsrLBkBEeYzEbR1na3JWrazLcmuXMb8MN+7C+v3KqomA
CViw/xrpTEtU51meLLAF+u/XBE7hE2r6fnx5cH2AnAPzc+XvgtW00p/DTbci55O/Ultv4RmOVh8e
PsNMiRAbBUpPgnnodFytQdHq340X7a7f5y/ie3pLNkWzQRpsCWrluMd2MPaZRvHK1bQVkAs48NCK
0fh3ofbuD/YDqFDILdlbgO2/IEt63aBIOdgs8UMfv3gcyDcaf7B5mOcVRQTkt5V/fxkBOOQz+zQA
eSmHZAB73XUX7M69YlOcvJw2Q0c37YHc2cGe07bxaYU1z4c4QwjBu5ysTbuUBFqQ8ualH4wuKFD7
DbQnHEzyJWfAzlkVeR9PYuH6Zh52Hm4/UJ63o/9AjOu3jOQGZsNPyhVPg1cCNxvArLFN/phSG56/
jbjtUsXsUWP09xS+RfgOpHrVJNNeQyrYdSzmrXkB4Dwe6/CBIm6YLRFIHgV1PBzl7KRKmjKyOhM/
1SuxCkAEuAq+4AXNgsGV38Zq89V+USv7zvpU7dQjOO75rfVJ707rzYJVfOvaOBi0IiAVAes9osYO
9srgbGtvBaKMf3JuHUztzCLVLm5SqdEbIauYUbGyu9eu8/7JUXwgZWZzuKxMmQKk2Pn3Fgip3Vqk
3/1ioxEizPP128T9z/fx/ySv9c27Orb/+V/8/r1utMySVM1+/c9181r964Y/f39t/9f8418f/Phv
/9m91lfP5a8f+vA/+PKfwtfP6vnDL5tKZUrfdq9S3722HVdv34/HNJ/8f33zX69v3/Kgm9fff/te
d5Uy35ZkdfXbz7fOfvz+m+vhxPqfw+//+aYZwO+/PVaZev3xr3v1rF7bX/7v9blVv/9mUfpvBHoI
igTBDGuy4FiI4dW85QTuv000BmgMxIBNhNiDVS1V+vtvgfNvQKUiPoTMjGMSiC0Y3/B3J/w3EKUA
74NcgoEhBzjsn0/3YZH+XrR/VV15U2foVfj9tzcgvr9Ni5FoMvMgYHFxZyWg8/5on7mTy8oZCv81
dJjqoo2LNJqFhpymz6YnJGGb4hnxDL/dVkK3GlUo7uin48qqmf2SVNKrrFXtjkVwjtsHYhBFZFVi
P0Qlby+5XzYGbq4Y/ebFL1Q+1mvMFc8J0LKAwPEKnhnd3fF0DPgzEggN+04QgaVXCc1EQ+ISgXs8
itf4srxOHVsN1TrhPnqkAdjpl+UnJ9ACj5yUpaMv3JJU+R+gRK3xPwdL+nPSDifJnJGHc4RIKlgm
TLcSxfK59syHCRyAlqY0DV/ZUFe52KvS496ee30rg/3UJgps2VPW8OwPbrPMZdvT4mepFA/sFmDy
RVsxAWEYknXzK9aUk7ClIOLEHa4gRQZ0UERicVmIXEvkWzkOiVRrmarEA5SkZ01NdTN4RLfuyvEm
OpBzRdOqLQBpJIh0riIfPYlL1XkfT0I05YC/zMM9BlQgQCKEWn7UozHNLEBzEusHEKF7210nU5AE
YgtcVEVsFLYpU17i20wtXD9na2PkorcwcF0fLMAhmcttOl0HtUXCH4mGztEYxJC8/ZICKBRN+kOO
OrrriqVKgZ0prYGDt2DIP57MZthg8wSnkBt5PtixgpmJTQCzbtno3PhhBTwQBKhp4CR7xkay1Fk9
oTj4KrOc2rkkhdDgMG1tG/wIbZpxTMppLfl4cOFJfBcAfqA4B70lZuMNSvjw4KKZneuiYt9ZBJ4F
uatFUzK9sVjZRnqnQzliVU6L/HXwKKA2EJ/ArgHz57xFKg1SxnNtyx8eHbDLt0BynRwA3Mqha5EC
CJlHvwFQ33UFQHOCgH6rbd2jbq3ParsZFhRhFrMyE2BAGt82KpLjgJz6qIFJNOV+1CjrJc1kUALy
WaVmQ4C6BGCoK2BMeZO3AkildhuQ4uCYF7EPZrDuvgRqGlAWLEdW9xEAq2S1Fn4t3bsSfXTty+k5
++hUoaDZIagIQWbOQRgeu2VmS7oBFUO2mMaXUSoJJbC7wsZk2eNAfCseAdpp3TduIcymUUNtXrIm
6f5/J8tBozAQ22xqGLQ9mLaPk4X6oVbpltYvFUfrs7XKYb2mIe61rbR/QZgPu98mnSwA1+pXsKiy
KaXj70Mrt3ogNwBM983y6xT/VWUT7y+8sUD9wILpnSW8zXxhkgIXiFkuVpjS2fk0kqFqgPZBXlrm
UqvcoCO44d0NWvGzploNQgs8nBWgrbPc1Bo4DBrQlZO27oemYWdthGx3sion9PNclKmoFANjh03R
x4O2RYvf0TJKpnLlkmiESXQtoBFX5/YUcXxrkeHCv5RMnYXpYKmoA2q1CI37BG0DOFU+zjw0sxI9
iGcM9q2f+waL2IcqMmZwmVcOoJJh2pl+t5688/Be92ZOGoeFeGscFKFi2w1keUN7cysO1nY4I6Cx
c1zggf6iFihDb0uW1s23RmIXiQ0AZUPv0nVSoi9I22lMR8R6Pj2V6aiBRt2lcgD4OQz+QO8SMTFr
L0svn56k1bX0KkQyBGoyen3Jo13R+WZ56pZEUCENUO/+rpF5MT1NnBaDgajl5tDKMPtYoLqKUvyR
wBWdnkJU9WDtiJ9rvLQTGrSBZeO3hqon6MzaFWOSwcEQb+KjMLH0EIf1mOMrajgPePLMqoxvoBq/
LJ7HFqzLzRbkik5/75F6Up+kLJhEN3Ip3XJlJawc94mHw/VrFVbMewKqtQMlC0IEaf7oRVXDRTlt
G+YmHLNvmltBVeIF6FJ8u0sfmHDCdJU4UcO/TU7ZyiQeXTto2nio8xo3dGBKwlCclji3RuCiBn0O
YMfgleLsnktsUeaTDiUBZPzUGWUcOs+YP7cNChzeQJ/36TeWkwlKOLidapPLAIYFenr6Md7q4Q48
LLg3wK0McHD5gHj04CV/3BQT6TthRbR8Kj0kOEis6s63XmsBEHH/Ii3aytlIFtTZTd+GCSxOk/p1
skkA5dQjrBEEA6oflJuIC85Cej8SlJzquB0c2t+p0LKzlfCnsb6AEoEKMrc9hnpbj6FLFJs9taGH
dZ/CuzhjeaHMzu89n1y7OO8bMIIXkoz9wjVzbtdCggMK7gZGjdEConZ2WhWUpdUg2uCx7yobTqwv
pQsntp+M3oIdxfP2qTOMUNuxiAheEvXm2Vq0MSpNunwA2S8bqVFpV6A9R+6zxiXGRKJXzHa2gvdN
m+0mZImw69hQGp/a0WGJ3Rk4AttoYRE/VsEgvAy8eBybsGpYQQcIcx8XURAgedV55T6GKiXYW6pJ
zAMoi3Rm677tY+B7ajwbS0ezxWErjUmRqAAqnq3UgRvvjL75Uy1QBffMoxxo/dnAzTwIPdT0ioFm
WF9kKTFD1ElJ222B3kWybULZE8QOcF5guAtDm3mZGJpBKwawqhMiVAp/7+PQ1Fg4Ae9q/Qg+GmOp
lBRQrYlPGbrr7bBw0f+najE9BW5lzsfSqh0syEhLnujNVFJHJduIWN3wCC9VYjqGICfQPtJPsCZV
ZkVQMW/gjbFuHczmPnObAWZNwSOBwEwxG7/hjuVgKsrEw1QoFaSWqanqcmyJNHJz/PY+P8YUFgsp
55l1AvQHMXyqrh/i2mn/4uo6w+RRTYX10JcBqBW27+6tm4YjwIhxs0yTpVSCOzuOjEhQqwL0FceS
TeE1fZx2O6/hQjZj8NB2DjREaaWgUDj7MT9e3ni1D4gKqx7bmHICSoY971kFlwVGD7M0SFBN3QS0
DRm6P5UXwhhgQ/Z3ktf41Fha2PgKOGL06ueyJWKoMJUjDyvsFewisxxJMZqFsHLAQrqrSOdRf2fX
ZY0n8YsCZ1NBlbmnnlY57y0xc2ATMXhzCMBIOI4HL2h+s4E72FqJPeqHNNWUs1h1BZif2WCz/Iqi
60TqjUglbcIYcIWRQZeTIhPnNu/I6McNvB3rArzulncJFNaArMRQj8l3O+P2HnQXHkVFUFXzH17O
J3lX1rSUz+DV5sO1h4TeOK1DNEv6qPSG/9h22wGoov2VFCkb6xjVzKXzidjSidZVJUFInI+qkyyu
R0BF53Fa9dIbV+jS67EZekAHag4ySj/38i0S5513T7nSXrKyR6cbul0TDanD4L+xRJ0pYJJjOoOJ
D9OEay1UsTkbC82A5d82Od32UQCmCb+0xukBSP9u9tR5PGFr4inXWWncT2vAECcKpJNRBqoQZCZ5
sgdiqlqL2h6mCxZVtr1zBid1t4nVhikQD4q69B613yeF9RjV9jg+jGok6tJqVWXd4cQIuh++pFQ+
TkGfVDVqZWsnbW+jceLFjgGqcNxOtReWYHwvagL+y0BOrQhf0GoVVj9St6n7cQ1V0eI16tDiCIJB
PqCufq9YJfxwjXuAz+kOXPUFBeBMYBXFrqeN2/L0NQ0rguLI1QgGAIlINqkB3budHNk2SB1QW1F7
U1Ve0wRnXcSylH8CjHYhkk3eJ2roPw0+S7Jsa9VendE7X0lZn9HcS5MQWACA7y3QfDLZONY5Mqmo
KU0sjwq1Tpmccn2GEmErzXZDVuK0WaElycB69U3W+V9qq6N+ewblGCy2GgjcFueqa+B1RSB9IOFI
r7kbBHhR73+0sozjPVTleRA31a0nXqZORG5/nlPZJO7eGS0LxOM6B6B1sBtRPlTy2Pd6cy7avpVh
OAnxcag8j0yjinCVg4TFT6710AxNcJMzlJLyLSLzltucFZ2Owv6a5sQHQ6iIIhOTCKTy0+IpSBiz
pgvP4y1mytICJvsSVluk/oWFmvqAf3IykTn8Jkc+M2SbIYchSDZ15pgmBZgs80jo6uS2u7GTVAMr
324KgJivK2VbfvXFTcDxLrZlzqPosUtCgSpc3IMxs27YZThBVg5NzZfg+eGyxEJExqdHTSJGDw5D
pyJ0myN9ixkD0kqBl7pNlXVflUBYhZvQK7Q4r6JB1VCAqYK/sUOXRonPNe9DTZU/YfoECFoxpypq
GaTx1MElEwz3Znmcxktd/zNqh808V6DjQSzJ6iyJpbDQq596r0LgQiO2MkOfYrAaQgd1i6ssRLUB
YJhqD1QMTyqvuqzCfFnpVO/SbvKc8TLMA/PIGVa6me4pNAsSCN4SL+CIMApGpWVW3tcW/saj0kxN
3zv4KI7YUAx4hr4CgiUIHd/HIyUh4gUBtxR/88empveF77GIrLwhQgAILbUpSks3P7WHTW2Erwxy
ywyOKf02GR20BnVT7z5u5E+++Y20fnFJ7Exa9z+n2nr/+J+T/P45RArc4jJwmxIP4FRW2r8UGW0y
ucsqojFo4U4jZCUuSTL7HhfwpI5i/32h6qlXUDXcvDuZnFVOpJkfOwWSLPQ6Krsas9S7JcdH3AYx
NnT9gbqnB6WtrY3Tm5S+6UXlQWKLl+h9BusGOwh27X1MqZvhjrZq6ooOzl53obmd2+9L+64elBUc
80O9DP8BIG5uBj9SnUJPgTJgxKReSvFHXYMKKH2crMzr1DlGSsz0vivShHIzPCUGab7FyWSL/yNo
+Id2tSo1j/4+odY0TPgF5eaoPd1Ytl8V+dkESMqx2SUmomVvAG5TY09HeWIiH+2A9c36wBUvDrLh
UJ/Wh8eKwcsezi6IinC3xhe6vXnx+sS0SXAAheEj5eSb5686mqTDY8cTnmTbKgnxvakgTkL2RasD
R12Qd13J8hYIDrufUx7lIDKzN2NGCnwJTgBgwcR5AxbFbNeD5ozaj/Dc8rBfN8JSVbay24RBuJ+n
Na5MijeIbXIEDBCywTKl3VlQJ2Y7dzhf8TdwttE83IJ70B31OYlaPtZ75dV2iZRe5HEAwrI2QdgQ
xBkdPp8q0eIFTqPPr0rR4acuBwTRfHtwECoSiOXzq75QDEGBQeaQ7qRJ3T/Rio24BTA9Gd0fIpjy
fDsS4cLChDLlXbjhJY7YcjNaFYvaMwA6ymn8atMxh71JOJDvi/3PcHKueCrzbZdy3He/a68Fpce+
yVNMx4687RlRhxwT1rKhYNMTScN6UI+CDOlA9+p96GOUtJgi0oxTgREVydD6GzrZDqyckp6ZPmds
jNYgXmVU/D1+GrbFgBlAJbMZr8oyFy8SCo7PiwyhUAvARBPiypHnFlUUI2ShaXlJGkfiE1Q75g7b
+10LvXoPskyOzyXbggNCMvcsAaAdvmN6D70xXMsRNRS+VyBeypwCV9+yxN2pQncRAhP+RVlQs5+U
N2QIwidFqGAqgVyocea1GpYm3+KuZyavy4gJFbhdWCAWn/Mqwb9LzTHKrwPcM2adD6yVMruKSG6C
lDWggGBWCkaouvUQxtJsM7Lc0umWDqB8btcIXYBtKQ4QBKLfvIQ4uJLjMIyw+BPIfTEqWpXm2Ch9
ZtRNutKB8r3PZK7QvH5FMjsj/fkw+SULboupG6x74IooRBWmRkT0G+wt9MsamgkzkIPS3KhRU1kw
/rhemigVz+CvwrOOynpovtFIp8J58UZO+RWlotFs67l1q6w/hszJR7bBiUZAkttyxL+tVcgBbfOE
iORQqAc7EXmSrJgPFMvxDsX4DhE/oj7rhfsVbZUITexk0fUl6LncqS2eJq9zvTrucDqMuOw7Tg2f
MghACud00PIyj1xA9dTaCtAzMCAzNa5/juR9LUWTI0C88n2izbDezA3nvbF/kU6MNYH3bzZv1pbm
E9Vb9J7lrvkb2vwsfEIn2nyQEUQnyg1u7ia3kXHWYCsn8BbZ1aS0A0RwbFSzK6PSvPNTZeFTwhKB
/dS89R4PN+bUSgDtoyVSzI4r7fCmS4NkqOPBrhA99/TEwLM6iMrs8sSaTDiwRZ4IL+C0hbUQkw39
9mzkH64QtzRPXmTINH77KciXEY40AVWx7t9vbFWWT0ER51XTebfFu8Eq3gONInRMMNriwgQhW0ml
560BBCNqdBEK2ln3XeY3GLMakMXrzzM3MW5c6o2QEfTcPFb3tuGsusA5EjO/M5u8cU2aEdi/o9HJ
gE0uSB78tK3KcpPmHLtx+z4hiAMbo1eEgHuHeW8dC+RALuHBEsza7EKPWA7sAzQYnR8BdX4JK6cK
nBWIV7v3aV1TPHWQJCN2w1DDzApUC+EhUDJvdlefCfPsC7c7XFwP7nZGPDWJE/DZ+sAMnoffZTfW
1tAGCFW9m8YcMWA8Be4B2EmnRc2SNNhNqNhGSbKPkBV+UnOtPwgqDmEhQgZX8k8dQUVAXa9Eg8qc
6yBCzgoWmaZmUbssxwqDxNDDkv00jqef5WMIwQdwDKJCDugHKNLh0HP347OwnrgI3+bJfYSsGv2W
od0HJrptw4BswEywPM+/CnSjCIED9KeA4sqPZnHFIpW2w0sbrMVjhYMChHSROgt0ATP3c2efHuCs
LN+MELFbMISj681F6+88kDlyg3etOC5Z7xZjSCcTtNeUaN/fjl4b9tu8YZO87QYCWomyq4w9JxKm
wWonD+fRwhN91HQ8Ea5SoaG/Ric8ADnmaTEd2dYQaCLu+PumGuDXYY+PXYG6k20W9hmWIPU6jZ0Z
oWsQTyCs1DxI3hDRTWABwM1+65ekBtDjCNOiVzD1Ah/H/mDOVaaJS8RqeM9nNe9m9vQg5suIhUN9
IvBYfYRkHYBGfdQbnLtCuaPVX6VtYSzT9H+5+5bluJEsy1+JXXebDarwfmzaTAgEg29RDJIpaQMD
yUjA8YYDjtfYmM1mPmLWs6rF7GY5u/yT+ZI5HsHIIoJMUlK4pdIqq6y7mJQcDof79XvPPffcjSNU
1kbOPg2Szb5PUxf93vA8Q8aH5P+Y0OyZPs/q4Y2otswun669PowqMNYKWNbCpTUJvwtaM9BSE60/
gCzCcOOovjAHWucDiW5JfLm9luAk869hJSnORV5X/MJ4e0E5cPZP+wN8FnxjbFROSkHaFj9PX7Ab
xp7Q0UiOeZv5xIDOHfoufDUpDsz3mTr+KHw6G2kv0I8RZO6busxXs4GFZni8dUVaA+gI9pFaZfh/
b7/VXm4No3O5VSTjsYqIA2BZp6+Vy03kx33pPMgxYOqnY6WaCXcVqZbxcLKz2zyby5lOVcu10PkO
V2EKVxSVUVreW7dxJ8MIvjOvLUXk2YIDw8QSoMYQnehg2uz9NKYsI19kgQa5pKMqR/VCNXrOkmCy
rrLi13rMkWifF3UIzNdxM39EFMuL+BslO4MXAWoQOognJRCpc1UHJiJfZb4RhsXxAJ/FKC79niRK
P8x9FamwL3VVZQjPaKzqebXIUjaq4M0VsomSSpsagADPtV4pNPPK2eYZExNBkvYROvVK1V8kYdQ6
oPKw1iQKsJoYFJJjBEAWutOmUlxiizw5TpaEv4bmoVt3B5GDjUvM3JjXbQiUbFazizIVVwpCVu6e
dK0qwdHmHLj0MlcZlhuun8msSw1qPhhA2vpcJZK2+G5yaSsjcZO6yZTRzWvqQD3LLK00Zu4OikFb
OkzjycHaeHbI+HVY37GyuXNhVa1WnSDmSUx1UdoFHpkliHbaU/SX9Uk4T0HORZyHPEMap7ca3HFH
uzSHxtHLk9iUJQ5S1C0F/jts40Ow9Wut8qKEQSf1GsiQheyHG0eNXaCqjBUhpKPcCi0lDfXKqZwS
OtJhBaNT3RiD047FDfIgPNMG31RWzcuigXyHeUNKoOChh30OmsNRRCtFieeZAmf41wEhcW2fGmbf
qV8Vox8a+1LPOr/8lDtOnKiLOK8lGRE6DFrfzEExQ45/kRcDvq3X9epIUYsmATFp53AZFQPygfrg
d+eJUzf16CJN3hFE+Y5Nka8lkYwWRCjY7u5NOUuGyPN1BAK5m6FpK/2cAxGSmItuCDwV+GQjK+Tp
Q/PcznCfxEd5lJoqg3e/8f8AyHP/FXK6/DLcbo1046XmVpoglKQOmDpQfKaoT1FgYcPCwjTUJEHj
5QRSwze4XAp7VeYonT3KiBEabhSG3coYiIH+VqTzl0RvtWMia+NJRvv2GAhLcW1RU533jhFdWgRl
U8CyW3rjY1Mf66FR1C5OX3Qf0zL9HMoEwr5MlkHHjKh+hCAcUJeaG2d2KX8tEhzHvCvNcxNKPZ6l
RxG+rizRo9jq9UVcEPZxjNNGXiBaaBb2IGspdqyZPUQlW0HTuDyjuhSeZW0NVbsa0DgIMuFxWzDH
i5zO/mSVUQW+QUkeSY2eEGlUoqYOvcE8w3eqU3tUs6PBz5GdzktDx9D2kEMrP7eOOgx5Al206J72
BVuqQ+Q/Vk6SLpNeSUd3cGLjKIrlYlVCGXd0U0BHNURPivC260c7SKXcAMTAspvOVslCVhv5FCWk
EXELSdLQvdAYj2hT5+s6tvxPADUJeFSN5jwqSEEhzlJK5bpV44igJ3QuLZQ6a67rVgcQAlPg1UPP
TrWaokzNyDp77luOH9mfSYs+MSdgRrCHGr2GlEXBygbhF8miwW01w17bjWFlnuRL9BTCG4Xh6UoT
f+pbLUH8lhVnRt0o1dy3oyJAsUR53lu6fFabCt+hvsFzu6jZOO3hZl/IVtKeAJWXTkmiRaqHPrXp
o9J1Wu6Oow0KdQO+45eurLo1+nz3KNBSxqCuYyggO34JWuM41ti5UVqm6J6LHuJeOXZJf2qysApd
WSnJ5aBYMMQI9eZtp6XaqW7LaXlK+4oeqSVTwQrPehcI9J3RDQ8y8/1LXcHxaWvWeIA8ZQI5w6y1
UIRRaAvdavLLMtLpl6Hs4SvKSLuHNRTGwM1I5hYJjdKVmKYHyJhDykpN82UBAMNV5az51Ct58qmO
hiaZJxAwvq2iofpM+zIDyb9n/dxXKGj+MeaHTLANLBAHr4/Gud7b3ZWj1lE6z9GMKYizcnSRfMru
8oJAFqREUZeD5MZJqVJ7zqjsn+ok14PaNvvzGHmIFukQneGhfuP6DEILQ8jCc9OWCgLV+sQJqARn
y7PhN8auEdfVldmZyREMvWnOHTJax41SRFfgD4Fz0kX0Vi3yctmyXlnGZWsGVPNvO8Tvt2OVoU1f
VeqDG1dZuB6wIMuosRhbwD0dVg11DN+leoVMcoKSUDlq2xPTScplBf9YcUOrdm6dvHHutb7UbmLq
F/ft2I5rhg3utVahXuggPCxl3BRe1VfNCn6v5Bpd3p6jyULyFcru+VJLFR+MMcDcl9Eg67jLelgk
OSaosGiMxDxGjag/L+s8XiYGo7fgnGmYf6ueKnKuHcWmVn8BXlhdOXlEj5UhdVZZRsezsI6rRW/B
5CI8z8gl+NvNKWV6d5VDXfGG2rb+oCUtjIMKtcpLfchweIC1fVSgL3/WU6s7IV2vFcCT7Hzpm5nu
IWwH8xNwjHMyStQ/92HePo2qHd3agHS+VKPd3ODCD49x2KyLUZEacKtMcpQ6vnGOzDsUepvMST17
HHJUjIAjdzSGUnGVIDVwFfZFWc3BWJGPaBdXX0qU2oQI+sfxnDo6OwOBCgXuUlbchNrIqz/CrF9o
FhSAFeQi52056h9RUqwhY0Al1Bio4MadD4Y+osBqyHr44J7FALXb54mhtVazkAuapA3au5QoI5HK
8AroT3op6UN+lzY0wN8JAUAT5a7O4MHEzEIDMScGLdQoFXKKNqLqVyahCTmKKDr5AhQkdkvUtq2W
kZpqOiTiFOtM9wtoeDiQfnROs8guPeSX9dFtkYf3bGfMLDceG6d1M81HAwwJPISzQaosrLUpdw09
r5wWCSilp0p3kutV9lHrdemTlTuQPzN7GhUQRyrpdRwS6JwjFT1EZxlJCkiC0twAU9P3FWlptXU9
Xg92Tlm05K6H7DlVX6RFglUrujA5TYAVULQqteC5zI2M+e0FUByUjmlMCW86aywGqAqk5jlohL7i
dQpcxLMGAEFzZxBEpRR2hJaNYcJxCnPQnY7bxrRODbWX8/hm1AYf2rJDX8kOO1Vh7OQTW0emYlml
Qw7trLY22MqRwiQGMyhMHepSyQ8hpSHpTr8iaDluumqkp5+KQZFG9MZDtAtd4UqVzzsn7tEEiiK/
cGGlMKceiHujVwBxO43VhszRZCk5baShr+OP6SCZDmQJ2iyX+8wDfpQlnD1Wqkb2sWn02G68wYRy
mMpFpgqcBxtp1zlTBjVb6ApLo/MkQtYYsi+An+cjulLmrpYNSEhZLE6Oc6IbxSLsjO4iIYBvvbgn
/bEWokGxh344kQWoLqbKSRJSdKwqoXQ+uGqHrLzZqM2lZED2fJ7Fvl6jW3aiASIElninlBJ9bB24
JhotB3VZFD6kucI2Upk6hwsXSaiCqzlFroNCnXk9QKnIgmPG7IGkc1jSBn+gkCXSkwcYoco2F1GZ
lq4RVkrvLJIMnZujRQlxMcO4UKTWZLdIMmf+cVzZehC27ddxjMLbMCq/hk6J9hMIE7JVB87JwocU
4lLG5SHDSJgUaTlrPEsHNb2kGmFHbUSdeVmV6KRugT5aullmZCuap6ZHqTmgopjosK9tkz00oT8e
WUWK9GLY+xfIfNryXOnrrvJGXDb6lVNH2soCsYl6pAUGhf2ADQO5ANI9KkWZfCrRZNBe1JYVntdF
XqxYVaOrOuvD1j8Bmh1aqG7vnZOsiCtPzav0KKl8Y5UnsrJwmqg4S3wDLb2TXj9TSyRTofWEpLqD
sMhTVb8NcoaGRWOvQhNMtnAJe7LTVvWiVMziErzGrjkpKTQgnbqT+zm6dsdzHXK8JQqrMsghFSBq
spPaxMstBoDvK8idkUcf+fhqGSPv51Ecys5FtSu9xC2Py5+YSeqRGP4FpuBf49YhRwzNYNHApozu
YhIqX4EI9uiMpzjLQnayI6u04ispRnuuNjOjz3Ke3aYxGGohArcjS/XjL0WnovjY0IriiwbBzFOm
apDX92kf2xAXYvqpX6p46VAG8k76FjqhqvYxRlhy2nYKeUgizfqa+KHyOVG07rxFRtkzyqo40QBl
3yEpoCbcpvWlq8VydWH6vHE0GAcd34T6g57wIH3IM35r92p9X7S2RBZQHESCFiB3YZ7kRk6KeU1J
3yAHNhYAMa0uVtAZBHYELddJbFykZa3eR1HUJK6aYg5unFqRPU8w7hywHPZENJTGSWYy1fIQwrcp
ha+VhKdZWTS/lIjaonlSQsfnKy5eKDg5kt21x1KTmF6DbuXHpDLUW85nOFLGNmGo95PKj4bRx/es
tUtcD4g80TbTB0ur8A3tHClFelYOILu4NIRLc97XrLxP1KaHhiPgz9Ylbdo/NM2As4JDiTiNlUBX
H1tk0yAiEbftIo9b7RTgeQgqF+lHOPOgs651UFv9o8yKmjN9QPzmSnBHGi/1K8lYSBVX3ZXH1rhr
6jT9YpVtj65NWu2lslTJl6yzlBWyfjYKf0F1Qu/EpovSZQen6hTWL+8WfRVBirvqHbieYJdIxaUW
dYo0hwYg+E4QCzXKBS1bVD6AKYNNBMWGLIr1pD0KWxMpniyZxwmcNLrgYWw796GJrsKn1nJ//JxD
WSz5qBZKV3uIKnyUUmPzFmM5pwoL02EpyWqc6x9Npvk22otXRAtS0FnROauV7D5GZ1KaJ718kUSF
WaBCWsLJLF02Qu2dzS1cuMbgRcirQZOIgWWuD17eDn6WnA22D0hnXrPeUcqrtAVqpbk96OcOO6Ks
rMjnMEz0IvQ6HBWkd1AlxPuvtH1VmM1RCF8tP2ERk7Jf66ruIXcQgZeVQYe9Qg5w5csqckLLEgSu
JvfooEtyfBWzMsF30CXQuBi6TzPkJlrQ7/H660xyLBnrWKNRkOeUUW98NqihRqstiCyVPBHSpA6H
bFXF7yEs46CECKlg2HHgFziHo/UY6r7cm0vwvUect0qpHfKFlV0kRW5uA4CTENn6cWfiioA5bu5Y
BEDBPm/gUPaX0KmUB33OwppVyXJE1g1fC1deXMT3ms3yNvOMtGFDfqYxvN7ooqpNVdHGyai1zF9p
jVFCUNcEgZZopzJj1VCAH0Ua+DiIHUK0PCttlF+DPlh4CdhRFypIZnDdSwcWc3DQ+Lix9SVprGwY
SqDDLRBeMgfVi6WdvgjzXifpouzABIKmDs0L+3yE62cvfCk1fWTnWt8pmavolaMvrGHU9CXykdld
abP0VgLrp3HVAkVxrs5wdhZgwWSPcp7AywIrP6LJojBrJ/JaCv5M745QCf6EQiY2bNj/pw4J2yuA
uO0x8GlyXsi+Nk9Uk13EyjBki1LLQCJrHSSoSyldQaGqs04quHAWuvaUg+72eZfkS9rIYFf2dtnl
KBpqk8dylP0EplXPfNfEPcq8RhuH65pIXQ8HQUoX8EARIfpxaRhLaupN5vmZ3d9Lo99DAAd9XSvl
2k5IYkDPN88fqIzEulvHLUKDfJRaRCM0VqIF3AlaH7PISNrHUILOvjSHR63m8zGJwiPUj7W+dJQx
xQZpSK2cfO7LEDJc6INcH6PniPUlbVP0wZ5bvhoW6KClEgMRqjXUl5ltysxTZYM1n0HJAJ3DpSXY
f3NwTaoWDpKigu8EcOsyROSduTqKXPuLHonAHo0YEmthJWZ6Cn2fAhR7ZqDoA5y/MgOlRB1Y7dm5
4SBVJjXREvUU+DBWH0quBs7fcVWmVTxnAMzuRxApsDd85xOToHzHorE8MpWyvxrwsT3d8W1nEYPz
sZZAqgJ4GJfhuQQzXEMW0kajYSvOKPe6NJUcw4MxTykUrcg9TKQ2LLVWj6+LTvMvQN8MH0MKgWHX
7sYeNDqfARkZR9K7JZG7W7s32FVH0wivgPI6ZK2trIA1tTIUUSSGc60APrQ8Jy66EwWgBfE6cHZ+
6TQd9Y0Guukd53ocgzZJjVXlh8VRo+byZ5P3DXQs8CMjmo6oHKjHwUVd1nCJWk+VeCqrWxSbpTmI
+w5pHahqmRSsuRoda2s39Lse03VSTtlANDwvc2tQj5C5Qv4Xksak9sJWQy91eD4+UJimtEB71EJU
8LthPtQXGivZeagq0IyWjbC0jkDQKG+63mrAhm5yvCVYCtZXnUZ26GZwwD9WEvd4a8iD5C586oG4
ZuI7oMkkFYk8XOgxGGGAS67GDAiAO5plaS6SFsQ/T5MzshirHn8nNEDzA50lK71WK3/t6ihfqH7d
z7vGGL5YsBbtWd/ktPTSqrWva4M2DI8zjAoBAQEKlKnFhZb66pkdpYkF+pI/ZC5VfOdMkiL1HkrQ
yWkvlfUVOITxHNw0NUC1DsuR/7AgfkqMOobScqeTwWPdgA4UKbUbf8EiYqewv1RLz2JFHYyjxuwM
dJSKyv4SyBU6c4Jgkg3QRsyUL8QBE8PNQBC5LMB8kRdWZwwIChwV1RaVLxvZIlPi6CYxetrNcW/C
q4N/7kUarWy+bubHTusAQ2tq4V/aaaZ9rsD+CN2WpV+0Ois+06Yo3IjkwB7B9ASBK2yx5VP6JZQ6
SLwldS/NJXgeF5Sh7KgG7vI1D5l0QmMcao+SxPrYsKY4bYwKNSjUSs6BC1jHki/bd0CMiYVtEJr3
pYrGQL0u19ctHdSTpC4adR63dse9NTkDpScHxGPVtX1ca1FueqMjcelL4vTL3FDb9BpVvMSjALc8
iq2uo0uuwRZwX5SzfCgicBY75XPkD/1nx28Ut6yZjJJO1I5ndur/Crqz7OmG3tzacPeXiu4r9wWY
8Z9l/BXDldDdCwQw6TNqgeyLHuSDZdk2OHU2C0Ccbq5KJg++azeFrOAcjFdOKCXwaBQ9W+I+QEk8
s2vNsy2QZvC3z7tKpb/EADs8u0egUqHWeYROo1LcSXaqr+JI0yFOBVT/pCxzBSk6MEATTXsYGNB/
CmUN4EH0HhdUkrUecvOorvqMiLbIymuq14VufGziqIKVr22bc6ZohbpskBf6Ic4q5BqQCC0+6gMo
PsOyU1FDonpaIfdNdCKzKIuhbOejLOkWgl+d8WDkepEcx4WdNfrc16ncSJ7dGnpHYbwSsGyQawNv
I3YUYsoeCIHKCLfRhqbXnCYmlfsTNvRAMV1T7Y0jXc87+6uZ5w2MSlUmaZ/CjhmRbHjw88Cf8KTB
DEMQbXRwv0CThhsPtteAGm0cGtDrIdM5tFFZrOVKGqzaQ6IVBMJFXXZDEiGTSsIELKYy9Dm5HXuw
QhokjMNRrj61mt0ghCFab1J6V9id38YeEsQ24j6UMpE+vozjomaFV3embSoLudRYXd2zZGyVwcUo
JRnmXaHDJXPHMoJlOPZRZx07cyDW/E10M5SddBmFfWtVvzApHFXDJb6d4Hfg6FtmD9mbGgHzWTzU
fmrOe9mxrfbo7fTcNLuMrKGFPD1qZx3kX8EC5zX4zxkSxBhQmhQS6zEpSp7QyLbEjyxxUnxwqUBa
6p1E5TQnz5+IMm6udIraYaR8ucTA8ycCnLMbGfUSa7SN5k9st6wazUD3ZB0BcaQzkOBauZdQ8oEm
8t2T1sZ3iTX8kQjDRLfhpsjw3zfFHC7IAy3q4tdm/08doObwTPjhhZzDVnTiSexho2twU/zYH9rp
JnDViJcDfas+hPpst/0+0ieuTfHWCGkACQv2CAkJQ/sbZE1B2UIbwM0/2H/Y3OHTryUoRMCZxbkE
l2Pzz/aBz5bo5dxfqmL82J956w3WG/kMrpHBs9kTiYzNw75nCdS/2UjXO+Ymc4+XxCs+XwIL+hko
sAdV62kJUHqGB/6FluClTMj3roHm/A09tg2Qh8BaeP7yjvM3GVYCOgf69u3x+299+W9Yod+PEyxJ
+rg5SGRdbz7edhe9+wd2x+jlAE/bZ6OjAmlC9Xelks0f5cor28G3W4n//J8Pz4VYNl/42S93X/z5
X396xZcPf3Vau395TNY0oA/RsHnh3Undarq4a9S6r6diLrufXlWL+X3vvzUq2BtNMLsmD+AGbV+J
L4sB0//PF3yhQ/NNIy/S2SpI2+CxoLvB+NC8YOzQoZcMujZZkE7mzFuVHjrwcZE/MhrUu5H4hBWu
i3PowJdYYBqEbDJjNII5fOSrIA+y6bBcieXtCb+2O383XC/37NRuf//vn2az+fz64ccNrsA/X296
NLcCT89+++eczQ9puKZk8hUEnKAPeVjs7fH3PiyWBi7IWwfe5aQd7JndSJstLuDouOucTCWqcP3+
80P8mA1xGWX5I9kNxOfK5ZcPHXYeBY+7UfiYurL76ccN6fW6ZPcpeZgVv86aaD2DEERY7IbdPETb
/fTjD/Hgej9Q+GgPs/efJ2AHzqEmRoup9JguYLMgTVXAO98tCF8eA2zWg78rBqBBOvvwK4W9zX9f
o93Im+cgzjr4OUG5nt2t6ePkOjYQTx06sheTewiqTXa8+a45f//UL8KhbHbT48tgCpjsosI9XMDu
pbMl6ijXE5tiCtgmC0oaOh3WEnBUF01EinJqri0Bp/MGx34ZZPfTkW0B7sMyuJ8eQt4V6dC9toz2
rgFbwCd7uREUWcTJ/u3/NOvZ47+dtAWhk1MHDYLDl+JsnQ+T3btpRXHoAp+T+32vQIH7c/CHO18D
OI0mlwt0cgSMS+73VoEz8A9dhYvgMUB3cfi/u7G4/YHcwe7HH78OL4KhaJrpduDNXg6fchp0ZDfO
Zro8/BUw7N6gAk7xBS7Sh4fpZjCErC2D9UWH5N17b5aB15wcvgx85CCfmklFxDV3UYzc/lZsuic4
EnTorC8JXPzdMJu1EHFlbEbdWwjL2D3mx0/G1gyj0riuA7YbbjNrXmx26Fpc//YPBv7MxN1XHAGL
fI3I5HFiiDc1K4fOd7UeHqJ1mq4nm1nlUlAHD83lb58czt1ofJ1V3ijs4MHX+ToM0t1Am3F5bd/B
4wJmosHsfF3kk4OC5jACBi+AzEy3NPqmCRiXPQaTHaeKuPlvimmUpvLqz4PX97f/VcyQoPjtHzPs
59kV/e1/5w+knK61JmCtb3AM67211gTEfTdBPu4baCQCDl+Z2/DFAecac4cuOHCChOTB7CioJzeh
qguwpYBfyZ5PrwoBSIHDNCSfuASQFjl8Nb6+iEGQ9xQwLMnug/tuuot54eShX2+1saGrF+ebF9Qe
OrZL6OwGztzEiBq8APrQkT/cD+vJtwORxlY0dLKzQUCEJh/U0997ys/DYSHliTrVXd7heebiDXT1
JyU+gogGU2yRd7U/9PvNh5JOvVsRbvMyGIMZ6nlIuZvhxuviqcNDJ3xCp/cfxJIFDFrTYD05HIqI
xcVcq93kNgvAO/AcugCnBd1zARSuzXjosGesC8gEHFNE2Ifz9X2Q7/nIIq7Qj9neNhBhgj+BazCN
bhwBR2wVsEcy+0CD/etTFnAtr6DMOg0VeOuWQzfD7bZzBp/zbJERYO17QYMq4ML7ZV03MzfIk918
N569IWBRvqyz9dRJNgUcvMtihk33b/Ushff2fM6GCLu2RJIrn63YPaqIYTgfJkdRBy343Wv0ffwb
jvL97KTm86+fvwCSu7B3vCnhoRvnwz2bXbB6siOfRhewLf/r9WK1uL5beP9txjfPmmLB9ve/pUIc
BK4NF3nhAvr6+xDbz/M/wGyD0pGKXjKQ4EBdGMRp/mRv5LV3f8YvmbhGC04qmvJP/vj3T1tpc6ZB
L3EOfq83PLKfle9mOKn7UT5vEHPoKbos6K9Fmjwd1d14fClBxEInFUh6clF4G02930+BvPaF/xyW
g+ZA3eqbvjs2Vo5Fe+FZT7958bAO8nf+zISi9LP2xSbx+vyzQRNk9+MOzXx65WfkvLf4Ch9yeCYP
yHhPLav5ku7znePu4yavpHy+b8QFo8UU41G4Kvthr48DwfFFpOH3VgCm0z5w7A+vnWL0M3kZt37f
Qmzj+VfmrEGC+IXD/n1jf+QnYer3meBGQ10Javi6Ztm4AF+6rt/3jCs4w2Gx/5RXLqw/NndwMr6N
JMfZZnuvAxU+tMRFby9gCJC7gMDY/hZi/2wK960PcoOUs0ZedoRDrygF3gJvJGAY0O+B9J+Ax10g
RYkqWCBnk2MLFwW9ZWyoXMkKZL4M8+UW/oF3uwjCiK7vd9PmtwUX8uP/gSgbOLrQvZNfnJUfeNA8
oOT+HhtwdrkGx4e+cCfRtQiFGlhFTYVLA4D6zWzk9tv9vFsKmXlMF9J7E1+Gm+m/Iv/1A2X3k830
1hf9xuOHy4WAlLlB6d2A3gOCfL6LXlxdz/bMNz8hZCSdsvh4F941ntwMuyvx+8flswW1dhrMCMhn
cQ6LG0SglE6GFhFazyF0gqPzShSmC8Aa5nu7Q0TC3isy4PNTz0MEkr4b93WGmilgeyzpOgfvYrfP
uEkUEeSCeP24TiF8tZ6M/OJO//79fAwIboKmK7K2e8aPn5JT7OO976eIAHAuAsozN/s8AxEcxosC
HVF5enYCgyhv3srfaIuuUP3TFJzsP02SiQBxVkDom9kZQaubjTW9XLdkakFkAYd8+5Rz9jB1K9D/
6PC9ckPxRR+Dx830b4p7uIC7QTehPO8OdqjVvkGecrs+c+zLon7NGKIrzuEP2i7UHckfMOXNG3FO
8tYqIOCcfhkRLC+Xk4XqaHZHaEheNfJApw5/r9vVm08QcGG7RR7sUQxVETUr0J8LHoLplrIEmLhV
MPWK0Dvv8GVe8cO8QHiIBPU0R4aaUwHDb4wFXJgm+u0f6TobdkPygwYJ6t2PP274Ny9wEeAJUzgc
6VkRzOft8dreArN/P0Ji7mH9H7tZ85fQ4P6/eyv+RM+fwyeHev1TiOovAT+9ihUZf+UvgeZ9/5Jf
4tcQ7HLkc6a5SgH27sO4RuRD4unAAozSB4rU2dSvEOCxIMsXpnCa6+i5eVAFLMTFEOTZNGmriphw
xPY/moALBQ1w8ilbRhMwV5Qn3ReP028mgk62omR2jvTsJH56CWR/f5QDns208k4EPw1Fq+HsjP+f
1Yfr57sMnR52P/74TXqSP4IluodRot2BkJGnnw5NyA8f9TQop6ZBEYFdnA00HMZ9cwa21+ET3iL8
Z8VeoZOiCVjiLRL/ytgCNsYZmE5J9HJJBJzr82AP2BJR9HnB3e8XR8QQsMoI2VGou7eXRTBEL4L0
kbTTaE0RAQ9h4GDYP9MiHOPLdTnlqyuWgND8KkDstE5fi5bRoOTwI3gVJC9cFTQTFjAwxCtIWb6I
uN/MRnwjmoMQJwxKmI3dNDcohQhs+SYKCE9tTAYW4VvcBDF60O2bDNBmd0/68WvqJiCoHdmNs1kK
ER4GB2y4W/hiziIs0u14v35lOUSg4Xdk3UAXYrIeIkzdR/A+inZ20qAwv5z9fbZA/W/RsFf4Goqh
ikD8nh54xvKgjsDl/vts9z/Jaw+1dBH4/KoE/JoOr9kbJEtF+D4X5PExXc8WQd08/0ZbVvYfw4z1
N9qGp1VbRVBohzePVfv9f27TL88fCiwAuVgBoOPmVgnwgShJ/99//591EgwBMMcBiQjM4Bg1zEDj
X1tUUA6g+fYuXvINND8CXQEJ9bHTotBNjyMR+YTVGkFBstvu9d89EhQD4iUy+wSdiim651iGpYpA
+LwieSywgDdBgjCSTMVeID6FvL2Aj3cWMAIhx+cbQ5FBYITC1e7f/bh1vgqklEgPEQmkuma78biV
fnqGgG+/QqT9yshC3NGyifbcmu3SvHtx/TyI7zWqxaGI3/O34ZsBNIHn/2rBc9o7luQbvxIoJ/Qa
9+fQt/wL4ppb+hc4v0FWTEAJEVi5u6bZPvFBgO+7QtuPrHg1FSQibJ4XPH/272dryKLl4X+8dq2I
yGttonNOtwbYT6CX8dpzDAFppznaV7869rsm5v1b8QjdHZ5bRhEh2dH6EVJ1zfrxiVLGZY82kpsv
sCLe2vPQvOkR6AwP0ewKvQtfji9g9Z/G38Al/GMj+Jn9TjzlUOC0asAWADeDSjFxz1+SFr8fXjxe
B/TxaRdt3uHiAf1pACK8trNATj38w5zBZ7hHknA30uZKF1HZPI8ogi6wkJ6mPn2AgJlfrrvZPEjX
QDf3kBswtw/esJdkT4JChG7RHXrDBM3UfRKR7b0MEM3t3nnzBUWcWb7AX9cAmqZAAjRDd486wJ8k
zQOy9K9eLqDMCnhAUIIWyF/hFUEjMR5xui/MIWBT45Kq4am+jpS9ZMx/v4XZJr6P1ynoZf9l9qEG
vaSGEMjG2IBAw2GSGaI99A6KJn4KmMyHf5SbIlnvrRqUeUWMCyRtN8wWOhIxW9YG6eRYqSLKSn/B
5yVbDtERQ6eB6cRFsB5fOJno87BbnR8/snMOhHL+2e7Q7obkC26ALmFZoE4bjoOYUzcsAWHbUynn
CiSWdQ3nJC/o7CMDrgN/8bULEQ/Fk9Hp2rBRZ4Rigvcl7F6Lfv6cwGdbSvEvGOrQkDuL020twni4
yNC005teRPG4S4NxKi4hQkBmjrzB+vkBEQGOzXlAtleJLQITXjyAFTwVeTYFXMFPPjnu3z2ZQhGy
IEdBmnDP5DU7YAmwdksGdsbENAPo2n3QHzeiK0CrgPUnW0N5s4bmGwFjnmFDIcSwm+LWCxTgkVyt
911LEZadsv3JqiJOyB30tkYGH+P5MqCaZ/fjH324n3cNvFbndOil8Pxt+Bv/BVC+V0ri/ty33IIs
3Cz/3otgN4G3ilfRzAR06Ml2EpGvvmb1XvJeFZHduPnt/0JGa5hYF5SZ/oV3/yu1i7vPsvlWT9v3
DUT3RVH1X2/3b6uID32vN9bgZxWLpxDImR4OAW7DB/DVUD2z27T8IhMAoW5KpadzVQTkxdDTIyRs
ggOKEEpyixoLuwnKj9d0XKPH1p5HLaKYBZMP9hS0RJSuuCwNOdb+/Au+b4TeR8G9NafLThKcIrRx
TiiWYQpxiZCbXdSIlKeLIAKXnI9rnoV9vrYiCjqOSL6/CCIi+KOAFuvXXHQRLu+2auP5StgCTvSS
3EMYZU9MSwSVbInivbxeTzz09xu9vH8slsj+Bfl0WBHrQNfrh4knIUIfeE4LJBsm2xcyi7tv+Efu
+fuLcMyAANLJIigiBHxPwFrcMw6KiJTtSROk09mKqIA8XdO9DaaIKFQ4BSYMpfZpIZYi4gY6D5o9
SEcRQf8/J03E9l0T5aWSyw/A52nRgms63cC6gITIOYFdR60biE97SpkiKgzOWb9GpQWjU4KNCKLi
RZE+Yk12R3iDO4jIp4OTHUzLnBVDgKEAxa2ZTlYE3/AP1EQUEUgXCAzdHq4j4mpGKn7fsIkQGLiC
3BHbkzxXHAEH5Brcwz1/ShXRmGSFE71fNoaavt1+/vErCXS2Deckn5YMi4g6VuWenC7EagRMGOmu
e/APdiPxo6yqAtJzqw5ckym1W0SQtOpIg1rC/W2sirjybhOuWDxxfyDntFuZH98UTymtM2SwHotp
2CiiPO0OzhXvmzWHNM1uspvP+KaM0TdCzFzYgvczoNMNLSKqWaEkdHqpqiL4FqBKrze8pmlhgQIl
QgFAxbbuC1VJr1BQoB8u4LI6Q//jdrLayK7q5kt5t+93ZH77H/zcvBaaoWs1KB6OAyl0G/KwGhpY
77bSH+3755Db4olD+udkUbciev960Nocyaep+o8Ifj/kQ9Yv4nwRl/PFut/TpFFEZBC3ZJUr3uxk
vaXDccUeNDHebciNbXtfHeD9+HFCNZiMzpuo84T2IVpfcwywaWv4igrkpn/xHz/hWwtGfle22812
44jv9OHeG//nHeDXBPcOPc7P34abrAPzX8+H21m3ZzrDT6M/pOBu/uf/BwAA//8=</cx:binary>
              </cx:geoCache>
            </cx:geography>
          </cx:layoutPr>
        </cx:series>
      </cx:plotAreaRegion>
    </cx:plotArea>
    <cx:legend pos="r" align="min" overlay="0"/>
  </cx:chart>
  <cx:spPr>
    <a:solidFill>
      <a:schemeClr val="accent5">
        <a:lumMod val="20000"/>
        <a:lumOff val="80000"/>
      </a:schemeClr>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chartData>
  <cx:chart>
    <cx:title pos="t" align="ctr" overlay="0"/>
    <cx:plotArea>
      <cx:plotAreaRegion>
        <cx:series layoutId="funnel" uniqueId="{FFFCA701-2E7B-FA4F-8B22-EBA7013CF629}">
          <cx:tx>
            <cx:txData>
              <cx:f>_xlchart.v2.9</cx:f>
              <cx:v>Sales</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tx>
        <cx:txData>
          <cx:v>Country Sales</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 lastClr="FFFFFF">
                  <a:lumMod val="95000"/>
                </a:sysClr>
              </a:solidFill>
              <a:latin typeface="Calibri" panose="020F0502020204030204"/>
            </a:rPr>
            <a:t>Country Sales</a:t>
          </a:r>
        </a:p>
      </cx:txPr>
    </cx:title>
    <cx:plotArea>
      <cx:plotAreaRegion>
        <cx:series layoutId="regionMap" uniqueId="{4BDE14EC-7DA7-9B4F-B214-C23C29DEAE4D}">
          <cx:tx>
            <cx:txData>
              <cx:f>_xlchart.v5.6</cx:f>
              <cx:v>Sales</cx:v>
            </cx:txData>
          </cx:tx>
          <cx:spPr>
            <a:ln>
              <a:noFill/>
            </a:ln>
          </cx:spPr>
          <cx:dataPt idx="0">
            <cx:spPr>
              <a:ln>
                <a:noFill/>
              </a:ln>
              <a:effectLst>
                <a:outerShdw blurRad="50800" dist="50800" dir="5400000" algn="ctr" rotWithShape="0">
                  <a:srgbClr val="000000">
                    <a:alpha val="79000"/>
                  </a:srgbClr>
                </a:outerShdw>
              </a:effectLst>
            </cx:spPr>
          </cx:dataPt>
          <cx:dataPt idx="1"/>
          <cx:dataPt idx="2"/>
          <cx:dataId val="0"/>
          <cx:layoutPr>
            <cx:regionLabelLayout val="showAll"/>
            <cx:geography viewedRegionType="dataOnly" cultureLanguage="en-GB" cultureRegion="AU" attribution="Powered by Bing">
              <cx:geoCache provider="{E9337A44-BEBE-4D9F-B70C-5C5E7DAFC167}">
                <cx:binary>zHtZk9y4se5fmZhnU4N9cdjnAWRVr9pa0mh5YWhpEdwAAuD+62/WjO1Ql3TVts99uIpQSCoWO4Fc
v/wy9bfP618/d/cf4y9r37n018/r33+14zj89bff0md7339MT/r6c/TJfx2ffPb9b/7r1/rz/W9f
4seldtVvBGH222f7MY7366//8zf4adW9v/WfP461dy+n+7jd3aepG9NPnv3w0S+f/eTG0+sV/KS/
/3oV77uP7suvv9y7sR6319tw//dfH3zn119+O/9J30n9pYODjdMXeJeTJ0pwrAWh6I9f5NdfOu+q
fzzO5BMtNeNaij8fI/xP2c8+9vD+v3GgP47z8cuXeJ/SL//485sXH5z+m8/r5PM/L5/700mvDn9c
7beHyv2fv519AJc9++Qb/Z9r5rFH5+p/4+rx/ssvr8aP4336pyL+90ag+glHlEvExUPta/0EYUUp
ZexP9cPzPy3/p/b/7fP82AZnr59Z4uzpuT3evPr/xh43EINffP9P3fzvDcLpE82oooTqP3+ph3Yh
TzgHYzHE/xEVEDU/sMu/ca6fGuZf7//YMv96fG6aC/P/wjT/9zD6V0IpPo4fD39kom8i6edP/xmC
Z6/+LKH9qdmrL3//VYAd/pXeTj/hgdbPctE/X7j/mMa//5rxJ1ozibQWiguhIKn9+sty/8cjjJ4I
rKRCmAqMFNUgxvk4WsiP/AlVhFOpGJbwqoS3kp/+eISfMIIofEqVkPA+/1fqf+G7rfLuX5r4x79/
cVP/wtduTHCVX38Z/vzW6ZycCSmY0AQzqaQQ8nSE4fPHO/Bs+DL+C65kSmmLQx4IeS8w34968OTQ
7H12wZ3si2808wNxWP5AHpycK60QZHcJHvytvJaofXUW5CXXVpXJyr3PB1KR46yJO45iHi90ib2R
lMdCt757F9WWmWZk/mpIbrsel/Vu5UN7XXcTLrKJtIemS6750zf/zOI/OCjo91wvHHIgF5xqjPkp
Q357Tq39vrumG/Jaxg/BL/ba0qDzegvh+ucq+d4CkoN3gDSptaTkTBKeEkZ7GmI+axsulnUVF6RR
8jA3yn+Qq+aP3Ox7C0jBJTgOBu/CnJ1ZvCZd3UfiY07aheRbs7Pctq7OqW23p9Pioqlpph6x+w8u
KQTokWGMBYf89lCdXdP1qWN1zB2VWZ51/WCG1LZFnLZwSX329ec6JSc3eujW4FsUBAksmUaIPZQ3
pljRrm5DznZna5Pqdn5jcUud8cildw3BwhpwoOwVlQPWRblH8Sp0in+RyHfaLHRoZlNtEbtD5xcv
DxtBbZ3DHfa1aHCdvUkax892cehDqLlbzEB29arpPQ6XP7/Mj3QHDkIl+KMgkPwf3iXWAXfcDiFf
Z6RuXYztRZ/W/bavWn9wExGHn8v73vWVQJTok4NIRPFZiPLGDxJZ7XKO6nCT+VJeka5BhxhSyH8u
6mSGh2ZSgD4oE1wg+E3PzKRxt6rU+yFftoYaqIrNpVKVe0QKBrD4UAykWAw5kxGmGSTPM+/jXGWk
iyAGCb0emkE3Bjel+rTOFB9aX0fD23ItnOX7gXd+vJgGv5uRlOLZz+/7XewpRMC1GAQfU5TTM9VW
UsRs4v2QZ3NJjZrBQQfn+E23xqFI9UoLWml89XOhp4B+oGQQSgnRgOeoJJqjh/4jlziHOmY+dx1t
cgrRb8qQkZyNVWsSEdXFjEZVdPVQ/xeKJ5xAEuVSU4XU2X3x1lOe1XBfy6g0CJc6bxpLTJn15DZm
Fc4XTcizRkRyM81+LVQjK6NKsj6Sf36kePAxBJmcEozZyUO+LXNTmY2tb4a87euUZ7W/7ZvaGpuS
zatKZ9c7UvGRuP1e70wJgRikW4SguNOHMoVTiLqQqlzybrjYZhLyfUT82jWVzkvpU6483XM7V+4R
i//A4Tkjp2rOwfYY4TOHH8tMhsUK6HSEbHLdx+FmnLC9oNCB/b6OsS22tnNmzFp7qEWMh2pifTFF
Ul383Pe+yyUKDqJPcAWQDoCfs4OsjWr72CsPdo6ViW5Zcz6HlDeL6s3PRX2XS0AUxQKBFOhpODqZ
4xsTd0uYycilz1un2svQdeWBU7Q9khy/lwJeBOHEsJYAv/TZhTZsLZvWxeUBoXhB6r6+W7MgHnHX
79UmIGNBrtKEATQ8R2UjXlZV7cnlwyBVPtu+vbCs3QyaHXnkQt9HBtQUrimTjCgNgPKh2somzHai
ICqLFk2HZWDZcayVOPSNmHO9T+Wcd1Vqn/7cWt8HBxQ0zTXDhEMuVGeopw4xS47MPk8ya48bz+jN
2pXudsbLdptGgkwPcNiI8bFsqNXJRA/yoYSyhgDsKowk+OXZjXcuRhq6oc1TJtN1WTXeGRXI9KKu
0WCLFqf6wk9ociZNa3UlaEffzcLrGx+qCWzAeto8Y5uauWn2xtWGKTfMOclEfZ01ldgOtRQAOoJ2
2z3tA38XJpb1VxWr7FOb+iqZtSUsXQw2ttdtqhp6iBt2v0P8jYuxXNn1wiqlurxinD91LTBEB+lG
cj3QWL1sSj1Lk6SoXc6UVZ3xBJeQNjff3K3TPjwf0ow+BrUxQCW4i5nZdKxXU29J3407Bx+io9v2
A/Gj7/IZrUSZlY3hdw1NRDz4oa0Wg309HwPUE2tEHPRo9qYM/JJNQ/a5rFf+OyD2wRuAUuFdN+zp
RTsl7vMga3kpA2Iv9wYtzWFeKnSZAGfw2xpYsPfejwMxqkbhU9lF9YZFLfeit5UuFkrXzPSyHFmx
TnydimUp0eeFBvKe9UvWvQjEUlnYLa29WXy7Zfni1kRMX+7em6qvTzldRMTzWTFAeBFzvBx8aHA4
4MEGb9yw2KfSSfIm9oPcTFbPy2a87nCdc0fb7bBtS+rzrePqaUaadTP73FppfFep+nKah0wWNW/r
eGBN2WxGJzm9WcgAzYFdbTaYaazZ+7QgVZl5QFvKtzTM/LClOX7oEbYpryufoH1ZdXOws/TlcZcM
WVMTDNVot2F4NjiVQBPENSyHTL4gU7mdsWOi47gcmzFNtdFKVt2BDJTbIsOi7vMAaPX3pV7mCupo
0/SFGPRUmn7xFP7OkHurh2Ffiqhj9r5zerIGHHxRhrppX3ItW3o79tM0GYWa9W0cFqZzr3SYDN3Q
8n6Zd/CiqJv1oxy4HMzixvDC8rSJwehxULuZ1F7ZI2Nhf7ZZpMUBjRaaiWZauws7iTDmdurnPWe2
XodiGit7hfw2ihcDD3LMWZ3wC9Lpqj6089hoU5Z2qw6TrZen9dK1X+d9CFVO8dy97QRfXogdTT0A
452qvNna6hnp3NTmG3j0ctw62nVm3cnyfJEYv9lRFqbDpshwZXvat6ZKaDL9vOj5qMW6NMUySvFp
cbN7pqKqOzMNDnNjoT0jpopTSmbjrv4i5wnvhofg6gONgbzAi1fMINWJ6qA6u4XCymzoTFJhvZqq
PWiIzpW7Q92obDVVY9FXUDwALmCD+V7s24K/bq2tUR7pnI2Hceo2Xexyj/7AWyqmXHOc3dhRYVcs
rKz6YnVo3/Pe1lwbMjuIdctrdit4O1szT25KRcbE2uVj37GQTxXKxqLfRlTljmdLdXBZxxeTxmH7
1FC+UBOzUL8YMzWuZpzSMpo69WgxQnnxjmRzG03TdtEVzpPlILsQWF7PQX+Z8ASHLW2dvXZju73s
F2ggLuZBVDZfhv5yQKi8O0U1uxCbCyKH/DS/z9ig36YdQslgYKGxmURWzbkbetuZbej1vVaj3aFF
RMtNWDGvjFUbYcbaUIPvLQSog1RV/hWQyvNs6sn7DByVpNu2G/kG3ADqhNlEFC+TWyAniNW1KY/J
+jdk3NveNAjxL3zcxw8jdMT+YpkTH69KCOwCV8jyfKQz9Aqj3FaaN62f7oSr3ZBXo1un4zI3jphO
ybnKl2VF85VNoXzespolCP1G45xLi4IR/JSksV2aCytLOhZrV9G3ZInq9bCVaLzgG5k+6F2G7oqO
S2gPeMnYu816Ioxtex4PPcG7M5WdwtNxi7I2bk/tvZVWP4V4HD7YefOfRUPSUvDkyQR5Xy5d0ZF+
vlnnJdtugAmyz5EKXXtAwkViIDHzLzvPYpPX2UA+TG20VW6THp43Y6CTmV21uRxnGD3Fk+pmY6GJ
b4+z4InmcmOr+grmXNzdMrYcFyUTbCzanm0bOFVFvjRl1e0mgt8UK+/lm5Rl3YfdSrQXNsNrm6/d
MqFrDxzYmHej1a0Z+2Z5Bx1gW0Id2fnz3UVLIWfL3l+Wc62QqdE2dzl8mhAU2LjeDq1a+hwPJf88
K910h3KDYDBtECUp6oHMKl/UCv15P/eVvFK9jxxKWdZWZkVbdhVmv61mCesuTMCe+twOGbGmbHZ3
24gloQOQZHUHB7IMUrrc7W5ScFl2QZhvn4d2LbcixLrLjN7K8s0G7EvKVxd8YxSn3VsoXSPk34UP
hwGIEJs3Q7l/Eq1L9gAeur3qJxRAG32EIr7heaiOu/B0NcEjVkGS7HSEp8KPZu7bQPN27EUoNifr
q75MYjeyb+UnJcuWQiVYhtaUbIHkjm3cdwO2JbdeWBLz1J2uAMxI/D2w4G1Rd7JtTW3L1ec62yAo
q3lUZkx+f0fFPkA8sQ71hm2Sfu3nsk85sUObAYuy972Zss69R4JkTd52Xn3GurL2dl/k8GHGU+iL
vdrYHdvhCmasaXMLCCuuOSln/FkGie5F5mghEcAog9Jcfq1m5aVpQVXtUcTdv4jQT1vDKB14sfRt
eVuriX6h+zIeOrf7D/208eelXXUwe0vji67NyNPMr02Egte9lyJbX6g6s0Bm1OUYTL2i8aBn1x77
JkKRQdQeW1n5q9o3xGjpmyUP1M2jqXw23fuh3t9zbtnrzLPlhshQV8CUpmgPTk7p/ZK2nufB9lPR
l5SLp4w6li6bnS9vlx1DvwmKQ0/9KsmW40ZNb2eASh/XSSd8ZcPevi69I5BXCZSbfEHddihZN4bb
wGXzjvESOAsdXDqS0M6gQ9d2talmQLtmqmoILNR203Uc5FDBUAsYqEKdvpND6d2+llPfAzTCdMB5
M4ceGI1mxq92v5W0CP22vw1eZL5IK9+eNT5oYWK7Qr86gQtpoFxXHe9Wtjhv5tLL12EZZmfImgSv
jbTc2zzhKulj48pxLYAZKz9OhMYvaUnta6ExGkyHJzIY1Pj0prcneqdMkb8Dp5Wv7bAM11DnKml0
L9eswKvqXQGgMOiCoVpIEzpfh0IuasQGkTDaY9kMQ3locFdxo21X22vUKX8VElrri6zJaG1IR8i7
bJNQEEWfDTQP2d5KqCjE3hKLaDSSt+QT0ATDZDCKtT7Uum8+BbUmXqi4UUBSMLsE6rcP9Q3b0Nod
YtfpOzQFoS9ZIr4yBPH0aizhxVxru7zBO28uJzRvjUms6d9vnpM76Hv0l6FH22ssx20v5qZGq3Go
bgGEDXLfoAVB5fuym2dmoBB0wdAuI9VlrRf3MtUe1UUne11DpbL0ebCJ4bxUZYMMWirI72qulje1
E5M3q90ArY3NFOBwAARC7rnOXsSmAqAmAnFXs68gJdEsa7+wFgHs28dteLnhkkiwE5mvhzhsyMhp
Vq0BRFDri1U2fs7nfinDoaVM6cLpYX/RZGXsAB3I4QsSGMq1x6Ss87JO+2aGasZXqhLiUvguXayt
IgcGlaTNZ7yJSw9EBFhmmuYX62YBo5dzGoCWXRNrC0TS9jwTyzznGwFa5iXjmO6m3O3SQyXZ8T2b
Gpiu2CxKMygiRsOqANz52pe9MzVb2lTwxdvl0rfLekhsrNeD6DoYOMgpTO9jlBvN0YxApyUk0/ug
KlnMbMLBDE27u0LJvs4Ovse1OIp5srKoXAmTCt66LeYjaR34Uiz9xxnAUGli2UKDjOOgmhzXHmKv
i1Y+bUJq6VHO6wp5QNTcRInWLc9wXFsgm09EXLYh9JLV5caNrIOn+a4mGGN027ixYglhfCrptk95
pSOU0TbNpqVQ7wGbw7dNGflSAo9G53tRMdpA88OxA2TcgwnXuMfLpq3xeIToHQGmDV24nsW8vm5U
v9yq6FtqVgD8Vy0ettbMisqr4Gbwt7Ib2N00r8u1hsHI2xmjAG0CRCYFiB/WDyUhvSHAbYXjHgAO
wgRhIMfEwxihi4NKfRgytr4sZSZLM4pWvt6EyGazeoU9MF7TXh4wzFNSzntIOXkGsMDnqJnXO7Y5
SGx7zfCLyu/8fsQjIPxQ2sZE2vdfNR3T59ZWan3WpH14z10zARyUTQXMVlmPMffBD/3LKfX03RS3
WuaKWZYZpfHo8jpqDHgKJQicyqOpPVgoubZwtEGhKNOwv01jZOsNiSsMpFKz0me4c7zLEQVOPO9k
Fi73uEFLt4LXC5M6ycpDAsiLobz1/XFRkbS5XvdmNdm6xd+zjei5ANvj513EWwvkV5yLbkrNXgwo
8WuY+QmWk2a2cHGn7a1OlceF9WIBUKkgH5sFe/e65Vaooh/X9nPosH66Nm68HQe/zCaEKPYcuM3u
/SLj+nKpyuweykLZGLsglF3RuV1kvvQz8cYDcH26V6eUspTNgg8AkzQxqVWsM9B5qgsSZHqvpevS
JdpcfTXStH7ReqPbhdriJIqksroq9gEDr6Aprz6xiSIwmHcuFwCOaL4G1Y353OGlPchyB4UGnEno
lwNqctaOLuRwpooeoSBqVAB7mDXHUXN1aVkoPeBl1n7cIYh5sWVTf9tlFWjb2rl+RtjMvjZxY/ep
JvFG1VLOl4DdoJlbF13/TnbJ3xBXQboQZV+W+WBd83wDrKBzMFyXchecvYqwQCOMaAT7yujq94Km
ASJih4kKNSX0vdnF5jgDPppgwoo5RXQNZAVXJvpqj2bCPaDItW22Kx/WlkEnKRA/zk0Y1tzXqeku
oMh2XTEu7eyhgVS1OrQyZjcrq0e4YWUbSEP1DI1zpqByApobPo/ENqHgvlqetbTdP6zjON6mess+
hLXPPnRANaucrZ5Agd+0o9dVCBQAAhTRMc+WIYbrtpm26gjN4/AxurGUp1SwkXwYfdXl09BX6hnD
Dr1ydSO3w6yWAXiHPqIv46pYb6BTW23O8B5f8czL/oKPC3uXIIrXq34M7H6rl/0uMEWqXHfMNtBN
VWIA78N8NJ6XCliYAB2I6YCcuWkhCcPHrVdvKOK9vqgZw76gfoKcYiEMWgP0XAfOyba5vVrorG61
a2tQ82ztFY1E4JwxGwCSuol+kqKB4QXxLLkrCRzwXMghNtepddOQu+jLZJzvJAyzyxXJwo0a66Nc
gHgzqWlgrNNp0edTI6a+iD0Kz2AEZjMY6vUbvwjjnn4vZYrPQ02BokbtYEvggYRjxz4AT5O7nsQv
9QZA0+wA9hrTr2h62e9VZgtRte07mPtAZ1ovo6ZXEaIZaownCEiQaWjDtW0SQEnDIvSXhifMA6DD
vl4KeKrG50vj+acaw7DGDOOWQTF0U/OW2NFpGMezKAvRl91iqmrLPPhh5tsLDHTfV5idqdsdoH0y
ENf9Jyhx623CvbDFiZi0ADgWbsHxm5IXMPfihwqWTFzBRt9rA3mplHktWPkixA6QTdUQFa6BS2lu
oKHYkskmaCjzkJjYb7N6X2i+zcApmHYe0pjrQdcA79dZ4/bVCndzx2XKWI5nmUwcqYDmiKqJ5RWd
7XIQG5k/Qf2dxqOWxD5d27LiV71vpLtqfMcBAUnh+cFWJx6nEV31vPPN+u4vvHcYuTED4wKX+GKY
w363qGp89hdXttsu+gWGvZ0jXYGgaF/GDjiS48856x8Qx+AQVEjJiSBEnFj7byYMIsRU7osPMC/P
GJAFk7vNMjoVsDHBbuvEV+i9SQ07DVFflI1Ijww48GlQd0ZcK6oY7GwJLCiSZ5w5C/0ylX0Tcs3G
bgUgsC1mabp4EVloDijryitMQn3sgBouareSY0x6+09HE1IqmF7CAhJlMDYQZ1OtjKvkacWHfF8n
cl2HCQNXTfmzjq/u+c/1/d2s5SRKwZAAA2EPI5ezWQuZosgigwzHgN67Ya31JthpuPovpGjYgqHy
tIFBTwOSb6yauE04SID7tML7oRt99sr5Nj6y5fH9XQCNamgqmALDQW56KEXRuZRtAKQTGFqPjpYE
rlUOlP7H5oEx2EljVDJBFD+buDrblXSxo89X+NJlOF3EVwx4wnGrHxH13eToNEfBFFbSEIfRGzmb
o2xtCdRHOI2wkaiu9z0teVZ1zQ2WPRCs+6gPk4zykZHyd3MjEEqBq8YwT4bxGzu7H+0XO2CoCEB2
Qyc3zYDSlyaIi8jdp1DirUgwbc3LVnaPzMn+WHs4iz5QKgyMKIGqDysLDy2IsvLELUL00Zks2FTd
0lkDk9XxivjtLR4Qvc1WAlyZaAYThzjdeJjRoDzsaij2rBoe0QT+kSqUphiikEtFyNnAk6cepjcR
VCGrPkEXL+tirdY+L6e1NMu630/zMt/2GU152pvW7Nk4X80sdpeapTVvLbRzgil5g/oYPqGwl3ei
7IBIoE48kjm/834F0XWKLUlgqY2c9um+jTHcLahU4+RzSdb1dadXW2wUtZf/YSSDFAVzTFg04BrB
ZPGhFF6uaRBD73PWE/XUeflubbLh5X8hROLTLWBvi8iz/DdPEFdo6qCVoS27XHDoXsy7V49528mb
Hnjb6S6wuiSUYFrC0srDu0x0jXPvSgfz0Yk9o8sMxCskmFsA25lJMBIwWEd0FInZlxMiTb6nqQ3Q
+TeksE3jLntO6huV1uyN57P6+HMl4B8ZVGtOCEQjQ0SeGZTMa01K6IryoedfUV2F99MQ7sSy+xuq
AZJ1afP5ziegQ+Qip6dKMXfAclqeiWqzxrMV6FPcLG9/fq6T2HOtaQ1bF7AsBTs/6GzVJeppY8C5
+7wfcH+sfA3s1oyrQveivd7DfF91rj/iTX/5udwfWIudXOK0sgl8pzrLDdCKKKIwOEUrAIPOpQIQ
WQL3uqD+sdWA71EAeATmp81PjmA/W5+hAGB552wPNVSStofx6tChou82eug7mCOPW4vyuar1M5+c
fMb13ptO79kj8UxOXn6maAabPZqcNgmhTJ/l/k5vALlHGA/MjJQ5LGGSQwfbPkaiFKG/3ZorvK36
mu9l/1E3bHzTkq4yUvTVla6G4WuXYjooacmLPnYwbyJ9EK/sBjyWpdBcF3jAMNcbmXy7IqaPOJbR
5yKgx/ZRf+AwHNZfuVYKnVavzwzXwyLUUg6TA8NV63te1equBAx94CN3d7sss7cYBi1PMw0T3J+7
zMlMZxrkEp8AAexDcnq+omMZGgcEtEreYzZ9WlSJLhDswd7B7g66C5t+LDR+ELECNrFgl4TDGiHs
gz1MKA5mrwRZ0ucd7BPewWrb9HxzjD5SlH4QCBL0SQEVKNiROc8LsNZRN1iD6ZwN4RVyNEDGqurn
qh3wI+gQ/8AHoZ5QMB4sEMJe9ZkPriNnkGFin8cR2xzTvoNmZJtu8JzBHGusYHC3IAzMPoJYqclw
EZf+d1yXt4BUyhsyh0eSz/cahiEygiU3/AfwYmeVASi2qp3mvs9ZhpsLlmC3a4Btj0dC73u/gUUd
2NwFDAlpAHaEHtpRkwrG2lmE3ZBurd+6CD3dHPVy6WBr95l3QJ/83E+/tyjI47BXBRuosIdOzlIq
y1oEK14gjxFXHxODYQTQ8eXR+oT+Y+cBUVLDXjj8Aa56drUaeNEurEOXy2mKV/y0lLS3ar3iNZCr
P7/VD2x12kuD7frTZiQ+/feibwGJbmGsJTvwmLmr/ZH3gl3YGWePSPmhreD/OIGbwmYVE2cXUtii
dl3gQiVMGcFMPN44YILycWUwoxPt/AgA+qGtvpF3ev5NKyPXgGoVA9wqTvurINRsYLm8Odq1f2xz
90eiKNQ6KLSU/x/SzqxLUlvb1r+IMyQaAS/3gYBoMiP7ppoXRlYnEEgICSHg198Zts/errS369xz
XzxGucpFRKJmrbnmN01T9u44MbmtfUDx1bg2WRHHKd3ZqTfXgePxLxq0v3sULroEbSegMMouP+U/
fSseer3QGcq60FN8mqeuLqJF0tuBTEH5z8uC/vWNwRKPriJLUmhLMXnXDMpEYXw8wVigaEi/jGyA
OTYW2b0GyCb2w2DYzsnY4TrbMOu2Zt1fyv171oz1TiR6lIUa66yc4DfHgGTSYwm4gv5iS/518V4+
JBYVhY8tT6J3Bw2ZUDdqh0OWLZ0uF1rXew6hef/PP4u//tizEIU0C1FQwcP63ukI6R5+7TntdyHM
GIemlv1pHNlWxl0y/uJRf+kkM8AvIepd3MOXtvXdYhpax3rQCD2GtJvqSsxV0tclwwxypdOiCtKn
lO/mbP1VFfs3bzvGoA73YhbDJpu/e26dr9sao5jezatndaE4t1D56XScaX2NH/zwiJdvr7DUt9tw
jufrtUuHQ9NYXukUPvGdSOf2ZaHdPUnm9JmOfvvFq/7rS4D/mTF8SugT0JrffUKeT4smE9wHJszc
U0D4cOMIVISGB79yyf/1JeRozLCmYP3HS0jfqS2j7Aga+rbb9UGefw7DLitmTK+X0pM4KOvUQGhf
m1/JSX9dyzls/VjPFKckgaz08+YWGgObUcOkPIyxfcl8tD5mZmPmFyfx5cP/XG2huosojpEUK42+
5090UidD1i2wv0N4vdoWCUubg/4Jx1m2XLxrmCfOPvOnAHptkfcYlv/zbvqb7wlZBuVynCYEXfDl
9/90iHV2o3koqdihls6rfHCi6pqFP/3zU/5muaCcTDGIQEmZ/UaN/fkpOCjhRrOTgAAezY/TOj+A
iZAfkx73zT8/6e++Tw4ghYLlwU3N3h2U68iD1gczjB8kr/e1lvOXlOT6+Z+fQv/uC+VAF+Dch9wT
pu+WxzZoQDq9E7slMK4S4YThSTdlS5mutSjbLucVs/1axuGEuVO/umph/ivtpnoPqCGsMCyHiVCs
046CMPlfLCosq0sXlsWXDuLndwpbC5RebzHKbRt7Z+Gf2qkO8w20DD1mdSGmxiGr1V6zHv47QBK/
eP5f3gF+Llg1OJrBOuFNvDsccEKa2iVRXQgxdy9NkHc3qa3lL57y114f9TWKJEgRF4YDVefPX7ML
fG9xKzc7Ak/DCkt20xyEr+HYUz00ftZ12TEXGSwzFGa1SjbbW0yb+dDBl1cFrZsqE/TpS4NpTPnb
8viDAL3/fQP/TjN+HfRqWt78wbL/65f/5+a/Afnf+Ot///sLDf/vX93p7+ppMt+/Tzdv+v2fvDzv
X38Uj/vj+RfQ86df/AU5/Q9Q6e/Q/X/4zf8ZcRpeBJ//jJz+wUj/i8T9N6r623/4O3pK/wu3NpQw
lLeACVDlYnP9QZ5m/wVVCRxUDvs76kXMv/9FnjICMh+HMaxpEYTFJMbO/oM8jXP81kVZgSxFIOb9
P4GnPy9eKFpouHHT/JYAAAg1iX5eVRJ7lMQToxhAlQMhR2b4L6rhv30Cehas3iSOo/edkrXdaFyH
J4ymMFt6JFz8fz7hcnr96VBHEeYjqfEElNctvkM62f/NEy4CG3xuGZqid8cs3TBYFkECc2xaBkl8
HMWvKKXfGrh/X4248BMcX5iyAPhPoES8b/C4Js0YidoXGH3Eyw0GLORpszL70HI0stfEjFrhm/EJ
wGimbhQsK1WI8ucGjtxkLLPICrYfFyc/LCMwY1hyybp9NHQmEpN5ZeihTmB7OpOAwJJO+06Hvzih
fi7jLv32RT/BVC6nGTxI7xEWDDmWkWGEU+QbPZPpW5Z3V/FAqsHHv3jSz9fR708KcxCLl1E7uNJ3
LzyI4dAnfUAL1MTPUPnENfygD6qR2+8n2/8QP/7vB+FqZTEgVrz4n1fW1ismWwVSLobjQoKbjfzw
ClfYxz+dGn+cn/+Z/r48Jg0T9DvQ8PDu/7IJFwbX5krXsCCsL6MZQkmvsk+LYsfAd7941s/15W/P
wiWFdhH/uDQt7zZ8m3YTXH2wETm09ErsRwHTmt52ob1u0l80FO8AuN8ehi8F6u7CsKK9vyyZP+3M
jikbZ0sTF4uMdj17JVHJ0+scg/Mxe0vnR8OvMnmGwvCLsohCA8df/dN+AliELwiuHjczgcb386N9
rA3XykTFGCbuOaWzYIVKt64tVZi6s/I5zOTD2qffwj7or+Al3x6h7w/VZJcxLmPTtMOxj9f2Tgzo
laBMatXsmqFuAOIkLviovewPc6KJ3IVhoK4FdfplzUOslsSJ6bleW/qp3mz+uc6YAPycocLGZGCs
25Ky3o1FIB0HixAxj8oJDXywEznGV0Jv02nIFP70CA/el157TIJSNOAvTGdLujMjZVWf2OwxcdLb
R45OVO34GG/LlSQ1ia659uQL1ID8hoc9jYsgqke38yzYrohObVxEbd4+Ro5/n90GXmS0tU0LvuQ6
A209aRhYWUifxn5dxyLxKssOLtMhu8oXPj6NmzfDadGJ2a86sPBi8Ok+Uc1wkmGDkccFiIknCS9f
I+CeLwHehOYwOxbdRLG3826UuSa7Js0GAvp2COJywrSf7JeB6i+iDeCu3QBQiRI6ulzu9DbaUtfh
KG+kWee3OnPD9cjHqKT1FtzrtR/uKciBckBDdc62ugHYy1p4HaQToowSMtyF+TDL/TxPxD3xpYd1
X4wjkCXW2WG5sYHl/poze9EsaW0XthMwlLmDDRuXFPB1p2uJOYt/0ioFTmHbrPuUb/mVwKl3TIYF
Qlxmooc5tvmTh+gaHSiv971s0h1xQYHFF6WvAaP1OTA58BtZO37Wbaf8FV4pXG5jupRLVs9XbuAQ
8InhCy9iLdSzx96pgrFjmFdDhI3PLr+YmWDITpPzBPvpYctY8ArX8Qz8xzlbzQyGPKxtZpr7biUp
TCNizPbwWWmIse1gbtw0bxUcfxhHTpFpT6Gum+HRTSvRe/joc3ct8aO8y5tsPPk6xxWi1OrX5w4r
KDqg1h4ZMBAqO7CB/YiUiecpbvvKhXy7NpNiJUaAfj3CgYQVDaJqyCCNDHC7pX3r93aC6Hc1+rkR
h2ScfR8WQxuS8M533Iqv88V4UdVLPQXHNcl7/wRTl3izQ5BjrLWAg4ePDPrEkg89260yT57h4jft
eYoULE95CzN4OTIjPo/bBLGqjJ3N63LG3X6I03VcYM+d+kgW1KTBSRnCXDkM1HxQXW7ifXuhNyLw
IXsVr/lTE8tun6zxjBKbhNNbCL/VPg6cPwarN/cLBNtPTRzrHyH18VEQGe5bEWRHYYx7y0biK4wz
7FosS5/NJY1BEZQt/BoepEw9H+2aIcOgFmFYKC9JWgjumm+DyzOgOq0/8wgAS6GbMDzGYZ8dTBT5
vkh1v73ljQiHXVITBXPVDBNjqLcLTUHZfrb19JFFTfaGDUxVkS4uOgRsmu5nGHerJIDCU4RmlFct
MzR4S20T0YOysNw6jgamVHG99KUOFx5UsAE0ftfg0EMzsfX2HG/rh0Hp5g1MsTpTJbavomV1dvBS
5kOFonZcMfxtiD8sYPeandF1+7K2CIMopA3MIZF1ANM8wNsW6AWRP/w0ZmWnI58/zohmYQf0sH1y
DfhzCe+aFDhaRSPdrmWXmGk7J3FLwmIM+Ep2MgF1cAxasxF4DRUsr0HsxxtDRe9epYM9V5UjAXrV
Qg7UMexcrYGTFkc2XOwNWXbtEi7P+NyqbGqTctix5yT6OMHvfdEYcYooBoZ7P80CVroIBqn42ASo
zgojxXxQI/WHsMYA+pDCpf2NDTHMsylIgisJuNbv3BpsVdrnbVzMxAaPDUkxjCC5al8wlUtelFtA
JQqlr3JNG14OjvNyzKb1NdNgP87AYMlNsMLm8zwa0oW7tlUKeJhoDg5BA1+8g9utcDmWyJ51m44q
MsAJ9NJnU7tTC9fXveEmheE7zugJ3gxvkLWwbsAM2m3V/kkZIbarnrRQ4NNpC+P7dIqt/DjVox/3
cRu69gGxEbIiAGSu3CVa43PvGgBwWZuM8b1HQXkeaT8/cOG3+Aj5LayPoedNyeeQ39JYsUelXRjv
NqbhgsxoPcMV204Bbr9xXRh/YwYv9jaN3QqZ0fsIIjMwhv4unxnZNIzZizob5pdryF/8OFid85t1
phHfLfVsTmsYDE9Sz7nGJoJMd80TB1diRob8vuc+zKslXKW+WkG+8h2uRczD6cQh3bra2NEWNS5s
UuR1jo8aJFsP470e6kegtWY8zh0L4aK3szkmix3krckHe2gJTz5IHjbg19i6+H1N5+m4eSo/8MBv
HzccAOmex63a2yBbRYnTdj6NPaPYG2C3mqILG3rgxLj7aWvn9Cx1s8BnOa+c7jsLCakY1jx6jKdN
4ce5+IO22HN8ag0p6rVun6LOEjQGdVQBOaurDfbwFVot6w+pFCt4PrGgKClMwtoiaRKcYOlGIZxu
F36031K4I8lM6bnLmZ8sSONaPcZDnOoKAzTyJJskUAeb42UXloAPvk2ilT/CQoMTx+stftma5hHH
NBXwRC61PSY8VewD8BkZ3sigh8pm1Xg7womenVtuiSoH08ORM8WLqmFQF1gNk4rwqTdiVlymJGOF
1CKAtXEmB2oBogwbCqylm3r5OVj6HpsNdtm4WK3v+kpFsNQXtFviKhqdmr4EwUgr6TfCSh5pcoyT
3nVnWXuRHNssgp2TGgFMtBiBNcD0m4+ruW9oYj0Y1zcVotxBveTFq59AHpR5PITL0TElp0ezZDkm
YdNIBiCmUVOJmuCvAA6RfNxyMNYFbJDDAU59ZCGB5+vokVvVJie+uU7BHduJMhv91FQR+D3+iNrF
zaWFyW3cZZuEbT9QfJ8nbEMFpdfnzCo7P8HzBaChFVcZH02p7MpLz6PjSJLmtom37lD7vNlzMCu7
mjK+59jyshgdifGGl+WIuX1UIVDHbOXAWXbuaE/sjzGY0yKc7QhHVP4h4YKis5HLgQLFDBAD0Imp
SGsr5wdAJwAh6zns8qNL0ukWiTTkk8R8sMMx4nQVbPN6PYZbcxzSOXR7CBfLuvdwxPQfvRZpA35O
hraww0rPIRKBUAO38Xwm6zSEN5gAhr4AiNV/EbhkUSAEOT+pjnUChmXPLtQkuxeIpwKmkg7ZG4zc
nL/mROkytFsucKGx9FPNa7NvIg3j4OA9ioqAfAoWcD87iC72YYlC1RVSWnYN8TeDBJGJoarVJNJD
UNvwJZzJ3CHwJIhg6W625YSWLTMHPflcnuItqL/IsENlCBQ8+ITOygGdbvUaPKWqyVJQoK28sCBO
fJkkwjXKsUllcxOmqh6/UDPQdu9SGbiS9K2RT0nX4FSZRj3snIE9+RQuMi2HLqOyTFqdV2E0rK6w
M0zgS2ijZ7ciJgUbg6xX6xrUpwCIiyyyuA6yM24OJEM0OebsaTyOPxSgoiJTIF0X0Z3WrrvGiKpQ
q4riSuWsseW6meDUrWO3T4eGH0Uu6rulJf2ztvsJ1b2FZFS0+Yw9QZZokndbMgF7oR3mNDDruw0+
/Y3DrWy6LX3woRijwm82u81GoSq0H8mtI8B7hli6H32b9C/Yhdkhhb36GlhruA9A1f+gHJtthyN6
PXlo1/6KW5360xYsFJ0IIKC5wG3Av7JYu8O4AYJ8cVEHHFMMCKa5WN0VcI8I5iu6tetSrlQk86tG
0gWaNOigRbdMAMaSwAqAS7DDmCTRz0BItKjgpFF0N41DeKjNUm+ndttWfuqDJm53OHXIQXo1zjvf
z16cAEKl4cmIkasz0HKgCQlW8cfWgM7YuX7Rvpo2N6hzB3z/emjCaD3hvGxO6LlqgEg2Im0Fk9X6
FdeEgMdlk+DjloaEF3IAbRn4bjxVgatj/ZweBZ/8biCa2aMGU+MfsyVOoZ2xUNyvoh+/jKmdb+BN
SA4ws4L4HnIH687Y1cPZYRzwkczTDLxOLd6FpXJsCnY1n5a08lsvxvMQ5k16NdVayOdJZYA+G4VS
o3QzXnYRoWnudihN5sdl7qOHAAf75wzz66VqFrZd84ZM1zNGGW+LDLlBNoYk6mZDOEKHjT2Z5hHI
GvZE2zWI+YocmOdg5quvLo7b2y6d1DHmPlkOcyAXZHuB8StaPZuvWrXuzoUbmt/EuexTzOMRqG1d
wgOU6/0GQq67ScYGJChF5V6GkwFvFbUBmsXVig9iAjy3i3AhXwbvDXC4cd4aNDizw9+DXZ6XATMA
UgdQu/MYro9x70W3HwkFIUBWruxB5Cj2J+RnPMnc9eXad/hljlwCDJKn/bqI/lHThVeEjGnlogzf
EMlj2SGfG/5ZQIh75rHBeT4YS14NRTerNtLdJRCrqn5hlhRQFepPIahDKHh0vM7C1tw224CHLZqP
uoobP3/ImW5/9EOPOWa45Mshj5v1ls0rGveJmeUQU1yXpWLtdLcOcXjoEkbtyxAn61Vjm7bcaBZu
e2y9hIOqiNlOevaV2TC46ebRAZjgRD2gRB0+uZmCV2jxlQu5WRREcVRzh+OC67WYpwRNqA5YeIrg
dj4AXAPU33b9GWualn6IxR4ffXyIwoE++7h/qpV6rFU8obxSgGvKWsBnUs4gWz/iwKFXIvd5vK9Z
408rCnpVAPVTH6xxujngb4tvsWgwS5cGAw00udFXDEK6yptxOPktpR6xBBamX2HQnNQYv3/KRhkc
h0VDxAoW65pdZAPcIn0E3qlK40ZrFHqDLUecCK9ALvN9iCbzI2suQYZq2dqnpnXRMxnH+dC0krRw
7bHuIcA48lNguHxkI2beScCX6z5Y+7MHcohFR1P4HjImj/MadY+mntKKjFmyUxhH3022zY+sy+cW
eTbpUlh0ggDPJ+Y/O6SOlVMaWnYUC15XiTWQuD1QltbscUmhNsDtEhR+wQfYtaOqX0a2ZIeNhkHJ
TE1/ALJAOT6G4roB5nnkzSJOZrnkiwzg8kq/ufw4Oc9e82QVDw2lCHjCbqtZ1bZSm0ImAQBY6PRP
rvfssM12UbuFweQKc9baHYcQNoZmALc61s6yYgAmukcOAu6fdB1qxOnUbu6AGPZuFxuyAhpaczDb
gxX4vqqny0MQZg0a6NHAczZPZabNWiA/pD0kHgdbQleNjLnw8h/ZXMrXfhVhd+hwfqwFTXq+jzRi
LBBCg9sbhpf5rGCxtbt5Msl3BCANFe5+9dkldod8JPFYWxrNN3pzSXkpq18ymAOA8g8YLdMhdd3X
Lcv1h9UE8bwPtoz09/hxYPcsGmP1gi4gCifEKuCfyNq8oxtjAmkZ0A53o1gycojDIV2PLfqD9aw4
Td4GgJE4jaGbliZCn7Fv28D4ApVtWBH4PvMypyMm6Q2Y1P0IOxNMcOP8dYbVr8pjdh9Twced1Wis
ChrAGu5m7Jw0IOFuxpa6tyrJvrMVmhXKaFA+wNG2j7mqY/Daq3+EPIbWMheJus56aimSYazL4Hfp
0FI3LoxMuWGgU/kWi7vON7E3UZtWOVV1u9eYOIli6bEIKrNah/C7tBkTTE5peoZ3Iuh32SXbiJm1
jwuNMRTqYqy8An3ZMj8hnrHQr8EZdb6QBwKz/ckOmHDtu04Vzp5Jr9sql8G3aXU1MifQn3+vHQto
FdSSwszjm31Sm+3amxRpTxPNSHNE1KV9S2MZH0g6xOXohnY9rhPFo72NVmxsMpuHMIBzcenx4vIO
+VhdLn1JQG2hLKJTfRsPLbIHEIUSkh2SJbfkRrf2edDuLc3MfLNll+N+ztsznCYbDlkKlvUqOTQP
HZbfca0noHsmRqV+SE3iPm6tStMrMskFhy1o1hto9muFNFK0U0uItJxLsqBCZzWyV0Sh+SufKV/B
O7PMRw4MELQ5xSQWPhtZzhpLo6CeOHBgIJu3miJoo4Ht7BXOh/BLPzC8h23xIZY2kd2AvJmMTEWe
O7/cqGxQ+dEY0aKR00vnC/jL83PjMxy+mpF6B82V7ELYWDGA3lb1kkva0LKFWH63NHMORg0u9uww
gjPjhciB0N1GUT/ss3lCQAZCz+FXVzrxX0Ln2/bQ29Sdwqa3gKfQBrx14PQOjZ67twDkuUYMQEiv
aqC1ZI8GY/WHdszvsEEfugaSQhPFeZEglqo+5cbFyT63LRLugOzh6IXPOLrRHSbyBa91XgrNzUfd
zvHOWJsbOKRl/cGgLcp3ocv8UiCTxLwyCLXIJtiEjR6jIU3LehbxiUl8/j3xgaxLI5BeeeFB7Foi
RMPbYupjiIeRZ+am5mv2DaLn9yGUD3XTAQK3SxberQnCbvYg2uu+4mndP0VT7A6tCdsfEahJjYoB
6GiVBTLG3AAGCFmsay7Pq+hEgk3R8ItsjqyqkrNhfeM6k2SHjmh5jetUjUWddWBwkGHRQEvoennq
w5yTg9sCN+8yb42sYslcV7jYTV3Vc2nEXgTN2lWGSkwyJ4J0yucFFu2pTFu+zfsmCeu1wOiwvsk4
qHHkqerOHjoESoIInEKg4ZKv+bGRmATcNpTlK+KSkmXE7GFtv1II6POuC2R7FrEaE0TF8DU9Rusq
ggMm1+zNbxyhABo1FFpf3ruDHtTWPXA6IiKHSTJfLOb+7FKHz4GwC9Kdct8Fwc4gTHPmBcBzJu7h
a0I4F3R9h/EAfmQFGtnRv8nGIuh2jMbxbYaAt32b0ISB2kAJfFI4DZcj4sCCqUDIU/hA+cBA6HeK
PgeXwvcIuJ7aYz5ENbKalKriIJB3pmb2ydEugbaOMu771iJHZFEU8WV5oiR0+iXSbkdYI0Avu3m/
RIZBpaZknySuvYnnqd4O4JrNg+WhO/ohEeirTL7dTTVp71HV+VsV2bnZpXTREB1Iij/FlvqbWh0x
u0AAAdlhqssBWSqBqpYM0sfXUaKCsmG2flXwcpSmi2mLuDPcNkU2Qal/dOGQT0i2yOZXualZFnxr
AhQJlMtXhPEi/6wbXd9U2xx4qJUcymrhAi5eWwPJAKc0IlsKZCuWG4vtmU81jmiAbQhW6zPMiobl
bY6GrgaNmI1PwRaYF2T9JpjB4e76Hksh7nspslLhrJgOM8uyqmdsQo+c2UZeD9ARn5CUEftdj4iC
8NwmLv/RT2hlC1IjdAtSqbX+EJFtbQGQ8hg9xKbhc+VT3h8v+U7dDmkrzUnJDuC/UfNw6Hg3fpLJ
mtzULtAnkk/+iURA0UfRw6VZf8+1Dh5kYM1e5N9axDvkiaElRqJxD4xuATnNFEG2FOso+W6pz8fd
jGRLgLWqFtF118jmg6gbbaoWYFCEGQrWM6bP+Qvkwru56Z9rmuB4jVhTj4VHv4m3OGzVNC3uJKkW
17JZp6NFWOdNnFpY2BGEQHCr1XHO97iVtYCCCO3s5IRSGCvgVd8irk/NiP+dxQb9sJvDwoSgzK5h
4MEsUaptOsd1DREQb7yFxoaOor8jyG0otMLwqHQIIavxIRu4lJYVk62iGYw+EkwXH8fL9cths0Jy
SK47s8uwuz9jJAj/GlIbTYsQuC2uWkMXlJpqC5+tFOpuThVqwg7aJH5U6OP2C0TT7iDSHveCGjM0
ar41q7iigIM/0g6AUuAlEj/MJRSkSJZoDAEO0CueC9+WyK0bw6LDzOJLRxG1tjdm6/0HrTHXKMbc
N+3B6AjXrmnTocoNvKoVhPPhDYkIzalBTF33oDDCwzfLJt7f0ynJHto2nNRVL9YhKKVKg5fNanJH
ODLaCiKhKCXdKEmFbDWC9g4YMEoeZMPdSL2lHyJy0ch5MDEkKKqenbGW6j0qKrLP18mpq2Wi8RfU
nvgJJQnVCOFw8ctgHSgc2kcTUhulTbdDKLNsKgUHav08oiijuzCiSMeokfeB57lg2WG4xBnmByyD
4yoLcFz3bA5eh3oZjyLFlVrItl+/4MXRmza1ovvcaYRBhLINgydvWY+xC3ILkawYpNGTn7LgIkzW
9hJvCW0gEQZxd5hPzadJ5rw7bqByzIHbZHsWSTsjOgxJ5C/TGrWlXnl0XqFjP2DeLj4j888c8X8N
keaUykl3x8ao6AtdkrDqwAWNCGNcU6Qj9lY8KbqC3UecECIWoFFgqCUWsGqecUJLHS/t/DQhX5rv
ZNZv6JXnjK57WB50v++NzSE5Kt6TqkMs348AJpn+NHk9YZgjcUruory3p8ahkviiMeRZXwKmaPMI
CxyqFZYj5wqZDzEU/yQz/mWehUS8ydKqF+uXHDWzzaC3YxofBIVqIbDvtzkPmoepnjSGZG1nP0Wc
y5Mm0BjjBtFgRSz67bW1UfxjsUv31OrMhacQWt0tksgBL0H3IGMhxnZBJA3yjch58py2t10SNOSx
AeCEHhILLL1OcG+fpFxpeyUwjkaH2uAVFAgndG8xy6Zb2vlxQ1eZs4c2xGG88+Mk75FWY58itP5x
gVAV3V7VE9MPnCMI4OxDJOj33cA/MVRDwNCWGmKkIG2ESIKIfnNmpiFyAG077ziy3jwiS9tpuQ42
3rodjfliy2Fx7X3E+2g79Uk9Dh/GTfjbvmUISlS86z8oAsNCQaidnqeEGYS7pBHmxUwHmAq0w1W2
YfOVWx4gJSaPXJcU8FjDVyLHLoS4pBHnAZmvf8BnD2iJOIgp/tqtzlzPKjH3lKE6CZEe+arhNb6B
3zBDWgTVsFT28xWDikLwNjFiYEVigpUfELY2qmKN+swoxEWJdHlE0ANGpCkx4YNAOvq3mOi8KZs2
mvddb7PwU4tCEIroChsFzIxTerTYNCeTCIeE0jD9jFyo7PrC4d8yapAMk8PS3x28IYjYBFkf7cNY
kId5CGfk/7Kxx05c45fa9jhmERjUHtJpdM3RoUXGUFNaegxdjJ6rVQjQqTbP8yrBFOMH7i1aThv4
ibJORP9mnTE3vcTsfFi6RCCgJUD0FoMeOJQqEKkvVDJp9ziGY3hvW9fuWzkvtyQn4UcKBurMFppU
o8ZfNWLMX+9UaxNZIS1IIQjQ6/1qhxWrJFYSXmfC5iqaA5FdYUaEsE8MSfYon8lWyFVP1yZq+E2a
6PSVOCbKxYTuVnv0+C3vMA7tMaxG+0I5lP5+XRQKUzgEvmEr1UASbX4vjINa1SNsYuQs2nNJyV3U
OgFZp0fYuMSZ8sERVPgkt2sFiun/knaey3FjSZu+oUUEvPkLoByLXhJJ6Q9CoiR473H1+4C73w4L
VVEIzU709MxE93TWwXF5Ml8DDLvx4Kf9RWwpYSZgxOU3vinXFHMSDuU9mXoSO4goioek99IvkVT3
P5Qs9DObQmlNao9SkvIYhF5R74H9ZTeYRuj7Ae5na2vJkLOiRSF9HgFC0OyMyuiPKHvTd7nWaKGI
VhRWe8qX47dyEhvxLqA/yLdQ08JDmKRF6Ad9GeWPwjbceaLqVa7SRFVjZ0KcPPu+SRGiKQrpuW/4
XKlVCxPYAoTntuifKryNmkR2/FAxv6WTh74F0lJGuamjEEwcnDH04yJlyg6eNYuJpK1RCFvSCpSt
EjqI+yzxp+TriPeATfWyv5VJ7mBHxBxy25x77QhMECGGZEqzR80k0xk9STGpxErIuTG1HsnLPHFb
VI7y7IGyp+n/6KZSZqNU2twFo8Pg+mnn37VhLWRuKw6q8iIPnbC1fOR2Z8V4jfxDnlSq0GbJ6rWE
kjelMEmuwSkpOHWty3ZAw3dKmg6dj2LHeRE/eoMRhzex38TPQZvRtWcqjujFT99oxvv1fYgqPAo9
aErs6Y76XwsUeXdy30b3PtQaikNwP4CekKxHWyOD+GbzxmdfTHyw1hFIod1hEsrBHoegekdtEjVI
pBK7H1qkcWh5iPM91nljDW5MIyxxKITnG5NeRfbcEvUZ0an06HGM3fOO0R/aZqiepHAMIyTeMvoY
XVpvLU/g0WI2cedMLZq6JPaJukXUTjU2gayl+zRQrQhEgJY/02GjDlzyz0IKR1O9AzxYtNUaHcJl
X3bAIROkC/xtpZmzaBGFhtQO4YLJQDTa/FGJVPluyIRAOQLFy4eDomN04piVmD8KaPvR+OnYKuAA
Qh4cZfXgV6rG3uizXUSSc5Q84NdeFfdfqgbcpd0iRXgLL3qqN6j/oL+vGWRZ28ICE2rD3+oOFLLl
F530+1WQ0RpyPE2hDaGW0s82h5FHrSzx8seBEsBGRVvWJE8b1ZseBWTrNRnE6jbTpgEt3cBU+x2u
LrQ9KmRaSttoI9piYhI/RF1reltyBQkx8z6rdScHOpQ90ZUIxi/gDJLqjdynQmsmLYO9VgXx3xqm
pbBLLVRjHqsiE+W9mZr+L7GDLm9Xam6CNKfTq9nQ3AbK9SB1njkAYsBNYs7NMZOWqqmRvxlSO9BH
7PMN31r8Dgaw4PzTuPlkl4cM+T53ds8bdtKoRtBWRejJTbvIo19U0/a1ctHcKEMj6E7ZcPPHVPxu
o1BWb2ORQ8RJQdB9UwpffYEqYLgxqja/0Ueyqn2lDkVNJyI3Ix6LEiUqfvEQHEdo+a8WiEB9G1p6
JW56sHm+EwPJLl4slId/++Mkx4esRwXtDhhjBXc+iVFM1YpcukPMm5xGMvvxrcnU6BcYBQW1725W
jEb7/kcA+KlxlLJIKxr+vvk7oI9hcbjTiaGW2hulIwC+5tASKhpGQZQi+Iqv0EYCr9HbljEW0z6O
TOuJWibwEBnh6y8dIlHFfewBkmADQnWzRxU9yIdUDaabQOqGd5Eb9Y+Sl8HodLHMiZNDeGGFR+bw
JqPZ8WUsBSmhER+G3n7Oywy6h9SYthS29dHu5UyKEFxV0NT1UlMS3VC2mjeU6rxjNARxdchRCDVo
FqHAZkeYJsBMSuX5jPY7igdp41PxL1RIuI6sKlq8mSaPInjsC/WL0g7qryAjv3eUJPC4RrhUmxsk
QXP9QHt9eGpiZI52/6sZpqzNSJRmyxgld41GEr6qtUqZO6AU/Ry3mbmT9Da6HVHO/ilHTUkxVhS/
X8flnuOMUb6BKjSzHQ3AxgsMad5LXR20o2LL9fMYgmlgyyKTvkKsvIDIpSuJUAJ2TDDg1AV/RSwi
TxibiIa9DLlDeA6twLbye3q7hfp4fUCnWPwPPK41c3sB46MXgxbCKSgW4FaR1OhQ2xM1Q+Sgv8a5
93Q9xIVvZhmIL1iGwnhgLp6GYO8IQxsTQimeCuNrNm2o5l8PcQ40N2eK2qw/o8GC+FBF+IwqDpDE
p2yt0qTu3VIgr453iIIyKGUFR2zyY09BxKaIWRL3ODYTkvbBi/oUKSuhsXlhDtxkrq5S1etDkcfB
Xh/eU/MmtFZxy/NcLwOiIQOLyQRujjjr6dfLiymuRH9UETWcnI7aoSjdZNUutO6i8M73Nx2N3zVV
mPMZm/HRkG1lzYRgvgS5yz4tTQvQnJ13z3Le7rus2Srt5vqcfeDKT0dmiZTCgWNDEoDZuOA1DoaQ
92VI9ly4vVNv9F3nDq5gC7ZkhxuYlK7nWg5lR4fmrNNsBqd3EVm1SQltfHpc+hAbw9XcdoVKcL4j
+FnY0UizUQsyO4vlWphJG1Y6P0uyHob2pTFvV8Z9jkMnAF9WliX4PXAjTmdUSHyK1KbV2+VmHnfn
dq7syA6lIJvU9P+NG+03p3YHB+iM+39GDQjT8V3PoZTqFCs76EPW4mQ2ZlQ+5B+Uj1Db+GAXfQbm
S32ReGYqoV42HhDYR5ulQmq4dvQv9Va69/ZCetTtlhn4Fthffq99dPlsBy/Cz/vu077q0BnNvYjw
AsKzYBeeTMPJDj8ecgf6GgVVNGQP3rbYvwNtsTO7sO9H+29vR86aAMFCvYITkX3NQQVzBSaUzkl/
+ktqqu7GUOm6rdaI60motuSvkaY71QgoQFZBks/q291PuX6pKadQkT6g2fhPLiwfPwJyFAtw1mSC
QLikFyEAKAcIz/OC1h7yAEcGsXkeka5zIPc/ymXk0opa8cBacOz/b1DUeXRJnDn9+mJD6ujRJHUg
0VqJrPuqfC160sda7Z9qIb8dMSehi3xPQ5fKtlaBm1Wbx8FUnFqJb7Ny2iP5f1f4w/P17XJpPjiJ
FHj1SM3RVVvQU6p6pOsJTcz2ml95oR5FknYtUku7y+9M/Bf8wbSFrP1mycmDoM2dJeUXCigrJJmz
cx9aEQQjKjz4I6IntJgQQ6bb6w+gsdH6c1pNcC0rQZzed6mM7WMKd+DJ3q+P/CwLWIRcbAm5GsF/
ZISsWPgaFTKsSHqatW3V7/NghZhzduotgi3mftB8sPM9wTrgVeR5NMIN3p/XR3R2rxCEnWVoMiZr
0OcXRyv42jFqMRoEW6PN0tO7Iga0naxJ7Z2fJbOgGTRIzm9chvTFDvYNoWmEBvqtr5mPYyb+xQGU
Ylpaf5smI3/51zFZiN4B7yQQUgCzi+jng6tIlVJoNCSVhRB8Kjm2r3QvrOKVPO18/REGpzgsrhQk
ppYSkzm+DchfWJ5tSC9NtE3BWmQgTEC7t294vqzcgedLj/wTMj5Na4O0bXkHwh+HFAyT3MYJCiXv
sD10XreJh/QptqZNl00r8S7MGDkVZGaOHv5zubvC0KQ0jFS5rea/Ol26T4bmORsTW8384/XpOovE
MceaYFBIMepQp0+nS5h7m1mkGzjMGU/8nfne7yr6tpFiukEjrtyq8645uVS55NEEmvNSSLtQIE+j
idVQoZgzv4tbp1a/SNrfHoZRJtIzNjZp95Z1/eb6+M622BxRNVgiFpe4ttxieDuksY+Qj53jUKRh
htRqfzyExP85Cq8SjfXOVoYLuRgXdclRBhmPM81wP6D3XXkUcVauwAszRQyTufqg8C9Vm2h/Fqbq
G+Tywq1J1UetbozkdWxX9u9CPpLlQJarkvTQf0N3SNcWj62uUUYU4rCvASgm3SoimKnSwB0oGZTo
OLbaX3Q7G9DhFCexWdjHI3S+qm+KjRx5w8rqPNt3sxqdTnHdpDZM/jmf0p+yoL4ukWBE4xDfCWo2
BgDznZmqylf0XpIDNRMqVyrittcnk/11vkxh7800ZrDYrNPFFYsDRd0pJXRI13WPrnvnHu/4b9v5
j+3W3h4Ots1/3G23W/6bfbB3jX3Y7eznHX/6n3/pMC1+2c/2jr984D+f+fv4ezfzX+dPzvyHw7/c
+U+OY7vO05O754/jnlju/Cf+7fDH/LfMf+v8P9zfx5enl+PvY+EW/K/jkT9+H+f/C7/zuLJbz1cc
komw6PHEhJFEUef066stdVAahWBWGsuOq3dZnLZefOvpX69/8PNZVlQFKUQNli+Y3CVZ2R+1cqoa
LIRyVl1XdDDwtGMKcAnbqcL6ez3YpUGxSVVRR4CTuItBpUrXh5JFMS1OikdI0ge4xQBo+9tOFvbX
Q50vo1nvTZdFBqbDWp/H/Wn1IhwfdZOPDUOaxG7uvdQldls1LSa53mTNOz316/HOzzrEvJktHYNa
YItLLvFsG1woERZwE+KpRxEhJJeme34zCGm3cqyeH+SEQlcTVSfSFhLB06GFNV4OWo1bSYQHx0Gi
cm6H3YjX16jnwHkwRbnxjbE7Aix5McCVrJy3874/vUdmJdkPPQBDVs9WzNCNMRif1uDdYdFfhA26
Zna9UK+cj8HTEPM6+jR5hWS2hkSrnqaZlO3zThhdbczbQwV60ilHoAuKlP2Oha50+ix5ULBG+tck
YP4FqCpRIpLJAj6eiJ9+QZrgKad2/AKJBouTdhLmSEjGZuNbYpT/vtXhoGoKnqFcYfKSCw7efqQI
TrqLvZUrCTeidZfippTV/59x5NOvWgkdVGDcLrlcQLBKd5hXYc9iOmWyclteWiGWhLiQxSNlrh2e
Biq9JPZbCSBDmUtPZeG/R8aaBtuF7Qaflfte4lmMaez81z/NT48ZuRcmPA8rUJ12rXSOhucQ5nbl
ymqX5gR9sdxPIi3WIn58gRnkfLVWhdgWPk4svOBPI6jAgVMH6XGYsj9rMNy6sBb6whlG6Fk/mOIu
/2UxyKiF7A4qjYe39DX0H2icq+K+rB97eSfSllbD27y7EYddAf+zeg6qW7AyrbXVUHHOf14/3j5q
ieef4T+/ZfEZ1KgJvXBePPyWMd8hqZ+LPzwEQbDshN2ra7tw+JJ4Ry/qgBdsdOxax5Xc4MKyIjXS
ZUCalKwwxj6dc6nTlRwPaMMuKlGiY1JwYQFBuj7QC1cUkn7cGMjbUHZZFjta0NYID9ADgVn2V861
LUD4PxBSN6Ue/HuoWSQHqTFKqjpP+tPxlH5fqhiK6Dbt1dcuHJ+KWjsCl3z34qJdiXW+X0iREW6j
gK9Rul32CoReLjGKm1exIuzK0nxXYhkyv/X9X78eYXgRokTHOQYq83RIYwfObkTazDaa7hZBSbAb
QPvzccMzfKVC9PGTT1fkfLQg3SMC8DBgY5/GslShLjGuMLnxRvFnHzb9C8RmwY2yJL1RsS/V4XAm
w8GXFaF/TZBZjLYKfkfVho6T+aoqzYDoZTpxgwl4bY0Ole3wYAi++pAwMd69VxX9n0QEpX4Lrweu
CZ4TdermqcYLoJlo0m3pTSd/Rw8moatPofaSKL35VJlKeMMyGhqS9L77ioMvJLFB0TPqeEWW7HBi
wpoWXk/1zdAn/2sdNhGEIkTiI5x3/nhG1BwgBA3RygVwvoFI5hULjAWykHNWf/rFZK3qai1CMTHL
vyvqMVpTnb70z+cxO6tOanPBcLFBC/xxVdzDTNA8+a8GrAMmfy//vMAQ8flPiMWkY97WwXshhAj1
ih61HeFaZLQujrQrO+YjQ1ysL1mcqym8XVFVXNprd1qQYeqW0sq2c/vH/6mHKw+gnW28m+1w120R
mXBT50+/hSmobLwv8NR3/REMvP1SuKL997fp+FvDHW/Wbr8LH5o+BaU/Zb76EDc+ncgJkkVk1LnJ
bq7BFiD8o6wN//wcnFsh/wmxOO+bqet7aIYmtGEBnbp48J0oF/v9hOrEps7F4ev1ib1wwdD5liUy
WxYn8oeLpAFjqCluzcyCWYDpklLcFJhOUgZELAV8ExpToKy+os3xrEaDg/k1lN3smMPiwu/HkeTo
6frvOX8X6TQhER2AzUDZaakbbVVTlISG4EEVU59VHDazukK7YLZtDN7Mac1w/Pyq/+jjydgf0OzR
xMXn1grE2csQGGRa/gpBiUTm7zKsnam8j6KDIa8kaOeDmytcJt002eDq+ci/P2VPvDcVwIF4eArm
tFcU7wmQii213Z1K4qlM3j8n04h8z3NLB49anrnYtKKOLIZUWyZ1LskO2o2m9FtjQslmTZ10ecsx
JvLOucpqcalSq1nsi8LSY1Gw0GeAVNfLT62xK+Ryc31lfOyuzwfDHEWTRR7NCOvOOuanUXTssINU
mYC5d+64Ue8CFwaimx3HLV6L7uRQvKNVhoua04PJ27k/bxxzs+IUc9YiW/6IxTcNqbNWqjgCXt1F
rTNspV/W0XPru/CQH6w70y5/x39uAUY/FK75fP0DLE+fZejF6SNNZlDFoKwdDUTGIEKX6/fXI3x8
wmufeLEdlLIyZ5QvttQJprG2+uNHtNW/v2s35gO9HVt/am7DH+lT/rW5xyQXt1OspDbeSs673CXL
cS5KCAYm5YyOH4F6fBk9RnC5lX2a3uboc1wfr7T2SReHH/DljMSXUDwCv5cYng128Sv9dtu9CH/N
vfoMBcdYKeJfDMkxMBeX5lxtMYtxNmSjOYq4xElkNpCaiuD9+qg+cuWzWfwUYjmLGPlmwkSIPHGl
B3x1011DU914+BoZ9jts47/619cKmQsH7+pd6faFDV+i3Ya/9Pv2GK29p+Zwy5/D6wEswVyV5iA6
3bdxHxkFRRpE6qUbub/JVFze/+ZaujKZ8rI+w6uUviU4AgQ1yYWXpg1agt9wKFqJg71Jvi3beNpn
HRcKSEtN910D3aq7UEyDe98Cl+5WeVre932SfAknEsckldMc4r8kRDAGW3WDOmzyRYYpcytHwzDa
sgq6Hw8fA658UVg7KS8BkNV9X9OZzyMh3OhhiHQJikTal8QSIuChtawforpG41JIJJCb1yf64oCx
eJm7kSaPjMWBSEkfgYuKASuxJm7GPvMcta6FQw8JwBbKZtzIcq9iYN72u6orzZXr5fzUnzWGqUVh
96SKQHtO5zU1+j6MCz91Qlkut40Bg9ocMQTLvCrbXh/pxVAgJgyI4bgrLDPcwYokOjYB/hhtB8dM
wvoSUtnsRDj860N0XkVkIKxUFHXJCxZ3WVQoQFKAQyH5UdRHRa/CJyu2zPdKydHZ6Ad95TyQ5bPt
QfME2ziRT0nTffnyHRDi7eui5NZysq/WQ77HqU5yWxTqbdCa8W2z8bbxrb8zXW2TbDiXXrPdGqLp
wvc9+Q2Lc1BCsQ3LYn5DF91q2ktgfEeDbmV/rsVYfFg40D5gS2JM2YPXPlTBNgq/XF8m52fryadU
FhXaapjqBvudDE86tP+lZD8ibPLvIcgVVSxNVErBS1iU0cORVD1CgPnfhrrx2AP7vR7iDO0wt9M+
x1ic3zCUErwUiVFuIPtFj+k381Y8yP5GurF2OMcXPPBWJufSl/sccrGX6xDLcAu2hpNA5rbS0O5+
rAzq/FY/HdRiifnAKnJhjlDdGl8CB191epPPKixyrHndGniX+WDcZI64Uq9YOLHRCl18zcW6Q906
xNKsyhzzCV4pGreO+V07yo+hYx6MDQSRrfUivXR3nqOtrJV5SKcXH0PmOYdOLLq31O5PD0hd65oG
0x2cd/OQuvLX6C2HnosTJbhYcfh1/QNfuAzmvovFNTAb8FmLYBwvSHKhsujk0gM6WTaCJK6IEpru
mh5+t3A51mT7L21oBkhLgjqQCbDzdHhthKJOkXcZUngopSAyGv1s65U75jx3IMKnGPO6/fRiwkZQ
oExLDIit4d+ufhV9NwrWNtx8LiwmyhDRfaJ9NNcfPzbkpyi11sz9YSQvvG/iTfFFn5eFvOVVSJq/
0t29ME0noRYDClDBGxAAxFkKOMrsUht80avRwTpc0o+VhiHhSvX2whdka2n8C/EBkNmL7CvROguR
OjRciuKhpGwbw8rtxp1a/Jufzsc+Q3hZm0XIMR6VxcU+82VUnrO4QyzGA38ezoLP4X1g9JtaLZ+v
r/ULp9XnUMt3tFcgII0gY+qMeglLI3sY2+L79RAXFjcrAgdBqrf0U5ZP2lJFQtcrCNF3vpt6ymMM
ky6Ix931MJfOejzSQJHThgJ8PQu6f17gbWgJvY80njP123Z6RqVQiF58+aCpCClGZHHHCdBrdF8k
j2Xy9XrwDxPQxbqnkstcaaKkKeTmp8F1MEtx4KlIFT/1I9W24dY8bFBd2dHRQTNwaz0JPGt7ZHft
b8JurTxxaRZNENszBOejBHUaXRQEowtjmjlSCscUm7c0/C/Sxhlthr4+9Wpw9KcRkGHJPZ2XhhMW
L1p+M8mQWlYuzgtPSNg4s8UZJRBRR6n9NIZKC1hPJZ2nKk2E3qXIu+3s4Sm8m55wXi6F7U95X+5X
Ju7SpgY0AM8Rb0aAZIugU6HljVYyMGQU7Pbmrd4groQ+cjtPVWo/gCbeWffFXgG0W40byKxO7Bia
7VMYXfsxly5YirX/+THy6RdAuKyCP8CP0ZCuAS/c2R4QZSS2HqMtr0vxzXgOHZ9HUujc/175EPM/
+2wFf4q9vIPMLJTijNjdW/x3vHElf1Pa6mP7/d38Pe2GPXJA+/4WqFf0ZOzy3JbWQdOXTorPw5+X
+afLoy3VqKjmuYDm/kV562xMaO+0HYvOGTbC3ZP8VKyUEc/69KQ0FPRmWCNLG9DSYt+2XPa9X+WJ
IzW7MXDGTX1HGeyhrjfx47AS7MLw5ke7OfewgMuZiy88+nFeTVXBQRjvxVSwp2kf4nF/fR4vHAV0
4GeTR+xqqBAsgphaXkLXllhCo+S08QaI5UqEszo334y+IjbSbFRq98umrudlAaqaRurU9/UueFWh
DtzKrS1+eYzfgg3uE9QnVk3BL2SAJ0HnffxpbchCkGZmSlBA/jt/L6HH4FT7+nvxatzJe/kBIjEK
lXfpUeL0W8k0LpQqGTFnO6UBFUDOEnhoWNNQQNbCqdP1duVddDBvfDT3f8mPpIVP2Uvoaofwe/wa
fol2zcr1eeGAAiKj4D4KWJrQi5dYWkpwlL2A3DC784L7sLwzrL+9vHIOXlg2OtcmlquwNeh+Lo5B
Mw6zJs5ins7li6S+6WuAigtrn1oD3WhqdXSml2WHrG6RmlezzCngEfWxK2dgXlbys3mvLk4w3gcz
GAy4ssJduFgiiaei3TE/9qSdlH7tzV1uvKr6QdSePS2BPV2t3FhngwI6RBhkCEHUs6MXGQf8LnEi
NUucEGUXPLmLWQk8XMlr1oLMG+PTwi8LCfGNgSCa10Adz20FzeC16TmbfkaCSSRmWhTB5uLfaRBR
ohozDLP3oEzCoiCBu2bjfbaMPyIQAykPxF2XpcumLRCikhOUZkoLkRTXtJ6lxHLEX9ePvwtfi3MP
yJMG8wTQ5/zXP30tD20Xsmf8GutyVs4f7H589f85GaK7BaCbLIVZJ+1afC2hzgOtMroEERflSUFk
WMukneyvvPMvDeVzlEUyMML+byNvjqLEB5BXOwn9TsWo/319sWnmZjfPXQqQi13TDZQj9WmYLUKx
OxiUO8OY9VXa/yKMRmUMN1I+GRWf04kZJ0HWKw3P+rpSbI5xo1Rs1KKvz/7ZJcHEgLxl7wPOBMO4
vCTyMqOWqSNkpGlbdAw2+TTuegRm6iR6HoTeDVYZjGeHziLk4gyIzAIJygb7yBQle8x4wuKn7+GZ
iWKQmmxVtPjDldto/ieeHHPUyijdcvkqEiz2ZSpuTLleaA1tJdOEvzSDKPtio8XFTp/M585LV26G
M/iYPMfjnuc5DyGDN/3pzAWe0nrYoCAp4JW7NtkUOto9uxwrQ+NbHL9I0lMQvFn+Snvw0iiBBoC0
pXwMAnYRlbukD9OKEpNS3WAIksN9r8NjPViwKFfqWheOphnfz+UERhys+HLVZHEygfNj1cjiIVW8
2zaJW96Lf1urebq+QC+FgnICJANdCqDhi9WiZnnda7PZqKZ3Iqa1BZbxaGLdFnUp2A3one31eBfO
EKyjMZ5ERQAPgeUN1csIC3syG6KS9Q0oUeQo6cmsPT8vzRWrhLudJyjI2kXOaVnxyOqhe5JL8awM
4IMhTrKnUIKlnGf5dsyyt+vjuhxRmcdGLYZW1emaLI1ZvqA05wa29gdhlh1iOvbkV7UdmfG21td4
w2vx5vvz07VSD3WTGwHxijT8KwYN8mDDzQBPrRZKxDzXWJMXpw32wP8Mb3GLjWTXZRLzQVG93BbC
V5zBtnm4uf4NLwYh5wNNBQKb0+R0TBnmBwhvMIYhlg+l8tTg/a5L8cpr4eKK/xRl8eVwCKriaAY0
DPhn4KXw1jblnTK9+2G10v65NB7aTByK3C8mXafT8SjTiM9GNHISd89Jbzk+elfB2uF74YahJjcD
A7le6DQtjiUklMfKE3i1RSh7BeKrGL569JYyr34qw5+psXJeXAwHucpUgJhAJlmMCa0XUVSL+dac
ihsjvk2U31VfbvQ/Re8fOuXL9RVxIQuE5we00iKx4SsuBleJfSvWHRlHbFnvQoIcSBauvIEvLQfS
M4VCN2ka3JvTSWITgbusOWt5vB6wn3HbfvxBJRdhIm3lnry0Hsif4IQYc7NzWcYPpVIaM7TUnMjY
QwW0E3Ffy8nKE+C8aMXt+DnKPOBPJ4Ouhmlm4c4CzkNNfwuTpt94qGA+Ips1fpOE2Y9R1Qvkl5E2
D/ERPUYFHUIbUxgLz6y++4Lxi9x3h3+fST6xxYtVNTB8XnzmNimmLAnQdZQs71EJi8eh/HY9wsWJ
RIBC4QCBILeEMss+YitjNUcIS4SPcEGUIhCiUjnLsWrezybo1kj1l0JSblDJeShusIROP7XXgPOq
NQ7hMEnfevEVVe+ngi6iQ3F5e310l9YOzRiKI9xmqG0szkaj7DLPjwgVl2DRC039azXpDUXuNZbG
pS1Hi5zvZ9CwhsF0OqYQS618GpCFBnHxPS9RJlHGVZfAs6bMYo0ugmDYpXmBzk4Qyr2H1A9C2frk
+BpGe5Gbl4qjBrt6LSm4dHSBUyHvgOmjyh9p5aeNIaFYZUwaWJWiag6hrhymsL31kmE/ci5j5XET
q5V7fdbWQi4WSJfro5fNcogV3j6IotmD+d54buJ7G3B0WfhfHM48lpH2mF/MVMZP564bx071BQ7n
Jgt3rSG+ZWJxkxe01YA7NmPoCqmxuT7CS1sAmiigWfJ+aJaLEzoop0GLLPLHDzXCSdyOaXZUc0rl
prZSTbmY93N4zJcBAfn36fAQMo+1HOV2B/FuW4l7WyVXMPxtFL9DLhCU+9L7Yshb1Vg5Ui/tPSqX
JOOSCmhkCT5CuFucYnUGOdWQl7L0sWrirdeGK2HmRb98Rn0KIy/qaig2o0g8r0+sADd+8yJQdy7z
bYAHSxetXEWXpg2IP/M1685oyze2rwlSJCdzgoydll175m+rBPUtNEOACm+8u75Izova7PfPB+Vi
lfgWDk7JLH+qt8p9WD3npoGdeN7vEs3fylPyfcBSqUIOSw/+i+td05ChsZD6EPkNp2smagcQ1w3H
WWYgdTX7DkYRV71sp/rK+/DiIGeWrTr3pPQz9QMzx7OtnwAyoW1pSjejnvTtHZKUsmiram+hqd5F
tWnrvRwjIqwFzxiHtkezrYKVOs355M4Ie+rC8MMRMlqmNECBkbkkC3Co3256dKK93PUbDdXk5+vz
er5iCQSDmz7c/M5aBoJ6qrWKRX3Tq28z/ceQ+nYCgxrFUqSaroc634OnoeYxfzq8NckqlEEllDRW
dm1tULNworUUYi3I4lrqNK0upRkAlHobv/5lCZ0dayuJ0KUYIDg4SKiX4FO7OMRCs6tEFMwwBSpw
pkk6rL+SrSKsFUkuhAF/yiVgUkWYabun3wtvYc0rJJEifW38BBW3Mzy2nF+s6S2sxDEWh5YicMT1
CGg6Op5uAeKZtYDonyatnCAXw+ApPJ+/3DRLGTPB6kaoSTpfbfQ6RzThaVj6bCjRev++jSWgIriu
UVxRefAuFoFfVuzhBOO3EMp7am4QKoqjOzMPXbP6oRfB1pRKZ1oD0p5nCnOTg5ccRVzw70uFDD1E
DtBDXswxE2y5qupFLrjYRDrzmFvYmhA7KfK11/fUhXNiZlXDDplxTOZyjXSKj2PmFCJ/jRNvp/xK
8HaYSE9Grd9ejzSvttOr7YO//T+RlqsEQTW/HgYiNeY3eLvcOviDaJtp+KHJ3OabVbrsWsDFhYOj
+mwQR8CgRg+zJye4j/qtLr+GhokN7puhO9dHePFbyjOJHC7G+YXaGmqLVWScOxIA/jF4QjzWFT0b
k8frcS6tE2Bg/zcORfbTfV3lhVh4OgOLJIWa7qtqTY4XOYL2llqvJjbb18OdDQt2CYvD4Ayh0cdh
chpODFmzZh6VzmCmr2bRdHs5NKuN0evaUxV44r9u8zkcKZ4sUpGcKYin4QK/C83Swk5LjCaYWGWM
u5wko2XZoMv17yPjXKTxhxTcbBt+GipM/M4KxKp0JKXYzUKfWdcdhtDAS6lembOzJxWjmmeM/jRt
QOomp6Havje6uiaUGTUc98MuMNagq2fnIyG4U4CKU1fl0bZY714giCUKnqWDz7Fkd37928Cy1pUn
48/1z3ae5RAJ3SW+GeWSmRh0OphSQ0+1oOTjTCD3VLE9dujEW52HWruxE5vqPpbLGykuthJJ5Urs
eRQnxwix6TTMsjHUKKjhncaWMBhBDmIqHVxRNhh5bPImOUj4HehlddfrwcHClSMVFDdNtV02Bmtk
z3lNnMWXaORApqNovmwZVfiNKqUilk7mzx56Bd08pe/u/aEKNmo0yzYYrbS5PuhLM8vC+Z+YS/ma
VuhYlB1XThC4Vmv8EPUYyw/Z/y82+kw3kE3Kr5Q05nPnU36V0jwUDAzXMRu2dmI/vJeSttemag8p
Y+UyOH/HMY2UKtFehCwn0qY+jYV+caLyEMc0D3uYDHqi2qmuj4e4FNKnQgXNbEuEgF8QOkIR099d
/6BnV8Mi+mKkJubqvl8SvW4xSEzTHFUqLMp7FGxvg1CAs9wpDyM4RJxfEcO9Hvzi9qHVgngTtESe
X4uNGiYo3VnIDtOpjR51LcLyqhrQuS5/SqN8E3nKro3j2zawfJtj418fBvPQSW1QiqFWLC1hnJlZ
jVjdUDKCQn7X18Nz4U+4+4pv5bTGWr+0bD+F+vgOn9bTOBZmnHGYOyrK+W6O1jdi1Hrg6JXqrXzT
S8crKlJwitHggkS4WE7y2JiKXxMKWayNUhbfe1V7vz5t5+Q5vhx6AlRWOF1l6PinSzZtsE9Ho6Vw
LPNQIo0IdHP83cb7JFHsrH4LGv2o+9/G4uANX0rpd2RhJpfcCcU2nfZGtlNHR5s2hb/Tim2vHK7/
uPM7GmSBZs60KGhn0FpOf1uNtp+ad2HhSKUrS5PdArkc5ffIWnntXYxDnxowJF0NbujTOIPVKR0m
eAXUM8/WRkB/fYvv4o2a/XMyBSADvjsSvPTlQYwtzvlAKCqvD3HoGydS/OnZUN9GHGvTn9c/3PnC
QRUHajBNXRh7JFWnA7IGTcXsIMYIsE/QGMddxvE8NKqvR7n02dgJQOxmfIa87HjWrYB5bNAUTlcM
yREfY+Eup/npyn3wgktqvVLwON948OpnZbgZBwR+fjFLkicipe2VhVOhWTg07U5rDUgKxsopeunb
zRRuikfKDJBdfLsAM5g4yerCGYx96v2Wk7frX+0sz2UJoMDMc0hDAYVm/+ncgF2esbddAZbeVWbB
StR7giP6IjZWcGr753q0y6P5T7T5r386rSTJC7GAI1rY8yoR/Vs9MdzrIc6vHQZEVQZ8DsCms4pb
aeGkPuFb6oiUwOZWlpR/t4ZnQ36RJ+yatfZXSOVh5Va/HvTstYA7C2a7TV+gKruvW+zkdqPoCEO6
C/XQaalgFv9MF4csoNDbgibAowEy9+mXRDM/sroBpiAAAlgCGHCKbqyuLL5zwCe7FUY6Co/qLCyz
1PD1hj4f/ZZ0N8FdVc8HxzAFh5zMkcfoFRndr13+oqGxEHtPaAC9j2JxROq2shS3XG+4yQzpNCs8
/THzX/+0eOo+8Exvzr0tMPUTx3yz8f3QxVHQtBsYfW1+7OJyY004Avd30E1XjrELO57GpUFlBIUQ
YOqLrSIPkRpE+VBSITC/8l7z8VLsaieuk7XMbb5JFyOl0ofSiYKgPHSkxdmSF/jSCyoW0DnG7U4n
NCygSXwsDf9dw2UjLmNjpU59zqCc++YI7AAvojZOWfP042IEm5m90VROdiv/mGzTDTf/m7Mr7W0c
V7a/SID25SslWV5jO3v6i9CddGvfRW2//h3lvnfbpvVMzGAQYAbBpFRksVis5ZzPj9hpASEOMoEV
gGdI7tL1Sw9IkTMPTei2/R3SgX6ArmW8qeai6rV01RTAwNjTGmPHpKlJ8JCfJojFtGZwAPP0qwLO
dS98yJ7XCRF4YfKCXaGFBb1uwP2BJ2Tv2wCsg4JSNLUtH8o9eFu35iax34r3YoPqg3vfO92gZM5Y
8Cir4MTK89OOnTceFJ+qUYt1Fp4AkbG27MwDF9pmcjF0to45dxRXGuNvw9QIJt2Caugc2AZbtEUc
UyeKiH78UHc579m2EHRfK8cYkWGlFZjvoNx4roEfRDBYRIzUMTwQxXNu+9uhH2Yh53DgwhvoUoyj
SiGr31L317BLPPpevetEhIEMR17st+QJr/aNsVBQ16BNY1atfafu+NPYdaTbAiYDXL4keGq9+uXM
az7/LkQxbuBKJvOCylXF7KUCMs1ztg4dwIU7mHLbW2SlZKRyWlddDd5H6Iqr3Hvl2OnszG5kz4NF
uE2BAq0yzq7H8H0z1pAtfVpfyc+Vf5CBIE9XuFinbbHhbueCy8Pk1l95jKVqERWBHAZ56gHv+yPo
MYFI375XduBNAZGPvdPa6cG0c+++ogs395VcxmTbHjSqGPOvbWqXKzMmvx41TwRYHs9cl/VTgA0k
AYv+xsOlklyGktXBw21lj/7ODgqQVsBnY88AEt3PaPMz3IIWkwfocNulMh8TJEr/Ty5jQ1augHAp
7mu7fk9+IqURYGSj/lW7EgZr8pS8nHkMBPNG3RgO2snBd4H2kJs5UK0FQ6s8G04vTBgaEndtzkOx
URY99oUMxlg6kE7reYTrYrRV29o37lHajPbx8d13/NXgABPkQd4copffqMl9oPeXBCsv3EWO+mA9
v/xjCId5hVGaQ7sIngMYKLp2RH2kgSxdBpCVVDyX42OaY1KYYz0LTxuk+xDtoWPPQBjGiJg0MwFD
nwYwDHVwhpxI8jwhegg63lW4KEieAQrx9MbbhjkNQhFLRZKrtQ3g0HEbrScif6hEOwM/sOgJgCL3
IjGc6URFjoaLVwdCTDyvUXUCZQQjOVQrWjUj5quHVWeuy1OAsMPVj4IH6tH7J35RxwtJ8+8vLg6g
l0RSNkBS5YIfu7DB8G5xtFkUgUYlJBPRsKSzo1ggye2CPsV+Vd1LKIKBV1lX0cbkRS6LYuYeJWuG
CkZx6VqTOkeiuhtheYGw1/NHuVpPkT3m6/vrtXgNIY2F04w+cMxwMAuWADm78Q0dV98nGKkA85N4
hhsQfWPuw5SA5Xcbkgdw3Kz9g7HhwX3N+866E7w7ACCKUWIULRjTt8awHCoDFmmY9DTq5pq2YPrq
Vc6OLSv5Vw4Le5FNUlbRAXLGrQzCQsUuZSLYkgcf+QiKNHfSwI/lQktg1oEtxQIuDECSCWep58D+
VltUkZHAkBGTMjtK8whgzAUMRz80P83HAI+ufeSazvhprOp1+FOZiPKjdoNncY32qk8wRHechVi0
Kbw45Bml2QRvyrVNJYEK1vsRX5BNm344G+Bz1jXXBNnpfVV5chgXPmaVOc7DNLafKauQNgQW9kLj
LCeg8LwvaumKR0rgvyoxrgXj0UpsUogCMeZBl/xVr4EfsypsWepea/0zrctVKXEeVIvx6aVU5tSA
ylCZuhpSJ7Cb1qDhlX+PEqkqvBcLYqibInRRw2hb2TbBsNu493VeuIUNmBF6NOc+LotNf9eI+fMY
IEK2boDAD/NjAFi6L2FhA4F0CLYhdOEj48Y2SmYoO+HdJODBKKGVSSeT8RHPMFDOfTFL64j0FzqK
5osBvZ/M7pVyICkSODttoAZLq/Kogr5IO4hfrdu5pR0eZB4H2tJVdCWR2TlDHqnVgFoWnFJg87Pl
U3+yMCGONVzXPNCgpX261I55VnRyQsFXClkRptYAEN4jmXh/ARcc6JU2TAAod83UZgEklNZGazAM
2ThgWL8vY6HShErdxSYxXjorBx30HGFji55+Dh3qxo6Qur3zNHrGF0fWTU/rN78Cmm5mCFHYBeOh
QD+TinUBRi3pE7uCYeqM4CIaSO3ph+mDI0y+dciI6oDvAFEYKmQroUOEkcJASxsbWABH0Z12/gpo
czWJf8Yk5sPBLJrDhTjG9CpAvPValjd22ilOE3e2ZPK2at5v5oq50oixuMRX80mRswZzeE5/Vr2w
IPGqRr8lwLGoRVpXOc9PkpIU++iP9sxZT56CjDWiIavSpxzSqV3MqaWHX91KtP2T6YhPxVdth7/v
C1x4dl1pyxgmCBPFoSqxoL11ioD8lRNZAUG5T3KFM0u2JAldgGirAO4ZwIpmzS/CSmUY4O0BsmqP
2a5uUTVHCvQLzUytz4nHbmfScQAuJTEeURbkCjOVkKQfgDPYb3VPc4+no1iScj2QwEvJViYimIFB
zs1xJosH/VI2Y6BTXRtya0F2cQY8ErFs/5h4nfsHlAo8TIwlQ70UxRhqlQRy2odlY6s/8n14bNfC
QTg3nMXk7Rpjjy3NgGRdQB8Lt1gvkSxDZdNpWqcHE/V9U7xFivneN7SeYcIFz0W2E6Y1WhlAG9Ws
0LQCqEaAXJVKEnfY1OuPcFW8Wwf5OXwcdzGSBMmvZOSEdks5LBjO3w9glA0r4ABbPT7ABPZ9UL9X
xQOA/8fiUxudHBAH/aeqfk7NAyrHiobuT/mVmrxFWN7Vv9/AHMg6m+hgifMiAExhPOuetDO9YYdZ
/a9s05HaDVeAfgFcn7StSbRC874desPRIq/GRnfv78iSM7pYD53p8aqymorjiG+ZLPAr62e1ON4X
8J23Zp0tcHkMUJrheQYawmunkNRRNUVi3dgd0hIIYbyM0IcQMcyM/eyp68ih6+kkeryzs5T4NS4F
M1udCxggbgYIBtTttBHx1hXtCce1mn18VJLQu6/pUjR4KY/ZVkEs8qTOIK+VZAJcFbv2iSzVeFpz
9mz+Q3dWlO1wNIWxoYmJPRNH25Dsxt+p0XYukKM4rqkrhQcEu5RAu1xJts6LFq8YlJrQ7EewRant
N24QnNrJRtALnHRKTJ6f4Gk4hyQXF0lRCFIX6NCQxuu8dGoVdZ9VptmSQMrsDwif7+/cfFvcW1Am
nAIqT6Jp7WwplIC3bah/Be3pvojFiPrCOgzmbtSGKqOaBBnxXrRBEvAMhK4fMdEflH9RFr3aLeZu
bFqlUVsJi9dSWxteM1Dg8SiMbug9Z4KvS22YOzDV1Tb4z4qtwg1QGLe5k3noI2phEcmmWdWkX8tv
6uP9RfzO5txuFEbTQEIFXl22RVTDXHCrG1DNetK3xk55s5A9bsipQy5GJeKqtN/gOe0UqV1xLTrS
x79IN0Hvvx/A7GJfgYAij7CLkkTkak8DN1S8IeYc8EWnjBIgktYzvgpLRjWPWwsTcoH2EIsETxdi
8UYcFp+UcMhIpQLVAOgkjMmH1pCK1IQiuoe6mB1/hQAEfYhOgpO6YEHYBM79rVuOmi4EMitHYzP2
QwsCNQQYZOzJ24dMmqdxXax5WGrLZnIhiz0BFVJ5tQ9ZhSv6ru5SNyGiPRB106JiTwAVGpKTf/os
HwO3RfEq2StgD+E4lYVNBAEykBJRBwC41ne27cKHJUntp5U8VraO4jVB2dXp0LXNiWcWQglwyINC
BcigyESwyTLVSKY2tlSUiKraEXSvTt7Rijt1GSnpMeQBRS+phI4sFORNdOTetBdVqapPdYjuNz0V
pye9rV5GbCmnYLvgjNHC9FcIc23TtsuLAixddh/VBMTa21ZX8VzR1/cNcmHlLBEp47mLeW4vZm7r
KvYBBd2FuKWR7FtVndHZVWKBeDAvjlVtmY++WlXPUVppHMELdxsa2mY6Zpw+4EIyxtl2oU9NIavt
SNwEpkutU40IMD5UyY+mtZPkfF/Phej+ShzjqdUA6hsqxNUjDoLoJkLpxlWNFJwjYSfvC1swEIyU
6OgHw9Q5mnIY3QLVKmk2V/imatNliZ2mvJHzhSDrSgKjjpGmWhm2A9QpJcxHJnYTP6rZoWgG574q
S+t2qQoTtoY93GYSQ5Aunpu+IHlQulO1k4qMtOm/yARfacXYfAno1gHsLKjATkJ1zMJkcKlQBedy
ss5i3soc3RaOGA7Y3HltfFdGGdsfM6qC5gniOuucZ5s6+uLm0JeWD8lXeAlguaI1i1m+rgLB7yhP
qPUWp0gjPV0D9ywbnzreXOBSKGJdSmLWbvBDKZ1KSBo938v+TKt292tC3cJwAQv9FJxKTw2QGLtv
HUve41Ios4K+7Buz70VbQrzO4J7Ek9E5KnXG8DHsOC+opUP1VxZycNfBsEm7OA8LyGqHp6jfmrxS
8tKbGD3icxSA5lTgJTCtVmDZnHzwX+LUHgvTFt3s0Hugy5qnOHXcjT1ifMtBjF9x6gNLZngpl4ny
R/BzIGcKuVFQY5zhLfZTRxQ4QpYCD2iHyjR6YYDVwE6e9S3mxpEfg8cIHH9wAMnvBDppxFe5fW9T
1xz2eXmeeFSpy7r9Vyr7RsumpJObWTez+CpT7U2uZddseEhAPCnMzvVFapVZD93w3PSSEkF4WmwV
k8dXtWTtwC+ee9LRkY6BnGsL9K28awIVyhjinyJd99njVCSkq2f8+IYHYrf02sRE5F9pjIuXQ1Vq
kwjSMEGi/wiTfjTIIOfp14ADd2qlQLO1vCn2QB4bN5gMalxRSAGSmnbNJowz3enr1nTbpPy6f+aX
6qPoyzdBVQeoJ8xsMqsdFUo+ZvqIc5LIbte+UTy5aSg7cWyt+upTNixSdSDzKTHoJXaHVhlV0lfI
c9GPyTylYb0RJHWLWtFRE32ntHiIjIuu8PIDmQM11AWgvgBMgqzosIpPPaBCwf3lqa3tr9WnbJNv
Q/gqDy3A91dmyUNdymUeE31oyJUfo52gSN5a9ZDxUjlL9nf592f5F6F0AeChRFXhAWU4CgWdgm3n
GOE2jk8AFLAyTq106VBdSmOsPS87IZYxjmRX44+xnrPlr5r1en/FlsKYSxmMjevUnPqqxIoJKSAl
wMm9UgALOj7el7KUdMBcA7DrMMFmYZ6E2Zig7LMhAxWDPcmvfWDYdbWppZYUyCNqnt5sVTQRVLxU
x5Jul0KZ3WospTJ9DVbYdy9p8qyleCMfdN5bZPHWwm0FvAUgOM5t7tdGoaKDJRonCX7dwcGbnGPj
RYaL3XLLg++ayPQBtOORV6xcMg4DwTvKYJjMu4GKjQzaZbKJFe3LxI0q1N2a7nXKdU4lZcniL8Uw
J9nMTF9MKthH2HpT4eBMk26a7ArAEqKYEFXhxBjLlnKhF2MpQq03vfhtkGMLTDTMyWnxHu+jfabE
Tg/+XDtVwmORFsSqOk4wxVtTxmBkgCwGiog19cVzRD8S6tUDZ9J+KRy9XE/GWATZKCYxgbFEQ/rY
mTIZTQDJGvVzHXYu+oc427d4h13KY8432gJa008hT3ly1G26Mt4Vy/GfmtVkjxtUFVfN6Nw/6/Mi
MakxEGuK85gCQIduBn9RDtOixodEPRV+j3H/K09VjoilVP6VDEarYpLExBJglaLXPJp273Y7CWWL
nKhrf9/Z1BEdcYf+J44bW7QPQESpmHYHrhfbnN4Hfpf1CqIcECy+RcD4lAodyJE8mpWlnBjU+yuH
OXSSBlqhOoWcMItemuolotZGH1OnkUdbGd+GSfDkjj41Ue8GfUPKFtQvY/pyfx+XlMUEwjyxiZAV
3UfXbk2JUrUFgAuin+zUJw+p8SyKnPVc3MdLGbP3ubhPFTzOmi6HDEO2hx1GqB8FG7Rjmz4m05lu
um22Sr3hQ/ryOediUTmALYImYsZdZJXrzDQwkwyhnTY1K78D833RAPjC9zk5JPYwIKuD6w7d6EhS
oUeWbVkIklIXZCoKpNIjfx83xp9+aqd/qAw4y+bkHl63aEIHYxyzU10OPGoM9gsYKf4ZFeI5CY0V
hiie79sD67m+pejoqcWwEwR+G+3FXiGoV6IhCgMMOUmfbZl7fjk+DwKuvK4GsovUmN59gewezQKR
uplNEODOmFO7No6J5mMnSElgG8VzXrYPYWQAaIJXpLiJVQE1K+EWBdAV5utRC50/40KvVB7qrBDS
0N69Z2TuyX4k3ueb7dpn3gPw1hjwTkDwg4cL2moh61pSCOxbH3h9qFJ4tXNYrTxv3zgpsR37/sJ9
r8ylC4ZKV4LmD7lQqVfkIRkjP7QTcGeUaBOt8RPbuqvgvxQoOf9k+Gf3/u4cLPdwXJHNMCvunT5V
slcx0KC5gDN2P8lJRS1FJSl589wne33++tolhPO9+Jx7n8vsgGyGSVCDw9AGf0psR2i89HKpLFw5
SB4NrZf+YViN3u05D44t19Ard4OTO/QqbWMwWNl1DE5XXSvAA1E0EVwpoo37mt281GZZYOGFNDhQ
tEcxqoUxRnG7RkIncLCawI8JKmg3n159QCA1yStNBycO9p0h7MK0cwBelaXPgNHVs3hVJuJGoA+1
/9swNlq/4XzYjS3OHwYaBR3wdRr+nbHFqR77pFIxEDnlkjl3z8Yg0bXyRgFeEshfDslYRLqt6yBo
tSNBp+26KGTtFKay4IpRTf11FplBuMVQL0JBQEIqjpZUoN0J0Hvj1N1YguVUGISdKUY5SFWTtBUA
fdAjnVNllfJOQWIGrB+1iqlzX7UbtwHEM7D2AskI71zsLpMRk+fiTt8Oid03e60uiYzhNSHiHLGF
5dMBbCKbqI3JKI4xvqlK8GZS8h4cNJSuNUApwmuu/7EeUAG1zdmxIwvB7BCdAqqkNfSY/O41DEXg
KUsPYsobNpyX4/bwoZEcvfGYDFeYyyP1BaM1K/iK0PSJAmDgKXOTBvzcdFgrOBC6BmwVnRvjLOzS
jEIDTwWyA8DGsQs4tDmNFQNzha3lSHQ7oQPHMHmxKPsCxPG7ksIEUqM1SVMXQ0qHd0sNOB062O0o
EAwDck76oj44R2g2w15prNWVAF4dzTICNKOebARrcNQpXvktj4aCfY59KzRjaGACAFOaImMUSi37
atuGQINUa4U0YNsFOMJ2tNBIomEhy6p1KP1z3xBvL/75NvlrIUyQNkhATO0lWAhwBbcmqFDFytia
fYWp3nYFbnfONXmzksDqAFGpBMM3NfCuMeJKKucYJwojZJkpmjzEnCRjvytlgdMIsSAHhOXoEQQM
EnLkbDCv+jPu3WwTwConmlI7VNwn/3SiH/Z9JYQxwKysxzGtAAEyRHAWUlBuaANIzR4dHorgpf6f
cKif7m/XTZ4ZMs3veBOhxowjwdgIQDH6ZKRDBNOIzuDnAw5YbA+1+ClJwXlI5ntGfJOkglRB5UQq
D/rhxlxwCuZxCbhHZCZu/C+lVpp2IUale7ED/mtvfFq5of2sFCqhbUbLnbTKx5f7Oi8fCyBzY1gD
JsP2BbV+7Y+BgWMBkF036vZZvymlcw2UGyU7JbyzvuBVgMSKxkHw3gMdngXsSn25G/D4jO1yypR9
VZmTU/Y+QA6mTlxLUcCrEC/Km+GfQCEACCb2sgFFeic1eoVBlzDdyu1HEMmrAMdQ5TxWbk4E/Al2
DYEKnAvGb5irIAIYhIzmdOg1Vg8wFKD2Vl4gmM/3N2tJHVyccCkWptvQHXEdnc6U7yGiuthO4x+S
9tUByUr5KsP3fyMFk3oz4iR45WZlL2JgUIZLIY3k2A7ETTt9zXATwXCKuq/7YpbWDP3FyP8BDRSr
xoiJ0xYXqG9Fdgyn5QmRlm2zSsVUtxXFBeedd9O0Cu8PlD08xhE1zsA/rLBRqwojSoD4EPbi65AZ
VkcAqSSdh1HMCzKCYhfNxoIs/mry3ljl7Uhf0iiYcB5i0TjVQwras27CI85DRVYESKDY+F+NXw/P
Uxikn4bRaGvDzBtg6XSm8aHGhfTzn68XZuTQhSLj7W3ctHlSRHy96AOIQx0dP0S3lFWsLd/iBIFL
NnYphgkvctlPFM2AmDQE8cWwDlrR1pLEmfzX+/osCsJVrOmAI7oFS0DHi1xOKuJLmhkA8coHVX2T
MCH6qEy+8jnpIULs+xJv/TsCXAA0AMoKM6jz7XJt2bWGjOyYJ4kd1+tYkRwptCe07ILreloZcu5U
tCQWend5ie4FU4dcFQ1vcHsqBhCv5U5VmPtCmSZ2gPsEDO1O0QhOYPCw35asHAOGGCQyRcxmy2zv
ht4MlpbV6KjokOQNypAIYCw3X9TaTSa3BhB8G7mVv1UCD4AnADkezKdatMPuZ1kChNs1VXegwE3i
WJQK7a7iZKy69j3zhEcjwCGZVdeTrtIi5NrtpPB8Fey2uMM5GzvXz++JmD/hwmVRcHJJcgMR5Wes
2kDUjwrgGozv/a/hg0c1tnBLo2Ahwn5mxim8Tq5lWVM1VGkBWSYc40j3fXNsZfDENE6T/PNrBahW
SLXBe82Oi/H3AUrhQWRVeMgE5RoAhk4AfGGz4E0tL5knXD2o7ufn/Q3t/BSojWIOEBMUEyC3O6Il
OjF59YmFdZtxUQCTC5Y+oIMyZtBYsQI3OsR2jsK6m4udcIDr/DXkTYveMDF3Z9p5TsJiwccAfgao
kxIArlDpYQ6e4JtCJasmZgd7ZR9XvZ0hoTia2drvM05QzBPFmIU5KTGW0Iph5a+lGZIGmT29eA95
GfyFzbpSiVnGSBRbTckhp8C4QwCeT6ON1nTiTRIvicF0B1JuyAggGGUiGhHt/motASo26zFQJdUP
flHaaJtd3T+5C75hxmgGrxrofxEMMGKAEAeAddokdhG/9XqN18TTfQELegDWYJ7HByC4ckO8Xvpl
EuoFTWw97P9EbbYqFIy8+bz57gXjnukMQBaB2AJNnIyhiVpjhoIeIKuRFvsJ3VJRI25p/qU1CYki
3gjMgjRQUc9PsPnFB4DBaxcUI9jQCwCq2QB43YlId2Wd4egU+lWAEObBKSwsIaTh2sIgtQXcKEa3
yjf7TNayFIhZ5lbUfAKUPFduOCHawvkBOSkguw1Ai+BRyehEtT4RLCEHnUGhe/N7Oc5K0mdhQ/L+
n7vVK1Hzp1zcFpEqxHDvEKXU1jPGpgHLVGrT6NRoDOFAaC7YN0RBJ3SK4l5mqxhRV0RQGqK0StiY
o3EcJV45myeC0WbUwi4ofYioy8F6BIdYjGd/EDzeP0fL2/NXEeaghsAskCYLUswes6pw3erKmB4V
gXeVL5o2vA7Sy0htoWfuem/62hCnfAT/ZVSpT11nkM7y15McutWYHBTB5L25l96/s5f7X3lsk9do
KiHoVcAOYJXNANCusLCLDvxvgVx9+L65CqIAs6XJ6v5qLkoFAsqcOsRrmA2J+jTQmiCqMNRUpFvL
JGX6W5YGUqqnTAHrsckRd9MaMCe/ZrjC/5PHxEdynxsgeoO8oJPtsR4xPq2hMVu0g/Gp145oVQBC
p2vxhiBu5rdYucyhVqUSvcsh5Er+5CnhSq3Oo/Lcq14LbcfCK5rRnqJ8RZuNzouGFy3pQmfmXOi+
kNEgg2xUyWA5ukbEQTiNaXCQNPDYaxmn/2LRTV7IY06IOljwVsWsq7wPJCBbNeFKRzn2vuUsnsML
KbNlXfiuqYwDinG81B4tyx209kffUDBKBjEp+aAFi8JAiAiyDkTwQA28Fpa2QD1vVKTdWk3AsB2t
SVkZn/lcaon853hdUKKO+7yOiCJuRM0L45++rttd8N4VHP+zuLro24NPQGYCz/jrT+lkqTVoCdLQ
IWp+ZyaG5WgD+hAz4NwNiypfyGGsRjEr1CUsqCzIEqZnZXDcAHR6+hH9q0IITA8pI2TCAFPCBHJB
hci0HCjsUxgtohRWRTKrsO+by9KyzbkpgHSjln6T0UQubsjEENyndABKFx4oUqztaGu+3heztGrI
H84IsoCKBtrm9e4Y6LcLJToT78V6/qyLY7qp/YDuQ2DDvGpZ8nZf3NJDHqwXmMqBKaAzmH0YhV2E
/HAEqsQUFLxdu0Gyqug+QBPqj1sqpKQyDmnvNP7qvtybig/cKJ5jc+yFPQPW4rWaRZ/rHQ3AQwZr
2JttqXpJM4pELLTmZAI/KH0daFETo/h5X+5NtwcQWIB8hqQFsKTnvAUjuLKmsY0UqpGgwXyLNbXG
XgiHd6FRZDdBZZFk1HwT4m56A3rr6LTxqNpNEj0GivKjl4JXxayTB0EfJy/pxJgEAeqm9z/xNgrB
92FlAPiJ6xS4xddLkwpiIwAFGvVv5bkt33pem/TtjXn99xm/B6yFUM1CCe9syUuEV0N+HtJzmnma
6ZQBD/zt9tRcC2OCEDXO1alE0pLM3exBCNTqYAX+JE5D28LtCAOGN0PNCzD6Ktt9Ijdth2oAcgcY
lSSq8aolPxTlRcjRpq/tE/ml6ncNcCWAWQhe+/vbddPdBouaM/GygXzYd9L6er9yoyvSSsF8gCx9
SImT+jg0nWuofwzNDqlbN72tab1r9S9+gj4f68DNB3zTH1wnbeZPQJ8KylUoN7MmI+iFbg4djNoY
S1cqgb5bkSratiqwqSK7FI40RId6jGOsg3RdskHEO8juRF1hcnr1BHT1JlxXCHmBLZ7Ivd3GXmc8
58NTXzuKGNoiWHAqLVz1pmqPvg8qrye1Xo95BFo9jHQ3P9U8cBLh0JY/MvV3Uz9Z5lG1vHgUvQCt
M0gDp9kTNbZ5znuULsRj16oz1hxFhg9+S6heBYkT6oCFxZMxACOSehyoo9DSGeNHjfIA+BYO0dWK
M3YdD0A6AsuYRrpxRXtUtrCOT6jJwtiCPUqunFjl1l1eacmCkU19n5hNAHHA8yftiL7XdJsMA2k7
YFaBu3H8Ek0ex+bC0b1Uka1NRmXb6ULeaUQbdDsogfwHHM4I2Jv3z88N0PB/zg/QBef+ApBuMzee
P46+nlDIGScMK1sZqf2nPP1taVuJng1DIInlTIlTjm99nTi6tJKVL6RZSK/pIKfviYBEaKkc+sFr
0AwsYKKP84HzB9yerr8fyIT8fhaoWiFh8bUAi29u4wk2r2YQhzNvoEkBtNMSqVPZNYLTFP0oyl2S
YzBOzJ18sOwxykFpe6ZKQ8TqaHaYvwIaZaPzbrbF/frmO8YTGRlI5t5AtgLYFQ3WMZhkRzBsK3mJ
wk2FTi80NMVW4KjGIxiEQtQ7rOoN+Xk6fKmFyVkt3lcw5xGjD4OR+PgKsTVAE/lVNRLJacZzuvLS
nlwoy5w/8JDROPV7zNIBW/wxRy/uXKHXdsM8qlBagO+gBZAuEl9GIinPAK0G5noS07h3GyUyOQ+W
2/69+Q4ALLqFQR008LGE051oTWUuDRpJq3MmrzDcoqgpKKczYlgA2Hg3ig8R+4+XMX5+agNGsa2P
vkat/5ljrPMu3xjrxZcw618gm6UoYKYgTTeRuFrTRiV5Uu1MeWv5iMFrR1LmkPwoNo+iuAqmh2F8
UQXfCeI1aJ/sOB6JTLc1yiuN6WZaa8eRQga1JVkK8q4Ib83Su//NCzHovHogM0VgDb6d79v94iUm
JGkPapYRgIrNuy97hvEhKCGpG9Ub0Lbld5ONERcgUlGp5TifRWvFlmFCA9Xgm3x9YHY6CDwA5UhT
TLXStimcTOi+1Jm38r6St3H9rONfScy+BKbvY2YMklAmxjsls4Vw1WrDRqc6RyeeJOZoyKBgav0E
kjBG4Pi4uaccLQjpSaWcGP67C+bW1v6rE3srqXllGmMILxhVvmMCAwUkEVG6LenkZNGZCrGLmVe0
8oG070ESPVnZBtFOtRAVvabWu1K+GiZgU+iPfjygakFqesytDOSSbiG/IvIdrfP9PbiZkvm+auYM
4kwHgZG1eekuDE1XUh/lZXywLvgPQ9g6Rm2cAwkkuu2grBIZ8Nki2JBHw8ks60fif9a1gF5jP/Im
q3OKloscMid8b1bw4oMYnz0B5XZAS/A8WzqtihFMMmJLQgAYh7JtCUDWjnaNeOpbnRiRc38xFkx/
hlAFaB7WAww2jJlkcib0UQZHkbch8lXCwe9St01LTt1o6XBDDgCPwB2JejHb5Ck0CTrTDVwIgyaA
Li8IexIDwxXjzy16gP1GWOH/9T3fn9PiNW7YLBnRUYDueI7CS4E6BmxRiUESBn6axQlMFX+Mwwxu
Jq6bn0OgOIUlvSotCGGGwrYK7ckP+o0pJntL7OxMDc96Lx0jVV1pXcJJ0S+tCoxwzs/j0aDcQOgC
VjlPyxSHNE7k5ijHIwLsov1UABlA8IsEjVFZ9BoEcb4DDXFkC714NEPKAxD4Xn3GADFWATuYgy8U
lxkDNGgh+WooaaQdyswNTQtMRkot7iW/CEmnBRZ4Zfsew6fxU5hmYNgFz66dRJqMrUPRVjL8x/tm
ubQyV7vERFs0sVLMZsMu6Zwu0ryu3oj6oZgMYgVHBW3kYrY1tD3NOM5h8TxcWMf8+wvf4FdKY+Ux
rCNq400K5spoykFz989L+KDLAtMDerExJoGE1bWYFDU0KZrVS+KtLgW21XLqJMsLeCGBuWmkTh0j
MYcimfUQGG+DsmmyddK/KcM5K7Zoq1blfV/wDtdt38C1Xow7QatLEKom9NKMF2l68wXfS8WtkJ/q
6E/aoikJrWK8LpTFLQNzhozbG1bMJpG0FukFfYSmqg6P4avrDNgyRW5xsgvzgjFnBI1Of8UwC1qL
dTgas5ghyOyy98LE9XNXGR4LBXDylJP+WTqSV+KYlcRzSG6FEq4hKU5SthLiA9pdo+B3GmKiWnGz
HDGDXeRfAOElWc+Jxe4vqcHCK6RxlkptigtJaUK3t8RjpxSHLjX/zWH775ICkfj6FExpgmTk7P5K
7bFpwT7+PvEcyewn/v9dA7HKtYgiEkORDti1BJTBYl+BNYfjqnhrxTxck6IVNfR8wlOFoacMyAIM
wRZQmO59jzh7BFYRdDuhSQbErJjgYjxGUA1CNo/go6SmYMgWzCnmQapadCTtBJ3XwPKdKmKkXV1M
s9IXbjBQzVJrYuxMJW278Y8Wyuu8XVdgetJjMG8C83aidgXKgdoAdDCIR43GM4cni66p9mWpD6Ly
VRhfYAJV5ZPV5k5TFI7a7wTjp4kRu6SVOdHuwupcfS+zOki94d1b4HvDCqkRWW9FvHpot0kyVG/R
GgMyljbmkb7OR/DeIjEeIcDQc9QKEJqBpgeptT4fSR3lLrr7ANIH7DXlxTR4lGJLjh1eDs/MOcsn
AxPqemvUYlByfYAhAKyGNNs4NWHT6Md1TAxGHvOx/qPq2WOtC5v7BriUXb0UbM6+/9ImOiVNscrz
6/aZ9h+S/CewRKc0n4t608aYbJnOpbEDWj6hGsf3Lpyxq/iEWelQpg0SmxCta5mddR89Bmm4qDkL
3X7mlRR2ZXW96vwRUmJ49C7B7Pz4WowTnLujmD9rk0hhTpA7NYoWNgXEi9CZ8hjJuKcyBnFqtCra
d9lCBhXsB9M7Z/UX3gj4uLmyDuoI9LAxvrLJ8zIrR4RoBX0Zxl2qbJQUpOH/Q9qXLbmNK9t+ESM4
D6+cJJWkmifXC8Muu8CZBElw+vqzUPvc3RLEK4b72G53RzvCSUyJRObKtRp/nLdkAnJ2X+heVq4s
+lJa7sys4D+zGc0BTokX3QA6JDULMgSESZ4EHRqNmta3Fdurop99ulHixq1yVIksD9hfdwLfsPRY
qL5qeRE0e5Ce7Ox9u/Z9fOEvjiB6M3Dzy9w7iucefTs0Bqmpa+qDn06Jm3Vgv2D3kbVrsx/TvOLr
LwTJ8HTkkOf/2hM2olSRvEpaTEeajFskU5RkcGPQz9e7XLpJ6pfefjKMYzds45EhJXmcrMxNyZ90
9BPlwazpittbPpMn3yNsWXM2C6UHMwfSoO8lm3dNPocKXB5LXlTJy9jrpKvIajzTCV+0ciMtJd1P
J0OEeuiA1I+QKjWQbQVjoHHIozo0o2OEgliB51L924k/U2sl3fD/sQrRG7QxcgUD4SBIuIQaC2pC
7pz/cHLZNcp3kuWuRV9MaMOCTdCyniRdWhmsuNHQBGTi3tU53BkSHBedLPKANiPJBo5F3hnp5A3A
JBgHTXlt+seqWnF3F29UoGegBMdxfGgNxZNZuH45xLufpSr23sNf4e7P/Wdw+0T8tarcxW7mZmx+
lwAwA5VPsfONSLXG4rlIvFfDRROw6x7Qdut6wXYlmHXEZBQ3BLgWnvho0IIwqvCaUyM1r1RSJ55/
RLfx+/E/P8LwGB5dmMUv/Aj+9x/8x8bdufiFVuD//TM3CNygdA8Hz98+PGy/Hrb+/uH14fX363bF
z/ITc+pR8KnABwNUzX+h80A4UQXtDD2qGHqGvNYLwzDxvn9s45Wje9GP+20IislA8MJ1YV+dX6fy
UBVZMWHy/b3vh36IQQfuSrpxaYVRXgfwCI2hJrIMgn9sNKcoaEITtF/v9697//gRbt4+dfctWFni
i7DkezgnlgTPKJdEiZwYlvbHI5YNTev/YmFQYAWgGtjTS5r0pHIg7pAgCbI/+v77MfzjbrAdvO3K
E/a7G0fcAKd2hIEofVHFWQU7x4+PX8/Pz8Sd3Wd0pM9uBaps/vMZpoND4G2fvmrv6esJGuL4+TW5
qDfyfz1cH/m3ltHlF2lAZYCLToNXPd8pDcAoZcw7t31+XHZ3O0wvb9X3tlvPWxn+9192zZiQHB2s
Uh4Nyo352P1u+LjByYQlf+uvmLrgBuBbRgFPBJDk3ywEgieXx5ZMndNyU0d+AsIdP/bcEWB4GJ/P
f/2buTyxKcQzxMlG1lKwlPiFq7n4LQMPQeG+YrSZl3h/Nm+b+8P94RCsLOJF0lkcrPBMZLRXYzmD
YXjAyg3D580P73bNqSye99Mp1c+3ikUUFTgePjz/iFQZvOf9Bjv1ZW2bXAQe4nCEPWkmeaPI34be
/XC3cW/XLHznYS82ogleOVSDAYAWi2laWpVSBpQOX6m95b73IQv8EKwQdfD57Sq9LT8DK1fv8vE/
MSsc/0yD1PWswCzfH5n7zrz31zYYcB1MXue3Qe/7Fk6Fi5uS01F0oKNwN28AHHhdgMI1iJRL/MT8
r1xMjpha+57xkw8T7gu7jIGe0/+ztPwa9Y/fv+Hg8MPDb1Rco/yw8t/wO34c8O/vw4TjhB8+P8bX
z5PJz8uVVTKER6FEI8rks6/6/rbQ/8/tzb+Cfwt+4UbgP9a+QONbWvwCVUb+HF2iIHAVKxhVhUyx
3gDgwg0jovj+ARf56L5h9LfeDXeT/kO4FtRcxDRIBYKwx0IvBGK1iw5IrWljDaxZ0GFm6OhnJgqm
DnOdzAi0fA0s/t3QdjZIwZjglbu0lNLY1nD5Ve4dcQko3tE+6f7Bf80Q0+X/B5FbgPG6GPbmcO89
7h43uyDA8L++Hn5jWnYhP0ivD/vtg//w+rp/2DL3i/iD+3uNREVMxvD4mE8KAim0qaF989wJGdlQ
lCg1ZZ5aypAaq6asosGsaJDboWPErM1szcmONGW+4mQXlgSiioaKVzIUqy9aHuxIotOso7t9VFCH
xCuO+aj/vxuTkd5kZaOshHDcFQiLAuAwmIFUIC3QXS4sipNpWtb0GKfWIf9Se52+GWzPQorCagLL
WSkWXQSmyG+fWhNmtXJKCDI0MgY33w+g8XNuTfMwlpsEQK/uBuXV6yf7AiKJVTyzJzhCCoB3yiTY
K8Ek+B59ta62nX/lv8iu2qWPNeiDs+fJH36tUY7xm0OcVTQwo7cMrXqQHBf8nKnRvIkqB62H9UMy
/CQpypJr6cIVG99vzJNUFlMzpRh62KCQfJJRgVTBxYxCz/UpXNqOJyMRX6oqCvuDSWGlyLVnddAC
1vlyP2Suoq1F3zx6OJu076qqrnPcM8eWC5NWpSpDXQ7aheUUjvodEDE9nBGde68HzT87OgaaIL7s
Blhaw/IVYy0RcTGh3D4qiNBrhxwnWtzOj3wklZo0dH3lFerNkHyiLSEmv6/P5mXIcWYDE3tuY7KM
yDAb2Ggd/UFVGTC6ujfKn6mBWm2qbrWk/OjI9AO7Fuup7OqsWzkTFwde+AIhYEVzRmfmNr4AZPye
M0Zu296CeX1vdqNvoDNhSlYbPpYWFu9zVOjhUNE3yP/8ZKfSXMvYrOiVJ9WQbN9ISPqCF4dEQJFN
Q/cYG339QGXJKELVqBnkMg2LkINC9Gxr1VWvhSzX5ZvUsYdu7epf2HIAJ3NRAt4fLT4t7dzWW4Cs
S88o5L0if8qUbtsRqrapsZZ8WVx63UFDIFBLIDgQbxRV0mo9tjJsL/s2Gl4A73LleKugAbyo7qTq
xWR75JwLqOr+PekoaBtOLAtesIdmdRI3eQVdoaNFj0q5UxXJM7RbK0aBc7uyxfkGEo8xCPrApoN3
HmhchQ2W6jEpJrmqgF3TD3qlPk79s9PXASFViByz22nDEVynB1uyb1ol+nHd/NL2xrXJKXZk5Na+
V+FkryWsMxhqOhUoEJ1XtMG5aqWFTmp7cSO/N4m678ha8+1l2gBHCgAIzUSai6OvhP0tjZMWRwQj
HjPjeVRRK54UfwTZtZeZ5GAqgztlzo1ca54R/S50c8VFX2baYB80LWCBQCYMe1lwXBqY8q2+A5Vf
1R7s2u3anY1ueojQuumwtZ3AdjZOFOaaX4C4xgizam3JL8J6/gHf5GfAvAJ6Jix54yRRi8pG6Q3p
TimgtWQkri59xYkKeNI2n3YQ9EZR8e9XGqk/hCxciQXtlOdeZU4aQmPuyBBKpYesawrgcrr66BTO
08ySWytFTj9zupXH1cWFiLGCNoa3bwIMBHd2blbREPIlald5OtVcnZWuZU53yTi4skJWAEcXMShu
IfgmvAdArgEaIH5hnezlqNYb2arkyuuNT6dlG2Qh/K4C7rJrdlZTrUSCF0lpwAY5/ACsONwoGGXO
zbE8YoCsFFANb5onEG+4UEb2KjkLoCeyGdr73pHxTohCovxt/5poWVhKqTJTOkiw3Eb3A9rLu7Jx
pZyE6J9dcfhLXhiDhGwAOsxRfxSz0tI0G4pTwD90s3ajJ6mLG+YQS8TXahBiQPKhqCFXaD+CamQ/
D+Y3EPv6vl3YQKps8VoP74y6oDwo54SqcYnBztJHZxxbiTPOPrbpWjfHgieEHWQzedYa70ph9zC7
iIAPxEhL8ME1dh/AVXsmVT4lVMGlYtzl0bi5PrTLeJtvIRsXKjBBIFgSEXJ6bVmlLcFmluyMapsA
+E42Tb7VQdNob2OAKa03QzqUTqim6GmZwGe1Naw79vfCBvw7wK0Kh4x8o5iXZpozxtKE70hjv8g2
uvZsGUe7ibws3uOpHV4f9uKK/mNNzB/040STlML/l1XvdfIbmjz9cdTdes3lLTkEKLRhfjUdUYRY
64hydRoYmwHxkzv0woAlyWGP4Pbcx1r2ODrNw/VxLR4WOB9ka1FZQYpT8HWtPMoADSqVpzgTwK8Q
YW3DjEHZsz5CUzOtgyh5jMrXxE48OXm+blyHtxHCCGgg/2NbSHJm/aDIkHCC7ZKAszE9KKBMv25i
IeDnssffFSr0bIjQnb6ta7A02hUaBu3ATqGqJ0+IApPddTNL9zPkePAWRWM38A7ia9BgutHr3QT3
1jjVJgG6zJ31gjwUNnG4eFi+iVl1TC0TxjXit5MOeAoBjrIgxouEy2bXV8W04gkX9hImF4JV+A2L
Kx7VvG71YrIQlFdZy9AVo2fRAcyxc+k7ak7BHtlo2d6QonStGYdHI8LCooMfIRoYOHi9W3gCmUlm
AqpJS+i2BGpzi9elr84AJLS1l9s/i9bv+rUFuEjwIT44NSnsY1DgOkM/wqRljz6tXxwQHKEHNtCl
7N7SUPOPu9hFZDO6uSpvcsfxhkhded5eIDP4JYf8Hm/tw1MIKKfz67WYEKSlDIep0RK3BwvokIG8
FYRtWrfX5cKLMlx4+k8nMVGHbjY6ayBGWG6T4r6xzW1mdG4EAqPUTPZQp9/EquSO9SowZ+nUAbJn
6WD9Q55WfKr1LUvJ5ODUAbWMaO6GZe9p5FqaH7XkJdXrnZ68K60GdNLwrBbQuEhBBCqrK6Hd0sHE
cQSfLuflQsH1fKpwAJQkmxH4JJrUeYmujNsG0uGe1jYrCallS2DGRn0a4HUxvaFYLc0Zf5qmurq1
lXjbAjpu5taKp1m6IbiaHyc1Qw1T9ACjrEmp0RS1Z8cqnOg2yX4nVRXqa4Itix4bbaMGnl9gAoS5
85krp8RIu5TWXkWjSA3iRC5CQ246BG5SD2THZL0pTFG2RWzVh9ZqlQOwbMpehziKRxWHrNwgS2cd
DEs26NpRub24QKquVkwQO4H0KH4z83s7+lLHXdIGc34fF09m/+e6p12YZpAI/2NOuDPSLlHlhJuL
o6M9bp0qmJtXfa1hcjFQBmgDkQWyVIguhEmupBqEWRFDqynUO5JDVP1m0pfaoVH23VA3tNzka876
stAO53Fqko/85CmQpKzqrQwmJ0/xmzfiSo+/MgoRL9tle/Dkufc38R/pnnno91hxXAuTemaaXyQn
ptHg0ICmq69ByfiDyl6u5m4z3Q3aWgPTwoV0ZofHsyd2oiICbTiDHUnNQ4kC+eOMnjS2O1bVribF
K/ffUnh8OqN8656YG7QY9PsDZjTv3udmdOf6aUgeZcmvosqtnPD6zkQDFv4+4dpDNgQhjQk2BFwC
QpJgTovUKjUEiWjnsJhXNOPYbFra2m0AH2TeNJ0KSDQB11I4FV3zKteNei8ZzqTddFbRJ+5QK2No
Qs4tcxlA3Gg+n6fpQZ24hos2a7wtStXoph5K3domUTb+zJSxgnL0RLQgngnuFWKTbN9Spxt8tYn1
xqVmX8UB2lmam1yupCDhfkAD3aPkFUxWfjud3G7VFgS4vlw4UuL3cVpaXjtG9q0h0RR8MYpd32tE
l5+pquTvhgyArycp9oxnaisT2YOeT6S6cYVWBAbCNTy8JifzFStu8A02u+2tCDioXJbIT6VBHQDp
4eZJo9qAdmdGh4ClnfyB3h84T11OzMrvChKboRFT9YYM1Yju1HoABUjRDka8aQupAFetQ2ZXVyCU
krWzvHWoOshQd2QqxIPAh4T03lhS+Hp56m+GLHYAAyap/btSQBYxMcv5ykit7ArNSTZIc02+k0ex
eYP6XeVb3dRj3ipMMngX0in1OTeIh6q4GXmoIhZ/aD2xozkDPQ2a9jRiYRKxmLlNkxpfhRN1P5Wk
m2wvI23zyVqlfKqSagbVDp1sv7Ml5ys3ML2PVmWR20YZZVCuTnmluYM+H/RupkHfZOkOtycu6cGx
N30ZqaMX192u6Fh6gwbrcscmqu7kbrR/0rEeElct46IKmxY7TGqAvb0xjEkrjiWUUQJV6hPiNzkr
91rVR0dZrSXeEa9YaIRXZelYMOxdNEuq1bvaTBHgow7QUV4zzZT6A6hMqod6TOM9xC41yE7VM51B
3Elp5oJPoDWCMYtBTR8P7a1kzAra7cdkdint5wKiTpWq3NdGX9YBGxRGjlLXaIdxUNtAwyvuV+9M
dIP+txL4euyMv26+5UGZg1QgAPzw5tr3g/bECzRNh91T1Lj/ZdNDw2ZMj+rwI0tutcwt061WfTWz
P2kHE7pTKx5hwSHgWY4kJadrQxeN4FervnNomyHU6hLj0Pb9rUF+Z2oBnsV6AyUqSCn3YaUOe3RP
uS2oOzu9WnFKCy5QgysyQfiAd5AuFlxKSZ6LGMG4xySoXnsbtCINOk4l2D9Bv3R9uAveXdNAoMbR
c0AeijlSRcqNVukk5EiZa5q3dWF6SbudoucIBeHrppaGhewcemkAswKJrHA919MAt0lJ7UWtjnws
1asbRQanDjr+qVG48CJQUiZKVrozM1GFvG594bpEdh/4SnDRgNxVXFakn/sGbfWllyfTO0cZO1Jz
7CR5Z7d/2x6LzXtmSrgxc6lXQWEFUyAf3drU8CWsJZdqINr99UEtTCkIagG9A+EMbiDx7aKNk9PY
E8gr074MosKofVWqnqRxCFKrCOxcCsZxjZ554SlyZpNP9MnRtEhqxn0Kmzkb3LLR8Ap5uj4qvhGE
K/k0XBRp5aLaSfR2akuvBn+hXuZuNjZoSfm4bmVx7k6CUuG9C0Jp1s8DK72ZObi/pdckc26T0oQ8
C/TDiL7pibS5bnJhYNA0QFMmzjWktcTl6rQJIMMBJwBib14rM8Q00S5PlL+PDDUL4E9DR3pDwVk7
X6EOZRW7jmtEhkoHJuFtGusI3p6ttbTX0tMZveR4C+I0I0YUHdVkjrVWkwRcoziv73TMLBQWprk0
0E2fg4RsMAm+Ik4zNDqYgx6hlw3xzkfUM1Dm54RkByA7rX3c9s42JiaahBEY7dUG5WxFh7wonmRm
FgGCMFT3Y27a1FWbPl5jFVzc0CcbQYgAEwMpbo1vhMZCOm1IkeXJ4rUq+oKfPd3TFv+Ik1NTIRmp
DA6MQNfCVcetwn43+oORfJpGcH2TLTo6CEsgiYOklnUhqJKyzlIqPLZ6ZKpSufO1ZGsqrrNGCb54
fk7sCCNKW4ehQoIRafy8sOzTrmUPfPdhljs/jEi/qbNsxd0tvfCwr5GgUh2uaSRivZ0+KQ2ZNbVX
AxLVxbMb52WQzx+xVqKB5mMoPBUCrLriX5/SpXN7alY4UFlbFmqTwiwDy1JdPGvTtMnXBH2WtqEM
fgoudgvSc/H12uVaO/UyUgQ9qqME4o8ZYSvzt2ZCcN1K1SAMIDBRFCCNnqL4Qe2Sv8/cwLFBTAmJ
ad4BIOT0Gipbfd52SKnI9WPZSj9JlIdFVP+LDMapGR7FnZwnBoyo2YHVzQP7aJ3foYsawdExRTO5
E2j9W2GuuO6l8wvEGSAwKMCBTlzYAgVFzaowkAvtptivKjSUzlbQjTqEKiLfKqbw+o5bNIfuCRvS
AeBWFV14OpvUZAoe3RFqfMqcBwYFiUDdoEofH+u19rulowyEzX+tCfuC9uCaSidYa6S7GUqLqvob
7IOdEcbABZRr18ZS8knh6kHAdaA5RNwhepaoM/CmsGb+0a3AsTbj8JWnz84QgdT/96ivAYiWJhO8
mBD1c6Cvh8LI+V7RtRHVWpJRL0nGwKiiGu09OjoJoTAxxdbkMZP9ur58Cw4DOVI8PCHpxx8x4m6J
R3QUWDUq/xVxldG8I8TYqHjSrgS1SyPDm05D9hKJPFOU5bCnyUpw1koPotz9vIfEheuMQdzgRbcG
SFw29d/ygBiUaRHy53OOoNZq3itZdqvkZTJjt46201qV8OIG4+hAHDIdwCQddVJhvRpWWU0/I17u
pQ+dQhihCnQZGt9rRFLflfOzQJMbgogrMsAo5IOd53xjkCGRtYgbUhpkTEyP4cGelLE7g2BNC2Pp
nUQvbRmO5ZuKTWp6FfqhxwBZ/uu75bIQJXyHcP66bHRkFuE7TCT1bRWYECe0inu0HaKiR203Kg8W
QONKQMvetZODI6047QsHIHwAX/wTb9rOELyYoKbo6QqULwebuAgs3dJAYaME0KAgUdCoa4HKxY4S
jPKPOjEaaTUz0gFGuzEO0vqmQc4oj0Op30rjj+szvGgKRWeE3dCTUQ1hodvIYSpUJzIw3gDtRja1
GuRN4qu9H0UrOJSLo89HBcgPqKIBuDHFzWtnlaWTBpxgo3M3I/fTv81r/BvLJiAChQ4+8HiK9dFU
1vuScr2/eKLeNPqT8pWT9+szdlmx+B7HP0aECzZu4mgGx3rmyS3kc8CzJreBpBH2XvQOSjF2qm8J
akFP5ZinYV7XwwHF6KIKrKEtb7I8MVYeNcuHBJIk/2/UQphOY3WuEx2Y4Vj1LdlDnhRvQt+I9lb/
hEjGSXbUCSEh7JvWMTE8VE9WZoQbuPAWJ5BswS2pXabPVoEPsNLW6xSvkAJN35ny0Wih7wBpXcl3
IPELkgb6qRu7Fev8OXrNurAe0qRPxkSxhSt5E3e3sxW5avILUoLD8CbbYd6EbbMy4uV99g8GXZhx
B9KZfclR4Vr0kWePU30s9K/rw1o8mCdzKjwiKirPSs1NgNRQbj5BFV3Yd/0MbtA1NbO1wfA/P/E2
elHJdl5xQH063VbsQ3LkEHiflZfCkiPlOUtQtQL4B9DWuRXQR+qNE4MRDQyNpAkLsDtN7yxhoC3Y
D9Hm+uQtDenUmDB5Sm6YY6/A2BANgUkeUmhNNf1KKLN0GZ8aEeYtwr7DXQwjFpyN2h8LM8yBQZOj
tQ2+OBpUejUwXyM9J/ba2F1J5qmF46zBull9jj3gmUbhG0rQUDWw46ccZHMK4qm59FiD5O9dPP5s
2MpnLA73n6/4LvidbBNQ0PYJ6ojoTEghJ/ZzNG60/Cn6NxEOWoDRwQI8LNq/hW3iOPCcZgagN0Sy
9cx37Ftp9FGg+fv9gaCGvyDAeojo93wzmnUft0MBevSWjMDs/2hBtj2kK8SUl02duCiglY2yNvpj
MBRhg0x48ssOt6LIYF9jOc11cAFW9jZTKRgPceoyUCYhdAxIZrOjbc91IKfDVB1H02obyKLkNv0z
SMjdgkC4Io7qzWnMfJvk6h+5zY0UdK0EZMKVUco0bCfQQwa6XXTdoe+1EbiQwhhxHzR6rfu6VhJ5
5UwvbQkblOzow0IzKZSXzqcxL4HKZglKWVRR/TIKCgVklajvTiuwUn5cRQ8PugUgZ4EgQ3zFfeXJ
1qtrRaOShYmkDWGAZFtfeW3oKy+GRSMA36HECkugsz83EjE9lsAKj1CzaveAPLmkjFeujcX5Agc6
V2sHrkJkEzH7mNF5hkZs0qkZAHcfjdK45mhM/kjXCvBLw3G+tYJQrEH9QpizCJ3udJrgnbKpcO3q
oc//NmWC3Y25QkYfzzhgxIRL33Z6Q8pzDMbg9Ntsl3af1w/p4ghQlsZrGDWnC4y2Q9KRODo0PefB
+g3OCaB842ll0b/hMuLW4m9f/MRbB9oC56teNWpBmzSFIEMbbRTUPlS8IwpfMn3NeCXp4FOAP23Z
daQVy8uj+8cw//OTPd3XBJLEOcSPLFr+7HvL04m6cmyWttvp2ITjqbS5DdUEjI2oP1Dn97UxkGwj
nIyV25Z7y4s51PFe5HgZhPfCTgCHoWWnMygkG0uJvJh+jg2eSsNb06f3zkhMKNnlBxl6gdf3x+Lw
AE5SZHgeZD4FswWe/13Uw+zUQ19XoZqfpdYvFJ5fS+n3dVNLNzA6olWgZFB1RcfC+WLRWFerqYWj
k6hzOySqp0CIrSNZcN3M0ohOzQjvvrzVWdWZ8HNTpPWuNoxeYVUudNLvUpZv/2+2hCtQz0CMKfWw
1Zc/7HxfZse8vmVregeXeWl+B6LjAeT8gAFf8GaRIplaDXeVh77GPwzSslRmrpXHaN0Fcj1u7rMy
9yv6K0H+5PoAl4/2d2YLPafg+hAWTUZLeWlyJZsefSxmdLCqu8m8jZOdqv2p6NYwHnjpp1+ZV/63
XhwGLp8G0hoZeETBqp5U0MbiMmNmE9+jVu6UvynY0W1guofw+ggXXYiJniGke3Uw1QoHoNL72KLA
NHq0Qy9sqzTbiKRrLKVrRtTzrQ/Z2BJ7H0agX/06RPKzVayZWJwy3FVA+/D4Ukx7SpPljLOEm2SS
2B9Kkl09TB6Y5bf28EGbNR24pYcIGkb+a00YkCbjaTVU8IpMmRFIyyxAosslw09I371FvXOrGG/X
12nxgY4OUdSjkfuHJoewJwxLk4pEgskqrh+GufCUOnmx7Oq1lFFWgzqHUSp+V9a1G2nvmjP5KtN9
ZtfBes/M8lz/8ymCi4n6dMpzimvHMQaPSnAutx0NmNEF+bhywy1MNGAFClKVuBl4u9n5zmkbdabF
N7PwCHWTdpNafmxsTavwif0hreXO16wJy5owuwM+B8puqIu65vxCyftIVDAD4Mnk3Jjl9vqaLrhq
6EkBIgrSIguBg+A+27oxZnWA7BE6ezfItjDpt9E92jNdueQW7lZAGEDGgdsHNDSyEJ/oYyMlTcEl
iUA11jyb6D6RbkodXZit26Abl9UrWbqleUSNDbJAuM0t3Kvnq2YDRefMEbxmPt+P1IvLca8GO5YG
fdeuiFQt7EWL7w+U5MGpiCGem5KBBCEyF8Nqmb0fEVe4I4OOiFEQN8qse1Nfw9ksXOMwyEsrGgiX
oTp5bnAm1RhlEi6jdFA3TLKBUBr8Aefs7/fGiZlvTpGT0K5p1drouJkIz6K0PdatF9UqVF9W/P/S
DWcBWwB4EtT3QDkrnDDqGKyrZ8hizYBeeg6RcmgjlyrdT7n+ACBq8mAnk/YZUbML0VuUoWplstjV
Y7Oka7ftQhYORCAO+qU5P+aFPLIUo/eusxV8S3qo7RY8mR2aYHjs7mpaKMlwaMhiO/Tn9ble3K4n
Zvn1dTLXYOUuxj5WEb+P0gOtcBBj87WK7Y3kzPfUSkEPuka3vHQkT0cqzLosFYo1DTCZjB+J/DGo
YT5zAv0bA0KETusma6QQa2MUXNvcRjSpTBisJgm0gm90fikigj7h1BuKD7QAXJ/S73MnhDBnS8mP
0cmcGtEYaW2poXys/hnrYOw3qr4jzsFydpZ+53QvrAipkbtGuhuilSfyok+wTV4gh5wU2s7PbbOh
mytSYRt1MiDj7baztBCNHTKUWwDH/DcDRU7BBPgOrk68oTIyRj26laCgagKh0enA+Q/DBJrNAn0O
TIk+dYKWsSwe1Bu0vT5JkaIBPtqZHtgyHFzicbG7/kVLo0dzk85p8IAUEDN9zlADoVzqmPnIDiwD
cubpJm1DW8o2tJg3141dsIyij8o6sSZm9KpUI12dGMhPlXdMKV2JNhTM7w9wXl5c6f5QpH7ZqEca
h7Xiq561M5PnOj3ASUvFo2y56f3oS76SrnzYQsiJ7+LVR6TP0LMs3AuS1kpIqWEWRlSjMlrf4WpY
meil6xt8zgA8Ir8AKIGwxZ0sihup494qS6zMn/oMRKqTNezUZqZJmIxO93R9tpcsgu4RNHqAHiEl
I3iNnqJOYZcgZUUbeHrHSIs8mTxnR9oriR+Rrl2JvpbsgcgFbWTI0nD+2vODNKEYBT15XK51CSoZ
hUgfcz7fJIp6l8fRiq2lVx6EBP+ZTv4xJx5DZx1gwRSKgowretOfPXsx52BQUCl+G9VjESOe/3F9
Phc3CfwDNgLOCsgizk1CAZ1kaYMVzAfHjYr2MERr/MdLUwhZdbzjwEkJZXnBFymRks1gVMq9oT3I
+d4aHyV14wwP1weyeOaxRgYqosplA5RdaQ01K37mSXmfadINjenTZCcBYew2Js1KQLk4b8CHmRCp
1vBqFOZN7sjQFeB/9zRG231rVs7BnNeENPlfIt4g2A7/NSLshzpFLiDuYcQwRt9B24+UZj5VV+7+
5W0HaXeOCoP4qHhZ5IgpyzRDC0SvFw/NoKC7uN4lQ7yVIsi3ZPqW1c5+MP5Yzr8Kd5D1tOCosPku
0OEmuCGdKHEQ/zPN75IfimS6caOGfRwBMF5sCuMDrR4b0HOuOMelqUUeBSRogP9DtUlwjkibGBI4
cZFsayU/YrsZN1H85/qWXAwsT43wTXR6nse5lYcYRnrJcdC1CRYOIgW5gaGmA3R6x82MDGmZOg+j
5STunPz+P36AsEsr1N2kvMAHEKkI9XJjzT9IdKtPm64lAWseVPnZ1r5QqLxud+lwnI5b2Ldt02l2
ocFJG2kVStrGNkf/uoWlWI6LrsJlgVABr6zzmW2IQrS2nXD8gBPXlEDpX1Jpo0tbjrnKofZ13dyS
C0MiygSBNiBeyBOdmzPmCA4uhgtTFKAQBi/toKiaflRSElw3tDRzp4aEGLWtjZIADpF7el0+sbl8
1sq1/pOlnY/qJ2eLR1xwQUOR6FGu2T2itbh7t1FvoPerALyl1Tk1wUd5su8Nuctp8R3aDy+4vSyo
B+L96jHidfSeKiv+a3FxTgYkbHInc2SaRFicKbtRmh7wegDD7dQd1wKqNUPCtgaEUWV9hplLoxvF
funzY9M+WvFKTLW0PigjoEYG6g4u9HQ+eWM627MZ2TizuV25vfSjrul2IOXKfbm000ywHILRmrNa
i4/eKJaNWbfgGuws1fdypDCoTCjpy/X9vJSzs5AjhNY8fjdNsXgrd2h+ZAPySQmTPhjVNqDDguyH
7E0GNCfG+DC0v7TB9unUhA4jAcGRsmuC3g975QwvemN0loPmBghb0DIILl+rzQH59QIuf+4gKJj0
I/o+UPvV0fYJjoZBcoC/o2gURNtVOnvVvNa2swR5QkEelE3gmeOTLuzUGAVAJbWRaIAWfdBAfWGA
frNJc5dBaTeXdrqWqeigM24I1D8iVfEMu1mZBe4YxZDidBKEo2k6NC+skuf3EEqULMysfdmHAHq4
pJADVlV4H3rX98DSsTk1KYzaiIaU1ISTzjVjmHS/2mRTDZo/d7+u21maXuy1fxZYOJ9G6UyJBVEy
7K0xwTyWIGKxfNNqbkhHQPijO+ji/KXN2QatkkGqJpByXiVS4FfBtQkWjq+e9ao98AluiwisEihX
oPPM/jMbn9T8NcXHbmRepm9a9i8SjmiVQckdhQwACYRZtrUpzgBOgFtX0i2xHNepooOaPnW2n5q/
0t6/PtlL4fapOWGuaYVITUJB0iPx/FZOaE7VTagmIpvK846K83Xd3OIegoAVEiqIuC3xLQuuZrAA
toDiZ8z2J+pX9e0sQ5x5jaNkcVh4yKI9EgS5iO3PnW+czBXTE9ihxRM/FD3djArxbXq019Imi6Yc
lFw1/INuGiGmqBu0YDYphTuSFU8mW03y0ao7RT+Tv27iQxYABWxwFnByPEvEMCSTPXag+UX00gWd
Afnhhz67k83Bs5RDu0YzyfeZuP9PjQkPZvB31CS2YKzs23LzP6R9WW/jutLtLxKgeXjV6CG2M3fS
L0KS7kii5pnSr/+WGri7bVow0efuh/NwGkiZVLFYrFq11kAk0RZMtdvKvcIjceSZYpLANJ1rNZdg
ShmPxvSVCfeoBHD8fM3xLHgCJmUxc4me9aVDSC16/yWBQ1Q9WBcwZonutl2Bg8X6n1ZzZolJ/aDJ
YmF2HJYiDHAJCoQJw+MwvN8+R2vh/3w5jH+TelDFsoARTU3sWnls68SWtECSnvOptlt6qmvvtsXV
DTwroDDxEJdN1BcTCig0PmKQuRK3SfYsE84ds5Jx4maFRifGmlDGYl2cVgDpVMvNCs162cCkvFtp
IE9qbNH4GrjoupWju7QfgfRGQQizzYzjyS0t23nJ0nNtgDa24IOQ7FnVQTwilPs8wjDc7T1cydWW
fAHE0EvHFcjPSyecpYb2ioI9BKjPG3XTQ9n6toWVo7RA7FDDxSN8Gfa4tFC0bTY1CvpjsfCzio75
RG2ScWrSPBtMZFCzRDTyGjbmEeLj5s/UEO4kk/q3V7LibxcrYb7NmKSaElXwhIaUUAB0snqbKE8S
lLz/f+yAEPJyx+ZoQB1qxmoAlrdL8QRARE8qh0tlra19fLzTUV3H/1jgKro0JKPLWCsNnrpzAzCc
3TdTldoxphfdUKJJDGxnGZde3teWF6Imvo1HOm4pYAxQKlaKjQrEOsBruoGUz5RjKH0JbTDHMfFh
rf+N6QsxsZu4Lu7NzgpzL20IinQJnSPDzqcUwN8Op87Y9OhkADtWtoqXZpVsa8JMf4TjLL6TqI3u
rKSaftIoM8IHkFOgDKsSMj+OohEFZibpv0LwOt0bmQxRLcEciqCqqmIEaC8aiTPTpg+DJuyM4c5q
UqH2lTaV4qDpDfPVgmLVD6GpFQUse2X8Xk2mlNhCFIIWyuzkYYOeYOGPpCEWJ/SvxRQg2YDMxEMZ
8Dwm9M8VboQcY8JOWHRupwUNMrlK3dD6rlK93Hy87U9rp+Pcmnz5mSPSJxORYc2oR7SjMZS0UJOh
1nDbzNrxODfDeFObzvCcCWYk5ZeUP6Th49B/1bze3tpbC/N3Bkp7SNcspB6Xq2lCLbaUGCXFtv6q
FFfOA0U9pTFxlGovkAAYIqu+1/WH24vjml1Wf1Z4GLs4ypAao+Cm/Bqg11zmj1mb2jo4MLXBFtVT
K3gQoRB4oO4/g1xM1gNWUfRBLERnuAuzXrOeOwE4utzpDRCIlz/ngfpARkXDS5+2Oz2aPBO5cZRq
W4rRilR7wONwO8flblJ4lGMrl9PFT2H2oGvAytBJ+CnqKOm2UoIdArQNqtJFTl+mW7nkyQGv5BQL
4wUm6YD4FTHAd7npoR4WiZpjNDor9acyKz2QA6Qg1g6PvVB+o/y+AdfCU6Wavzhf+/qAovauANeh
g8gQ45eMLxuRZrTU6qHoPL1olejHUv5qjQVA3tmT1QJ5DMA7uDIcqW0wvE3vE3Q/wVD81MlPak8O
ofRMDbBOKbxRmusvsNBzmKICEmxwMVjMRadpfVKMhliADqkKWvoh5JigMHU/iXOw21LOiV61JuO0
4bmyCGsyYQptORKnjVRgyq10p8KAdATwSFPpyhEQnLyT/adKcunpSIVNoMdBm7cA8pmvPedhqZoJ
ZLR98pQfKmjnbPYPe/fbcjc8RpU15P+5Z7GinVoupaMATStnKOdtCHZ2KTJzw+kEtTuI+gBm6apI
yZ7MrVHu0lgI96KRJRA1qdr4O5wUUXC6FOS3Rp8P96I8kQ3JTakERXWayVDGDLv3ONXo6xABiGCD
wLzexeOg7SZRzO5FMAN5RVRy8N5rMQoZOBpeAOlpkK1jQgWJ5raLBwr0mjAMGL/uD6LZagj76jt0
0FKvadJnVMDutSyY61TBdG//ffvgXN0Bi24bwPP4D5cb0mbmwM7RnBuxIdhg+7HDyLdGyD2CH1Pd
3rZzlbn8sQMiEqBGQUVsMkkleuZtLCew01TPmZI7TcVhWFl+6IUvMgaYg6an3TTn5WKAPsEvJOmB
qxPJWwPj7h3oskjawYQJLiutD0Hgyhsc45hgcU6lRBA8l21qY91Wo1fR4nyH9W0CNmNhfcUFxdwI
IZX1AVy4WANpbajCN82jrP97+gLsGdC6C1YRmDAmFgO7PgsKSCfxgMh/KEocWK3xqks8jOuV60KY
BwIdKOCiWoeePBPs5pFQXasREaYRjC/oE2I0so+DHHCs2757LUa2SAAhmsrA74FH4IoCWRrRZTan
3Knld4oCjfo2lG4jufm8G8QXtffD3o7jjVKDOxbTT6JyypJtHG1ExZHx/93+NVdfEFk+KGSBUtMW
uh2dcXQxI7OAmIQUHvo8ZbzpJ7Aj8S6SlXCLL4fEA6NxkL5FI/gyLgiZhXdfPGeLVN8J4oHPz4t+
HkSYniYbEpKbfxehglQhWNfRdwbmAQiSS3t9PBgKBQLKiQD8AnyDaj9l+ZXyppmvzhfm387NMO6P
V5VStyXM5KAgG9UjaAg5n2flCoYFlANA2wG4DRvotGxKpFyDhVLpvUl8KWYXePwgm72Qpxm8thjw
qeHpAQrl5Thf7pmuzyFcATlPapHuvisSIDa6nEsnu5yji8iKPcO7By1W8BwuvJWXZoCwUaBBUOdO
VFggK1Y62UmM+YSmih2COLKaIVE+fdIh97MWwEjt6ba/r0ASLu0z34xEgjboUHZAw9Dyh3qw60mY
bEWKj3P43bSJPwkqBjXxzKe8UvPax0SrF6ks8incz8wOlyXgaXPRIqtEgyYZDnLuLg+XkO7nlNeL
vQ5nWOZfWyx0LBlByBwnsKXMHYD0kKOmeyXZmzzo4+qaMPaKviImSGS2fJ7GOlowOt4EGGq0JbHE
6IjfT8es+1nwKMhW8hus6cwWE0XooLZ9asAWakp4L/8WJbyXN3oI4Qzjc0YfJlF9SLMM9Pm2z6ys
ERUSIGdxDEFcz3YaZctMWtCaQ4sk/44KqCiBJczAHDHZGRZP2WjVFqp/cA9U1vHf5fEQxiYvSA9a
FEtu0doOZDkQK82JW0ig/Dv2APMOwHbDysJKxT4tqw6UntEEDnOrDXTpMKcW6rQSKAw5+7fSqr00
xJy5SpkaPVvI0vt8n8aHuQqo8ks2PYpavtHbQ7FHa1CUX8sSlIZenz7c/n7LuWJCjopnJIRkkJli
sH3Z87O3e6FZWfSHlC/URgAjwYCQ6M64QAeMpwK8SLLyK+WN3K2cvwubzL2qIJrKuQoiwFnNIBbk
S3m4MZSd1vGaz7zFMUGlqjuNVBTDWYpCbJBAYVET+IG+JC10O3VwEtFPzPfbG7r8+BsbqjIVSuQS
k2nKWFxhoBS+61p3Vn/OrYoCnENJs/13a+ePXubzTVQcMKiIZ6hZJp6CUf60uRNQgE9r6tcgcqRV
z7l1Qet5tcLlLYqXFMqiC7My8/nmFAxtUi/F0BcrpDEYsip8m6O2B11y2RimP05ZO9hFJVhCMIE1
bt8IUVu6aRNLrxKkpYEIrtRtJoZGcgRtovldlJL82TdCuBMSPdpO2WT4NDeSZzMageBuy6x5mueZ
BkZRV/eiYOp7fZLVt2Ksm6C0KjW1oUQUhk6pTeLPhHbJT10ioNYZK0H/gQp+EbqmWsgiGPpoPbh1
ljaTXSfmoAT6KKhPY0p665RaRUncbiYdqEoNSkM3UoZq2FpRrkt+nhLzTe4ht+KWKIA2Xp9Ncw/x
+tz6XZUhZlu6SItKLwwFVfGsSZRo0KQiMZypRekcxCUt2t/FUFe1H9U51baCoQ7mo2zFbQKtAYlS
6DblhuEkQ5unOxEoEWxfH4H0N1doALZHqzuFSRZ1Wx2KEZvO0ieYsGj+HmMO/zTOaaU6Sdkaml+Y
WevMsjmFbmUKaLnn1QSOB82E2s84RxBBy/KMGkGuqKEXgpw6BrlxZNyRsjYgAYJpWVzx4YBUH1Ia
Lfh1MnX61c0iiDszcPRpQTWAzOk+HkOp205gIwSlUWFYjZ0IU/ZUjpZ+kuWKJh6kwdKDPAkhtbU4
o5IPvh5hsPVELd4HRUtAD2RVo+ZM8yz5gJYpn6ih6eZDZo2ApnQxwQ/W2rbz1Bl4NJ9kIipNXRpX
J2NWi/55LmkJdm+rKmowjuVWu+2qTvwUpX4KxDAuElubSIQidkOMcQ+yP/M9ViMDDIphNAbi3E5o
AWNw6QXdnqR2SF52D8NYKQ1UQIEXtzoDEqCGLBRfY6WNv4ZYr9/KaRQPKkoem1qLjH0vpDkmG6LB
MNzRGszcjkV93lpZJTynVps/WnSoexfQfMNV8rjeq31EIjvJDPmpyvLGD2t5mj0IloASoR2j9LWU
mvq+KZVMB/fz2G5MMmCIu8VAN7GLeQg/tDyhX2UttKaD/vwcAEAihrZiYNbKJdTSMRNHjDpGOx0j
zSaUeT7ymaQbnQjKay31luZmZlj+Rr24VR0wEugDGMPzGWwLo/ERxZo8A90Xlg9Jo1VBY2py7Umx
YZxqq5AnG72LmYCJH/zcQIFHRuQVeTaizqmE5MMUJLlHDwGuCe9GRIf8SDH6IAtfQD9SUhyyvAtH
KHFkY2fPYoSOoY5nwkGg6ST6BY7spz5J0OpI80GqOFW7q+CM0oUCNSq8svCKxavu8rYLR3kc+l4S
AD1yBBCGx4Ud6zLoNA8meUC59HZwvno1LNZ05LIo0qJnyeZ/caIVbRbCmmB9tDmmylVOJeZPpnpx
2TAWmKwvjNWuhpCnYOvB/JVssq0/b34rgbCrXhPnc7DBB2GLLoqUfswZf7u6Wv8Ugf5Ws5ZL4ixv
ANO4kdQZyicFRl3QIx26Y1u+gqAd6C5q5+2mAgf87e3kmWQ+XpaPKBPKKKhE088MaBuxsEsciAzz
HR+DqTkWj7vm6v3PrJHZXbmfu6FAv9Sm9GjKviKXeC8Htxd1Pa+0GFlEszAxBC4ANtEc9VgX9AFG
9Bc5eBvc9DXbjmMgBem2CNpNveHYu0q+GHtMvlkXWi/KFewNvvQkvQ1vsvOYgrvble/vxjv5znDF
wHA5Rq9SBsYok6aARz+NAYxFLSxK3agGjVfjztZ+6CEEY9i6cYoFsPz3iZ22rlhztnjtGGIEAm+G
RagFulqXripFqZ4aDVZshIc6P5ktp8O+vqN//z6TD0XDAKGhHH9fmMAWoQzeZNrifMh4lBG8dSzn
4+zI1boSadPijmWT2bm0CaFKxvlOnKWwYlGN2gsEeYBgo+gFPYKfycN8N2y+MA0afxd7KNX7uV+9
1JwNvCZs/OMe/+0gW/VLQiuZ6QizIAmaHh/yb9FByoL0fD++/5jcfPtiubnGCSd/Sgps8MToCu6B
ZV4PuIHL/exFSFWj3y7Ys2XXO+1LDqbAPNTfnft8DyaC6RTjLECqwSYv4p6rIno1crqs+cw6E0Br
qwWOKsSRmDR7jr3yFVKtjU1DTwjkHzHnCPzh+Lheq/anIAfUG4tTLPNEQo6ItZK7+rt+lR30Dff6
VgroY/lGd40N7N0+FW2ez16XlLDMZd7DWGgscArZkhaZ6TxSLJOmpa1rGKW3I3JsFEeZtpXmkvBY
8zAiq4uFGC6CKuQYUU5jbLYpmMgrAYvNc6/3oIUIWeug2GuP4Mm6m3zTtx7GDTJqj4eHWjs+54aZ
2Kq3dVcPSNxtUM53oj1Jzyrw1rXGieFrgeDcDBPQ8C2RfMowI8rvBrTBucJOq3nFuQUmpAkG1KxC
4NTBqOuAnX1X+ep9Z9vRXRu5um3aL+2mCB6UrXbPOxcrW4h5NaBrVLS0gcVn1ibTKtbmBqPCdfsi
oaldu5O6pdbr7UC3crPDCi6DBU4GFjXm6CtkGSJrZsQ51SvQhIwXlZ8m5oTTle+EChL0PjCCJwGA
zgRsMWwMpS8oDp31YhkPYswZAf7DcHxxqlGOBnk1hu+gGAmYGpMRDVKttUjcY2cPmjkn2lgnxTYD
4oZ+bXd+sk+9bp8/qE7kUQcD7a/3Y6AddWSFhZ3ftyfEmn3oqcfjHIDSeCvbkfuScfbgaqeZn7js
0dmlFZtJJ2AQIXZU4ZiO+1T3lPBfjwNM4Bui5Q9qZtFi1UeHCJOJzVjEeMlg0vFRVTh/f3E5dpdB
4QWOKPSAwMbM7LIwiFGSj2XsdMq31DyN3W6M8VBx44Rj6Mr3l4WcGWL2KrJCnIuoih25nMGsskuM
n2rmiQ3nk/yZnmUX9CcXUlDCAcaWOWPZjBqxUvZYkKu/UtvwqrvUU44/KxfgMycKurtkNzj5NrbJ
UXvIHq1t7iIDCITn0uOhNq7OCEZtQKYN5DcA2Wj8Mb9FyQsxb4oRFFjyd5e4/cBDca5s6oUBJpTl
HZH0CWOVDoRv59DH1HsFFDsP4LXiI2jBwvc09IgA1GCOehripa11i5X6kIWtXcibDlrZZob2mvuP
sWvZsb+mdLbASK1SkShM0fleLYO+3Q0mJyFbWw1ergqqwgtvC3tpZ2Wsjj0o6R1J/VIr2yz2YYsx
WGB6Uo7Lr33+c0vL1zsLD4Wso6ikw1KpAUBUAA3CY0a8nk/Bfp2bYDzMAgGeWFYq9ss3ZDsBDb6H
qpjXRsEk2wLi5vzr9ge6ftIxFhmXiyzgQDMKi43gJ6+CZUOmyyn20V2NVEv90kyHN0Bx3UVgTDL+
1wkzrggVJvtdIRwq9M+d35ZDHfEtySFJZ0tgBXSn4PZCV2L7ouEJJncFYRHdn8uP143jkKqtFjs5
qinpi6p7pOHgdv50VplYBRuYmAS/98J1ytiA4NI8FBQUeSjbHiGTa5s745Q/UhvVXZ98625kQ4QJ
yozF8VvxRvsIaLBtHnP7Y7Sjz9vrvX4xqGAzOvsxjLeaTd5qXWnEkIVEWdK2YleFXokLoTgn/uy8
0C9ssA6VbuhAMKe0Q859vxLKLswzngwgcWh2IfYiU36bqo3SmV2Tx7LlwdKvIQnMOhkHJmkp1y0k
2Z3JU+zcbo+ND2b159LJH7uNtJmDl8FR/cxWPNXtjlZg7foNOmX/ygC5/AqQK0FvAdcuCP0v3cs0
x0VswUKfQXCJ4hCknuYJQoe3P+pKBAJ0ACQTaGXIkGdmrPSJIif63CeO1gEb9pzkL7f//vVrBMs4
N7D8gLMQ10RAZCUdDHRfLYIcpEy2yT7yzG38OR/FkxZETh57nrXl0YT8gQuwZ+fc8tXZSWq5HmC5
9crMHt7U7z6YT60dY8TxIPys79oE9zovg+dtKHNIBrmH+qEEq1Xqt/l9V33f3tDrUwAMH3Ce2FbA
Pq7SvSQeLaVtIiDzidxtoPB4XJoi/hBWEFkQOtO/bW7ZpMtNRMV4ARnDAcGiwaqMDDlpLLPG7E5Y
3M9AmNQPPa+wuRJXYENB8oer7s9U2qWLGF0tVMMfnsmf9IQBijoYfKTwwyYKDMtBB9HzRneyiZO7
vHbeum28hQAqhZIVZPQubZt6Q6XERAU33ZDepk+FD0oGZ/RaTKo7glO71m/Ihc+HyKez3e57TjK6
4qRY+1/7bMlJJEmlqBT2eyd8AElPg9vSdDEIHIzednbG2JWcp9ufdOVIXtpknn8JRcEuVpeqFhS+
t6g67ow3obQ/Uwf0r1i8C5FWL/xRHXgFgpVkBG0ABDTwQ6kg12NrkZVc9pU5RSCST34YoSNC3WDY
0CjQoM1RCvcD2IlqaPPoIiqhnNv6+lGPLgRua0vC9BTY/9irFOqraADNoCQmd4pLtrk3epaHCwwF
dVsJyHf0bBzAVjXZhku/eqfnKQ6v3OWXP4CJDImlg57CwA/IbZCqbWYMwd2Z393d2y/Tn3bUjfZ0
j0EyD+M2ECjZp88q4MGOuDt2s1OHNrA6nNi/GkrOdoS5UPEUo7NFwN1ZT57eltDA8RNk7JHAcfLl
77AxBKAuwMRNJNPonV+esTab+7DvwxSkaycpbjGe4Y/VfS+3fjV+3Pbt5bhemYJCqw5YKKZoWHR+
WmsAVKswZZa99ZAWIn0Ys3Y/T2mzKYc2ceRp/FTaie5T9BBv276O/Igh4NUGpaShA6bO3DdjpFCh
MbGd4NZ2QqPwWh7pxJJ4sKtT8QhG2QNThxhDuNzIiNR6VugLF6nWe4aAFMzo9mmV/Oig9zQAzWWg
4/s/LArtO+C3kIBiaZcmidInEPtFPTyp74lZ2R1vcmT1XC4Nwv9ngTkWWTZXaT/AQqwg7mIEFbvX
uePHbEOhOPdA7eUT+zV9Rk06cn6JwHRwlrjmMwBxIQlabgBo6VwuUTWhA4HxHTTxEmSzSzqtnqL7
0eZWoVcd5MwQs9JaJVkmJzCkPWV3gBhAlxhgtX2yzZ0f8pfsmyDD4hy91fvlfHHM2UvzYtZaHTYx
RvYs7qCQ/d5jP3+bp8Rp7NHOP3nczWvbiVIGWC2BrwXan9nOwZChPb4QImi1hoE8r4hdat1jGEkk
gI6M6Om7t110+YOXpwIcHwsFgQKCC+C0GYNThSEL4DZTR+5UVy9fch01YZPzUl/ZyEsrzMcj7ai2
ot6Ak//VulMfQI3lh1vlML53eyhb7YbHyZ45r7/rnbw0yXy7UJQSw2qBP4nIRkSJtmkP03iodSAJ
QOAkBZbi397JdYOoF4EhACVbNlBLvZ5QLeuhW/M2HgGmukvv553iJD9um1lLA8BshyI3RtwxA8AO
6lVkSkdVhR0juUvyXUhPGahzZOkHYEQ9QGkq5NQdBSAI8E1zDvuqs2DcGLOV4PO70qMs6JySisB0
3O4K1ABFi9gxj7NnJcPClzuzwjjLQIxUgxJviqdH781PaHH5ya76Ad1xMOo3+2lbP5EXYbTVR96r
h7c+xmcGtZgEXcRhgFY7MQI82W254/jldRy7XB3zPq6LZNZmDTYoUB3F0tzqOUeaZ2Fx1LNHI3Bv
VSIIsIDPaIdQNxs0TmC8HilbmIHAJox3DfRPrsDmeWjJc7HIV0PeNUgewePt18680V998L47w0F/
S/x4B9yk3969THa74fyA664v8wMYH6FaYpZ6hB9A3UPoWl/Jvtn+Tu/0LTmCrMjVC3tXercP3ur5
Plsz4xwlmJ/0Mh/RADHJM7GIhhYh+BExEqo7BuCTQLJMjwDEfohDur1tmrtcxmlQZqCdXsO2fogH
G91160R8PUgeih/aATUlEKkBoOol/r+jL7DRCycuSmgQNLgSDKrTsSXm8qUTLXrITcWpreexrb2E
VHdDazgFFR8a+jl3r5VJPBVyQreXvnxI9n4CYhQDDUut0GBpwKHDPMqNhJXnREoxAW9M4kYdBA26
KFV6Z5ql9HLb4NrpAcgWZXgMQmOkZokRZ6dHt+ZCry0suAYbkUDvhvLXbQNrQWZRYVYwjbSIcTMG
UlmtqahARc8I50DD3G0liH4UmZwjsmYGNkBljhlTXEqMGZqM0jK0iFgW21IK0qriNEc8FZnF56++
zpkR5hjCNk0qFUZi5Ssx/KzcZFqFbuhz27/e3rVVPzizxJw+YG+naOixaxXFWw5AzhiEXzIw50r3
ftsSb+OYs1Yqo5414FFwOusjijZG+mQY3m0T1xMXy6lCaQhjThg2Bnzr0slUPdJaYQlftbFUgD3d
ze+E39pufO73vMx5LW4tfRiMBeloXLO2ZLmu2wQAX6cIP4wE9GGVk1SVXYvgMvtQBL/mlbrXN/A/
gyyK3cz6CvO9MCiXiqdTPDrAwp4nvJfHaiJ0tjC2upbSRJamerGzA4fgc0tc+VdjOkOA6j1mZojb
+Lc/27oP/l2YfPnVqlKTGrlYfDD19cJTVbfInhT1f7i+z5elXFrRoDoCahBYUZq3nARDxekErAW4
87+//PtZgDNQsaZgjgNuj4IVE+zihJcmrnrckp6iJ4timcZ0GQcC/SWoYiCBM56aDv0O+tqIqm2h
7SBsk+mHiLfi7S+zGodUIITA9wnMLKuwGqGxEqqLkqMl3SXhAKU+v4hGe+wlG5Nnt22t7t+ZLcYL
ZJA1aNqiTxk3oy3oD7nyetvASkMO0eHMAuMBhTkVakNhAQLfE9lVzVMZPTaqU9RBDwlCCUQ5Oyny
MWhvQ6G44L1B1w8W5I/BBQIk1NULIxwxs9CH8EAhlgAbz41helETobHshpgl3qFhAboOWj9mhp6f
9ChNSwekafEBctAqiBsgdsvZ87WTd35nLv9+5rOiAmJNY9lzUMvaPfi8QMTfkyc15pw9nh3mlpFK
CRhvEyElhL8mkG1I849a6hxN59zOa0fkfEHMJZOYod5XKKw5JSZLiPWBTrmaPXXqqTfcokw2rckh
G1wNygbIY6H2hvlZNusw5Gis21DBNx2eiOy1466zOLcazwTzkZTcmuokU/EoIMYx7UFUUJBj0fAm
Xde2DuzT/62E+Ua4ngczmWGmHbJurxkQlAwFaUdoorutRnamBZEtlUR7tS55/Barifi5cea7jU0l
TbKBbXzMLFs7AQ7w3kJ5ZCPulYfcbTz5EdfPhlfLWA1vZ0tetuTM/Ud0ALUBo0pOq0A9U/ab9KmM
A6CKZh6992pw+2vpT73xzBIh7WBGDSzF0DZsQJzQ8bRbOF7ChmpDKQ2IO8FCpuJ1XfkyRdcm50wY
8JbBxGiLSpUOOiPIxUuvmCqT6dPtEL36QRbcLyBXuODY5LogBJyvNcGrKItsUcOcukswhhLeE7q5
bWkFECIvXFaouOBGQPeHWUqaSSRT9BJJhzlBJWs/DN9ZiOGFowAaxa70RmVj5O9TeKi0e4nnDqu1
GBDZLaQKqBGCqPXS8wo1jeekrMGG82D5alA+zpsytdVt591NrqHZlX3XOH3rCJz+/doGL9Ls4CgC
Wx9aTpd2gW0uCLjs8QFJ+9HEgq/Tn3Flnaj2rKQtJ3CtRRTARU0k4hBeuSJixQAUpLxmVCdlVQQy
ap+TT6qYtlZCBGo/pG7b/b79UVcNAjUA8BqmiTQWIyWAM1yuwg7lULPcT+17i96ASY+xOUI5KHqe
88mFxgPnylk7eEi7IPQKriMLPZbLLTVQuTMKaYBRFTMGoJUa9hMXMbdqBK1odAlBpYQp6Esjlkl7
ojSoujZq67fhvK1jMWgjHk5g9QGFWW6wNAL2B/wf04VtRnkZzFjKAkl2mJrTjPHVuGmPAOx6eaf6
cR3fg+/8cYIuu5Vx+mSriwTViA6XgeAh2/auxt4SmxqHIkp30/wm6hup4UxnrZkAbT3a6sZCAstG
SUFBt4oIqIFahDgGxZQcIjJvTn0tSp4bYUKLns7o9xUwgqnJe1HvH6zi8baj8yww7qAoRQ4JRfhc
DTI3iZ60jJPWrOaqUEAFhTIG0eFxjFen4pREY4OXdGv+EMuj1e8n+UnoX0j8gMnm+CAcUAWfeW/P
tTzxzCr7womRYWXaUvcY0xmEUK9dY9iV6XKpGZZ0gq2vnNth3DxqxJGiDZtC5FUvgkSeHgb6o5mt
e33+ykXZso308/YXW3W8v/upsT5RpEqZlkhMU4h66QvPRf+Y/jPDLMof58ti3CKXWzlqQixrsAJM
d9ngbcckh8LDuPO+0uKdZ8lMabSjQg2YqfBSy+hk5/pnN24qkQN5vR5UYdazbOqZIXWSMJA7whCY
tJ1o+oD8m1QfwuoRLLCgEAQTgibj/ub1J1dOF9pNwGWgGwROC5XZRotEpJWXIJgN4q4rjOPAZZhY
PjfjgEtHa0HHA8B0xZMTauVIrXAxYdTHenlOV7OdxL2dE8WexhplpJ2hFO6oQXTyTa4iTvqz8gkB
WIZINXg0VBWzCpc7qw+9lCcyHmQimvNjGRD1LRZ/arxJyhWvvzDDPF3Q4YjU1ICZrus3YUdPnYpZ
roInG79ynC/MMFlN18/1kGCe0clacgChoW0AP7QoyRyaMrQtPKtvH+aVPANSK4gD0HYHDJZtSRJJ
EGvS4tlM9PoVSs5e3H/HYRQI4xNcyqblp5WMwW2bq2s8s7n8+9lZEFRh1GqovOMEuM381KQPtq1A
oIF0p9uGVr8ZskNkM8CfSSwBctU2ebTIyTvjBCS7GftQQd3Vc8TJRHlmmPUokPQ2RhFmaBfU+j1E
6TKe7uBKsgseDgyhyCiZYSHMOe7CGqSIpo5wOFpQufCsBtUeG4SDdsdrrq6uBgyNGmbbFmQpc6FA
hwBHajFF49Ht9Y0CbYOM90peN4KZGuQvKMiwMyJtrhTGoJmoNUDqJ5NfJgXkwxHn5l/zMwigY0Ae
KbQMUNyln0URlYUI/AmOSqQgjNERICoAcOrkWoPldMDQ21ZSbv7d56BOuPBoIvVDk+jSKMHE9ZxU
wI/GHZhKrSavXcMaRj9RZs7y1gLfuSUmIs2zoc96iuXFFmgWevWuGKxtBDgIbprtvy9KBgDEBF8R
6CrY+c4hE8LMSlE8rSi4ykUSNET3psbi1J3XvFzW8fqAr+vI3ZkPVhu9lZUJHv5WWoDtNFCxi+Ze
N+yJ+LcXtLZ355aYex98hnM4USyoEPyZAk5vfA6WNyhPt82sXb/nZhhnkARZjLBcmNHmkzFaQVny
OCfWV7IA4nCUNJUN4CBaMdASRR0jL74nipLdD6P3Rt4c1dp5RcX5PytMiEtSSanjpTbYV/dlv52A
YKWcW0FeWwkY9/CeB5slPj6zWRWI50Boo2ElNiLOr+oueZx2zwImielG8xvguIwd+rknqOkcI1/Y
P4gALec/bn+xtYWe/4jlR57dTeDAtfpx+RHddKTaqwCgucjTzuHZWI7BmY2Gjg1uXNgwVV+N3kaJ
2jGPvXAt9qEhb2E4WjEAvGM2k2ZySg0Td1JC5s8qj+8GBQRgCvGzBR9Xm7YJpKh9e+/WcgnM/GHw
dRl3uBrY0cqGjGApgs2hciXxSHBt1HlpA07v6JXXy2gkObdNrkWMc5PM5xoqOYsqERGjzo2jCjoa
ecy/hkrycsv0ByPnBHfeCpkvpzYGUUIduzqVFYCMKv0IK6HdZkP7Vg7iu2gtDE2Qjc8hqMvZ3PUP
+ndzmRMIesiUZhU2dzZA/SRWKJpopji4YIb4oGX4LpbSAbPNHCjS6plU0eJZ6lvWlU49OIXlqRKW
iDzu8XhRaApBQ6cJv29/xrViDeCFgJHoMIaHOuOuKq1LCp4enH1ZP4ip7kyZ7oI0NqgFss/T987M
txqNPC2aNpHWf902v+pFC84C1TvImbG4Xx0UGw1Az3hClF9dmsNxEl+OBlysH7lAOB9ydUvPjDFX
DyY0krBtDZSG5PCx0l/TOd1aLXiIhf8lt8ef+29ZzKZqZd0RvcGyplh1cO3ujcJAdgrZB1qeSCe6
TdzZ5szjUVzrgAC58NcucygL/BOmq2A3JtVGzhqHaL2t1Zg4sbIDnSYnTqX7aCgcmYibsO+e8ko/
GQkIm4QuC+q0t6WBNwSz+ol1UdVBr4rqJguJTKch+z/Srqs5bp3J/iJWkQDjK0hOUpZsyfILy5Jt
Esw5/fo99O5+5mC4g7p3X6WqaTbQaDQ6nFMP3XJ8Fi7JaOdg3Ev3ApQwpo/rxrR5UFeSBO0Hq3YK
LYL2+vhdx3xbekhRAUCvQRDmwFKQmO7mXbKSJnikYgLgKV304hSwmNO3AJVPDXic13WSSRGcTzQk
hmKkiyUZjA++btQMMaFEyKZzXamy/H91LdLW6CINDILu3LXfqNPeRp3p9cFrUEe+bnKfRz/yPPeu
a7ZVSV9AFP7XMMR557iP4qpcpKIzd0c5P2pA7NL63O+t9oAYHqn92JsrUGr0FJTNpW+HP8Cv/Jj+
Y4pIPITWHyK8uzCkZQZjhg8JVOLpEXFtcOqVigyEZyskxew1nicUY94AOj1fZSsFHamT4OUVAshv
iM1DPKf762u6bS1/RZBzEX1dcwy5wMM1fXiKrejW1KPXYJ4lYjYd6UoTei6moG1htxM00afwWDfl
ndY/a7mNphUpx+PyU2KOC2EUUXVMcKJLSlg0QCM2Co0cRIUhhthGNgPspWEGfbX0b+O864IHY2A5
OIO6zm+i3fXl3KrvoYn2r3RhPSPEy41eQ1GCDFehP5nRKbKBPnlDaj/tPkx8Sc0wQtgT9LwN/nXp
m+5sJVxY5cYaqq5eXuoFr/Hsc2dzH/LOC7OvoE7XZaNMW3nSM12F2zEMozLK8NZ0o/ne6P0SzfhG
vwcvPOKqZ6o8p8QbY0kpeNOQlibl5UBQIt4NipMOqlNAZhlEx7wGfiTqh7mt7DuoeH01N68hkFMD
r0UH75d4+vrJyKaA4M1uRMCHRZyqdPo+xQtj1r/h2jpel7al2DK24QDSATgxYglsKkIQYusg6cQb
ASSOSfoTyNu9S0ITvNTE+Hpd2lahBfU2FdD6QIDCHI5gKmEBtEjVgDh08oEMMylv2wYsREYbjsc+
nsx9Z9LPllcNG+2u8OiIqcQymF8ys5RhAG+5IDh11MRB2gISFeFTSNbSEVEWhhFT56R3latX1l0q
fWVtmCvqb8vTe6l8A8FduLPaGIxhNu2RyuTPdv6j7J+KEVicgLIwURn2GwVIQzIAqstdhUwk6NBz
TTFUJfbpKCD84kUAmTHoRpoXDjrZwjwWQyCxVZmc5f+r+9giXQwQRCT2J7CzdC9TvgNYfK2/Xbca
mZTlxKyklPFgmJENbYwUMKE2oIO0F11FVfbLdTmXFrGsGswTHccL9YNgERWPilZtF23Sl6F/ytWH
SpdcSJeH+1yE4Lsio5wdZxExWh+hddRqLyxQSv89y2oRl3c4RrFUIOtgtgfNd2LrQ9u0hjItjdtj
+RTWzrNqd5LM+aYEzJLqyPYtk5CCXVMtjgIeoCzQ1W4bv+n0H7tcaID8KGht8bJEAvh817uonJrx
TwnA+trQHQ0KlgQPOZcNBW9Z11qOELiSMUeX2IAEnJl5YYoJR+trmKIkpUv02VovFMAWKHfkWlBp
E/RpEbiVJvJjtfNAil/pQNzr5vsn+3UeguBJheTKAhO1wFYI9muCAF0de4Tg5S3mOo7fCdBKvMoP
vjf7yc+Yyl7vyInuDB9TczN7y9Dp3J9CDw88hicsejR/BH6Iave0l4V7Gx1A+DRsIjh8kfTB0+9c
+RozXvmUI3LtjBIw9l9UMOpEVsbQws7q4s5xfutm/NRSEFPHT2rfHFAB+tIR6qla7ZohmLrNSvZi
2TiLBprZF4Rc1LeAMiR8UweYJIsgBg3M9CaYu5uaa3taGbsJx3KaZeXdLXEATcKpRJIUFi0sQVGk
STJYsLO6mcv3yQoSm2UzyHvcIk1BmRBPmj64cQewvhzMYSHT9d5i82gNp7AKe9/p5nQBM54K4E93
Nhre1LhvvoIGMX00il6XoTxtfS8KSSZInHT0jojdaQFgnpFox/JMeOqwIFE9MD+ebF7cjkr7M+dS
HIaloVs0X5RgwPas45SgIn2+HxOoqcbQXmJYpeYMo57eQLtbx6w9a568unKQYcp2SjXs0Voo253l
x8+Eo0UMVL8LvpoDhf8Y8OqOMZSxzqyEowetbxhuM6N9VC2P953XNV5UeLDbndW+8rD0r5/ai0tH
ECy6n65SFSPDSH7b7Ul8M6a/xkjWonMRoAsyBFfd0qkA7D1kOMivYrA0O2bz3g5yv7bIbjYltc7l
164spdj9aUw17/oR0jIbsauPl4Ca/1SC+DgTsOY6N6OMeuRPH9M1iYLllHapcF5j89IjYN7JKcNM
92174/gp43cNZq0b6j5Pu6/pvj8NzIBXvL6HF679fH2J8PoynDmIygQaK0nrhwDQb/PddQkXh/GP
BPCAELxB0H4m+Kq+U4BeR9CGZhevXXS0nJu2eo1S36ISVWSCFlXX52BUqiILIKicdtH4Ux/v8xG1
XVR5/zH0haCS4A/NfsiiUYckZFTRYm1aoOy1WFFISqDbewM3aqM2iRfHovBKoSlGjgNpqcaNG41l
8C627Am1fbr+ShBO8KRGZLZNWN+sxWziFRt4AfAJHUN/gPcMDa8ZrO/XzeEPPOilxf+VKZxo24gi
p1Ihk+fVW0KsAklEEBCoTpodrKZEUhGcEQSZuDiZ3nmngzeqyaobEwC8yEJwhX4AW7z5RJZXua0B
v3CLFrHyu95G6XOvxPod58AhAg1tzw/Z3LReXMINV11r/8ZDOHjtJnX6QN8mEC+rUQdLRcQDrx4r
coxImX7apZPcWX3Y31kTEi9cNcfXuG3vmpYb4F8sdJAOOpR/9vZUHu3EMQ6z1ei/IvSZoDqTZJVr
KoYf0/FFLa1sD0iRFwB7OAe9IIZfK/yxcLhyvL6km4ZPce0AA8lBM6jwlFFyYtUdyRswOb/rFZsU
zizK9OR2lM7tXVx0i+WvRAkmadaDYysL040Tk6OJ0CuyD6Xzruixq1mg4CnBWOun/3hYBFIxj4qL
HMU+9AwLZgoullhBJ3bjTmgJqZt0N+XoekGltjbyfQR8gylrkMlU3/75uqLJYZnyRscDJv7Pz1/e
91Y3LWQgCLbQ//XUG3HC7LL5iAPnTtVkRc2t63QtTvBfQWQZijpCXKIusDN+Y3+NW1nL3NaJXwsR
XJdV285c9BASFr/ygvHE69OnCjwdaXFDAlPiki+TJsvOwe8DwRotShekyjydh3J0ysY10eWYBj8G
m5W149GAJRj1VChrWubkE3OmlgXax/X921xQoOAt0hf7EfYvVfQS41pt41rkJzhnXT6/tZXEnW2u
50qGsGlVZtA6GWtsWgR8zHk/hMSzYoQN76T7qcvQ8rc1Qh8iEM904A+IvpMmRWgMOOk5pUyNLF//
GI1CEgRtXTvL4/V/hIgUtgDXUME2WzRuVTSvUQ5CnPofT0otZrESIUQ9ZjkreadAj6bkfmQjjTS1
rtn/vL7/W34R2SuiOShIL/Ru5+fXoa3DeYy9wRAMZg2IGcMEYs8G9KPVpxJT3zSElTDBCdOWzqRI
IMzpXwLzUbNL9IR+2CkyhNYx+se9f1hAOHyUORYgEgBbnqsWdHlpBRrmTigp96EFmP3R8HNZL/RF
fkGQIgSHMfpVCqPBASqc+yBpEejsEwJ4f8k5vayPQ84S5fxPoCNa3BTMVm02CAny0FfKPYDF0F7b
Ia/7DUPajnI7F1+tyXd6mTPcOk5rucIq5lMEvp0CcVwezOjOV1iAqyuRZTRlUoRVVKw0n4sEtxeA
0kC07Qb9Lgp+XTf17SUEFiB46DDjAm6xc4MIK0dPMJkNatn4JZz36vB1NvaJFoEseZ/xndJ81NFX
Lmt03DJ6ZET+I1Uwel0hRYPZg+WG/MGrV446sN7fKP2RJi+JIRt83FzIlTQh+EgtjlQ4pp+AafrO
6acOWsFZGuEse34Rnq6ELCqvg+6xiMPAgZC4fAq6B+LcjyCf7EB7H3kNxurzwh1CLylltaEtZ7WO
rIQNLCMHWGYtIiurDvbzOKLMEN13Q3hfW9MPq8l21w1m66W7diDC3dgN4zzpM442iGwPaYuCRt+x
mtq7MsFwsZWzfHxQtVbiJLd2cC11uXpWi+skQQjm7kUqeXe636Q9EefLdcVkPktYR2Be0YZoENG1
I3hInCnCYAr4kHP9ptGer8vaVAdpd3T1AaEFyfdzdXILdFy93jfuAO+LtpDToBvvNZcN92+qhOmD
P1c+kn2CmLItkGDrIMbAe80dbeexK/XfNCz2mbRPccMMAbRIlnsFZ8m5yHbGXK/ypK5dwz48kLp0
h/6echmozbLPwiE7kyL4jXzSi0gzmtpN60M5t6yWhWUb5g0B5gKPj7Qt0vznOzMBtX5KAggwQIoE
RDk2a6BwBeVdbTA1UD6jBsjMdiDJk2+4Q1RfkCbXAJ2zlArPpTpBBJqhuq2BaoKoCaxyo6k/WSWo
APLb9rY04qfr9rdhGGfyRF8VGpodKJCn9DvasbgB/Ex2nJtEotdlGwlI2NaKCXFnHplm2kQQpFVH
0E9imKc19ygjJ84ryNlJlbM0OYzx3pjBJtthulKf2XVVN47a+gtEpFs8jIyhJPiCabpLp4kR+5Dk
h+syLuud52paQjyQhR1eR8v+Jcrko10FrfUOUBCa28ZBFsKK/Q7eBJAQLwWePBIF/w/hoDFHWp+g
uVE4E8mMVPFAUJGiCEYMDBkr9i7lb7n+0gBeN7COaCxn8T9uS/qj8l+pgskqZUoG1epr1+p2Wujl
xMXjcAcaMRQuyixBTcO9vsjbG/lXoGCzQ4CRSGWGmsAjrOwHZwTOlOQBs7mUQFNFBRnlQ9QtBKUm
3QrKsBxgrgAPvx+daPTUagJZp0YzwEnmJQMfcwcIeoL+Cx3Dd71eUImeGy5ueXgA4wLkTcs84bkv
aCx4UdRUGrdWlZ92WXlhgxHQ62u5JQNNnQtSCTw23M65jC7pm3ZyTESWZV8ydJftDEvGcby1XyjD
L1WfpTwn1lIys52UZJhr0Kpj/D4kLpnvo+LHdUWWxRDvg7UQwfaVFGMEcz/VQHgJ3TH5loKcGqh2
ljvU++uSLst5MPi1KGFfWtWp6yCFPua4wCmixsyNt6h8wXQTQM8YOHPT5C5KP6i6n7vDAJxVyjj3
iPV+/UO2fPf6O4Rz0HLMqYNFCb4bI5Mlfc3VyUPsCSyUUWIlmzsIuk68gAlwDMQ0SEIAGxRVBBpT
cMUWu4koblnsrqtz2Ra7rOtKymKrq9Aucsoo1VNIiY3M0xpvnD5s9dSrN1G1D4wbdKvvAnLLkzvN
csfu3Uh+B/OHtJtsWbULQ1p9xbIWq68AmqsKsBAUXin3rQnbWbioSrI2AlFijfyrrN9wc21NVBrR
iqMt3Xrn8jDmE6SKBXnz7JRe2hgoTlnkh9Easlck3TjsKGku5fGlPo59PBeVxlWUlBEWGHigKI2P
nsFQ7nMTltwnAGIHHDAwyfkJQ5Xp7/ow7fht/Par9LMHcs89bY9L+Q0DR7fqQcafsr0G//kwKqBd
ISdcdSNACt3KfkmCiNH5mFBJx8aWgyBobFnaQZZMjrCvMwUvdprT2s3q10qFj4gP7XQyZl8jleS4
bK3zWpTgi/jkaONMoU7b+CqKLgmR1TRlEgQXlFVtirF5SCgyQINqFUtkpbDNG3CthOBd4nHMuN5D
BI+PRn0T6f6Q/YjUQ6z7nXIKmlttlBSrtqwACJnI42BQ2kbG99w8uzrPplhbrEDfqbZf8VtHJuIS
7Bs+Bi2qyOYBJh2ND4IVBHqEFxDgNVywPJwAr7F3HK/55HvQXHa7kmXgjgkYyqiZBcTVwpdhsmy5
7LV4wTKUIjPSaVGRlzWgf0e8JJiln/gsiV825eDNsqDd2BhHFB4vtokZxIZDzWl8AKaTHn+YxYNB
Xq577M0NW0kRHLZKlAGEXJASxyozlYMZlm7T7a4LuezuxZZRB7QNFlD10Zwg6DKQtLP6AvUGx87u
FXVfo7/Yfg3C125m1ChuEucxg3wdvJKp78hO2pZ4EAgilQ0ckT9MaedWmU5mGGnF1LhkfGj0wRut
Jyt6M8ZPkn9RKhbNXmOebBwKisYmiSPZuIsIQHVw6wLLGWiqwolAY5aZ1D2IQIzIxlyRP886q+3f
HfcbdMBwGdfKhtWciROOvBlNmcrnhXdkiHeBYt9RZWR1j5jekGEy/XHpwjVL0M1v48rDCDJSH+fL
Gtl6XwdO2rrDqWDRbnADrwBHPUu87lTse/RRs8L/sL2KGc8YNGKWG4Mf8TPzklsKiinrXYaPt7XW
qw8S7yA0OevDrOOD5s4l/Bcacjy4ughcv314V9bTv3gQYwEW0gEwpQJwUTDrPjQK3cohT9OYwxQ3
0z1o/dl8iw5Owt6HjBUWSyb3+mn6M6p1ue5/xQpnltQ9SgINxL5mPnBFw4p1ewBOs+CoP/Lb+eDs
ehANj8zxne9I/YLIyzn+aA4BsNBZuGs+7ovZa3eTG/jXP2wr+sN6YIIWTO2weFt4iYQtV1GrxIcF
X5VdeYvOvM+uAgVDcBv6Gtr32cRwdx9lfXAbN+mZWHJuh0GYKtpMITZsKNNoz+y364r9wWu6XPG/
igkbTdXB6CsLEsbP3qMH3ef3xX38rfnK3eAFgwmw6xf9W4kwDD0I3inyE/b7//kJwqZnZWKEaZi1
IE5rWOe3H9qt7hVfH7O7z/fyztgPbwGGin+AjQ8MxNONDEd5q0XpbJGFW9chYYjaKpZAOdyND9lv
2y0Ohnmwj5/fir0aA+WQKd/1F/vF2VtPE/t5Xf2tB9uZ+MXvrUL6sUbzkM6hvvHwYLvmvv/QvJEV
LHz61NzSbX3q1iOTNdVt3I4E/eeAfQOvGQBVBQ/ngBelzOYEUMuB35Q7g3Bkx1N3ND0URtX2TglP
KEmpsWu3rvqdY2JcVnzbvLswGIPqCoDH0XwvrPtUWqVpDVj3ucWjlIKnD5AlcMro9t9TeiwcsLGz
EJA0WX4/2/el7N24daEAEwEjq8AXW/pfzxdeGclc6B3kD8aNHXthfMydEPng1+sbLBMjnOEBk1yk
UbG/gQIXVhW3AB38VOroWWsDSYxKliv34jTboLG3NWIZmIg5VynKo1YzFltyHgLQxET74Mn20+P4
xf6C/tlDfzM+K3f57xfjJ/I1O1wluwZT+KPbvMlO1bbHXH2KoHaNSdUhVLC6yYRj2+PtiCddvAP5
ZAyBY+0S1u/V3XyyjtfXe+ttsGSLAHUBAHYdj/7zRRgnTY00PcYiAJp4tsa9QoAXgin2YcxmFvHp
AQnWH21LfdLIqF63HDZS48AZxNHCOJIQE6VKTStAO7eY0rkL1F998Hxdua1juxDBgUHGVPEIEX5f
nQxnCJcLkkTTNILlsbDAvaaFaew2WSiD8doyp7U0IeSKw6qZqhHS0rbFaJW5axvqT3bvJlxnU/R+
XbfNtVt4ZfHKAvSmWG1qLC0cuqFo4XK4h1Lv7aimkpfHVqIfaJvUclBB/pNBPbeNMMbIrUrL1i2K
ifG+YHOAfrza9pOguOnz/BQMIVN0frAA0DM3nVtoKZJ0FABfhuywbjkGND5imGWZmr+o4ZA+C2nf
1S1QTGx/Qb3XneAmm9L9GIwHLSW7PE931vCigX8iU+k+7aZjTjRWAUyyNuJbMHy5kVIcu26AF/8e
5z8SFLWMrnTzBJiJ3AZ6dZuiqcGShGmbJ8xCAQi5fICAI1w7X8VEJ5ESqvhyrfpmDbeaw0j7Xtr7
LnrEDMGY34BjhV03jq1OK7KWuazm6po0A0Byqw1khk3CODpCcqq44eBnQLhXi4fRudMwIeJ06GLb
dbIhzq3wey1cOHZRGpAxniC8G5SvbROfTPtLo7V+nGZsDCqmy8bQN6OCtUTx6OW2gRGbRd0SPXnI
oUT5e4KEH8bezdBkQ+XR+qBiVJzqeNa2LFX3XHHz9Ncw3VjOL8niL1GgeK+sv0aIFlA/SUN1xNdY
ceM5422LzrbE8Mjoz0HiW8FjlX9TlYzlyVuV/lLsF4n8jbZMzEvBFcGhg8lezBgYiVZXEemw/uRL
jWgIE8l43RJyNExWWzsnQU+arIa7uecrmUJYqnNNK0e9b90mfYn6nc1P4A5iYJXqx5IVMhSyDVcL
+DY8pVEF1FBdE44U5nOi3FLRlpFh3qRVnJcKTAfcSJnNv/elrOC57Jewn2fShMNUB1ptgrceWYsc
HEXpXVa7QWB5hfkMOhiwS97pVHIrb0tEbhizrEs/jaAf2iP1PGkQW1o89YHs5gX6W5wBKyijL0MH
xOPQ7RNZ/8KWuweCLAIqeFfUycQyeazHfWsa6MMDxHtj3BOwIROMWeu1rw5HkvrKnLq6gr6XHwZY
JevkWNHDddPduNTOvkCwomgaqBI6WGlqFd/ypiyPTktqyVWyaTwrNYXF1fmghMXSNsn78BiG3DWN
p9oE9pGd7lr9XzRFQSWUyzBJj4tLRGS14tbKxhlb6XDVt8js2vxN4/wLBvp3Uwyr1UqJ8Szff2Gu
fyWKaKwI27S475aOTfTzYqjqEDShm2AS8N/sFfp3dBwOYKUJXl4BXdBQxGjmVfAkY6Uyf1dVSSFw
w6lg7f6KENx6QGgJZOPliRXnByQUmTnulraDPPTGCPybyrfrKm1axjJtvIBsgw5ZfN6DQgVorxVU
ylmvUCA2P9R8b6cuzSfvuqjtw7aSJZh6nztT3QyQZc2F+ji15Z3DzadudvZlj+5oSpQXovMGlBYh
goQmnR4D5Hv8yohOXZrFD0AJkvJrb1xcwMb8q79wMpy+HHoHM+tukMWvtGi+Z2p5n6bJZzC8Ziic
JUHgDUqwN5KYzXqOx374ScxQdpdshHpnnyH42wKMpLG9tIk3+X3vGCetAXHb+Gp1Em+zLWeZ4neQ
Eb4geJ0bUEtMixweura6t8LkWGDYStpdtxWeQKG/goS91o1+5LTDuvb2pxp1e3NqkRINMJ8b5Qea
voPG5aDZI6NT62XNW0P6x85w3kqssJYn9/GketzJJG5i83CtPkrY7AKF71GN8FGqwYh1qyNObOx9
Zr0GjblDY7nEXWx6pZU4YVMVRemUmmCxuwm579Ybe69AP831U7W9o9jNhQ/DhCGfh72DOub1GKPd
ryrdyCp3AUZMDTRfJZrkDtlevL+Clv+v4usiNoMeYOpo9M9/6kAis/hTZ++M3OumTxoMkq2SqbWE
Cytp9RA1HO3dOBCU4uXKVKfZK1p978gQeZcfurg6nP+oJV4dRbYATGRoW4/4e4Oseap6WZu5rfFW
RZ5lJzejDB/3D4KDKBKN8hbQlAH4aorXSBKgc/FP8/+cjYexGpmGNoAc9FipXtwndHQVs9zZxs+u
+23kv0gCZK0MJBO545ldtr9uPls2uv4WYVdng1QJINqxzkOcsxp1d2+oaOTpPEoO10VtbelalLCl
JaBD7FiHqGQIgamnMQDNHOM5c4HQ6V4XJdFKHGOdunIkI1qzXUNT7oCTtgMA7cG0nq5L2bzQVhr9
SRyvjBRWk4J2CmICJd13XH9TwNJBjNZXQsrSlriJhk62wdyPFmqZfexbHPU2HcRCg+1f/5at0wmv
DtwZjEEjVSok9mx16JTKgBk34eCmRc3M1nIbx7gd2g+ujS9DPsvurK3QAaAI6EiwkUmj4gjGgCil
jmx4UzrRr07dcdYUINdunLzyKkrAYBFqkhBie1//iiTnXiEoA/SmpxBp2ZXlhsps+zUfgK/ZG5IC
14WxImlB/5SfHUxPofxxLqlsR63lNMR2WuNx1HzUMv2xf4YXv75vl0luQZBwKlpQ2AX5DEHlLf1Z
7+Zv2UkHMTKgmAxf3/GcyUKAyyaCc4liJynuCjBpq5CoTq7+vTgg6/ow3YXP/SFl2d3oaq7h5k/g
Ef6qTcw6lRKPcxkaCPIFU81jLVA5OMPc6Kg8OC/ha3qsXmNURu0vU+jP4FtkuVt9IfezrNfzwnwE
yYL5aGk7jK0WAYLORtoreYvyctfKJtovLhRBiBBR1wEfwHYN9WYNULZdwxpSPjdolgBAzWuotSwD
F0EzOBKXd5lPF+QKEdcIvZabBdu672/V+OCwykUh2GHdwMgDKv8ncoMmA49+uW7Bm4uKRk60aoCU
2hYJX8qhSdRZx6IGwEEkwI4uXgMZ3tPmaUS6HD0EQHhwRL4VAgwNpV9kVI7ZHwbD+ZXM2kOrTOUB
xPS7f6HQX2Hi+ejBGqUCtAj2SX/N2VHJfocyKKHLBOmyWSsZwhmwIgNNsxQydOU2QOncvI2tHhwv
dFeTU6P5c/kpfepJFtESrB90qc6kBZDpcJJ7dRrfGf2ks8QpFL+gpJd4tk27WKkonINMDfLRKsCQ
pdKnCAnA3sUM0f9vpwSTj5w4mq2QY6fsD1tH310OZmRJ1LJ9rlApW5ClwIN1kXibAcs9YPDZNZw7
RQPh2l2ho8efjfQQpEeDf7EUUH6ojIa7ynjQUy82ke2WQKdfjrctBrP6imVzV6GGk9NysgZ8xVgf
VcpIBKyM2reSHxEq0p3BhsAzI0wIyoBVN41mJVd4XkQ1WqLLBnKn+IWYLkkOc8k9k0ucyOaBgBiM
Ei1EzxeMk83cxUYeQI6iI5DQoYdm1ocgKDwCJHeG3h63UjVPaegpqh+vm9FFIIO1XcZxiQXgWtDj
CldwxQMDXW2QnVT2SbcUvAFQ8x3pd7OwjqHs/t3cyr/iMM5/vpXA7a6KiSTgAAHqiPWrHDUvDICZ
8wz+bFbnNSBrdlk+HId/wW250hOrfS7Y5GozEXB1ghy1QYRmHkNe7yzAFPdhJHmVXlZjljVFryLK
dSZBX4xgN2nXjF3OIctG2ZH1wKyy0fCWG6k3mT0zytFf/l439D7R0gO+1ZttSQi3vdCrbxBiOKAm
tDkaTWFTVhx8qQGfcZOZueLFAABwc7XEU0fBqGg42tOp5KR+yMZ63wLbWFZUXDzr2YPvz2KgOLHg
VQEccnGVq8OrRWmGDgN8iIoJ7KD1+u4QW59Ku0uMXagDHwugglikOmGjzH0tLvBCNHUsjIGgcRrc
M+eiKxpz5L7xLInC6Z4qlZ+ksiHiLRehg8kOox4LZ62YuSeT42SDWWGZ+Xc72Sf0p6P4qSGJb7au
E7SCOODLBgrZBeRjrIxUKcp6CTOMU2cWhwiN3oO0rLbcSuJ6mQvZ4TI1twzPna+XlZZcs2NEUaSH
ix3B7JVbqFsZbamC8qMzXyeUj0H4NXyMZfENQN9PlR44rpbRr0GrU4ln2nSLpgPzxwsLjcViuwBQ
mHEp1RlcU5P5AQ2euTUfWpB+KkPrJQF/0rvMN8bMD9Nv153iZpgOhAWAnsFsIV8wWpJkQ0+VFKLL
x9oc97zWP1IUGLP2ecZcrBZGv+ykwLjG137oWF++A4088oeaHBsjQYwG1g3n/fo3LQdW3BzsCWga
l/FC1PrON2eymqpqJxgzH+NT0oN4GXB3BmVBMN4Xeb8LEhn95ZZtryUKMVMJSPNpwvC6C0LzilGE
ao2avnMDzVhK8S8CprUsIWDSlBaJkAGyEgTSzgAMm/K1HCThzNZdtxYihEy1oUSN5kDIBPcbxxXj
IINyTgH6t3r/+m5tPYTWogQDKtK2iwpga6H6TJDX9p0UbFffgyTELFHCprBjZSdx+dsi0S2houPY
Rknv3EDioeRJv1ClqkEFSbFbJ+Q4OWCMNgHgsCApZw+JMktmMy67geHfLQDBoni5xO0iZGsadKYC
IHxE83v+prsTwwv2trhDDsi9UXx0mx6d29HT0XCV3ZXezIIv3wBZexxP/EvwrfqpS/Z4y+ejbQ6h
FPLB6M4VDEnJagPADnDIVEeLvmXf81Aar225YzTJYCYW7YG4X4T7vciz2TBS0HwGT/qztitOod87
3oiGMWMf7lCEG5ibSq6ALdtdNhVkbGAXtcRW+qJE2qBoAGSSm9ZUPmYTYMi8BF7T8HhaAn8xbI3n
pgFPuCSa2VIWmVrMpKoYpUb5/dys6jJDKKECxDabHhK6a/MI8bZEuS1Pgy593KGoQy/djucy1HYc
cm4MQNnsfijzfQiwCuerKeuR39QEHLfYMg1kt6IHRbPblOIqxQGx+UvX9a9xHTF7mP3rR38z/MPg
A7BSUVxDplvw1K0TBKE6TohxnTsj8s3kZsh3ExDGu0fV8AvNp3gkmbda/+W64E39VnIFfx2NWhcN
0bz40BxdH/GRVs9FpuyuS9m6h9baCQcsDvkcZgNWMbLQXFNT69ci9OBwHaQXZW7teNlpXpXn3/+N
XHTbAxbYxJ0s2AiAjyraLOyBM89cntkYKjSBdqo8BKje5ho4ks3f1yVuuZI//f3/LVEX3ipBm/Ge
5gAKpgUKhjHYVaUTKstPiJf6WoRgKnjd6ZUZQoQNesyyw8nyo/AxHN5K083JYYF1C2TNYlv3BKCJ
AWuG2egFd/f8sAVGaTTzQgOV9IVvG+8DQE3GZPBo397zGjRbegZUvel4fTElUsXF1HG/J30Pqfb4
MJcPcfdIotdaeWz0Q11hbExiLVtnYaWk2L7sUKdLFApxQ/xSpDcR1dk/73vDzbeWIZy3YqwLMySQ
AXA6tEUyQ4+YzmM3B1xM68//JjW3FiccvAkYkFOlQpwV/UhRKs5Hv+4ku7SVkV/GvJehdYS/F3id
NAnbCrBc8MQYueQ7jfThO+guzU8+J84O7C/5y1jYyb2F9rvZnepQechy1YxABRwOt1GVpjetYQ+y
2ZeN7VzKuwQs8OpCsSPobucOL1s835GBOgbhqbEwR9bLQOG3HhzLmBqm1dBrhghbOBk1BsML2iNJ
OAyVcavYFXkMM+MmqbTxkKjdaerJ4CGGuxsB+c+iuJgl9+CWmktFCfHbMlUsZl9rCxCYGeCW8cZ6
sfXHAm0Csh5sbcN//6la/a8MweXQvpxzB+lyt4WpJsns6y0AylNQserTIejHL6S1UFMyGdcqN6GO
m2Q96q8aS+LxMOWpN1LCWvW7hXzgdRexEQWcfZlwnmwrqQJU0QA0HWIY8HXocIZOYbO/LmXDq8O4
MaMKSB0MAojDxCYQLpClwKuS1L+T+ktUf73++5taLDEGILrRZvJnCmGV72gMtQmmBvFw5vjghWox
hTZVnp3LIKM2bYU6CHMxcKXBj5+78YHEOKYJXhg0OBHlV9WjcUnyopCJWJZypYpqTFUMeFU4A4z3
9Jx1tadOkvyQTMby/5UMgOb1mJPAq8UufleJn6BZuXz+Nzvyd6WWHVuJqDW7a8oBapQ0YpXxZhff
gwx967JIedOyVjsiRMpcI1FoGpCTdyeDfo17yZ229ftUAxKqDpovDLAIJxcccgaMGpaLAXWwT+do
v/evr9SmBwSZMIYpcTCA9S+oEIIMqjXQVO0W5o3THsbGtwuAn77rEejQjf34X6R9WZOcOhPlLyKC
VcArUNRevVTvLwq3fZtV7BLLr5+DJ77rKpopwnfe7c6SSKVSmSfPaVErXBq2ml/WH5tjwLr8PCHY
Q4UNTlftbCtOvzYcxdHf87V9GnonfqkPtqcvdBTmnE5Dam4T8MNjNydOlxKNNXo+FgKkQ0rWIOFw
sqXm9kzCQy5tfPM6mcpNMy6rhGAkipvewI40epYxGgqStaXHzWxcR1eNYLoJTw4Uza63MQaDrFJ3
ePhyV3jycxc5wkFzzQX1A9ggrLtRUVTaN366XoK8zu4mIBAYEkOlFTMb15brug8IBxEqsK07PdwV
3YcVLVQZZvMScF/8a2PiJHmW6DzDcAMavKYTbYKV+k4P3LfXoUMeA09ZqD3OL4kgF0A11PyG4mUl
IEDhgCVZCvKNny079s2CCfAIY18myT9IQywZpQTcFzjT1/vWxF3VJ5EEzT4pKp9lZD6fhpyIF91i
xYYXVP1I68ze0iiWTmYWN7uYKQzs0oa+obkcboO4at71jso/yjinG1kJBj+WDMwFo1SgrXMRUL8L
VL6TySAwsGNmA6YkGuglBh3ue9HpcuFIpVV5IG/gxyYC/KuvSeFGNVePdW9Kd1VJu8aRrX5Yl0oZ
/FBjJT0SxsGOWNTdQY+j5h5jXRz1zrCwkUMwu/MjXgdeIKuf1pDweJXpNVUdFQncE+dRhHxDYIxW
DKhfdFmAblOhWQQTK6FZY1Ie4/ovDUn0NTaufUSyEmwVo1RWNsUrExpklr4Jiy4HidNQVodI08Zf
Bo5+AUCmp5Y8y5xeD2Mvs/PWL4lR+dD5sRn+Eet8q2/lA6EMAFB5CDXopQyg7SPjRD6ghGCNoXra
F47OZP2gFjLdBK3dAexcyzWGb7GJfstSzTOqQXrvFMKkjeBp5HLTELYfExGt2WCTN9aEALLIsvQU
I3n6GKhF73AD6StJCTXuRiDfA8F/Y/a6p6WBLla9nCiv2qDaXmrwfmeWjfbG00r9R88j+b4103iV
V0qEagVVWepJWZ6+soS0pRvYeforo0a3izWJvcSKENs8Uwa3ant2xH/nx9CyMiiCm9qRSr3yDzKJ
cGt1anxUIwMi9TkkvZ0SzcZXu1TJQ5sFdoxJoUornEK30tanLAiA8AL7zDZX6+YhibUSJB/EbtxY
0/odZM7bD1OE8grW6sw1IpqtW0WXK7yGjPTeSoP6lNIyxmCIPSbQdhecg4Rlj3k2kBwU7WGx5XlZ
vgc6CW2namj4HuchATaQ13i8ATJvP8eJKfnQ8yt2lMvaU8YLDXPvbRJteKIOD0qrZT5LesOVqGQ+
GGZJt42CZGwtdABDViUvqeKQDF0/8LpBMnOd1nX3kBaiF06X2vTQGhLbECrxDY0KSXFM6LZ+Nlls
Psh01KEiITXOAXgLMw/67ulTHuvdWQ0a5cMu7NgNUhtjXXERZ0+ZJsofRoqatqNmpLGggByWrwLg
77PBjQgi94Wmrbmks73VQvh1gOqEn+Z1+6SWvVo5gVTlX51ou5UCGM2TSsZZlNQCVMFhat6B1Sey
w7OW0PjAIiNswQSg1U8qmJ38nHLkOHIup5DLo137olVBu6Upq2C1JWQPGj16CrQGBziXDUCQQQS6
DVkh9m2byO99rikOQJc6frphUeb1IjdPrEJJ1VHgZduSRiCYF6RK+nVUDNVOr6Tkvo8HTIjYelhu
EzMM/Mzg6ooaQ1ih/m10BwlZ/S/A99rnwrT5llmpnboULai7DAWyLOgBNy2qvPoRWDQ8IRpyT6pY
/2kytfQHXZNQnMi60KnNIsZUIrj595GIUDewe0LXpR6zc4dw7YM5RRUODAUYkC5K39Ks5KgXefwo
0T7ckFAzcBxApORYJITihZZ1+7QfhJ9Dbf6d2bWEYbWQr1ifmJuRGa8bhX6EV1W9ibaTotalb3KA
HfTetO6EXoJzKc70VS4So10XhFS2azEAhDEJpdQ2CKiisvHUsE5DVMQqYKKMwjQx26tr2YqbUaO5
ZmAmK6Ik6ZMVayjSZ3UnDQhhRoXx3FofCteW6+QrJBi/djrAOV/K3KarXquKd1OnzUaEaeL3elq/
a4HUbEoDE42VxJtVZVaFp42bjrmx4tGSB5U5rZ5Yjmkm+cPI2nIIGrveA6o7bBV44jNnUrhEhDJ3
lRoXWfHk5pZKxFCqI9cq2aoMAZE0XhTr5XbeumRj8nCPwdIk0gJpa1PvYv5a2aCierhtYi5LvVjG
78z5Iku1aWYSpYIJVX8LMVzDl8aUZtegQ+QABQ6V4CtdZwM9RLB7mSF/Y8ou6lYSi8AwtJRrj0ng
NOUwLoxMPobQ0taUGxghD+xHeQpOw0ZyCfiTWuh7usUPeXN7176jhHWs5cLg5MskqWEF6riq1sUg
bHY/bO7FHrire239bHvyYSkXncupDLjuOP79e9T8ehdlS1JLu0Hi1jPgSdp7S3rgxjGw7oYlWYol
S6PDXDhEieABRoHRkrzWw01QWY5OHoZkndvewibOVIkBCiI6polxO6MJc20Kc7QGEQym6EN8ZypQ
CnfErnEjdaX9+usZ+vGD/bE19XNVKWiZxbAlFM/ST4Pui/a/HCWwc6J7hlKjMh2RqzqipgpFcx1D
UIadOw37Lw/+PwamYw1p1uTECscSj3jOWp+E+5yuydLw4uyBBWIKDBVgyMSnuf4qpgwJm5qPDzwT
wg/Q9wIR31K1Tp2rJl2+ESY1MU1Pu6pN8EYwoAwFgORbs71rV8FIhRLfE890w9Rp35odZm/XxVcG
ShT7GQI4mxblu9WCG47vkWnwuPwtkxdmGEl9olk0doX2OES+DEyTYr6r9qsMWCrOl1SA9MjXhX/b
7lzkxXwqPIWgB/ntYVvxLMyVEZIq1esSEjBpVbm3Lcw+1S8sTI5ywAs1sEdAqs37j0L5lQJLaYPe
jWjoq0Y/wc1+rzdLBCuztRbQt6KHAMyN8W2gso5rrVbi359WdSEQilOdbSxQKLvBXfR5e4WLxiaB
v6zNmHcSjCUWKrjR1hA+xw1jGX4Ubrroleq/4vJrwejonFOHuVzhJG7lVYwWE4PRMHK0TfWL7dC8
cPWfshevunX2vGBuXMN3c3h4gBIXeNFpHUKXyzKg0ghfeqgOmpduPyM3ODYO5BoxPHpP/XqLVpd1
Cu6WeqJzDgRU47+WJ7trV0MY0NFFq9QvtulXcJB/Vi/x2lwoln5nY0J0vjQ02dHMTiJIxsOQbjj2
OX/xh3XkMAeaiw75xY7GY/iJp98pyBxyqp4XaWvm7jw0vTCKr+uAVkynXmoTI316gQ96zB+bO+te
LxxrXaIC7dpu4MYf+X2/b7fE9tjrf/m2F5YncdCww9wOR1dq3izDuUOKrKyJp0F37acVOr0PSj2v
3kef8VpkrrJdsD7ryBfWJ5EPsmMSLntYL19avM82d4rppC+tV+ykdQSmoNvmZnd5nB2HIgRINadj
yVEdpioZseo5PUFOoAWzTLFu6yNdIu6Yu8FGdpX/GZrEPVAu97YYIeRS9cSrNy3YcnlhLXPB+9LE
5JKMS7hrNIbWwdx2DPAYRft7HDyUBW10LaFYAO2TyZHIbVTw1BFsa7f7tl+bYL8zFsrFc5fwRVtu
OoGh1KyWFYHGFGauDq2V7hpM2it55Gqx6t3+9nOmCOZ/McWGcPINvpQXgxUGLbAjYQi5aICJSA9x
rpUSL13mcy59aWjy7WUprnTWjIbqpjigbpfsMtSNVmZT1/dmZVK3EiDxE4R8dDIYnclg+CmJNJfr
0dJVOOfw6Mb9TjwByZqOEqZQT8oHzGK6ZuLLKoawwsdA3jeQOO+UhULynD9emprEkaxQS8RxmBoH
diLtoQ2XsEzzFqDMC1Qz5lunt5CWpswES+34Fl0X+UkTC9nzrIegQ/2/vz+9azKw61cd/n6Z/Yo5
mNkyFKRsc6VFS9TOc8NyaCcg4wJMBCiVqdAwHBGYjQqmLEE8TO0gUZB8I2BOgbJgM5jAcpuOGkSr
IMnBetOfequFAAVH8VE4scZQXZIx7mlvuHLi1EZtcWEv5u7dyx84ceJG5Hzg415w6dUi9yHZsXAV
5m7Z7Mpioy0hLGe3/mI/JsEMZV3cQxGaENBzcmoIepOid9V8E6AGdzsMzEXmy4WNv+TicZnZsSGl
PRYWYyJCe26kkywvRIBZPwVbJwi2ACpH5Lw20UqZgTYSAIWxeggTBU33RXTT/H79MTFx1Z5AMBPa
r2NLCuDkkLn8lPnBylyVHrnjW8nLvqInfrYWwvVs0QE8Zv8ubXIliMEMpWL8TlnkRKfmXpUc1Med
X/JB9SRv5I1cUm+cjWB/LNrjC/7ie0VZaueAZwLyF8luWj/Vpp+lb2l9kNjSaNlso+9idVMYI21p
k4Q2fCPdDgdtr3kog55st1hF2/qn/FN1zEO/AdOY9TgstKwWXMaeBE8KSeu2VOEyYVRs8jg6ED3d
/BfH//fTTXOfWlP7LqbYSJuA3FZrUSCGvIyZLjj/0veaBI5SJJWuUOxhD903GZNzmXDKBPJl5zZO
vdtL0kY3v36XGAoGREAoip6VATWQa+eoghhF9ExOAXGQak/iQbILjVzGo8+O4heVysO7Zaf2Fpwh
LTja+8SreNO2DhRvEjdoBuqUQxK+ZlUh32dUjaknt40x8vwkHAM0GOvdZZ2Ghm/eE80z1bD4xWMR
tJ4qse4XoGJQqKVV5Nd6h2myNiLqJzjLjG2GPGPfBxbvXBpUwyO3K+WpaOTkndZltA2qsPZLFtXs
AL1G+5jIIl9wqLmdUaDSbqICbeLemuxMwGVdsJqkrgnZ2rVEBnVFSntbFFW11bQc7QfgIkfdXbGQ
NM70k8FwCDQzZmrBuQUg0PU3iViBWTwTXQj1gb/YDlsBUhF68nbY5X4OvNNTveDY38/OtcHJ2YGU
IpAIBAbt+kEDy6dJFlz6e7C9NjB5ozR60FgS/MhVtBU41XNUYyiCUawvuPP4TaberEFs2AIxwEh8
MAmuUilKHikBc5FGrThPTpnGHS6qhUTt97ef2kEyiIsJw0iYMJh8oUKnsa3nRupCC7JdFX62yQ9a
7BZ7dGVVVLsQ4bK1cg5eb5/WuW28NDv5TmncKHpYwKxS7wbhStqvPj+mtFi44Gea/yj5gO8NU3Hj
+MQUJA6FA9GUoQ5/EFWG8aowFEcc8/Yr4lK9kXVuBZjSL7pPK9NxbXZtAc1XkRQryqm0yyF5ep+C
hCIAHd7AnqtIT+7LVOKfhS39fdg3AF4APdZIvYcx1UmmkDEBGFjS4vq2Wi+SEJ66hVfi93Bs4LkD
UB6K23jLmZM40IKRthUVfErt3UpZqdlKAFJQIyhXypI008wHHgsYUIdTMFH/7YUlZL1IBThLXHS6
RPZRdXdNvoqThcg2932vzExuGAEIKUgxaer2a9A8pI7q5o/mPr2j95HbfGWBk0SO6seO5JULTR51
dNHJyYFpGzsJDSwDVK7XsU3XkoYmCVaonI2zvgPsYBV/6g+fxkmgceAmW2sk1uiZ40Zbze03McrX
C+49E+2ufsLkFCUGxuytftzk7J1Yx3hJEG5mvBUec7HGSbSL5Uigkw4Dxk8tchrq/F+4U6RCGHnF
P8lSSjlzU13Zm3zOMEpDEYfw0HDLjzlxMpDbD2udO8Muc5QHad2/QoLPfdGemvfbAWkmm71e6uRw
SFKqpbqKpVZvIOHeRpYnXnWnzB1ldCS3eUz8v7+rrhY7HqGLbDbsxSDSaAzxXebI0irosoUDv+Qf
k5ACbWHSsHFNmZpsiYg3ebGwhvlj/ucQjB/0Yg0lBKnKoccayizwbQ00sN0raZxmCZU/awcCH6jg
q6Ny38QRDaEUIRiqGNq2DwMAFYH1o9FOIGdY2LGZaxczxn/sTByQQJQW2kR4QwXSfS+Odfsq8SVP
GwPDt8BxYWPiaQmhat0J2BiCx5gmaMytMhMaBy2mbo9q9RBlW9n+0f+HzOVqaRN3GxVGpMgag4Xu
cqN2C/COlvSoLX2qpS2cOl2Y943NsTyg643irgoAf0m826d1ycbE7fp8oEwF/AvP6cfB2uQgn8ZU
yG0b8xHBhroMUleMmE3hq9xSo0CvsWElKPm54dnRhkJiI81cU36GPKYevVTpuYY0A1WgXpw+SUtJ
4Ew/CUEJWk8YgMGkAiYDr49XXpesFjncnpe+Zj4I5mcKuNZLUEna4Ktrgac7pIsyc3O7a2PcBKP2
6Jph7vTaamOEpOoj5LiV13l0W3wOzAFDnO2mTnBnuMVRfsR7bqkONvdYAOr6j9nJR40lLcYugBeU
rE1fbDo/cJxq37n8rTyX+6Umz1xEubQ2SbBNkgx9pZgphtw2hX6kFWgkvGppQHn8zdOzfmGFTCoW
lc0syCHAilG9ZYWnD0cLKpKgWK47IP7ebnvsbEpyaW2SkihS2Q2lCmvQrFh3Hka8XSAZTkiBYoet
kV2rb4FXeOHjWdtBFzj2IN8plvRiZionwLT/+Y5kkpXkHS+ALYT7DHcfwKoehw2YD8/26h+M7fvU
qdYFcD37fbcQV+e9FuN2qOiBx2CK7BkKJcktGalgWgFJVjkgpzOlx9s7/P/w0T9GJj7aDoqVoJ2T
uo0vPGPDT8yVfrAD4JZQkmg3fCnDm83AEIP+XdXETTn0TdVagUF1raQ+XXdPwUP+1g2uQhzZWaqq
z+7hyAE09h7xZJ84UIsagF2O+V6UIXk+NPGmXXpxzpvAiwBDO79R2dfBJW+ruI06hDQd0CEA1bok
cGqxcI3PJT5gsvifEWty7DorNOMBA7TAvjzRTEILYqkUubCMaWWjxRuujxluIKksAAI5EL6jS19j
7r2GSW10bMBuM47kXW8V68EZaLcxVqEc5M7j4l2YvpZs+/Zlwa1nVwMEPnh0AH1SpwMpXIvNoKc4
OxwaTA1CBHNMHyHfUc/RdnCLB8izLLyfZq9XEB/+a3NylKxMbQSBOovb+foXhrdXljes80N6KrfA
ZvjGdumTjUflWyy+MDg5SqnRVMQUMCivg0f2HB2SbbcqXHkhRsyG/D9mpsSgRhGFpK1gRvimDwKZ
2jewHLEQ7ZasTE5qnIW9opXj7v0cvOCBHiCtB/zu9rZjLGzZ7wvnIr0HqJBCRxNW4gOFCFr4Wnti
FflLd/FsnnPhC9M8hyt6E8Qd7OgPCq7+Zl+tUJB8wxDNw+0FLTi6OsnvB9Vk0E+EISJvBuoF1Zaq
z7dNzIVsJE0YaQHXggmUzMTPeN4IuRnH55X0vYAQaFB5OYYPyCM1fcteJ+qXKfu5uTBFOJPPwKoG
TOF4fu0pAZQRckrGrqhLbQF5vsaJKFDKgOIsndvRsybHaMwJgRFD9xzEThPPU1Ke1hjsZG5NOEj9
Sodar7n81uadY1JlhYFhIMglvq4xeRIMS4pdM5H9yvokuRBJIktWBOs5+uOZdVKW6jqz+0hQ1UEs
RKl4GthTE3rfAB9geUivE+mrg1xVeAyXUvsZR4SBP2Ym62hCrYkqG2a04BDEBxFuDOrfdsTZrbow
MXk8DCpGqzEAwlyIjHltLTtF8HTbwtIiJqdJqoIKRX8sAn0XTJ18haIB9H5hHnMu5yLg94ACtIIR
pW+NnaG2EgmCCwzkK7oDyTiHAo2ZaU6WnVDShb3O8IZ6VeTPHX+mS+yEMyHwyvroLxchEPQGIpZk
OBwT8bq2zbMsyn1vZk6gkRXYmb0YYMnMWpqfnrn7r8xO3mBRGgeoq2LRg/ZY00NqHDvlXas+tL8f
hkdJ2NSBrNUxu4veyPX6GNQSSC2bsRth2M1JeHliRIKUT7gQn77vIxThbAyFjEBeyEJNvNFoeNlk
PQHwPqsdnR8LEEaXvdtqW7lZC/M+axeaT9+dE9Ce0RY0J3AKpoilrmAEwwomGrgpZkqek/BRqt//
1v+vTEz70QbHuAjNYaIw+LrS3zROvPrvNS2gpQcSbEy5QpPcBDPd9Reiit2g+GUB3AUZwi+rcNmX
7RR7qHE2lWN+SEdyTrx8c3tp34PHtdGJ2/dSYbZtB6Ol2a4IyBzbpRx95rUKE+BZg0soUPGatp7K
pgnCqKQwscqehJ+6zI/XGXis0m1NnNyFiEP2Yq4L96F17EO8tg/G9vYiv8f6618wCcJMl0gmR/gF
poDUytZQV0ITeI28/LUZUwOXDpaJXB6h7PoD4ngxYfMIC+TPhr3XOt+Un/gSr8PvluD1xWwByghd
OQMEHtCOmSTUcq3aJUsZag0Oe0xeFOEEq1hxMZ/sRLtoTb0UBLJufBSrwGdnjB/eXqUyc+Cu7E8i
SZkOag0NUzwidoOveKmvvyun3led9Nk6/jLXP34tGBxDxo0FTzNtLg8Viy0YpB+G4rSym7yIPbSC
V8aRd77yBfLGpTV+D8tolNrgBpCBJB+xudefMpZ7qTI6eEzlSef4vjyJc2x65EAKzIEPa/tDcROv
pK5mLL4rZpwVpUjdAjcByMm+SUoaUo/5NajxuiylqQMKgcdU5qd2kOqtIlNp4fzPLfTS2uT8J6YR
D8DjjuAeTFzoxY8uS5/U4N0a1E3ffN3+kjOeAziiBYoA5K3g3ZzuKmZTaQlSG9cGBVQn/+h6DtDX
+baRmYgGyhdEGohWQm112v3slK7JMRaJFxM4aQwHObr5gBTQWvDKOTNEQ7YCTUUNndZJtDYii8Wg
gUXxFC1cSFQWoJy6vZCZm9TSiYorVCYz74s+tJlSigZwDuonw1sIrvc42hZ4ZSg+poHQbmVLbv+b
5mRy1BCp0TcGJAqEf9M+ejhIzA6DDJpNhVUPjqzT3mVUpvedZsI/zBC9BSc0Ch2yCYJ7dgusXqlY
KL2gGQCZPAltqNrVWwk90GiowTzcSvoLozWy+EgWxSYutGTwhIZERGakCde8TSEUIpCUHOqq5Qe0
96tTqYDTcV+YkX5PBoKIPfSDrzZ9uCcqkz/UPrf2XWTVWw4HjlxFYchp9EEHxw5Br7ZyysAmX0zO
O8y7Wv0nZm2Mh7ym7BxKdfJaJBbf63bS+RggjR4KKyD7IsvU0GOdLXZ6SsibKMNyrSbjqC4zogxi
G6KEAEhkCW+QU2iC9ZUsfiBfjWtfDRRIY5IBGU/Vmuy+zapm2IN/qaX3tiRrd3FnQ8m0BY9WA8nK
MN+aRti/FLwKfTMSGEXNlUb1AAsga+C7hwhvrbyA6gXv49YZoIB5l6qZ/JaUA33ImzqiLjWNcsuE
FHs6qxSyq+OMgwiThdk+K5J8h8+IOW3NTvp/1FLNmTO0CXuKuFqgoQAGXj+r6+irbkpof0omqKJd
BEQObGEZ8LcAbJ6fqjkUXyK04k8lqLRVFXBQQOZZqh30sEabscF094L/zcUHE89NvKlBbvx/KR4u
cvDIjuA/CaBd2Ekwe75Ayw7O5t0+VrNGACFDqghb+vThp5tpVLQWICmS9SBqP+WeoS2YmAnhKKz+
MaFe3x42y7A5MYBYdfeRGMSLeeFVWQv4i/JfduzC0iSiyjnPi1bCYup+o1S7Gsn2kgDOzA1hoSyJ
G8nEKCPmxq4XE4leFci9cR8l4AQwQCi+JudwYCudKuvbn+Z7sQs92ZFLD4MHaAFNC6ERzIRSmaMI
zgZXh/SlKjXrIYbcaFO4VLB/Ymmp8P67EjSNeJDkBnYF7yJ43SSOC1aWYdDgupDO6Nhkh7ccmnIQ
L9GfnoKT2EPf8GycEmBs+T37DFcWslc1cJbAvXO3CTqAGN+UbXAkT3uQBg1MPWOI9VriE0CHOXgy
bu/tjPgANvfCxOSm11oKqrkGJmzqG9xRj737icYqIOf3duZpD+U2OlSOvV2qky4tbfSvi0NdZKmZ
Ny3sBhpKl2nvtNlCer9kYZIQN73C9f73RYnwWkenTl2oJs6UJixkYkjHRhpS3MWTlLfBsy3Pmh4p
d65KYOcwzfcMeP7KLS1QUjj2UKc+oza473VGxOA0IY1Ur0lU9gtA8Bj+G9X7ImpFuRBp5pZ+mYVM
zn8agJUi0JGFtPxZwkuAhAvAwblQdmlg/AEXX8+qmiRXocvtlq36kqjZurQhhdUXu0xdsLQUZyZB
s8tlEI5IaGrSItpA1itL0RxovEY+huHfJ71XIW2ya51iBiKh6EDnHfUaAgVw3UvzF4w8epm0NNk+
F9SgAK6h5oJZGIyxXO9gGeSC1zbiZztSAUVOEYJMeWNXmgMCkDZeuhHmPtiluckHqxUQD2YSzPUM
MC7h9fIXFY5IXxbCydyyLLSRABxA3cWYqjJAWbIK20LgFbjiK3Njn/8BOOgnQmcFEAEGVNfypt3b
m+Kttb2lDs/cFY4cH1VbDKN9B80S3nEjNWA7BCkMoN0WAIDKkK9uL3HByvTZ2YNNiUQ9boYYw2NW
eE/0R8L92zbmvtbFSqa1ETZUQwn6HASWwiDrVksqID+U46AgU2gYjc//f+YmZyzq9TKtU5jTtJ+p
+ROi725BIYkSv962M1cjgPzJv19o2uiJS2Yp0vgIi37YTzJKjc5wQM0Ml8DBXAGpIBzrZPn/YS4b
qiu4PnGdA/aKweXrs1YhhFSUK+jJ4SZghmsbj1w9Kz2quNGohdL0y5C12YMAXLUxFgow+jM533ao
hG2Q69jTPCuAttL2Oedn3hZsBZFJAfSQZC/AYedCpQ1yOixRtk1gb6+XiYS+1cxWRc7S6nwlafdG
winUuzN5W1jlG7HMJZDUrEW08UeMFBSLyWSRhDd6XSbIM/M+BVuspkTDJmkj5UNNqBSCcLik6Zp1
nC00BWbut5H5k5hgrcTraHrx4hNnIOZCwzoLjW3OjyYt17dddeaUQwcdLTwC6gxAoSYrk9D2tKAT
xFw5SaB/McihR6q6A9rf/Oe2pZnu5zgdAWYE8OGiGjot8EZMQNVd9ACZNmuwTjjSD1t4mQPuYXfp
kTNzAK9tjYHn4t6WhiRWwwq2MLTFTuxo/Qr9kZlG9dU7N3TCo/wpL3yrmU7/tc2JWyo5+LZaHDY3
X4VP8jp38HrzwGPoasfw1Dg7YPAXdvT7x7u2OJ7Ny1XKCriD+QCkHqDDP+WXJHAbp9/2Tu3ZK3pW
3HTHt6Z32+r3s3BtdJIMtrWa63k/LtM+D9IetO0tcbUG3aE+dm+bmkk8r2z9lou4WGDOhEGaDrbA
yl6vZCxspHw4Z/vYuzcf6nOwsLbZDTVx4NClR09Unzz2LF1kaO/ImVtxEGYhwsT6U9ktfbdvpxqB
BMEEcWjsRslT4gNLg8aC3bPM7QcONTB+6gJ9IWWfN4EAiaEkdLGnw7ZqLlehbmRQf+yDbQFFWuRC
xc/bX+fb5Y1lQKYQbwJZg6FpvT8IeWTptMjcwfi0uofCfK8wiiS3C2a+fZPRDLhA0bNDUc6cgnYC
HictZgWxW/o+L+0j001PQZv39mKWrEyOkt2KFlEdVqoiWw9RdYgN/RfL2MLVNbtnGNDBvkEzHDMj
1ye2iYzYzjGj4wbkLco+uxTjeDWaaZ+3V/MdnDFu2r92VHmCDCtIkxtxCzspSklSuR66Dy3fDSHm
0kjiGPYJurZZCaKYhbfot2xgYndygECXlQaCjnb1ZmVJjZsJ24lTawV+UEfXHuVsibl6ZkfR/lQg
1QtZJ4DmJxdY1tGo6ZoEd4itu0GXgwqzdaj2QrsFupQlQ+ORu4hFJJJCRethqNZSdjYjTd3ibZDv
+6r4AE/hEo3QzE7iYsak50jiphvTvIpLLOGKhiBRF8mLXPZeE3DuyAwXppwdNWY6VF+qdc0tUUFS
MaIP0KeYlr8TUwHoJOaZq3XEbQXeTaFnZ71Dy79tWluQuxklYMBTi882zaci0ValZSJ0GFBMshhU
YIiC6qq2mLjNrQjUzKg1A1auq78vmIuPZvdyIdoEK+qT0InUJ2E/aOkqqpbmwGbCx291lv/ZmThH
KEs6CFvBFjNQc42BRhcILC+pB3/hXI/efFWuGzfuYj3j77hYT0dDDL4xrIcOmQe+fVdr/dpckd4t
yE6B6h2e16Xk1ZAT48M+0hbOwOwy0eOFhwDQiEnba/OgwS0HTcEy7VhdKVKyUnt9paj54+1lfksx
xlX+MTPFtVIdbxgphZkgDF2dfrRaedbl3GtUBbM9S844a228iMd2MpGnEiYRdOOl1kIWhaKEKxf5
XtY/o+ifQNRemNar20ubuZjRVsXbEAR84D2aOqQi1XJZCyxNi7J7iWkHs/xx28LsN7qwMHHFUoaO
BrNhwYyhzRigX6s0j3qSLrji7EIgjIW3A2Y5v/HuNVHWMyGDN762ggfZ7M7aIpf7rLPbeFuiFK7a
aMtdexvYig2V5QacvaOPNIfoZf5kssEbiaLOWbZSxYOpH81/5LBwUT1e397HudCBTiDa4GOKA1a+
a+sgmi6hZorcM7buYlK5Wfsz4ivM17u37cwFegxW4rJGgQzt4cmRrgzWKmqkwI5mHger8DpMBFLI
A6JothaW4kRs6Sr7XgzHAdMwdD2KxIIvfMoBmQ5tlrU6NJbQ+3/Vg24LVmD+YabavmiMI6S2iQsh
6idSmY8QhW8dIwmVbaW38o6ycmvoleYXTQmqMEV7vr0bYwSZBjgL4UXGFD2E16bv0aowlDbqoahQ
tYqj1S5IbIPSL9g/1Iic3n5a1N2Z+8zjqPAoTa8CezRGh4uIGqQgUSZVgJci+hqUf5og2ygGFzxW
/2FhF3YmCaZVgkYElA0ArornprsXmH4zOo8Zm8I+KoVf/DUuDJ/4twTv2EgCTnfiVkAcGRJYzvEC
sGJ0pIHglyCWXi3BceaizaWZcXsvtk9vmrhWLGwfse9bE/SbQ+BZ9tPtvZs7IuNTA2gQ+CvURK+N
WGCNYEAWgYutO9HwyCrdsVBzlaEftwr7/5CbXBqbfKhQrvKapTGiji47ZblXo/9D2nftSI4zzT6R
AHlzK1Omu6u9nRuhx7S8IUXZpz/Bwfl2qlhCETM/sNibATqLVDKZzIyM2HZlK/GGtTvn2IhwkRZd
0nUKYija6Og/90GtgWIbtEfZiy5jvFx18D+bJ2plDYupjmUCU4n20bq7qXig+jNpJYm/zIoQLW1v
LKYOQIHAc/de+za3d4PiD6MkJq9GB7w04QdIjT0xbzSTcsgzNGLRTEtCr/+l6lkAa07XANgGgSlD
DdxZlh+suTgkUvG50KCEjJJwDWV5o1fUgUMguYL0JvFzSAq5zsNlHz+f8ecxGRQVqmFi+hfIq1Mn
L8rGHYmB244QqGumBqj6wMMIxix/nPK93qBtOZoUEgu9zzXUtfpHZdWHYvI2w9wGAwESxfqyiKxA
uLbleMdg1Ax4LONM4QgXfzyiA4D4yJyQtQ1i/lfRdttGe6mXQGkObRVe3om1/eaUm8C0eiCtE/e7
dRRGFob5U41U+Y6opRkURjodGqO0/8UU9h3PRqAukAOe7rmJyBLXHhbX0OXgzTG2Wn22nfHp8orO
S4OwAVoa8C8iVUKTXQjGUFm1K5U/x5fa2jpF+jKw7NANv+b4pzGOewxPpr4FukTLHJ808HVbOtjW
FV31B6uXdcjctWh67M88szsK2Uwjea948GfF0p2XvrCASwJCieXRYDnzkxlPWryB5GUN7Rzd6auw
1bzhE545hhgaT1qOfSqVACmB1jy6wCi8Tr2WgXwiBm48JApFTJvTsbn2aON8r+bFewTFfwl0AaBS
TzmYWB5A2mwEA3BRHwR/JfdzSNC8l8SdtixtkmKTKCYw9nqrVr2vdfOUPtReyXD65ribAsBzGjeA
vmixMZfFaKPeJmWx66jT3oNwGmO8WV5CKQsDmhiOnKx2QxiA7QlTMLJhAsPjT2kPINBMRnLrUaYt
vm1P9U8FJPrvUM9gIPpyiIpeZWLiLTWZoG6pOyCDIPbQ6jb0kh0D+JxEBbR7mPID2u/2PabpvSli
QzuCk2zSy7tCz/pQb43E9lPTLrdmialfnyhq/GoC5txf6QzC7VGOXsadRiu6TxPqbKZ8QE4QuwnO
O+ncSg29OXdexpwkDIIlQ7nVKAMIxXTbepN7rGswBWOO10PSTZ+xmnJ+m0lpo9TSWxn31FqMP3Yc
wYvpMi4UxJV1AOEIv4vBwvfooKLkFpLr/rxTgOPiAQKDBAbFgbOJwC5XzVTj1ct5uquhT+6Ag2gz
kxfXLfw2v46dvSEDgq4FnWOTQh4zuUPn1ArKLRTDjuB1TFH7aB+Sdvm4HApW99ADxAyYRlPDlXJ6
+LyOLENdwg6b6G5MzW1D8hdoNTy2/SgJbuvb+MfW738/Ouiom6NFxevMi73T3O/q/MDMLJjdT7ON
liXqioec9pI66srTAlUrvHAh+shvCxFfBmXDhGYdQQXQOyTkvhkPdPqRpJ9zE+TWZu6A+AODwOBr
KB60zG/0MCveWSkpgJ7fWqe/Qj/d5lGjbsxS/IqhAP9W/ARtpLBWQU2WhmP7lmaAIkgGxs4dCBYN
3gXFux61feH6ri0oGmYpq4PCAncAUTZm5u7HWGZmpbILO3zwGwgxgOxFdeN4HOy2XBokWqP9ZHrD
QzakdMdS78o2sgaaLsUYpAaedhi82mcNIRF40F2Ja52nrxrmZ1Wu7Obq6PoKCfniFl4L7uga29gd
kK+k27hy+5DNACR4EIHxTSvVJVFhbYMhZ6GhEQqL2OXTT9oOUMbJ1LJB6XwqAbMouyAhkLjtW+3X
5TO6cnD4Htv4jACkaVjqqalYm8pKK7C8irxm3q8inX2DwmeUD6X6HMBMqt/Mi0xJd219x0bNU6Nq
BRJZasJlJ2vZ5Zr9ztJ+01BTkkKvL453UlCqdxxUogQ7BtHjxoS0Ug4Z+aq6pd5zhbS5unOBXKZR
1R0qcH1c3tHzqIcNdW3M92NLcbcLhwOSHT1EoHA4uuoXBR9j3tzGIBmpFcmXW93DIzvCsY89jzfo
sTbaXTXld1DOaLLRWv4ZTgsUp0sRto/mXm9pFZbC6MOiNv4Eia//22YJjuDqHeDRNRZRtOiNK9W+
yNwHp7x29V6GJFoNk0f7xffz6IaoWhfUSQ0WU7t3ivNTwUDSMu0NJMKxdjNqsd8x/R9WhxPF4QwG
VOjEQTzPIP00uqhg68wM0+puzm7rIdsY018/45Ez/rEjqt+OaWfMago7qVZf21odMbsMl/KvO8bu
qRnRs6dyMHsVZnplQEh2o7SiYVt1ktWcd8K5HQ3xAVxaAIOIr8ORjG2muqjqAka5oBc0xuaGDElp
7K3e1aawo3kWFXqPwpxLlNsMlGaRAQDEN3eshmu9gx6dP1Iwdl721TUHcjQ8XzQUaKHwKTiQUmMO
xVOqBg0BY3hX52WkfjxqTuernel+Nvbc3VlZMrJAQT8BmRyCbnT5J6yd+eOdEc68Y1ATjxTsjBsP
T02s/ewcM3QayRNubaHHVoRjr9Xd0s4xvrMzvmFQ0dcaLYjJw2LcpuqCFBhcJf+yLrBVoWmFkYCz
Z3ACQV6o5KHAnmVuvMmJal1BT7pAA7e0JF9xLab9nrVCKRhsJWINFNzoLGm4qb43bmjc3Ge1DAa6
eu2g5ce9GIT0hljYTeMiZ4uKLguZej+hgTHvdHXHho3BIs271+3UZ70EU7t27WD7wDaO0gpSUeGj
KYqnzu2E0roFDIejsaBc5n1lmpFdM8nXOn9UQ7UHTQKoRXHdUjEjcgqP0CXTa7RNMWyihMsATKb9
QfUDJn5r+nLZ51cXdmRNqFE61ciWqoK1FEVrt94aKkP5sPMbqVQqPz3idYf7Ghk9kK6IPvxcHN0Q
ykIhG8rXNVtq6FpsY3hVCGVGn3VKkDtaOM5vHgDYM5kOcels4lym1r62VvwAFLEN+7f3nP6Cqmra
ZBpxHaYmeJWqH72LOSWV7FUvk3zDtTMO2mAkKeh/A1MguEu22G5dZQoHzdwN7rhRS99j95YLptj9
CEZkx5GJPK95DTo/rotOILJpsffjQjtV68qsCSb3c9GQYN5Xnel3Wuo74LXqZLR/K2k7NpIPt3Fn
BULkdCt10rTVzAhKBr1Lrslsule5AhyzP0F7FdNSlG0Zc7v478MLpoLBxKpz2g6knKdm7WlopoY/
Sazc2kL1YtNCN/PygViJYBr2z4D0LWdWs61TE4MN8LwDuoJghMQr0VEdQvf2sokVP4R2AVhrXX4O
zvPmfibe0lu4gatqpxPgF6cbCopQL40lfrhmCbUBjB8CAQIyfXG/mrws9MRG5IcEWD4mYeNdWc1D
okvsrL4lOdpNVT0Vui1iUmFlYCaaCuxaU8e+YYxALjwRDyN636z5LivuWvPOtrcLYZvLW8m/hhhU
uOgEvhiCsip+LQCYezMZsUCmfCqmfl2jdFUnkgf5StEVwFa0VHGsINKBsc5Tn7ApyBOtCocLJOY+
nbdNcz/lD3aFMicEcG47+1rXN0tmBiPST+0DpbbLqzzfXhMvVQNQVzgLF1oXcsNpKUAQs2C4eBq8
kI7qTlE9zMQ3AQrEG6U3XpZsDLKWosz6PLSJBGp2diS4ddSY+C/AXL4It60x0rNgKKcIrOT7mLq+
juT+8gLP/BQWUM82VJxpDosW1lcOyUSMAVPibhyZ6Z5o1xOESOv3y1bOMwfBDL+ijq4gcPcrqoIx
40B9bfUoeTG+Q1o21O2DmUDg/bKxM88UbAk+g+FUDZL1sDU4e4qkISN3nis7dvyPnLj/byNcJwkt
fwRG/iOOFtQhUVholwDVbU2bouxbP0k8LXCYNm+ZVxR+bY0FJnKKJJxyNt2iTQLtHG20rrqqfxjY
Mkt+0dm9wH8QmsQQ+0aMPiMtMbJ4RGU7xzC3/lU6jl+5t7Gq3PfeiEMz/cuxwHkwEXJAn3iG2DOG
ruxyC5wbrRYbvl51Nx7Ue6OUNORjyOx80zD1jiWLc4tgf8hdxQnzRUapvea76C/xQiyKPGdCT2MJ
meJsoqBR7D1/MPdZ+y13321HEunWdhZD7Lwcys+KLRyRsaFGX/UEjF/uGOlTCTmzIkxxx5fGRzKZ
wd9777E14aQsgz7kOYU1tmgh0fWodO6JDDzy2z3P3BeXOXpZGJLXxNGn2HLTCexXYBhobTzs3KFC
2zWxKxNkHzOG/fqp+/Smok6vKSEIDRkAvGjmQQ9q7zg5fZ6MAmKPTHHMT3dIjBDcQ0vvE7MqrlQy
12lULGhPofRgd8801boIZX+oM3eYQIySxa5edJtZkcka7VllpvIVo820A4xDfbHimOxKNldhnprL
TZqZ1avSx2DqSqASfY/KNIZq/2XL+esCEB70iIWzrKfFlDhehs2oxh/jZE/3rjO8NDlrZKTh3FXE
bccUCJ/UBaMWMuHTqJEz1tPRxHRwE4Oxq/rezb4XXy+en0yBa0a6cwX1C7+V8RyfJcWIDbg7eX6K
nswZcZJrMie2K/iUzV6W/mlqr8DjxRRwhr2odKdlkgCscR8Vl8lTcDDIgCgDGPnTZfZN31Z6goNp
shfI3UyA5BVhnEUM9Av5u4ERKli1b91WYnjtujy2KzypMC5SAwWIdbod22bOtBtnWed1LRgASIa5
MI3nwaLWDsUYsF7W+IJJvmu7PRl3M6kCyw4ae/kHtzw2JUSCokkwU9TAlJuwYEzsHSb+AR6WgQBl
KxKuyySfyUJTmIk1UIBM91Px7qEYFM8/U0i4Xz5pZ28lOCL6STYKh2spvtUjFNR8kHoydo736OWe
71kPNH7qVRrYteSWWhmMB8kg79IBioDZVXHsQCPKQKjBL+nUXxjodtonfcGXixTy0MWvnrtVzEOf
8L5W5e6M4qtrb1MHhaF86w6AkP6k4AOp2qdy2dV2mNUyWeK1rT/+fYK/2qQzCitBFM60Kyi0DFCt
dB6M7jvLJHnk7yFM8USCk87GUIwLCIiY5hnUxYPUwk5Q5NF1ti3n+zL1SQru4eKB2HMIXLxfAIpV
YqigL7+1GAGMg5L8sIyrYnqtXejeT4FqP0yJ5L47r4rCJ45/muDmPdrrKO1gE0h1Db1zbH40gLQo
Dw3vOa82dh4Oxa5RwjKpwlqX3O1rDomwiFEh+COeUfwLHaVxxQRJah3N3MDVk4dKB7eb9YMNbVho
2AbX2EzNz8snYPVBgcYXXkwOspYzgpB8sM2xd3Dc+jny3AdgoOr+rXae0+Gz9x4wcm8iKYaKy2Wz
/AoTvz9GOzktBb4+NKdO1zmW+mw5ZYsJ7pTtgA3xza64s6n5t9hy/i09LAsU9ByJKZghJE9jdyjA
fpKqQQMOxBgvM9mYz9ptdmyEp4XH36xrvTopYGTUPhhYHNnWqTZG+jxauyq+02UDbGtZ5rE5wUUI
ma0km2HOtnJIHGEC5nYCDYQne4mtBQMH+j8WWsIq5rGE3KCfFRyTBpeXUQyBmu/p8piSIjK1z1IG
AlnxemQfHhDfkEnFIJPwmZzYzKsMc9QoTjzZCfUrFMWS5i7R/MIImr9GzYKg9Nia8L3GXE9KZYK1
It8vUCkZPYxxpMDF6X5lfjOSzcj+wd1PTArfDHNfem0NMKmD9kdlfTg2B1XmGCsf7MSIEL2XMc9j
yjP1ZKx8Ul6leoBt9V0aDkRyrvTVL4bzhBYChKDOFJcqSLaV5sz3sHzKwLkAEcPaCFgTWklk1s9Z
bgbp8LOrf2b2Tbzs0FAJR9P2DXXj9mg+7FmyoXEZan1Ewa4zlb2fDhskaAXk4tK70ZOE1dWtOfq5
wtbguulrPcPfp+jpeDQJNLp1yHfMKUeOLKDKtkYoiFJ37L2FJ30x+d5YYae8ZQYq3Mwv0r06R5C5
a40bDxpSzT2DHOiM0rD+6FnvZZVuW9mNvnabAVDxvw91NrTXqWU8qip+jYdthip3crCGwCpUUDXu
bXA8xON7T6etZd3XVThOsjLtSrCCeYuPt+OSsc602PBS7yae6cfkfvKedfRq9OZqSiX5xMp1cmxG
5JVQlljxugxm6u49o2OYtLuayAAHMiNCQLRMJZ1MHjc85VsHgrE+i2yZGvXKXWKbmM8DiovrDYrz
rxr62CW0MyFgaX8v4/1ShqBtoU4ZTsV107xNr399DdsQr8MTEDUjjLIJvqoytUXVFCQ8xRwp7s5y
nxZZRrO2a0cmxE/T6qOlOi1MUHIokw9iR0otOd3rJmwMJXMU05nC0dwYCzM4byAYFGbzTc1vaP34
DxuFoqSNAQikZyILRjroGl0crGKYnhx9Pxc3oAq/bGKtJoma8h8bQpCaLY0AwQ8bHn1fvpkc2AY4
7S89+9YPD8DxAM1bSWyu7hzmVIDA5A9ysWpIWtZj7p5zpdB9knxlKIEYn5eXtRYOQef4nwkeIY6y
oxj1dDCcwUQXR6Oyw5vGCvP6dvEivZOUM2SrEW5Zb07K1AScFfMCkNvRdmP2zVok7d+1m+R4OcJH
Kvp57DQVNkg2+1npm87r7Fa+p10bfz05izzl2JRwODWH0FjjdEBj80NTrsruq53w7t5e/j5rxRGk
/qDcBx8dkmSxcbIALOzaPdxuRnbn2UDrOBqGloZrh9hBrFM8jNtbNOC2sxUfUid5SMm3yz9hLegd
/wLBRdqpbLvBxS8w3P0w/7KHZyC5Z+eKJN8bMNqoshXzQC08PsDBjzYKmqQuSlBChWHwlnQaNTCv
9ADg9alfZi9OE5XxFVDZ/uS9GaggMzzFJW+eFZZhJEvoHuGMYxgDClGnR8GplBlACBu0f3732n9C
0vW7EaY/m2CEDsqeFn7yM/WbN3Zwr2eJ7ZWjAdMOXpW8zoeZ9lPTBWUkdnCP8BDpuiEGG4cp+uuv
COZkwHVQhMdki4hCbiunnUjG9SEIBCTdja1uMXACtJZvZSGSPODzLhvkbiF+xiODv+PpUWSx9Zpq
7RTDbczcL/PWXyC40t/khqTpt7Z3x3aEvRvUJHHNysObXElA6YkS8ATlz3/4QMdG9NMP5LToAtdI
iYN0RA0KLMje20glgK+V2OVo6N9xYVy0tEU8SWFDiNUo4H+aZ950TR9A5veajVnUVEmQDLlk31Yi
/4k5IVRmCkpdigqfK/WfBcH8g675pRIR9wo0cVJqX5k1IVpSq0cWUsOaboc0/8wHEAdSTKaFlv5Q
9F+XXW/l/QPmdVQvQFOMqitqJ8LnskqPgIS9CK5b0KuDgf252c5XdI/Gwt4LlJcsMO+SG/Aq3Crf
qN9E7Ta/CRFwwDjz12hByBwd/xRhm1U1tuveUfLA6QiKYlfMHDDUvLm84POzBiM6qlJoSPCCjXAG
rKVC13nCevUOd16PiRxwIDmPjrK/bOf8KoAdDq7C0DIyU1HJN1+SRm0z2NEwEeZEqEYt5E2vc3+w
HyoHKHRL8nIw+ME6jSKnFoXtQ/031+IYFg1IrgXGexc95fts20fPPzx/ec8ef1RdlAVdMGB2h/lm
mN20fnnVPCWbJTIiVOi2smbu+Tk9/UmCK5fq2GDEgm92HNF6N3hXHfvwrLBmkoL0SvHv2JIhUrqA
UqYda+7GFmXm3q5qdYfWFlSKWJwcNCPPN5lXWXiW0uanmdrJY6q56dbuPel4zqqD/ffhz6Rx1FlL
xtHGLxkDipJMlAZexL6Xqn8/h61PAA/zu2tl50h2YHWrQUIKzAhGms+oamMKfoZKxWA2I4eursNS
f3CdD6iiECqJhquefWSJb8DRbVVZuUprB5aKsQ1B+KkQqNBNICgxd+n4NpgPJvvr+xEf98iiEKPA
o2RC6AoWDWfbjBEEnPxpuovbf2i+c0MYzUEl3zTPyC7MKa2nuYQh1QkyO7C0zh8AVUShlfZfsfmo
Zs+Td6vl//Tt/jMrDiHHiZoD0MTXp4V56flUube9qPYidZSUu84zgJMFiqAbkHXbXdXAkmJGVnkY
l3ttfr8c+FZef6c2hARAUyAb0qdpEXQWBpmaqELjlUGbx4sz3xpeoDWpzPtBlXilbGVCKqxmjjrM
GlY2QOhIGWN4yLcYZOmXFyezYp76fuzVldVyB8mM6zQHkSO0Lf8a0smvQVwbHme84MizUxstrZp4
8WCDWH695L4LajzMuaaogl5ezGrIODIkXBiFV7NY4wd5QuvKVH4k5OAZ0QKCfNmU/UrIALkt3ikO
uKiQZggfR4n70lucBEn7GFn13ZCFzHkamlvAWYomdKq/93IM0oAfw0JjDn05YQdzsNtjhjRDES2/
cbT70nqv/j4DRdfzyISwdxlwg/k4o7dW1PdMv6fDC4Cjy3yn95JrfaXVempJuEMngjJOwzEU9L34
NANa+6U/vCbBuElujFufjIHpp59XyIHvuisj97++1G+lxFNWGCN5kxdhEXkTl53g5+Io5s8gS3Gn
HhgoDbwjvW9u3Sv1k5R+8dpsy+s6DZar6WuC2IHkvK246Ild4a4hPZqrzgC7bnxfqk85CVw3MI3E
z+fd5cOwFrZOTAlOYw7o8LU29tktv5jybv9KxwA6C37XHzTyquWHJJaNg66kCicmBScqFZDMuDlW
h77NqL0v6pZ6N7UMo8L/ipAXnlgRHGiYwbQ1u1iYp/2cMaquhLH3SNLHElLWuuTkra4IEGBewOTN
SuGgq/3YpeOIlp6JivyAZmuGOcTyxuglX2slDoPK648dIQ4X46AbBYOdZLnTrTBunwdZ7sr/hLht
cHhEEN5EB4PjqcvXzE0bPQYrcYx57kb9MmT15HUDfL4UIxHqGc2Q4aJa5CwQvAFPUGQX+tNiNZJ3
8qoJlJE5okZF4BUeOyAhsEYsmkepn037aCf/4sG8Tv0/A8JdD1lrfVpqLjdVPai4p/TizikfU1l6
v/a5j80IbkVzMiBrwTrSbr9ADwwsI7HEo9YizbEJwaPSpEvSqcBK3OZVyT68hhM04nIv/JJIounq
V7Exq+sCGqxrIk+LW5gjKDoBVLCyGxPiFV1FJGFTZkFYTIHEtQEPLaCOuBJQF2wtSUa++kGOliDc
B5S16GJ5QHco6UtmPhszeCdGyRdZtQHgoGr+Zq4Uy7kJSPxIMQFZ0Ux3ihK6zY1RfV0O+mt5CQAV
/5kQrpeSJl1htjDRzrfM9XsvNIElbg9E2fUt+P4dT/Jh1mIxF7jC4LSHbpF4jwK0AsoYA523dN4Q
Gzo2DZ7gc6jYN4jPBES0l9e36tRH5oT1MctLnZH3TF2KgdVd5ryCm2Omu7b4++zbPl6XECzHwSVD
tsBQP32z8y1Bv8KUuNzqWoCA0SAfyYdYhGvMJV6FOQ10vo32eWxfsnRvJoCBP+W5JOOSGBJnY0k/
9lVFEPjVeTdUz3jBgOBqALrWlqhhrjr4nxWJhKIJ6NaYBrx3YKdvStn4lGaRJxOPWbuRMX1qQcsI
+aorepzKRajAbgwXN3wTvV7qhmr/Gv/1iJGJtPDIjOBpGstzLU1gRlcfFOUdLJuXPXk1PeNjUir0
K0xQTQlXQJPbeR1zgCMYbCKipNduXoRGpu/AsH+tjrdTXQMDq9fEr71O0ipbwR6YQKijwQeuVJQG
xKZpjvlgx2ULQtGtdl1t0QIIVcUHQmprgAw+wiNtkpj83U0W049jkzySHGXciBQ9yTuY1CGHmT0+
1/uk87U3LyBh+4VK0ja91R60b0aghFTxlZ+Xt3vNazBQCFJ9NPHxn7DbzKg8Y6lx2Cb3rilKcGrt
RgVQvv1lM2snAPhRnj+gUg9xudNFpmwwoOyLE9BoWz3+Ncx3XFT3so210iBeY/8ZsdRTI7Sae1I5
MNK3AaC/oe4eYufDdLaeFWgATtWPuQcSO8nhXruCj60KqVcyY+q051a7+jpjYGAz3y6va/UTQVgC
34jrQonErFQflnZpcSDYpNggX3LybgtuAp0ExClsFoAxC8Ool22uhUYA3QFwwxngaevpVjIAXQ0G
gpHAA+7GYbcYPBjcZyDdwWot+WxrrvEb547GsQYoHf/3I/+3C3fOjGoE4NEaoqIdI9IjvdRfLy9o
zQrILf+3iWLlDcivrnD5JpLms3L2xP3oZSou65HryIbgCWQcYtKCsi3Q7H3aQaOUWgDh3pfsHspQ
YIoKGyVSZdOL/EuchQ+Uj4BExCgb5mtOt28yFk6XAKMxM8FRjQGbHKK2rUICJ2Pu1hp1PWy7Njso
LEZVfq5kcm2rroJQjV48uAsArjv9AWWpuEZf4geYyA1LIyKIIjE4VZTyVa8lmeLqUeAtcLSw0MYS
2TzVyugH77egDM3CJa+jBCR5flrqSHwt5x8c83e//f8b4z/myDFBLlTGEwGYQW3vIQ3FxpfC3Vz2
ytW94xzPGFDkgnfCMVOS1CnrEr6vEWhqFYrvgJWqdgPLboC9k/EbrLrKH2uigDWxCQN6FguaM/Mp
dT8W+p54ywNaKNdq7SL5wcidKZv2WL/fjqwKp4LWLjHBtIvzfaemQfJYDwGvJ9160XILMqF98uxt
3c0whmOYRvEtJDQl33E1QB/9AP30O5YJUfREww/gBOs8Dx9kZf0VmATShiMTwiF0FLVSQFmHW3Sj
bayn9DlNwyE0r8i2vYYYxJIGzlWQfKjvkNYL6T85ESRuMbKI54ZY6q+qFsRpKYyb+ZexKP4y+obl
e/WLJZvyWnfXP5aEnURvfEo7fiJ6FTOYnW974O9+GAaAJz4uH4wzV0XT1kGXGqkCQH5nU+amU2nZ
qBoUInPGXR+nQWZ2UV6aN4qdXHmWG4EENGzGTuIqZ7eEYJa70tGRHwrdmkwCswU1MHlnYI7MiSp7
/39bnHDjgZ+MJYMHK0i7XCxjejEwem28z/FnWVzHk4ze6CxqCqsSApna2AVJgWcOqBmlcWinQe29
qfPj5VWtWgEqHF8L3K2geD7du7pMVbAqTGAIN25UwHOTcOwPhvZ+2cp5gZov5siM8InmBeMZFTdj
HpZ3CP4Y3zH2A6afK/Zm79kDr3352i/pq4RHqZNrlpvlxF1gQdehgyrcclnidIid2MOseaWmDo11
+uXYoaPfDY3Pwa4DRqAkt93ZcRNsCi+DhHWGM7ewqWE+Ov+aoNfJaUbyW5bKWNf4nxKXB/wThllB
woHLXFhekzKnop2J8+YeaH3o0wM171j7aiwPgynJLdcc5diWsKxeV5a5b2DLxPxUakdtHJqIysoo
OWayNfEYc3SYM83MGjuFnbQvo2YC6WgDbL++yWvm24D+272skixZmfgAWcakJzThu9jeNckvTMBm
eDF6MkaFNb/gzX8Hr3zQDopIHloDbqE4Fsw4he+Wt/Z4hdzZj9m1LhsHXQuIx6aEbzWZ5dT0Nkxh
8CRuPlVnbyW/Lp9omQnhM9VNaxIQ9FPMIk0gcb1X2h8ElAOXjax+mT9bJpZ6vM4sKgxnwuey3gSN
ak0hnmRBVCB27TvNi2Wg+FXf47OCmAtHe1KsYdmsdaluQy7BnPTXJc8TkI9OIL+Yr9Wy9ufOeAM2
PPiHNSIBAC8LSot4ap/6uwey2ISOKPhUDYUoCi4SFsxpWJpP/2IHU2oG+oPoXgsfLGk0ymHANPDq
cV+CxRCznx5whq2MhYL/obOg5GigIUIpBvwhwj2ZgY2h6xZsIhk+u/YarRXfaLZTEQ00NOpIm7aX
F7Z6ro7scSc6ChhVWyejPsGevuwaJFF6mLAPRzvUrQQ9fJ4vIrJjYsIGXgzDfmdlJqpnIyI7tnA8
eLecFeCt2LW77ECvyhct6BQ/2Sf3cRT/8vpd8V3ZXF7neaFEMC+caqNLO9Xj5odNc9uXPlLU+nt5
rWyzsNulzV/7JZCbvJoLklQ8wcUHvl4pWsmyvOO1H4j0jOwQL+EsqzCdn3BYMdAq5I9gEHoK3l+Z
haXPC9hQSb6brBs7eaFTqHivl7fud1/z1CcNFW81E3UYFXVQcfxkHrVlqgYocsxXip9FOv7fbYGk
v9WvvA2G8JptZ/gqeOr89MrZZ6HZBddZSCRV+HNPxa9wMdmBzoIKhLRwMsBSlldaj79d0jAFCkbD
iPUmbe5bKvHU8+B8akg4EqObpBjUwnIn40ei+GAicLrvki2V2eCLPTp29qC6TCmwGPWB3ZDA3rsb
Y4saxhbPil2/SbZp0EbFtvaRI4R5ZO1VwBfNgy7JX1cyS7ROdYiMcY29cziOOS+YO5tA/5q80h92
pEFM8s7eguDqlxPVu/zNOmhXs6SNfl5wRrZ8bFQ4ipnlTZnOjbIfEK8KHX/Z0ZvMN/fdBjDcWxn4
YW2vj80JsVtzCzVVBpjL55tO+7KHH41sMla2j2IW1Le6TroFNl7bvXsAjc6D4muqH9+8eVfZEzto
h4fLHiRZlCUc/cnrC6Zzg/q8z629oW4xJHnZxPlVdPKZLP3UR+eqceK4hAnnyXhD+giAZ/Zcbx2J
O5wXS07dQSzHT+rC8n7m32cPTKl2gzF+bVNuzGechajZz5t+9+JGEDLeosiWbVxJqD4HiQv2hddV
Yiex2XF3HKM4SG/MW7bJP6oIr6vr6XHYMZxBB2dR3Wf726/pXr/TwyXKvsdw1F72W3i5Xgy1R74q
Dtw3ap0bMXj4cB77CFMnN/kGMrb1xouKm/x7996+Ktv89ik9gB1uK3t7reiQnH5xIfJ51mxZBf8S
85UdxVuMZ3nXc6TtNP/XDcj+fxQfyoO78yRvI76/4poxv85vFww2QbH01M9Qtp1VprkUxVt1W7Lq
miaNpF+xdlqOTQgRJzFydQJMCLmHMuzaNtllOC2kryWIlLUrCpeTiqEh0K6dCd47RslAqYxsNDeq
X4uBokZXOVAvSa3HFIzIETS0ZeWptUMK6WYHzK02B68Jwc2cY1cnMX/wgTmyTDCwZ2+HIUqXfYqx
HoYh/UISedaSjiOLhtBxiomlzv3An0fNa9KQCNNE34Y6vlnsQUZaef6iwE3PG0C2/Zv9SPAMUFUW
WcxfFFAlvC4S9giuxwwyOPbzNMaPvTqEYBl+uRz1Vg/BsVHBVyDSR2ilIlF0kuUemh6hXbk/3HwJ
POfb7DhBkWSbmeJsNLPyYDfdLeD5W9V5wQh36JnDVW05m7ZIJDf1qgcfbYXwnUkNuZoYhAuBxpZN
3NPbaWyDJiWS1a/uOHIsG5PgeFKJvWCo4vS9O+GgVIA6MJD5zwlIJQJbvV+mXeco/uXNXj0wDn+9
cblijLydHn2m0kXNXayqrD6YUW9cjTxUy1c9QI3OkgX61bUdGRPuM+LZiUMGGIu7KnLrYld0YJIF
PuG6Y3sMTEjC2uoXOzJnnK6NQgvDohRbucQQFxrGKLfUYMoUSVosW5Vwe/WKrSpDjDMyMc9XjM80
CxX1U8vfBvfa+evOOa5KVAT/+158zUdp6zB51Ms6bGGD9hOSuJCwn8lU70sIAl72jNUoc2RJuIo6
paaZyt/Bdv3VFNH/I+3KdiTFte0XIWFmXplizoychxdUlVkJ2MwzfP1dlHQ7CSc3UPfto37oU1Kt
sL3x3t7DWo0gWax6nAiFruMsnxLUP0F+iBYPnpsabT+oLRMT721ZsaC8cVP3sRVWbHsdZtHHodv9
f2G4Uyrwtal6Ds+Q10x0/Cwi26ELZPc6yrItfKNwx5NGilgZDRajVUdD1D1Zf227XV5vNMFG9fc6
2PIJQaoRpXLQ7/Lfrtqno+kLsO/aEGyhwStJqyy50K0wlVbc9+K6QM8MrmQMouKpe2l2hdYT2dew
exK0pkrtXi5e9B5Fn+yepcQmaz516VZCshYkBdAcB5cAv40y2KDVEI/3tFQtVt6UaDLM8ruhfS3X
+r6WNtEgyFyhZQ4dUXzPQaog8KUpXvBZQNRtWwaILiUabdJcPccBrR+vn9mSGWKsFNO/E/0lhrkv
N7JN0TiZ1EFlyyV1wbV3MwS9dx1iYfMmvsBJHAY60j8StZkalMZI0RltCtCnOVHZInruaEg9G2uk
3Qs5HbBZgxMLxQnwM2Mu/nI5ZQZPluU4qJD6Nh0/zFxwSJtbeTRgIk50dDkjltgNKGCM96lKVz43
pFoAwIWuoJnAHDWGqdFKzc9r08xIBpWxCs1DUbdXKQ3f9GBgLqk7SAPEEmOPqS90rigH2U5Ay8dH
nRma3cp+9pCrvfgY5cl4Ewxp5bJUqD2DRioyOYZw7OSyvWlq0qUWUTNYRC6z4qM3kuqVxWBGVCuS
v0oiCDntnuSC7RtZ/1sUBPW+grz2TRljODkpknBLQNX7J2q0RL4xqa7sjNGHPGM8itqX1tdZ5chx
KO3ysRfcLhjj3SiG0K8GF63qHxQW0mPhV1D1IWZTiJhwqqXBGfpB09EjpqRgo9QyU9qAQF7JLX9M
lNClJJdTqxL1Cu+ILuzcWNRaF0/J9qtterOyQp1ChcmkjSnbfjemO4y/9QdKhORYxUn3aLAxf66E
4kmS5TOg2m2fpZAHH8RxbK1aN0G7F0oJhIB8SfYgKB6/N3pt2CPJ4/sGBdJtUJkEalcShovTnmQa
2p6jMncVDa319pCI2kZR0bWhUfBlkTgFWSqZlLTlXt/joxHctC2rnVC2xV5tW2M3QJe7RdGhDyHy
JjT1B/MbEuxR4UcTgwAllX1Za1HmFkqpy/su7CW7ZlliWnIPpSY7iUuWW7U85A9KGVHErQw+GnLe
z0leDmBDNU0PrKoZswpdayxDqcT3HspvDRj1skFz0NjYV2jm8qkHrmua20XeBg/NWNXGQxz3zWC3
aiq9gCAx2eZKnxMb7M/M6wgZPkU9YE6CAfzcTQTWPg0mjsshqa9lIPdWgCmVaviiCAzz3kpQgPun
MZLtUDeV5FuBqkVPOVT0OgvdOJqxTUlTH3sp19N9hdKC4gz4/920EENMEZiGr1oyqFpbK0tNfQTz
To7sjtxlrdekqfIcYVjWt6s4TfdCIorb3GcY/S6Iig7eEYI3EApUUIJmEtrkWOA/qi1GBtterE+N
XPdeiPt6X4VpsfWF2jzKXRxJwA4YdXSxDrZ13NF7iH+NO7lDMRVyNhFxM7+ONko/ojc0N9sBS1LB
qp7HertrSwbC/z7qQZgLafMvOWoDcM+2EYKoVgLHEhjS/aMsCPGDqGfdH1DAR+5gjuxu6LJ6G4BS
9pHEMcUXSI3xwFLqO0mgyndFRQQ7QpMhtgNr9tSiRUfZKATlO+S5wRuvJ3nwJlGKOlYe5UZ39tM0
2YNWQEBtS6zjO6WrzIcaTPPnRE6Ht26oBt0TmWxuxk7y0+2oC9UxJLEONw+NFTepmXaHPlgRlGWG
EJNjLcb5vSrU6UESNPqVqQgRrW40UQJUlKpzIdsL8mP0obXdQ92h1R3CivVeA3eOoyYJddFkr69R
TZMFZwfuBLDHTSwzECPgIuLO1BPVQA+FPTSp6AgjtA/6xNaz0EZa14Nvf1KLP0qMIbAQF2djsf3v
IcicNDupYv/7upv6yaeCYtH8x3ARWSWKeRWwyfPGgaW0jwmItaj+3veyMzbBV1Z8FIF6DH0EnWAL
jFYFGRad1/wHcM4rJkJspP2UvO/onqaN0xSpk1aSXSYKBDXJVlFqV4uheIFSLpTYX1Y2YMl3TQ10
4CKfuk1+yHsIBZV0E75LK3+zEIJMVejJafWek88xwGypiRp1raGlNM5D/Ee/EoosGsOkLjupb2N6
klu+Au6LPtYLwNfFrQr1bXwq+zbdp6hWr6x0IamG9vBvqOmnzF4tGTgR9LopMcyNsYcIg8e0cJHb
tErRHtpnLdr04b6RViL+hZgV4kjTGxriJQqeFpegDNq1Pkp5CCLhAtWxe1YlfTuOooEuJd3OS3Yv
DL+uL3Qp9IJyLma70W6MVkEuugsDQRjjBpBRFdkdhj0CKYT29w50JTXdXMdaiCQxRW4gV4kRH13m
p1DbFEzmuQzqq1D+gCQV+mWd6wBL9jEHmPZ3dmi4BqFZYgCgqUFUA1XY5Cbt/NeYYiRZS+NiBW4y
Nz6SQ0c6WsIRSaJexx2XolJ4b3XEcbUPZfcc0pdAW8kOLm7ZN4TGJc7CQRhyoQNEL/eO1lcQ7lo5
lJVF8OF96o9Kp0lAaMrfRrtt9Kf/UJ8G8QeqX9CmwuUBQpPLY0GvnTowRvCCiMLEMhr4+qKyBEJe
Uyk/tmF9N4YYySq6tW6Gpe8JVOuodWKkEKz63AExOR7EXJRA8IEuYz/5LSYuwjUhhJhp/NivDdwv
ugf4KUyrT08Zjf98haQfBMjU4Xp6T51asuLb8oXcIIraZZ9FbQ0rWZwla4dAojnNSBkQN+e2NW0w
DCxPrpGRxwIzOeNvQT/0azfhEgq6lcHcMjE9IrNxeXhNiGetiKEEm6a3VWkPfm8VMkKIf998hxn/
GQ737aq5CboiJmI1SWiJoOjHqMcxQ6Aap+JKsXbpo9JU0cCc2/Tl8k0nvVB2Kg1hFgg3jrExHge2
dpMvfVUayhIYCkBSAM/my10bWlFBqABTgEg05n61FErXfeTbqYSy+/VL7yfh9jQtMn1byEDrkxAQ
h2VKhaAmJqISt3/FmweSNYd6U7iKPR5yL7K1B9/TXf0JtXdrwFDVPl1JtSwudvYDuM+sM0sWx/r0
A+LKivp9mv5h48pdu5Rin63yB9up2RWojYwAEbYI+wv3lIBEprL9Texpu+zDf6zO3Uv5vsa8u1R4
Bi6o5KF4gkwcn91WdaUpUwH1raq03kF3C7Xw95DYwe4Bb1tpm4A5xLt+oP/HUr8huQOVg3HsmI+l
ina7I9ugcbRzC6Vcl9jCm7ZV7uleuhHO4natersYbYPgDf/DRBm4MLloW1LzIZRrH8qum/4oPSFR
Rp1o42/RU7CRLDRrRA/lpjs8X1/w4vc4Q53+fOa2BxI3hUkFHG1/ZqJq+dLK7NhkgLyjni9rMuAZ
wGi0eBsHACiPaG1vD/QrfY481NXI5/WVLLqAOdJ0m86Q0lSrWKRgA5MSrfv1a3qMXAFNlZ66Mff1
hr1cx1v+8r7Pi7tmgjCI2hoi93aARj0QjlhK0Vlx93gdZUEaa7phvmE4g8T7ONdJC5jaSW5US7QL
9xW6heLOfxC9X9U2WlnWzwmhv1faNyB3oyhaH7WtDkD5A828yWkUbamzmtfqMRgdeW15S7E+0qgI
9qG0gTFtzuoVNSNUL2AeQ+zUr9VGekMry8m4Vffqmn0seVMds33w2gjw8Yi5tI+KVlCFSyCyEe6C
e/mhddDlWB/pq7EL7yE02RwMr/5FN+aKj1j8sOe4nF1CoFNmAaqhNvlgbvicOiA6RFKhv0dvtmpL
N8o7FSywOp6SlSBl0XYwsQZBNaTeFDTjXq5Yi6IizJiG+JKKxbZKGVLyaj1gxDukwi7MOix/LFDu
gjZDgnvVUOjDWIjVU9ZBLtJPSL8FCXB6ystczNzrhq0Am78X5r+Ns+t6NMDbhdwGOGRaWwr6XSZ0
3nWIRVNGnhfDgXjZTd2Ml+svRBrJnaEjrhkVpP/kB1K8dVK4ZUlr5yk6C5I/eS7etWq4kq1YXtw/
wPwUE8zdqKIBG+9T4nV66KUk3qwsbtGcvxfHS9SEGjJ/k4K23e3zI6R0kX6BmxSfDEgo/TkKp/FX
/CVa8loJeOk+n+2pKV3uaT1mIck1tbLHVHyuc2kb+NVm1NH/pkPkjRXg8iy0c5Urb9fXu3TdznG5
iyKWS3T9iNjSRDgX8e9C2Ov503WIxR3FmCfCOcyng1z5cmlpMfSG7mNHEzQTIH+p3mroJRdfr6Ms
2sYMhTP8JhIUlg3TuUWfRr5r1trhF6OmSSISjxMJRLx8iJ3SohOjAFGTfItF2EVh6TfiuXC0j8Iz
d812VVhrcUV4YiKuR/4EW3e5b6OWIgzP4DFa6Vnojkxc+Y4Xjx78Y5i1wsA7mGMu//4ScwR6L2FB
TZmh8bi3huKuHdf0RpZRwOVrmHjTIZV2idJ1IW7CDqsYqnvw+hXDufzXxBRwrVPZC++SiXGDN7CA
GHVbd3B2xfD3LX7jYy6IdtV/seMZDGdhBrQkqTh58ILuVIVZib9VtGcxWXl6LH4uMxhuw8xYRGp+
8qfDsE3yI9N3jeCwtUfA9GN/+IlvFIXLwnRmlEIKHiiSbo/0KJbvse6YZGf0LhlWmguWHSaejZjx
Bm27zFNJC7HaKl0R1nbzy2jconX7vZFa8ibeR47hgizQaB1IXcgrd9vyJzvDnbZ6FrqStKREKyfc
fbfRb4V7vOdOYBKuT7VbY3BxjbFq8egwRIV/pqFeflxfERutl6uotik5RqMKtV+2o+UnE/IVnpTF
oFz/RuKPT0V5x4AfxvENoDzwDO2g5i9keAnTHUszJBt2Nb1LcguER871e3Y57ppBc9eSXJJOFxss
0vxAQdR8CR/IfXJigZVuQfje2kyww5N4yBxxbSp70WZnyJyPbFGbCOqU1TYL7ay7T2pwjj33zU1C
j32xNmm11MtMoFAHgVJ0FaLTYbrYZsYj0rDqygLrrHSnOol7H0Wy/egOZ32Tb1FyPMm5ldxK9yvb
O23fjw8T3CcmaO4x4cXbkJyBEEkdYbO1077g7rf8h2D3Fp7M7XhegVrcz28o3ohoZ5ggYMIK89fG
1TbFjfqb/clOw21fWoOneOqZeeJ78BZaq/mAybdcWSWfo5eHTs6aaZWtA2E5KwHBoH6Tbt+efDs7
rBrOss3OVspZDmlBzVD+3VTPtMj23NrRqbV0W76H9IKtH+NT8nutiXkKa64tkXOvMdQ/tBTTlZi4
vS2FAxPPZWcJGrqe3OvnuOhhp0wmhlDBYMPrUeF9TBPq4xgjM3YqTPF35u823F0HWQxGZiDcVcq0
sm5MigtHUH2L9PeoUl4HWNquqbeJgPJ/GpvjrhWWt0liBPi4R1Rr6gFsk0F8ynrTDvJqk+pr3J5L
V/UcjrOIoJYxppcDrqG+FSuB15QnIfeStdHoxczXHIgzA6nsaRBJ2Ljek3c0s4qtavVOf+iIVR7Q
Qqi+N2CK7qz0rl/7vte2dDrT2Q2W92aMjDqglY36gR6BzBodiGa4ym2Z2+ad4sWbYDe6vpuuvWbW
kPm70yhrqP5id03jVxLuY/1xiNH8sG2od91qlmx/vrucWZpNp3Z1DSAVTZjQUMrCjbTKsLboCkxQ
+eFf9Hf8nACH6LRRTzFsMdGOZOiBOQTxS6nsYt9q6EEM7yG/0edgKjhS6ZGlth+upPuWNnT+C7jY
U/Q7kLxNWcw6uY2HB3QQWOhlQdHVMmlk/fs9RSsPrpOp8GPwGVNdZMlo9AgNI1DdCp8F5AHXyqZL
xzaH4CxTKKtWEiaIISN3KUUCTPM9KEfa11ey2Fwwx+HskLVpkjcpcGpzY8a/GsEtoZ+efcnqCX3W
TjjYiXnbt9vrsAt+FWYiQ9obVMjQB+SushGqWHirAJWUhUXI77aprCSxFPLQ+2jCWyMfWrjKLuC4
q6ydSDPRNoaHaVCiW7JwMCC4bTEoi8fdyoYueIELKO4yG/FaNDptemm1iVvWbB9Umnt989ZWw5lG
2Qq6PNSAaJPbkbwM5MEYH9L/8GTEQkCZBDVdTDPz8yJFp5haNgUEffeAJhw12qX1ytW0lCabY/AT
IgSsS2mdwy8PRuxgStoxg8TCXOlbrWeWFBRuHY3OGPVbiDPdXd/EpRfXBTZngoMk9abaAVtUXmnu
dmwf59sseh4LtwqfAnVbyw9DsQO5vyLeyf9ajBPkBLPd/atiMXM8TA4Vpeixu0kAZUXxswT3MQsh
35eJz1nerljMwt14gcYbpRmHMZteXY15JvIfpYXQaNpC6/mAZs6VfZ2+JS6oQ84ToZsyiQFj2PjS
pco0l1rDx8rUAeFyIRxFlHahwHmGdivKvP5blqLXtCb3qHbdGgr0LNnr9Z8wXVnXfgHnCbLEEEzC
sFrat+CvNTqCBreS2DopVOc61OLGzhbLZSKgypM0YorFNpF6CIXAyxV1L5utxSSQmyaf19GWFzbR
IYLIGKPH3DGKwRjGKcHC1GKn9M6YoWlxcx1ieUHfENzdEkdt4Qs9IAj6QnvdytmIfOuRtRvKnq9D
LX+BIH/93+VMy519A0QKQShAEHwNexTO/BPxqpPxiUrMOQXV4l7ZxndrXvUnjfz03U1t2NBGBmHN
DxoI0jPSRsCsHxuXOplVb9EGK4Ch20aZ15U3idO7iZdb4V67wR8cYbsH+byql7xAcnD5QziXVDCY
ZRfjh6i3sf3MDmB7STRbqh0DcjS5PWx/MScvLOExfZJ34UqD0aL7ne0Cb0jo+I1KFac8xNuys0X5
UPu2IrlRep9rayzMS7HhxZ5zNpX1JTO7bNpzL3dAbrB5rXq73VLHvCf3tRta+rDx7f9iXBCDw3SB
icZ7vkiB3S06SYzhvqCAV2GoKtOmfugRlPntKVYrS8VAnqQFrhYFdkwkK5OY06gfmFVYeRcuflKz
X8KddBiSvhrb6R2FSbnupJgpeK0wJQ0F3XDNoU73zY+rb4bFHWxk5CwnA1at7NPjCVWZ9kzP9VZ7
xEOKWdDrtSOv+RScO4q53es7vrZM7pRFqTNrLQS0oKNrQcO0Tc2csmws2kJDYFV7b6F8K0F775/z
5S6PnKaRAQ0SmLDw0oMMsCkgqwp9bvBbKY+mdgalhhUVK2tcjLwMqNtDfRzlBn6MRBglrclKgPoN
swak6w0tvwOzBMnW6Fqnn//zIL+Rpl8yuxtVtQDflAKkAIWnCPQVGMUQ9ZVrYBkELCtgtjUwlMJ5
r8ioaqaKSW13NUJhI/doZXihWDnXLWN51/6B4aM8VvXCyHTA9LFHBSf1z6xyOnOl5ryGwsVzBrjp
wj5OsWNsqw5ftXmmqQMGR+v/txjuazYw0TAQULbYCHPqnVhFH0KbFi8po39IK4crBvcziw1C6Tn/
K2cHUSjQTCpBzyhs/VP2S6hQvVdKzPh3jnrGjGOyVvX4sY1/ATU8zjBkj+Tq9JnPDC8T1RQzVANY
+fVfVP7qQV9U+LfVWovrj9tigiESJhswTonuNe60mqrpghLnhX7dYxPsROkm7g5SdtdoK21/Px+4
HBJ3YCLEapsQs5rQ/cg3Y2keaA3tbjmVHVPKG0yBKVacFRvJZE5fVZ+5uhKNLm4oVog+AGhcgAbv
ckMbDLmNtTltKJKbpqA407MGJKbB13XD/PEx/13nNw4X9RqYPsHMj4gdNQ5UPSjUE9Y+5J+ZOg6D
uzASMoxQy8Uwk3in3ZFd2FrSXfUHug1wMQ+17ghPuH9HG0NLKFpdX94Pz3YJ/eMS6bVcDiNsY9++
DCbEmfot7TGlI38NoPqQhhtR3l5HXDw4SCgjPsVUGgrzlwenG4PUER8bmkArT0EvOfkKByeQopVQ
ZfFTgEAThjonFVs+F5IMUSNRFQbKwG5Df+XRI+YAq/xWXVPAWVwQKuUy1gOCAL6iEDdBlQUUDxMz
FnZa+WWY7YcZR7ZYFiuOZQ2J++bK2I8GvwRSJ92ZhqckL3Kl22nAVoziZxQ9WcVsSVy8A00HVRV9
giUVxmkE2aSMQfA2pU95pdyXrDlGYm734aOUP6dReFaR+hei0e2MNwVKA0NeuqMW2TrK1cpqPWBt
E7iAqInVQlMK/DZSOJXp5spJDEFSf3/dSn+E8tMOaBikRUUVhHr8gwaDeJ1EWmgfG/173Hy1LWrV
O7HYD7ndfV6H+hnIc1jcsYYJCMpxHCBzd9NXEPLfhq2HiVYQwTngKXZA/+BTO1stE00bdREL/YVF
CI9GDLQw8LJpykBJZ7DpA+lvM3Jb1WvUz4snpX0DcCfFZCEfWAGAQosdKh+H2okL2WvXJlUWr+gZ
zvTnM9+qS1mbaA1w1Og9SkZLJXeE/b5+SIu3yQxjWusMQ1CEYIgnjKFJLMpe+zzAqEBo0+beWJPA
XNw3DL4rGkYtFKjJXmJ1QQtFgQFYJd7LgKosEcQVaxMWixY+Q+EcW1hW4DoWcfOH+GQ16ta+BXXv
RjwbvqcYj9e3b9HNzMA4DycGcSeTSTw9Ek++4eqVW3aeSR7DAK3gSEO+XYdb2UGeDSwFN7akDn+D
g9cG7I3Qs5Afg9VC/aJRoPNnUoPHsC3fmKXkgzyG8uS3k4Puta+iG1gitTJqDWdMYJ/VjfbQOL8G
ay0bvmjx38A8syjJM9akGYArwdiMhDmFBoLDWt9d38bFG2IGw7lqNYKGmE8BEzboVg9TS3q5DvAz
Uz3dQTME7uorZDlhSgOEUfpSGtEqym1nPivKvVS8hNDBFsjeWKtaL4dbM1DOu/Vhi0QgA6iaw5tB
0wXRuMOi0MIAiiPrn0g6emF632BqnplvfYQZvuYFzGCPLTrtClRSqdI9Xd+IRYOd/STuqhQaMVBz
TP/bLcUon/GQ514Z35fC5jrM0oGqYIgFWTb6IcHYeHmzJHmdtFmtYRxRcqKhtZNxXIm6Fl9WM4gf
nx6moY0MCgN2cMPc3oKYou9FT+Om8dgnOq1W28lWATkjxYCsGIiToDk9Nl/pzt+3B1BiopFkRLes
BCZF7/oeLh3VfIGcyZoBOhKSyMAeti+96PT6HdFf1c76/6FwNupTmAO4XOBv4j9gkZYCZtX9e21+
XYdZukjQf6miR1YFwxd/g2ldVlFogCIYh3QHHhyq4o1gDLkOMlkVH2jMQPjbypByMZRA2GUXCdTQ
gwezcEx6Z5RWRQ9VRp28rVascMm3zRE5mxClwOxiCYha4SmB3Uj4xjGvlR67T5auCe6t7KHOGYRh
Nq00dAATskfWgJT9abWdcNHmJn4uHBIocf62G86ij7oWlHJoIHeiltWjrhXVth8kTy/GVzMjzGKd
0W36qhycKGilvaHFr11WQKqHumb0oZrKUU06T+7HeiU5tOQAMdcN/mcN7LTI/F/eJ6bUKKGYQZvB
QB4tVTAmrPnQYPlFNdCEuNetaGmb51jcNoOTUBSSCliYbQWljWSP5YfSrXBhLm30HIT77BASBQbI
9aDtO6BCERAni9sbEHdY438S6JzYrFGpQbIGDdWXe4ewzwiroIfrI44KpsIw/XV9wxYPZwYwrXVm
NOB1C0D4AICAQClekm25iSy/fc4Ul6RrdGFLnkXHEA5oENHRjenTS7DGUAYxAnM75BTf8+6jWBv9
WDr9+d/PLaYIG0UPfBkvUuiaBHLlhPpjDfKKf79lc5RpS2dblqKF2E/otAq6a9WNL7oKae3YwAv3
4TrS4nrAnARmRXhjEAZcIsVdkhlGBk88KNQuKk9ufE/S366DLB7KN8jf6Gu+HNVvJYxYQKYJDUqG
vglRoL6OsPS96KoG6jaYMvTruGWkpdhlPYWbkostxprNFHw/93RtbHp5Hf+gGFzLeKqrkNKRsA4p
8BLy1fvhiof6WTNFHArOgYl2EcpVhGcfaBoV98sABA2iWamyQ25Ba26jfgOyOMPf5eULvlBWb/Ig
sjp8r3hl/peN/OcH8NwEVBBoaUw5ABOPytKwfO0pq177dncdZtnsvmG4CzsQI5KRCuskYCs14Bvi
B3MtdFm6d9C/JYPTRDHBFcBdBf4gV1JLkaBJpWe1fECHi5juMijprOUul7z8HIi/E6RsCDB6PomA
YaLx1HVPg7BV6tcy2SprImDS5F74IGYOxl0NSmY2pVkArAZFt6c/mFZkDdTSQut8tF5eRttyj66r
WVs0Z18/s0Xrn+0n91BHiTeNBx3IFAJnY5LZebTixn+W7yfzn0FwnzFNOgqOK0BA9yhxqnvwCd6A
sXATnHS3cIpdbrtW7wYPnZM+KcfAWXvPLj7JZj+AN//UKLVwBGW/bbyTh+AmeyZOXlv04Y/wXp3J
3b5xSqs8rdVWVwyI7/zNpF6pBgOoEnppKgYxtKPRHIvaUdh7rK00xS6BgTxDwwQXfCSGhS5v/DEw
lbiZLuOeZV4kSXajq7tmLLcVMe2I9OAKzld6NxevNXRmECgCa9PsGIeJ6fMoAoM4/Flk+7KIthNL
liMwnt36xU41oETyB7EyZtFvmHTUmVOvqVssPvDnv2Ay7pkLAj1lS6IWvyDIbiT01gSO2nl5fAqD
Uwn7ovc+HrzXv5dlTOTNpgIYxr74xCZkies6akw8anykmRRIsJ2j/CyUhxBFX19LoMnDrDJYcYV/
g3D+hgBnJbwHWlc1TFFcLjU2jDRJNcCC5Ev4RIdPhVKK2R2aXkh2aUUL24Ag+6bQ897WKZXxIJE6
PFKNUcQvg2xi23T/uttwykqhGCiipxaEI3wRpKFjxkopSGy/vK/klxgKY5GfrWz4UhAwB5muztkZ
S+k41IkfJrYiuAYafDDsrTzQbmV/l67BOQpny/Ew6q0gYil4Z1h6IVv6mkj72jo4W/VFkogpAYLK
7roEWUNgKKYVrin3LTlIUH6BWVuaPkw+2GCGmBV5SRP0R5XPVDfPJRFuZK0/GFqzqaR6e/17WNy4
bzj+bmVJRNXRjxKwFDabnvR3Iy6e6xBLYYWpoMZGCHqCILxyaQEa8dU2SABR5R8yOtJZCC7Lt+sY
P2UKoPZp4HEGJjHyt0f8EiTR4rIFN3hid/bomUfFDvbBn3IbvgR3+W+kfOR7I7ekTwnlElRLUzvD
RNrL9d+wYCEXP4FzxY1WBWi9zBNbrAZfsTS0BaFPRZB/S3iTQyitV7veuQ65uLVoiYHPwOvjB0Ft
gaR5ao4Csgu+bA3+TWF85ZDOuQ6yaCLfIPxDoUcBWOlM0JQZVQPBPhGqjitfL1lyf5gjACEEqFph
+5yJZEHnB6BiRS45skBWnXwJt9GhB6cOGBLRPnWERg8c/ehqN+F+zTwXmxXMibMKxDMYkuQFdAjS
XEZR4csG1WFrWggvjuxUdA9sxxy6aYKV7Vz8wL9vXT7NqjJQwwU1PocB7YdZ8NEIhcXMzzQ/F2u1
okXz+Ibi061EGYwuirCyPoidiI7HqA8dqe9WKs9LWdZp2gUPVVQ7kPHhjk+UY19uFXx8SkItKsCD
qUcf/C8NlDlyOx/Bm9mg/zg+yyXUO+q1We4F67mA51yM2EqUaazEBaN4AupTPTJOjhkXtizeisJK
OLwUQFygca6mqpKMsQhosnxfI+cw1m6JVlU9fG5keHdk4Y5+/R/82wUo533UASMxoNxL7DC/zUHo
N66+MZfeMBcQ3MsskI0sEWKsSxDufNWrDFcOA/Thn1T/lQloUxWs8lNOBI+Gbhi9hLSx28FFasfW
0TkcHTrtQwzehuLRaH33+g20vOdolsPHOdkYTw0lRywpoh6/rcmfE/ZVtb/U0etyY5OUjwrGdKAI
CYbllct1qfRuwK2gHDJV2H9IvsqRmsWhgU0f9uIf5Q3UCu22AIkLe1Tt5kB2hdtBRGhtrQv3A97y
UHzSQdwIz8ydA7ha6lSQ4EZ6b3ClX/675II720oyL/iT3mhecmvCsnf0bu0Wnv5iLkQFsAzROhDh
Q+mF/4oHxS+IViEc7C0qP2vZia4NnyyuDe8b8CEgr6mb3LcTC6Lcy3qDL1WSN3r/IcXeEIByMd30
a13nC97YAEnbP1DcF1NAgtvQMkCFxIkFR2y2ZroBT+91y1zwjRco3GHlfVGbcO6JbbBNL91W4A+4
DrB4KLNlTMuchc8dVTMpjwBAJRsKclHrhdHa1P50sNzBmxhtRU1kUoxWzenUZhhhWApl1MbxJPHj
tgNua+Im7DfznYiAyNnOmAcyZwsdASuLW/quL5C5kEmQY3ARyUAOi7sGtfEE/Sy/kSEcUazInRKV
urUc1yIk+LkkDcePy4R/iBGT+rHcolqCVE1cPWbBiTQCsndWPaBtOmksYcAjYuUqWThFdF9/g/Lr
FA06sByg6XjOtLMInbP+47qhLDjBCwguS1P6wSgXPSACwxYHq9QtbRccDWswVg7tb/Mkby6zxfAV
u6qt1Y6AB9uW8+5RbYo99QfwmoCcOx+wkbJTy19l/KqRBxFzxdoxATM7MdB8Y1giA6mGGu6iVvOG
pHQC7UmC0mkifUSSbqGT0gJZ+rnv1FsqrM2PLlwI8w36cb1FbUjUCj+7RVJDysDA/myiaTJ1/8M5
TOyFIt4608z45ccUKKGfV0OF3L02glTdNJP3AGYIqSdFDhHNqrjZ61SDlprIQvPfx+oqZLrwDRP0
ykOmlLOCDlIvaR1EaNuKHzLxkMYrq/tpyPj7IYL+d6Af3eXc6pI2j0qf4u+vUK01Qf9EReaZa6RJ
Cy2GgEH3LtIlKNZhOZebOHV9qJnKYjuO7ku0yoPwQd70gaMFgVX5t+roFOBJMI+1XTyqilXbtmSp
uTeuXY1LywV7nIawY1Lv4ttR6zAndJCw3CL7A2q1Yz0Im6GR1tqlf7pFiLRMyiki6BKglsV53hoD
ZkVcF8jEDZb6KG5aR3xO9v5RP0HIq7b0U/KZ2skh3usr99JC0AdkXcQ0mIFuWJSPLzd6FMVGyEVc
wKguQP43TOryPGRSyyyM8dQ3ZV2MIKXI5OouQ58/Xs4JKWWHRBHmL5CaukXvFtiss9ysNEfufMnt
qrJFh7zWJKklSHGAYa+ChY++3lSP3Zjh2GSRGVvJp//eFU89qYgsFPSw4LvjTdPPJEkKpztW1zxT
8f+HtOvakVsHsl8kQFniq0LnycmeF2Fm7KtA5Sx9/R4Zu7aaTTRhL3CB+2BgqqtULBYrnONVtQAC
ifeZ1hKYu3iq0McHNgOKtMVDHxzn4UlOjsBod4j29LdBBLr84p3BqxT4ZIz/d0Ffm1QdUNWfbzF0
DTi/IPLB5wHWrUg4z7skXefx/EwYC19X4eqoc+zFuXXlZerNMG2zyrdBkxLuTH0DxP2iuctirwh2
tibCIl4UYWWjNYi72EIR2mJv46rLUlNPahQw9BAFtdLq/JSkWBuVbLCjq9lpqlM8qdIk2CEvFs2g
XgL6ItHGXiLerugfgimJsbMSpFgOqBGsk736HnxoTnmS0Fggrr4PvOJbj77CbgAIhnPI7vTb6Off
jwudyf+VrKwyL0kBZZdMIL9I/wvNYxBv++DNyLbXvYkbxf5o+asAspJiAMQkMXpIsZtHSj2lTrH0
/3JdBvdsqLh1TF1fQO6ZQNI1VtKUWo+yOgoZamfcRETbmgFW/zIAU0iBIHBd5t3wWRXI0oCIW3bD
mIdEU2lSqHRQqc5tl9Sqo0Yf1xW6JB6Fb6zOILvMGEiZDV1xLKrb5kEeHemFuJM/bH+kN4Z300ZO
5FnbN2UHZmzA22KhBQukDtYMQVSaYTJXkHXxvuH616jngRocwZj4WiKCXJ1qdDTJLhQtMvLO4loE
Y9MyIkGgzBDRpV437lWMPM7egI1uspFstxHymXK/IcH1jqopwhxbNRpzSvUcU6SA0tk07b08f1OT
nd3cAWTHan/a2j7V3wHJj8ks6hbyR2MIylY8+Tj3xAAvD1oy7EM7qMww6cBTA7ANsOiitd+rgoPH
lQC8LFQuzGUTibmS5LksqWouI7Ja4yjZjRwLVzKX784GUBttLBltvGUhgYlgdSXJVQA6C3cAmrN5
BFCQQnYSvQlBzmtiFQ+0RUDJB4d1JWgfXr43cPr+CGZvDWr1Ydv3EIxlNSJtFe0zaW+V6aUpD8rf
z/Cfy2Lyo2TCJVkuSpZhsWmmj3JWwS0Qe9dPvEgj9ohVeWpOyzJXpGmOOd+l+RGPkMD8lNsdBp0F
0ngHem0/5rR1GNtrqLzohNkr671pD8nw/bpCvJi88PaitWsBAJl9DJQlGC6rtkPcD3SMrNTxzxj4
Ns5QzJMfjeHs1yYIba7L5BlxqdChwYqpdwD/n8epUYq0mCyDeBl9aoG0YbuS/AKet4kcBvp8XRbH
hArAbAAGBAIZUPQxvq93vVJIJmS1BDVfVTefy9acN6kVi6AiOaERVHY6Oox40wHCgJEUygHevDZC
VQy+Z2WKb8PiHstMt5JSHkrtNpK1jW0gPb6uH6ctgj24P2Iv6vdjh8vPQPyIR7IrANBARssL41dt
UneSZB6a8rkOo2MfNeC2DdwAM93AM9WdZAbWtfWiJ9FO73RXV76u/7ALw+NmxAsQPAh4ooE8hzGH
EZedTST0dGndvoxBCnI5NfFy1AMEh+SyWgNJyzyEiYse8CYW406JoUSpvUw6AyvnoNkJMIexyhk0
0XvQDz9mor5GmeaqRX6vgFHnupY6G1oNPMUIntLAELdRG2OijjVHQxTWco4NpaM6lZhWF33gSzsi
81yAQBe2KwunlDksVVpYUWfmbgmALzDoDaD2asFMhykAUVmCpwwaXKBcBBof2CwZQyL7TaUU1G1u
GpaOYdwLK6GXHViYi2DS1wacKjbbWcD1rpYprQM0QEajAYtBYBwBB9ZupCm5i2TpLmuA0hKow0mR
pINt13tJLV6qar4p1TBEGUbe9E10n2tU3wKX9VCg0x1IuuqEstYLiraX/arlpyL4IvWHc8Em53Yf
6h6EJTQq3FoyN6WS7eRoqdfIGDbHtM0IFGUwVsrjVzgbXqKELulrQZjkfHkQoqigy1n4jPD0Of8F
TRngNp9AcFcoh7C3nLB+RF9bkH7whRDUHTUgwlvsMc1SUEyW4GhzIxyeoJG3JipfwuG3X1vAZymI
AZh9HSsCNnD98QRgvLhJ9TlRSQy+uI2xkW4/Ry/7aJwac2BV42ynr/rtsXftu/x4one1k74+Sc/R
oXy3AEpy/cByosXyS8ArgFnjhXqUcfIuqXIF6PsF5oypn3cv1lTP4L4ad3NVL7AYHhZkH5USE5RG
IwpVXGPrwLiBdPSS2VwPFJsVGkaQrSfkYxoBvFAqAJiZBTPonHMMFf+IYWoQRl7j9u0gJi5ap0nN
2zYS7cddXHb4nst4JvDHwFeGRtC5b9oAbKGZhO9p1o96cNvn3/Dsb8dHu/mm67suEDVUF19n/Wct
b0kpVs/TdmrtYIqTwp0rr6hv6eSg4Abax2E+6NI70Zx2eJFEYHiX02+Lluh14RqD0xK26UH7kmDO
JkXyupParf0g+4WrfkeJAZSeXrbvt/Trx3X35HnIWiKjpzbHBZglKUY0M/lu0ooDeBBuFKsWXFs8
MSDeRUos4+SDAe7cnGZFYiKlmAQ10smv22lf1Q04RWOBI/KCKDwERD0Azzax384ctpYMdLTHAp/t
LjqNm34P4gVXeS9O+lfiyKIe1ZJ8s06ylsb4PSqYgTKBIBl4Rq0n7cxtvFWO9XG+TZ1ydDqBDXmn
DAj3qAjhslSwwXJuwyGxo8pWKpyyCYDgzU8qEnDZW4b7rSUs+q6c3rJKo5MzSNAUJ92337Cx4siS
A4gixaOn/jC7H0j7/rrFC6k6rhzAaOJVoGjMo0NNFDD0mA2ClPysADQN9dpU5BcXL4BFBsgIFBmt
+iV9O9csMGo1qMehcPN9cmffPJs/1D25nQ/yE/Vc22k8YJu5kujxxvN6HTEL8Rc8I4hdjFQ6RUWg
dQhaaCvltQmQCtMRJjmXiM2/lPsjZnGc1Web8tCK6rJH1LhDrb73kBIWrg1aXodurZviVL+au+pI
9rMgdvyCBWL9f60fc9oMFELyMoN+6vZ9hOD5DvtqCFsb7alw6M/yVKEe1YcABVHvQNr1Jh38rnPT
D/BBO8a+2l0PZZcNGsYOzHE0pcQMZeAyuW3jGzvrCbiYR9MrffWpLLxmM/rE03fVKb6jby56q9el
8y4oHUXbZWAMQY7tyoSmXRBawMNi89il26xJPWV4oBFQjn7Wg5cVgkIRx6NRIsLyB148GpgCGNun
fV3rhLYlWBVl1+pGRx0e2uI+tmMnBcxtJRox4viypYPWEPrhxYna2LmTSVNvVLU8Fi7N+9lp7a8+
RK6qqaJZaE6UW2jzgNa2vAsIW+HMNaUMoljGR7Rr6QDuYrzXe2MUpLo8XwFaPRpbaG3hKcUiKCaR
FZrZgDKR+WK/W6fWsxxMWt+T2NmY3uh23nxYlrlv7E0omp7ghdkz2cx5rZJ6qroKslW3+S97rU+Y
QTtildWGk5LSnbGa5JQv8tt1B+UZdq0x4zA2reAwKaQ2APvETp2oyMI5ABaYrTDqimCnXoDKqJ1F
CzvC35dqv5Sd3KZOYj8rIJ2mvhpuJ9HGLC9ZOhPI3FYlpaQty0Xg0dy2J+VkHecj8aWfjYdJDcWR
j40gwnBVxEWFriTytAuYi3QIgKAtwzetYjx0ZNwGKK+Y5D/N+sRD0wkUa4sGgaCmyf1uGLpGPwoM
2Djv5wdvAKjYQPEuRQ7f7qxwwHKnaBKE65FQS8HuJb7fBaC83mlRgd524YJMxZH01zTeA/aiTQAj
4Nb9iwo8iPkewxBh/JF22x7JlSj15Wm5/gXMx6TG2I9VruNMBLN0wDiWeqdXxtf1I3AZMzHGi20W
lJzwiED4PDdlBjz+ENBepdvRJzkHhMihHY+tfifJB13/eV3WklGc343nspjPRodEKoDqjv5L92Hp
2zxwkvGkxDdENJsvUoq59UDVkHV6AUFt6GX2bRK8kMAFrX2Rn0ZVcOlwHrML1iK2M3Q0ZUA4uvyY
VapB5EDPaJWXmIm290X0JmuGm2SAxLIww5sb22nEvGX6FBCRiy7mOjcnaItWHsqkUrVGFZwBeGhC
ZV/C/zHxs7di0S2+GIsVg6VQC2BRIE9Bsniu30TkCWXN5fbBY7ktbRcwsZgsuKuKYnPdP3gKrST9
svTKkkY9x6BDVgo31eZdpgcbShJ/HszH62J4CgHVXVeXkjQ25hi7pVSpkm4KcLLr7M4i4edYxzcy
KkwYuhS9mTmybCzVgysVlX2k9IzxTFvJUi2ELDUpj10X3s+TubXqDBMC9obSdidr9wrQR9MKUPzj
rao8mWZ9ChsDlMKfNaUC1X+1kJmPuf49rInbKoiLpsPvmY3gregVX6+Vg1Hmh4RG901m+6kyeRaq
MmB5jZwx/+tog1wJ8KAoViybXWz3eejViQLuunTzBpOyyn4EnSqyX8DGLev57ffrH5rjTyBaQ8UZ
8wrYImPzptkM6ykrY0ibsZiHk5h+zL3gKhLJYIK0ERQ0JUFUunWcO3OwzafQq7BSel0TrhutNGFc
NqzKUVYaaKLTrd1+l+LbKPWixP//SWHugqgkXat30MXEaGV4SrU9yqyqCEWKbzFUIsD3aaBdwBwJ
W5lBLRpAlxTby4q+A8oeuk6CUMI32G8hbEcmGrtBnuvl00s3uX6XWbtkcsdOMGh0ec/AnVGnxxQT
wZo0+8CpcitIRgsGkxoNeXm7L7Xq1OklWtSp6gIgcasOluDdzjPf0ujAJigeA1ikOg/HaWLRmmB4
w7XtxKUTAYR8viWtaE6Ek3zYmPMxl5APQewyWEWrRJnKCr5gqjfY2tsWwed1b7vMBpZq3jLNhtoU
1nqY+kM0NJ1aa3g9WXaceUMPZCoaDZlfpPMTILjLR8UKM0H8u3SL5a7GPAj6YkAKYMfoDLMxuhkP
dDeO5f0okWNFtIekNm/6KBK1pS71A4MH0gJFQ4oKEDbmzM5IrdDvRC7exl5PvuuaH4BHTn/vZPdv
DQlBqOmjumchuLJ3TBwoWtcUyIbL7ttofg/qfdi91uphzgWH6tInzgSxl0dTUMtIB9zPSv3Norge
RIvGy9E/v52w44rd6qWYh7lYtvnV6P1ctK2JjGY8zu29mW+l6K0Od9VwLNVj2AiKlbwvtBa3eMsq
3yjCPOnqDuLScnIneT9P9TaI36Vx1yapIIJzZRGEcOxtWOClZ45tP2PbGKcaFy/4We1kpxvzQ6HV
vgQQ8FIbBXnHZZBYKC3AmYlBExBisWfLkNokLJZbaRgyx7I2g/0SlH99WywygBABWi8MWLGzv0XS
21MxYG+sK34a02OVnIAAm4jCHc/nTNBlIH9CI/Bi5FZRMCitWYsU5cEMsPU+PFw/PZcxHI8SBHC8
In9FISYMdXJV5tjFLLFp6pklxty/Qv1OS/YZ9iuEOGc8L1gLY94KqCNHXZfiWrJn3Ynp3rAeDKN0
LHnfiGoBPBewUJvCdhLST0zInTt3CzSp3IhguAqLpmm9XeZfjUiUmHClLHQbuP80VPgY60V1YaAl
jJE6Ij1MoI9XyaNkifYGeVEb6cJvIYzV7GpYkCAhZMbhLPaAFZ+VgwzIrOuewP04mB9AboryNDZs
zi2Wl2Vj0RhibGocM1mSdqhgNI4eju9WZ96oYZAJjhBXIha4ZIQ7WdbYxm9kRDkQenEdBdmP5ToH
DnAl7SXQ6rTF9rpyXBv+FoUZjXPlej1vm6Qo4A7TrqH7aigdYiCFFIjh+sNKDBPmzMCoum6AmCD1
zf57Fz2W8et1TbhGQ08GE95oWgAm/VwTkkR6HadZ6arqQ59sWuMgkwBwna4ZC0IDVxkEHxkAOIgO
LKNBpAfloGVQZmjiDWBC3STNvo1YpLyuEPfTrMQs/766htJssE1M35YuBSptmrhj7E8KsNcKQebI
C6VIe36rsxh2JSc2rVRVKOTU2OzROvs1n8N/+fwrEcxJRaE6zNHcKd0+fDTiu5jczaOg3sL//H+0
YD5/o5OuMhZHbsDCE4XHDogv2JyO9MLphc/3xV3ZhGRlMvYZUZN0aCodwrock8LG0KB+O28l493s
bK+1Mr+fdcC2dombFP2OzuT/Z082azCtJOirEPIRXjv1ude3QSPqLgi83FDP3UJN+5jaJWSkNfGs
6E5uCRAzBLFV4OMsKWBlFlhFUyFEAY9Z6/f2xlAPlqiAxPUNLOdgEA0VF+wqnKuiydNCKAMpQ/kV
5E41+X36kAagaKWifI5TH0besJLFuHqkDPFo9ZClbpVNd4hvi9viBR21nTU7YHNE8nDf7azn66GC
+62AbWfDWLig2Csq0q0GNcgS4VV+1io/zX5aogi+/O4Ll1+JWKLIKkokYdpqdgC9zPzVzj9H5YMS
t7ef7EF1ZF3g35x61GLFPwotCq+kgQotVdIKCpWFo8SO+j0/1tijkraxR7baj+vW47vHH2FMoAXy
TFoMOt60taQ5Wtx50Ti6yL8H47MwXq/LulxZwdNvrRnji7QdG6OJIEwGD7svu/ErsE5867Y/1Du6
Jy+SQ/zebw/SVtvWj7FXilIz0YdkHLQJQwCtFDBtVBs7DDD045sxDRgA/66WN736Dy+OtbpMWMas
Ia1DHdLUXP9MrSl2MGm1mWplf92uIo/5NeW28hhLC0tML8KubejXwbORexbGnuZkN3ZeYYKkEHdo
tAuEJNCLAlfOBTtlOisgUgL/F45eTV97kuzJ+GwEi0ysIpMEjE6AgKwFGYjgG7JMiEUwN1FIIbQb
6k2mPgA1FVsQW7X5DuhJJxu+rhtXEF7YsRN5phWVl/CSdxGGMjK3bsvHVLIEWolMyYQYFQtic59B
jFx8GYlbtgerC1AD3EWDOxGnEb0fRGoxQSZMy0gaNcgLphurvS2KZ7V6um655Sdf8w4mtPRVWqKU
BBFYNhynT20SZD3cLtPqfF2MINtBaCY9BNhj+zpP0iMW5J1SiR5CTI9NpnGM87syDUHeaopO3AWb
2Hkk05hAUttqJScxRJt68apl3SlJw6NlTYdUjw81kd25BHOyYvrGKAvuB77/I8sH+YuGRu+Sn60O
ex50Wae1uIwSSXdT+UtOom2UzRtlDrysTm7mwhTUhLi+ggQCbM14NGvsspM2U31Mk+XEGYNvVoOf
Y2VsoP9SHLRWYpikS+/smiQTbNoCKSKzbbce4rs+Vr1M+xmRRmBGzjgULqNVl5exo4mXX6xnaIgG
71LkxO/Zg7mvbupdCJKiPW6gQzI6yvdkL5oO4H6/lVxGTbC+a70cQa7SKk6bUZd027bwannGZv8b
7QVZJveCX4ljXvC6kcyNKqGZHRSvEoaH7bem8Gbg8oruVl4EW9eRmSOhSHkOKgH45ajSLdB3BpBz
zTtUWnwiOWGE/K8RwTnwdFuLXH7S6ijoWVhWaYxaQZP+l9lHqftvbF9oFLiRpHnXgxnvqy0PXgXT
2ctGHOMtddeDEqxbghndWIETxe+qfQqmYqOqnh2KaGK5oW0tjnGSrLC0smsgrkKWYoEVPVIdyX6w
MWU0kxOYI8rsZ2eaAiV5L5K1VNZXwMZoldryCTHRNG57oElSDKyY6u66MXkBZS2Huey0wkpoi9qS
WwzvVHbl6J5OgtyLd/ksNXMVML0AJ2V3udA+6UKzQswq7OK2L4NH3OGCS0Akgrnf8kIq7QLYpq5c
BicMQ/hVI3q8cQ2lo1ki4/WGdR7GwVHoqeLcxuHVDOoo0fcGu7yJ4V7/GtyD+1sIim7npwjFKRA7
jghI1jS9z+1zTABygiLs+NlIT0msPNg0F4jkmg6TqGh3Yg0TK3fnInMMG9hBg69Dp/ea3Ould10l
riOv/j7zaUY5n0B6DgeLTXNnk/guouilh4XkB5OoHsGXhZUczAppYEFkvpEZ9fEQK9AFPdHUsdTm
fhq6Xa3H2yoStbX4/vBbls58qs4aU5UakCWXyPTLN1Jg/V90DwsUYq97GemMFeMBiiH8Hmsajp04
2EeJI8EJ5cxWovFooIYNpDALUGVMSEU7WLV7TCS704MROcGDN34VBzMBrQpQZd/C7XgA6JVH94GT
HkRDwNxwvpLNxNdcatrJ1qAjKN1sJ0wjwIfEWC4bQetMRsAJp7sBj5jrXsm5rgAjumxrY+kTizBM
eE1zI4mw44ah69SPe0/vHzB+WBeeRF6vC+I9CDHErsO8YNoCuiZzvuiU52ZmEgwDGp2vT9lWSudN
QEM0PeZdq/9Ex/zWQF0rmcxTYohGAHh6YpYI48bYbMX2IXsiZnnIhwQDNXpXdZ6WqrmvDJQ4HS1a
QAWruSdH1SgwLudoLKuBGhZ/MEMBCzMhJQrsFqPG8For2udhBxBHFDM6ESSwSAzjOKaST3NhIeXA
lGWtZo7ehc4g2rD71SJink5nyjCeMlMyh+FyERt32W16124Ayu7f55uxdWbANS6FtOazB9C0Y4hw
zTihGct9WLTAmAM2O9k5UjXv8ilQ0PtLgw5Lu/PnMJG/ZyUwVCxwLD0EAE0tOf/5x+pnozGzDo04
c9Lvsx6zX5DWHsGjnB+kCWBm0ijdo+xmHRWkcq46Jx/gocSUmAl0nzg0wFQXCl6TPKfF8oUG+A90
uoAheP6TykmVs1GD3j04vasnGlKPliG8d8IaPRHcfzwvWgtj7qcOXW65NCFsDEfMR0kGUDHM2nCk
aPq8Hgo4lzssjUYxHm6wMxtz8gq1GNLAX+upp24a4XWTxrHkKZO0rybwgdUpUZxmbH62Y/F8XTYn
yJ558eJqq/Q8783KjJdOgTHdK6qr9g9t86jSU1Tvc1EjRySL+XxpXynz2EBWOA6nvDOdOmlcvW/8
Ponuk55sQb8s+Iice/LMtIx6bT51BUDrMOk0my5WrS0V0P6ar4to3fie+ecTMqpNCUqzTYnmXjg1
txZy8irfamXtSjYQo0XIJjx/AQAc1qBBFYc5HUZY1M6gYQU7nts1Te9Wmho7GDofX4sc64Wynv+I
Uzpti7pPXuS6ywSVBp5JMUW5gGFjZ52wK/PtSOMcqPIYQ53LGlAAdXtvtE3lxUbeuPM8dgJ5PNNi
oxxMMjgZmH9ibqq5DfpQp9C2yrAR1b2S5tAFOyW8iVuBs/BedFjw/S2KRR6ci0w3Yh0hTx+NwFGM
HuAj0TejNV2qBm+0q/cYt/2aSnU/gWnx+kHkCicqyFZtVcOCOzv4ACSNYqqWBgZGsoJ9OmnZBhfX
NysL9wl4TB1ZS3SMvw6vBSEHuZrKzfUfwDuda+XZy7kxUHhHzRFD4Mk9kC+c0FDupKJ2aY8dyNmy
gJ0o3V+XyfOlBfcO2Fi/AMAZmXZS2eWwjGF0+M+UATP+osTUm0JBhOXqtpLDZATo7jd9AjBQIJUM
3k3uFTmW7qt7iW5s1b+uElcUMpwFNgRJM1tvt6SOdpqBYF6UQB6Ks21oOSD1aGtlZ+hHW7QOyRW3
JOawIa4QdoguANyj8at1CBLHeFfNpuJKFabApqyYbklGAE4bBzdlOvw9tgRW8bF4Ae4lvJsvJmgA
FhXU8YTsvARgsKY5SgoYue0/2HIlY1F+dTklNNcCeYAMsDx9tj0FgFns4lX6hAx+j0VJR5NEiIU8
e1pg7gDekbYQozFZXZ8NlT0vs8SD8ixJLgm/W/O+GZ4ztBGFBSteIF8LY26nolODyEKJGn3exI36
H3qSYLo8wlH/SFHvDIZjbPz13DdYz1GpwBQKlmewNHdu0jKKezlZRErKvBmV9jC38aYbTEEw4Wxv
Q466LBcCdF+12QfqjKW4plqyJ3XoHFN7CmM0YzfRhGUFTw2/0PpCdUyyQWYl2gfkGRWkL8tAKY6D
we4HJ3KClZASZ11Gl1SyYz+LX2TrtTMPofWYg4CmSAQ5FC+KAScHwAhASQeREHNDAS4hTBoJNlUi
9akD4kaXqX6ERccamObXTwT3lljJYic7bPDH6jmFXXX6I5qA2hkEwC80zJc6jIGhXuzVdqwcuSR3
thy+XhfOu4ltbWFqApfCMhJ67jtorvVNJ+N6JCkAN4JHgsQDQ3QOkUI3LwVTPyJhzNmYZ2yKJgqE
9doXCbdqm3pp8lZV/oiVyut6LX+Kfcmt9WLyqXpugCyzzGr2yquafgAA6B/+Ptr3mBDGsho2d87t
FsptaJcEf78h2ZMS9Z9qJnn/IoJgvAgsCYr+q46zipSlXGukQDMPULZeauZwgEiQHHHwd3Ci9d8i
fv37SkReypmcUqS41h0IncrTuKfb6b76pm/MJ9P5KP9T/MAv/Ma3twDV0/bXFVy+wcU3wqgxavtA
NEKWdm7DOWj7IUE92rXk1jVyZ2qIl4s2F3nBf5ln/j8hTJpQ96lm18uYvUZeKmufpZ4621iM1txs
vMu+rmvE9bqVMOY0FWMwVUYOYeooOQqKhLoi8DuuzSwA8wAgEOsK7MoFmj2xpdaosE4h5vKAOQSK
1PRFSZp/kgPQBwQFeSnon3+bbGhwWJfpOduOhq2Md4BPsRbhKQpoaa4bjfuFCKoRCLRIGtnHgCQn
NG0MhD8i135rHpLYM9qfRgk84fxZCx6vS+N9IoQ6YD5oGAS5ADgC22ek5RZcvpzeWlRZJVEVjveF
/gjAkuK55aZqtrPUhgBz+LCgRGUdItGVIZLBfJ0I3e8mTyBjAmxx8qAZt0i0r9uJdwGu1WDOTSl3
MjphEDH0pyhx9WZfdp7eCL69SBHmwBg5nqSdBim11myyim4mTPwBUFrgzbyLZ1WkZN+3lqSSdliC
gFptWtuJyAvF0DE1v/K/5r9GhW0taTHrKqImpJuQWkNSGQCXpQrczNymjSDh4+zWn0tZ9F1JqbC6
OJUDzNbH84NhA5+xwrUN1grQ0L/0wNKMCBDQ+wm7RYAmmtveyYt4k6bJbV2Noh8jMi6T0ady2uT6
UjTtDtIdeZoeek9xqA5KZYds5X2wm7zcT17sNyHJ43KU2AtkbWzmEp50o1GnBMYebfI6YIM2notN
WqEkVESHUdcdBK8tMCq8KPuH0cT1d2YZZCO8cTt9GSIN45tx/AQOuzb4QIGbALOiPF0/ipwAibcL
Hi+4IrHZzb4HezuItALjT6A8jHA4voYCgMG9awxbvT8kotjCS0chTge0POiZEPyXM7tyrrQCd6eZ
4PVuR9KtriAtNVoUZmK3lbAWBwjFKTL9SW4ceUp31zXlhIMz0czpSfW6beoUmmbKTVL6afWaizj5
ON4KERha1ZZmBXaFzrXLzTKIx2UuI6keks6TdB9YxUF/bDVBYZuriwrqatSesPHLDrCBE0UxYgtm
7M2dOh2i4jUZnq+bi6vLSsRy162/lGSGNIghIo/9pLupAGcpjf487oiIAoVzG2Df7o8yjNXmeiAj
yEgwI0Q3WXyYyvcxxMbD53V9lvPKnGdwFyGdxmsE2LPsQzbNpL5R6Yw7J3WU3iFu/qH53Ul1AsHl
xnvKAoYMj2YdGMtYwGciB0V/Oi2ixbdvpkP4ON3GAB2U9uE+g7RO1HHl5BxraRdzogUp5UiS0ds5
RdvkVJ6iTXxjn+RNuJ23xrbeirbNuQKx0w7kWcBVXswvWDSvo9mCesRInB79x3b4h5OKD/S/Ei6G
F6gak1HpIEGW7vvxZDf7TITXzv9IKxlMlmNLszUEPWRMD7M33aaABPlR+9MmeIvepc0/PLdA9gB0
eDRPQQHFpqFA/FN70OGga6LVAQrTWNJGFiyitecdpJUUthxtlZ0mlwPy907/1oJJVj3myVs7b68f
JN6NsZbCWE4Psg5Y19AlIU6a604xHtNkIyVvRLvN54frwniBboGwQKEZ67IGe5bsDhgSQC/CcPdU
gw6kNxtnmMvIt7BnKkgXeX6NSjrGchZ8apkdXZA6PHhQVF/6d4PXzO1xkkVjJTzToWuHZz2oWAkc
/DymGnbUZyrgiUEvpSGJG8GvUmxVVLSSgjzo0aetZfvr9uNFceD5Lnsi2KEHMcG5xBYJ8BAuT61q
BARzXzmq9GikoWNMkhMbApgAkTAmra80jB2lypIJ534BtLdpPDRzspkUvxORq/Ci+VovJrdfxrRs
umwU9uOtDCzkRi2cIPEz8IEHLTYB7iWk4tdNyXPFtUjmQqwH2k99i7wYM5EHmpNvLRADND0SNdJ5
TgIfQXHeQBcOwyXnn6yf8UQJJZziEbOkKn2trFeC0Vxrr8RgXREk2Hw7/hbGFmmKNpsKS4WwMox2
Q5pjtxnEdG2wj3Xw5VjzT9UcO/BlyKJtLF6sWmnJ4i5EcjKYyTLxX4DZu6texlB15vgmBxvu9c92
CVoO0NG1JMYruwBL7v2i4qCWH5Gi147cGOCQm07gtvYzWfMSObob7e+yCY4V+wV36TZpVKc1hzu1
fA5HHa2m2JG73rv+y7gOBTIdNGSRK4Lv7vxDg3c71UoLZ3M0w13TIGDH7X/VXAviNfdUov5qg1JP
hTsxIUBpMJisSQihpvzcBE+tdlfn2/lHOL39gzoqchEFUPuXG+wDqXqpmhE/KfqOE56FxMKmr2j2
gasNkg4FqPco67FpXJU2WVTpkCKb9AG/BcRioGUHUlOWFodWEV0KvKkrjJv+kcd4z1zMM0IZ0mA8
blWnln/M0XsxglO508Ezpt3MyvQcyC9WU7smGF6vm5R7SFbCmShHR6lPadgjoMrp0TaeMjl4otG8
sWDZ65K4vriSxAS3UlNmRbNh1oLuMJMzJe+daBuGqwxZNpmBs6IBBOLc3ctx6PUmhzJx9AOcXXa+
iRvgXohgvPhf7I8cNgsKcdzBS4MvFk++sgn9JnHQ0Lk3Aj/1pVMpGnvlWm4ljjleJY0zowZ6sys3
WM8qgTq+rC79S6hYCWG8kLSkV+N6eYwNT9WwS5vHJNz/gwesRDC+JhVpaMfYvHEVAwoUm0mNAO0m
CMY8Y4G6Dm9/RORLdpgwo12gFRBSVKfM8uvqFFn+dT24JQZ01hDwFtRpYBqf+1kM+jhqjTKSLPur
m57DyHJGbF9F+i2oJ6YxcdTkyQbk5nWxywFhn5drqUvcWj2X8cCdiBVBKrr4RSu7JhYkrkvgnB8o
hEEPTIiD85Cd4qkwPYBYgDiuj+oL1fD4irXwsxsNzNS0opFITpjFoKCuoBeg4N3C5o0DyCLNtkE8
kJQfgCfwzInupXzybKNxtOTrumYcrzgTxni3NYaKGg0QlqWHbqyR6zjDIGgPcq23Uohx77ScZ03p
UZqZMYk0qy9q+kixYh5JP67rwkmoznRhAunQSHJT4j83VscXbPBvrBZ7saTyapvcTJ32Eg65bwrn
u0UmXP595X7mrJJ+WBafJPRYTcxzZAUg3QUhguPjZ7oxJ8u2u1Apa+gWAp0ksytnaEXDWyI9mGPU
YbRwTEPokYzaEes5WDAiUCQVXHecHPtMk+XfV+aKcoK0d1mPAOCX2Z7sdjPW6nKeHKPN3ELgE3y7
AbAWCNF4hrE3X5spmUEaRG8g1npac6xiUc3pVyudCT9Q6LcI9tJLS6nJRwkijI22w3apr7ujA76o
l1v5bvgenjBv+4zxl5tyG/i0duhn9h8V/QjezXv2I5ir0Ghqe9kCQWUocrrBIcppNFxAQVmgXwFQ
QKe46IyaIrH8UPVHdSZ6RKSXWqWA1LQynEZ7yLLv5Xjqo9EJR0EQEXxIiwki2hjTplrKrqZZOuCl
tCVR9sIPH3+U+R/Srms3cljJfpEAKlHSq0Int7PH6UUY22Mq5/z1e2TsvZbZ2iZmFoN5MtClIovF
YoVz5i9YGGYuAWmhtmYJeNCavT0wr4+2aYzuugLUL9s+2533V6LV4xxHiCriMKUQCLILDJtO003Y
x04bur36el7S+tH+Vo3zHn1mpVVKIAnEL2OLrJ5sZ7IoG7pStflhgpz/KLWsbtpwjsZGtPC6NHyq
stcGo60dec0id1TsTgTmJjIKzpcAhQ+d9xr0UuXH1n8VpipF6zabzMIk5LIDt9GA32+s4Lc09jsA
IT41hb45vz1rcdNy6fiqU0OLoJtm4y6YhrnEDcDbagaIWuB5B5c0czPloIuQ9taKjT+Eci4jrOiQ
thSOGIZu7kOPgLpyl12Ee/gPTXHKa+kBPiQTEfitRgNAKweAPujl8e75uaZGjMjHVyDW7JkbpmSv
Ih9mSO8GhobOL+uqdfxX0kkuu5JDkrYtJI0Vhi7Bsl3U/3KuFhK4JcwNo23JfJdVgF03unedbZgI
ZG31vlzI4H2sWdZRpc62kb6U1v3ErtAZMCSAzlfR5ixYslWXNJMWGWjFBy8W55JkqTdKTKTjDCu3
qoxqjekO9bENrwtpe35zVo/WQhLnkogVtW2szd6iviO6qxPPKkQead0AvrXhPJLKlDCfemjTSwiY
Ok9SGy9TPLlo7FJ28qq3wUPPVHQ7PsbpS945fSs42aIv4BwU0E0RWzfQss4/qPqOEarzq7h6Zy1W
kTtMU2JNfjrMGmaPrL+zZK+WbvwWB9dNazDIFaK+e4GB8FSf+pT5WhZAIQZ8SYM4/uT0DHCGgdOJ
SlEiUdzhon2lTK082yLyk9K8X8/h+NzFB11UVhNJ4o6Yijm63qhnSb2EPuWLUAocubbp8D6IehtW
vR8Q/9GuDHhd5Jl/er9yGoGPPWdIiPkkNaC0o2+NflOLurFXT9dCDH+6wFNfszkhOBm/MW3V9Ufq
C9LXq6a9EMEdrsbs5NaYX469eR80n6O2P2/aIhW4o6NHJQWqOVZKycAhFTOXtFvV//z/CeHOz6iV
Zt/N66R0FKSVKbAytip7/n8J4W/3tKqiBnkCvEtxD0WKN0m6bYQiaEnBevFpg6rDzEk9Z0tl41eg
vYZsm4hw8ZT5IJw8db733OQOCngryySeNTFk29oB91W/flVuQO10I1+VbvQEjFE3aWzNrY+/WGNn
pV1eiHjSVw/r4hu4h0BpogHYnGM+YCs7evcYdqVT5cc4PMqYND6/c2ulaoj673E150OwCAClUAli
o4QwVvz2ldH1m96dik9/eIiDakMi1W174jWW5ZZlutFp+nL+A4QrzvmLwM8zGTclItCNfJQxc2xP
GzB1faZO1Lt0P23zo39Redkj2dyyt/rweF7+avCx0J/zI00j02San8+sf9WKXxJIE7qKbhJZRkmT
mjZ4u0PBms8/ec7GOL+SB53fm3O80xSgUwpsy/eAHmhLonFD0Xnh/ItBs0oeZtWUcW+Cp7J/EhK8
iERw3qWpJo3g+oepWhtjuMuSN+GQwRec+Jnl4i/kEVB9uTVBjehYO/lWvgttNKzdIB6tJpdd6ttM
doonZePfRU/0idj9TrlqHcv9pW5TNxUlBAQa8wWvMjOlsWVfm/eQtDdWfaeFgntnXQRmN+bCOp4R
nH00idqXZD4R49TaQbSL/V+YGz9v9us+5lsGZxstVfxBNiEjTMZfYdrY4aBt4sG3iyJ/yTRRi8rq
KUNvCgAXAYePVNVPL1NW4MlLVcQfBgaKgGNpW+2mq0K3LA5BtCeiisZ6sgitFhoapTF+xQ/8pDSr
0yEdkfS9qx/RKw0TCY8YsdPt9Ea7qkVl4NUTvRDH3RqVj/n70YB6IXnRxoNZ7oMcbOCCeGENgAqs
Yt9acRcDoDEys8+hlbQzb0ePXIYHNXeTp+K1suV9tI0O8Y3u+N55U1k1x4VU7obQ4wQ1twxSG/WI
1kYyPAWSQLPZTZwccczvyagFAN6df5T1VaLQlKG+kWCcluzk2KuB4qsMbs22mjHYU/z0DzotBHJe
v2oVKVYl6JSYo3KkiI4dv9VRmiSjCE5rJYoECj/K1jMkNshaOBcp+6lUqXKdOm03dDaJaL1tirz+
+55NNNl+ryDnMyaziKNhQgNia8W3UxY4ITMukkEw/bxq5wspnNdQ4CBq1kIKTbamCh6Gm5Rc6aLB
lzVU2B/KcEvWUPDBDNbcTTkxF3PcCalsGlyVhTfkj6CjNMMLjNGF/kVX340RoI421j893o155hLI
xTNG9k+H1YNNXuvpXHFDKUwdjvr4SkU+eNXqFzK41VTRgqPpKHrMCYJAddP0zWh+N5Mn+x+l5pWi
Qf3VzVuI41a1llhDKh8qadqzPr7LygO1LoSZvhVzV1EqwDSnoaHGx6MHm2Oi59m8d/U4OF35FvgC
G1x1RwsB3Kr1WqCFhQEBVbON0wOg/oREimu3FfJRwD6eL0gc3Z+bj5l8KTAZ3Lk65tldETQHS0ef
2dRG+qHB2NwVI6AQUrQ63Z13S2tbBJwTE02JwKUBb/tPwcqQDbqVDXBL9M4wbtH2OCgXsShls7aC
KjhCVOCWoIGY7wED86VUlIE6Hy/F9cHhwvQJnPTq9rwyK5aAxkoMY8MckGfj6xk13KEUmnriEEy7
A7LNJzbwPUX8badXPcYAwZqIPizQq81MVT/XLJV7KTTUqnbShl6G7MNK2oOClzQBPWQUfxqozksa
wLiVdp8TUXf5iY6zcBXGjpkDXM08oKgpRyqCNQgvxmgTRvpd3E2CHN/JbnEiOHtXoiEi+QRmi5bO
QILyjiSJmwciIpLTDD0nh3MPasakKQGGB/D5j2rwq0fr4UBva8WNywPFHFVCnuFBBGHoicF/CUVD
7BdZhMW3xWYlQAHquqkd2oYgM/Y3IJPZGvkMXShqRhSJ4mI03O7jyDSICkzqDcNoR2NvV511jbYV
AZDEif/40goJZlRn0JbNhzNxMlgd07GUUuKk0WOTbbKutn3jV5W+6eZfB5+ctFnxxQu+YnGtJREU
8+VLalZ2AVTlILRjXRBizFfejyCNk8NdiZhFIEYyQquRpdsh6O2w+LRIfRiCpw7Jy/POY323vpeQ
s/o8yEslyaGU1HhhYl3GgFzw++taZPYndzCnFGf1ShY2mAhoweg8hkhxMKQf/LS5bYz+mSn9VTv2
GFMdtekioZEm2rlV4RoeeIBZwtQST/7TKSAul1MI1wGjLhXuMLxL9d5KgQpQ3yfFJ4s2/7Cq3wIp
N+FZMDzBhhICcxR7y99t41rxUwrAzvNiToH65lVdyOGee0y3Sp/Ufe2AvR64Ix56i92WomlAs/Xt
b+lydOvryUtddi8dqXde+Kq/XMjmznlnddFo5LNsoMrqGB4wFGufqn9PXcDpyN07ky53adZCTvxb
8+hB8TTT0+8KTHlkd2Vho0Mg2JILIc7r6sFYqDffSIvTznpALmOED2Ifcy8JXGnne9pl/6j9SbfZ
bkxAC+tUnxFoigRObXVdZ6AzvKYBaMv3xuLZFua+D8GmcmnJje2X7mhU7vnNO01Hzqu6kMLtnqQ0
IR5LkBJVW72+1hlmWQwEKrVLKrdgucfGbYnZEFxIVvdwXvjq0i5kczuapUYXgnm+dlijXYwJhJDy
WEjhtgqpINBb9aULUdwupklGooJBVCb1WymdtpgGtcvUdHIKRFBN/3VeM9HezX9fGM1Q+EWbZBAn
Wy+FfJuDlUsIwSNavfnvCxl6Yo1VMM6rV4W4Gm7TZseMgzkJfMuqKsY8QwO8MZCTcLdQ3ahNYMYE
t1B2kUhuVbyj9/L8aq2HQibG+QDqp+EfJ6NEOTM1FUR1evOEJNkBBdbK7aeXSaov0YIFvpriOZMf
4iy/Py95NXBYCOZuvbDO8Jtz4BCqm9oqnXyCI2l8u8fgAuBrvIjqgqajVUNcSOTuv1Q3w5Gac6hC
Ct0eFGMTmS+D393KpeSkGhEs7WzXJzHEtzj+AgoyEgTdHKtEjQSmRfa7m3Oc5xdRJIO7fLIKAIVp
BJU07BpeBj7GfckoELJq7QtFOD81Jo2utTWEIE/rAsUIaTfF9DC5iPArFwVD8ux5TpcN1o6XIUyf
DyjLupRHZcSyldEun7ZhfhP5L3591NhDo2q2Pz4p+r6NbopgXwcv55dz/YFlfgvnDnbfN3kWthCu
JR443TTlktEnPdqNg50k90F5xFyE2Qlum9XQCO3BsobmZkSWnMeaysKo8xBCMyl9GgJ5awJco1cU
r9A1u66pXWBKgaSi0tu6sgu5nLJDHZgD0oHADgyP04iqDKXM9s1xzjwZSOLJ42MWtMAIf9Rj4v7L
Si+Ec36nrRPVmObXUANQf0m7zLMrQ38fo8gNjUNrbEvfZdXO/+vZifnOXYjlvI7EJmYFHcRKCuYZ
zNsSYJi6X25k4/G8gqu+eyGIczYAAuurJoCgAIi7Ix6TppRtNOD8nhezeja/xXy598VNFDV6NBRA
gXSCAZx2ZY+EtTrZkl/aMuYGz8sSGczX3xfCglhjRVxCWKR8ykhQqo7P9j7DbY7i7dhvSLsZarsT
zw6ta6nrOpnTbTpf4sjTlDUGQyzfoMuHdb4TD8zVIgmJ2dRWq3ynAIgWLf17jUSehoXGUPJ9gk7Z
xHoc1T9F2u7/aSm+v4jziUWVSiB/7fCWKm4xedF3113iZGVw0DFDaahbqdZs2ngWEwRTX1PoJ+4R
/Jz/WQoucKuTQgMeC5ZiKl8qpm4xOwlaXXoNrGAnxyRIITFbjm4xjnjozMEhEdnrQbpXyb2aBMjt
+Q8lfevNl6xWMHqlwEyCQwcUPLtXAjBtyH/qpPIYAyJOLhO7A4ANWDEQlZbG3fklXL2NF4pwYSGa
u2N91KFI0t10zZ5F76UiA07VZcMo2K11B/u9ZpyDrfyiszBsjStFuWiU+9oftqS4lZtrDW8KybCV
v2Zd+/Iy3wI5z8oqklCth3UUmm/j0O9qIjt0GLzzS/h/HMhvObwTzbRc7br5XKTXpuGVJsBHUpsR
p6/2ceygX9LtJruX+61A8Oklrc+0C6ZuAutPpyd40FadNApBAFyEx9oPt752oLB4PF/a6C1GWmuI
nC47DqkLbhDAKQqc62nVxIR8AK2AslhG2ULjFJdop9bq/DJkZWNbIFkcNzG50ECH45emmwIx2shv
KuJUSeZM9Z0OAMkERIWjqO321Ih/fgd3nYCYqmqDEt8BaOBig+RKb0dDQFwtq679PALcj2KMm/OL
f3qzQCZSzMjVzW23fMYeiWzAb+sqwjHrKtF2rHyIReWT+bN/OhmIwGgZJl3xwj5hg+6mWjaHkSLN
RlGZ7xigxXKvNTX0FAeKa/nHOhhFFaI1tWb4HACbmlTHaNvPN5WkAAOk16DWMF7RKrPTccOGP+eX
7jRchttcyODO5UAtpjCm4UEVOKYEsxGydou04AwTuKyJP8ybk6KHEjn68apMns8rMX8kvzlLJTib
a5EZsCSAXmMa5FoyWoDDe5QdGxF8lUgMF8D02A95PmbOUF6qw0feP/nprakKkA7WdwTgjMiyoFWc
n+hJR9qzMcGOtEpvN2wTN4ItX1fjvwL4eR4/HM2RxBBQjPdVtU2Nx8C/VzpfEIedXjGwLIBrYJoa
OPw6j17LjJBq1rxawMxWcxto83C8U+HrHwBpAl+HLsUfk1Y0D5MfBZiuSWJf8IpQVpcSWBgEuQLA
yfBl3CmiijlOrHGqTX5Vbv09e9WZjQn9dO8lj+j9d+jVxfSh3htu/2zaKAo41REIiOet83QQAdrL
lgY0QjrfD3znolqqE2UFIMI1gDgeBjd8pS/tptj5dnrE9E3mWQ9SIRC6rvq3TOWn7zClTgtKK2jm
64h2D4oiiHxXT/VCJy7oqhopkiNQjzqBeqyKHbV+WZF7ft1EImYVF7F1Glq9pJkQQc0rSd8ztHxp
taC8tnoWALEMunKQWJzgKXVmOBEaQUZaVg7LfuN5OeSRXZub87qsyQF8F7huKUEOlX8nkLgdYOVx
47Td3Dwxxd194gOh0gkKvDNtPxhhmOdFrl3EyNUCoZ2gmI0nws/lw5M+VptKqoGQC17Y9pNRYkc5
zN7obF0bns5LW7M3TcElNdPVAAOL840ok5a92sKpaEO+TU2KZ0/2LwoBvhklNQAbA+jmp0LGhHbU
lOIKltEalAHKDRxXlWyn6rvW3J/X5gv7h79RAACBzAMK8ebpftVFlCR1A/PeW7vmGWAs7pDbw3N/
FTt+YCvv5r7fTFfU/pVd0uvxZrx+qZxxZ+0MW7UbR0TpsLa6y8/hTnPZT2QKCnzOvImDnyOn9SjQ
eM6LndOYO9BhnqqK30CEutGv/Mt8S24wgrMzrtJD+yK53aG4pHayBQ3BLj1mXiPCt1s7IUsVOXNt
lLpEPQzyNTBWJMnRDK/8XAJoiiHwXCtFBh19AiA4MZBNm/f3px1FiYW6Zd81Dk7Ns4RwGPRHLh20
Q0j9bZLSndY2mOQPiVcmf5DSdkneiirfX88BfrlhVxooAk3QUPM5vVHH7DYd+sYx7uk29+R36RrF
R9AbX6F4O/YusPLdECiUZmtPo609A3HtYL6T9+DR3ISuYO9n8zn9mPlc6TOzBU/60oQGo1MAsiWy
1Tf51t/uU4fKtrFB17sDjAvmzR3v6h95z9BMuY229Ndfc4bijgSswn8/gdv+YfLHCqwdcJDRATl2
he5NEVjNmoWhH9RQVLgpUMlxgWhaa3JJ8lnL4qOtPi2ts8Ppnnaf51dzTYwMojoF/a4qGK04N5VF
Wk9yDZ5QYYHTlvuU2LUR2+lfz4/MUQUY5AhwsFGo4BkmBwMcJPVkoEwRvJpdZ5s+mBbo7Xll1i6R
pRDO8dDAkMpmFqLh1gpvwMybdGA9Sey2FUHqrvm4pSjOAeXMl5MJ5OxAcz9SK/GyNhWc/NWIdLFi
nI35ykALqYOEXntOw90QXuMxIhe/ahz56DnvBbHF2pMRNz4AokE5gDIzpxDIy6s8wnC+k+QPGUgG
JEW1q+AjKN414zXM9ud3anX5FtJ45Xwr6ZF0RC/NuCuTN0mEgb+6eGCEwglF9c3gq2KxGrOedQgn
9O6pwdA/uYoLJPSsF0N7BuRg+dc82l9B83fsznnprCNjas6xe9ShGxKVFVzJXqqK0hXrQea3mPk0
L4LMykittC8gJtH3msVsXBe2EDxxbW+W0R93iqZSZRJLowYQO09dcSDWr/N7v+Zylr/PWdoUy0Xa
Kfh9ud4V3WcPYglr3HapqLa25g1mmEnIwtVl8s12oyxHhBLYABlcuQ9sXdl1uKL6Gi/u3XmV1vZl
KYozZynIEs0vsS+Fivz5FLtq8FSaoptPJGX++2L3pY42LGogxSSHVO4c9MNQSYR3sy4EsL0Uc1ag
G+TunakFaGxjzaooH34Jdl7FaQIRZdOqCdBvIVwKBIwbhsoCCAmbxJ7U0KUAa4lj2Q7ah/M7syrJ
MGaSWdTgqcWpoxQop4AMA5GLhkk4/zoadj7xOhH21UoZHjkDJA7QTyyDP/mrKrrYmyEeQyVEQczp
DM0pdeMx0gxbU6fKtoDUOSFuG1N9i9r4htbS83kd1w7sUjZnfebYqHmPHibMZk5Oq1c3kyUL0jxr
/hSgoybSE6hcGPxrhgVTkMFe5n46BpfTZiD4rBnIy3VJ3/ok9L2m8mNXMaunTOv/GgsH3hXpCBjM
HAzh8fvT8DtD8Y0pxG1hRIgcWO70BeipzUaQgVmzFfQZW6BpwSAO2B9+imkTydJw6+JS8j0lSVCQ
yt2GOYVVbs5v2NoZWwjiR1DLMe+DYn4bqqSWe1uu/OY+S8HnhSxaihNxXtq6bX7rxWd0UAPKQWqF
SIKGgx2HaG2OyM4ccMknRmlHYTYDarjGcN0WkyhOWgsrkOkG6Coy3eAU4rZOzWRfHsDA7PhI9GvW
XVEEG7UF2lmsuJr80fiiIdE1r79MJHACDasdtAYMuA7RewBcNgFzmB5mO6XEaGyH8nwpOH2rywsw
FzzQkAFFzoxzMYkvT6VWI2EWxe3B18N9ilHMqGo3rTLawHCyu/EmClJXDj7Ob+yaGS0Fc14UjRaA
QpMheMBUQRvuMuAqNIMgUls7FBiMB1QzUvuoW3CXDviQqphS3NaSsZ38LYm2Jn3TJ9EiztvCP+rQ
MaLigzEIh0mGn2cvbntNa8kcFLAbGk9OPhInBE9xJ9f7Lm52oT7e0+IllitnYpkjl/JByQJB1/Cq
rhYuPnRCE7R5cw5AkhRFQmM5SB2axEHndZQzO628QnT9rR0K8IL/Rw6f0x4yUpvonoLFZNGdGkZe
KRevk0/cTmF2UX6AudQ9bypr/hswg4RoRIEn4GFetClNOnkA/oQfqpGLeyndVTmeYNHg36hqfglI
ysBRcsl3gIKXC5Z17Uhi2EFDZnt+A/I+YBwAflGNeMqq+lvU33Tpn6l3hnoz9AJPt7auoACwMF2B
Dm8w8P40olAeJBYryMpQ86mo91H0UofvcfHSkncRwc1K6RYpAA00hZhjUxEFcX4m6rN2hIfBiqJc
0HabEfXKfiMH17K+MWWwIwaIoJ4U0atwNT2/lMtd9kOMWUDS1cgLaJuPwbmVdnW1MV/vpEez8sLa
qx4FXmZ19/QvIntQGqNY+3NR6ZSg0qa0iDqTyTH1o0ZsVf5Nol+BCNBg7fhh9sbC0fiSxPmzRAfl
RjhLQohlW4pdkN9A4NJ8QSyz0qGGrVvI4cyEDYY6mLOcrEEXtLwDabCdHdTbBtUWt7wBnYz+cP74
CTT7ukIW0aHfR/+7hiGSEY1/XeVPeUxsK707L+eUWvsrMfWdqOP6CafayDsAByIvuaWOvJMfNuAp
V23zWn5l95MTbcubGTrVnl7OC167ipYJQu7N2CS+1ORmD6us31i379glszbnRZyCL3C6cSeuI4ma
xxJkdJtEsZXH8uC7w94EyIV/nz/IvZs5GN2ydZf9TpwLzJY4//KiXGrJnT3wykuAqsbqTopyE09k
U6STQ9GsM5k3XVntzyt8cvD0Gez/eyaNk9ZZpTG0FDNpINC+KYoUWPnJxjDD+xpIghRQgufFnWwh
xGGeT8P9AGBiPJl+nvOgSRLNHIzEMdrAy6v6XW0Gh0pE0MS7KkYFDpw689hbfDBqyKj/pIOZOF2E
xuQOpEpydWMFgmzWqZuctdEwZAd4WBnVaS6eQDk31bUAAx2+memeWcbR3ZDEz33Tt16otsfUL67i
iD7l4KLAi51e+ixVES5OJSoWpbWPa113zi/w2n6qCiYZsbgoOumzk1g4gVQv5HAqg9Tp1MDu8aaO
pysdAU98SK2/9TfQHoJkBZOtMiIZTvsMNKVBHUepA/4kcPy0zHf8DHPj8hj7mB6vpUZYIphP+I8A
DiIN8L3NjD+gNPqqbi+0A5JCFkSsSwGrY5eeYcelDd7jl2fU12w0hH/kW8NwQOAEcz5OzkH/GHey
4MDMB+LkE+aUH56oOmhMOa3byM/RbYNPqKYYuJtKZEdt9HR+E9fM11jI4DaRpdLQaTpk+Cbw6QlO
716pgzcjrevteUlr5oJMOSatQL+MwVfuPHadUtbdbC4zu0xv5ZOdNXOZA0Apjq8jnzVP5/+DSBPH
EqkSHE++7hsMBiszOU2dYdhY81umwv/XUVecQsTsdfpqmg/oQhZ3Y2gh7SKqQdboMzTb7LIOhezQ
IdNVM7mqejuisFZJ3nkFlZOLmJPKLSpFs2teDwmo5dM46ex6MKJLRc7rVx9905cmBnquZZ/qf/x+
MIsNa1rUhRNK0ItB5O62H5MMwKCKXAIueSB7S+6qzqmrGgjAhdrKmYMUgvwe1Ix6fcgwtdyA5Qut
54qK/ok4ZL+CTBsTt5QacBP5nf56Xr2TA4BWLzyzYTMEAbDF14zkvCjCFB2ETk/UJ2Osb2u4878X
gVoRoMsJsiRALPnpxMjQt4MVj7iMCgzJqaWChyETJQ1OTB96aLANHZ4LlS/eDqsQXBDIKKCDPSHA
fn1Q8VRi+p2kqc6kCqY8vgqovNfAVLQBNvWZkpt/9E1j1Olqy1KUkiXN8feyi5DJHrx32WWAzW9v
macejNGWElvBu/4Q7dEv7aVz1LgfLkYv27Z2690rx/I+E0YcJy+a2ZF/fxz/UlTlvJekEh836aFd
qvettcdHBtq2Ny6zThAYr/m2pTAueOwZfJE0rwTooRXF7qWK/JHB6n3XSmEiCBhPDiK2WMdoFNjO
QA4G7IKfdhT6aWehbwymat5T/1OS3XS6aYfH89a6JgVNpujqAjoGmj24GwEPtL4Ocx0kFWy4jdQ3
hMaXRWa6JRWNeq08KlARRksOiIoJGDlUzrOUGqNpZkBUVZfu0B46FSd+Z+U7SbuQdWeYPEp9O+pf
IuMCEEZ/r6cJnmQLz2ukLUxOuIXWTrnAiKdDshwDC1vD3KMuYoeScFr2xMVwBsm5bQS8Bk1ng6S3
VeDJF4pnuh1Qkm3wJGyyK98j7ud53URWyek2Qom8jOfzye4abV/IWz8WOLUvcp8zPsCYtV4EL5qe
06LuIcO4fw69ad+58StItq6PsnMz7W7Q+hbY2jHcqB7bnNduNVBdHjrORPXJgsEoEN1+Gg/Tc3f9
NtiYILL1ww0m151Y1Gq3vpwzixho61CH5w65UiB9orcIKxL9c8hulPYiFFnjqghkQtHHqBiI8Lmz
3VponO4rxN5EH7dxT2zM6AL8VMQJc9oaM9uijOFtsBrNXZucZShJGyvtl2WEuT2O2hvL3tM2OSo1
PPKYfFSy4cha5OhpvJsK5PPjUFAxOD318ycsYnpu9+KENHKlzsbZ9KZnxNUTsaR+o1tgDi0TDLj4
unZPKjOxCQkvBj2UXowouUvllnryKEkCQz7xd/PnaCqWhILnCA+5n3ZMzKxH6Rtxf6T+aWSvB4x/
Oe2oaJBIJIZzAn4blb1cQEycX/mRW/iXbYQd0AXYcusbPHfagIUbevHFu7ZP4rAu49RhsRFtuiK3
Iys6RuP4YLVPqLleVknrlCR8aqm0yZJpryvPguO5egEvPoHLSaGGHLBUwycYzA0ezMKOAjv5HL3S
u1Yk+6kHLIA82gBC2HcYHRBcyCdx0Lyd8+01gyajF5Mz8I7VKR4biJEb7cM0H2Fs6PfEhPdHKiIF
EUniHKCq4J4s5mi8anTgLDyjOdRBLumAgYh9ASyL86u6eonMtFXAg0edjddLYmNXqXMUjh7XwU7j
YcSYifYP6Ifoa4KfA/MNQCtODsMYag0hGVYPYKjxrwGpNzK55zVZfcYgsY0eA7SoyoR/c4Lmy9BK
CckZwpw+PwzjY2tuquloksHOI0c2XEOYel6zyaXM+XgubisW+rkuWZCp4Jmbx64MN1P87tQr1d+U
ijvR66Ccx/l06blUnKRv7Zy4Tbqn+d7KRWmj1bsTnPIErPJIOSB7+/NrrKyeYcnwNX1+wSw06/7x
h1uUTCSMgiuI7ewJYTRaFqtrPb4ABKAPZvDy0LZe0b8koZf/NW4IDg16mExEe9h19ABx3zPkSPkk
aMfSyZ+pfi6o4YyF6aDpSRB0aWtuUAP/mobKporCH+dtDctnQUUhqfaAcrTTtggdNmiFPHYgV9jp
m2eUdjfGNdpbriS73mKQKrNz5yXwVCd1THu4kL14n12Zbp/baNsdEWB0j9PWt28L178MvMfztrp2
LeNFhQ489HHKJ0+3Nq7rQdd6hG54ucJypvDGFPHZr8tADIyeQjQ/K9yS1KGZt2BETZ1s1HeGXl4a
ubyT5FrgGC3sIR+vYZuRK1RQq4OT/LnHfZzkLLFAUNPXmRXaUy+T6y7ro0NFytRVq4bcdq3SHtKx
IRSdF0H2dH4tTxPtEK+jUQDvbXwEMow/v4BMtV/lI76gCLYKOXSVF1iXGWAIyi1LXAAzbytyoEVl
19q7b3qB9hJUe7+9QfVd8CWra7H4Es7e44iFLBpghfFjPaPMVm+lWzqT86fdxsCm2gdH/SbwTK/d
0atRkGZdOwFIUaFNFT12IE3ntlsvQSWlm5AtRTNd2q7I3ZA9WpMgr7FmVQhoTLzikNaTT1xMn5Sj
nIew3FTeVgOqa3Xgjb7qCZaSrJjVPJGIHhMZo4k8pB3TaVf31ezKRivpvLQP9E+pq9rYHn0l8jdW
2PqeX5fNXYLEKoZqcynUgNdqqMW/3CsADMEZQikaTozbVQRxUoWMMVZ2579KrT28DdTVqw0YmTNb
FYSxa+u7zN1y8ZwcNa3hx0hqTv3GUl+z1CbCvrK1S2spgzuyMfhuymCa3TJzJ6SHFcx8pxjx2JSY
axLxc60pBEp4rBtQ/VFw5u6kNFPDibY4nVK5Z90L8TE3Jjh3a/osRXCBYVmoI8oOEFHibSj5x4l6
ISCeOwLCLtOuRDMVqxotTjl30tQyVmuzmsV1iqOl1mUw6N4YTnfnj8CqVgsxnCW0ZUnLpsQuTdHv
OneNqrIz6YnWD5a0L4QEhfOvnbjxhTTOJhQWKhO6xRBcJ06TPE/MsIP0F8L7oHhqTC/Pkf37Q8o9
Cm+C3VuLd5dpfM5AgNlqSCzDXZg81PkVba6H6ZJE1+H93y/nUgxnJKnZl+DAg4J+fM9qzU5yp9Yw
sr6btC0Ce4FSazcBUCVVvEgtpLt4vketGzKFdaBkrZ5TAM9i8OclOvh3I0BBvPN6rVmjgfwBKkwI
f06mBiq9oU0iQxLRL8xomyi3tHLOi1i7WhYi+JK5MqpV2ZfzDvVPU/+h1C5af1LRlMXaS2QphTtW
SqjEattDkYbkjoIpgfEfuI0B/aSA8J5S7A3fT6vHBQo5uoyISD3qoB5PwcUlQi9d2/ivQvE8s4cs
NneOrAFYzjVQqYFji2rNdgI1dxq0tlIweyi2TRa7US+wgNWHz1ImFwDRLJYpLky4WDbZWnZsWAVa
9QuSbvrRqdlVXznA+jhvEyunFngFM+knpgQp0qw/gy4J7c8VGAvx8AEnHPoB0EDxJwK0z1S9qaKW
7tOZJ1T5CJDiNFwhuoanxE9hIfiG27DyUaByNKe774GOkNojmIsew4tmr27Sw+Rkd1aCFj+7vLH2
1rbNbMulNhBMgLAiiHjX8oTLz+HRqGjux1klQffsaKK3I3tgXnzp72zpMrhQD+E9uTu/1kKB3GKz
fiyLPIL+If0f0r6sSVKb6foXEcEq0C1bVXVX78t0zw0xKzsIAWL59d9h4o1nqlR8RdiOsH1je7Ik
UqlU5jknXQwkcx0/fur2NkyN75FXHNju54bFxU2l6+Bsifr5js9DGRkih8UBg19cxc298SYLH2f0
XypP3+UbOdbay/XMnnRskn4YMP4W9jq/OxrHGYh6N3dBcX4wPfVbfR+7Xwj37/GJMTm3RTgNNxa8
En3OfoB0hqqE16St//yA9q7VQ/gYCX/EN1/QaIpsoBHc3lU2UvYVv0bHBeU0GyxvhCQ5s7Tioq9s
gXnzvYUZAJj0ThzhTnkgbBJ21k8nQ7fZ+mCoalFQwkwtRLfPzelvI5vvShRa+3Zvjkdqv3TqgTjP
cV8FCi98uw3LrWFrl+d9+akU2EHEtUU0+dwh1JRObC7xU4s2SIdnrfxElUWoC//x1/VPcfElQLAk
BOPaQQqGPLJcK2qpMpM2IYXX1zVS0hlkgbyYtwRcL67NxQq1ll4jbs6L+GXplJEqBfbF5uV809bt
20j1eadU5O2fLwddNX1hPQBzLVfGhdFFOZ3xYFKT+FuJovOsxxv380WmiLVAIwCVBLQSoP4tfZuq
U4wCpUk0C9nnZLx0wAZi+IEWx26Vvlv/XCh16WhbqOpgciz471IwNio25bPF0XZO+bulxUcn4e80
3qKNXS4KQw+WniRaFw6mfywf8KSyZleDlc1zX0Gfu3B55CfJczvB5Wovt34kYotrc5HjYNQC8Emg
bBNkCBfC/VPcOoVuD5WXxYpbiHs2ZK5In6x8S//g4iAthha/IyCoUCpfnHMkJl0tYagtvljlnVKE
HJJ0FQ2aYWtg0OoWnpiSgnjFRmqPBkxNylFFAUIv+6AobmIde5gfrS3izeXBPV+ZFMON1EhUypct
VJswT6LbeNiafKdtLUkK05B2KFOzh42RfmuATMHwOyjmOtNNh4LTHOYDCCOQi9932R5QPbAs3gb6
TLrHieRuq7xeP9qXTRHpW0o+mukIUaqJXwPoSc9vAUZyQXqA0heg4+SWRtzV1bBpb5Mq6JOtG2u5
9M+u6MW4bUD130DBB5318wOiEHRinXaqAH/SP3NDc/VmuFf6xHW0fDfR2p0r7o/8a0WL1GXR1syB
P93JC/sOYCF4NeoEpf1z+8JSIXKtzABaaORgGAIQIWB3+zeVCNcsDTTbE1eU0TeT8A9T3SiTXKZE
WD0KfhisBkklHTWic+u10UMPw8HqxfBlqIgf6dyfnKWk0bxHVD/YNfTboFrnTGMQW0AbYsJ5hKna
vNwsu6+FjtOfIh0zK7LQQOmwERV1WZwEKv1lJHdqs6VXt7rjp4akHe+cUmXpAEONjXs4fzcc1DuZ
29avREAIvNo1kIvP2KORbLWRL58Yf7YbrUwTCQCY/tIVQ1VISzYU2/1HkYcFFvlpqE+lFmSofeTZ
QzLdl3pw/Xit7+tfm0ssOLkBZhMnq29gs8Gw0ibQU4xc90lWDjtepOOnoGzYSLTXogsW+r9VSldb
Mqegw2qwaJk/M+UWDX8FkhnJCHLYXVZs4VSW6CAfoL/WLqbwRlozZTrD57QrdPdqMHDbCPHj1/Vd
XLtvTq1IB0XMvC/MZU3TCP3RqNlrPfBK6UtJscx58q9bWw2J6P9Dk1M1TAeVj/OPVkDoqu7R6oO4
AJpLs6eqT5ZZQHb1FVylbAClfXJT86OOHvpqf932ur/8z7S1lJRP/KUdFSuHQBUodM0YDnq4SPaV
aLun+VbcvyhOL6cBD3n0gRF9wDM9t2TzUZm5DktlDQmskE+QbLiD5JqrGTdF5tuzN28ON1oL96c2
pdNgzyCuajVsEvSLcjssVNNDrdPJQsW6JQ0IYQFR/FT7dn1TL2EV0lqlD5oKR+kLDXarUnicHnh3
bxEEd+Apj+CJq0rnR0WY1KDYudEmlmv1m6KZCfb80tCUJVe0NptyWppAc9b8rR+yp3QYvCF5L5St
+3T1NJ5YWn7Jifd0oyiAqIQlcLF8liS+IdKQKdW/CGpUw3QPMM7QGZWJrbUmRszO/ANPrfH4yLIY
LFrE0co0v+baFlt3bfso2IIoCy56H7KjOg0vNUVVKkj0ImWKDJd2iVcqzVNkbgFR1vbv1JTknwbT
ixhqBZWXKCX3oSBluYWTEZ8Ra7fhklumJJe0LcxZFiVM1dVtq3/V6SNh9wuRlf3IAViev6rauxbt
dQFmz7M2Yiz4xi9Yi6kna/1TzTjxlWpsSNtBhBhP1J9leaM6xwXb5OiPZbpVZ1u7kk5NyeG7icyW
xuBZQ7Hld5685xXwfUT4izatAwKvgL7K9e1d3V1ULiF8t2hjypmVkhElb0WED1lZB9r2bz1L/EZs
1a1XXfPEjJQ1GU5SpJoJM8gib7vaDGeYSEdrz0t9o2C3socgraMBBfEmtBLlTjgQs//3uUzFQno2
NXUwqCWKorH9CEF5Fc28McGU+pZv5BPLa0S64UF/cCyA72D/AvNaAZedlCVmOlp1qjyjVUD9XkdY
uf7BFneXrQBcg/ckQqQDyNl55IJISAQNLjyMy+ad9L6aHqfZbaOvDp2gh1WC076BGfrTUZctAg0O
4ALAYODQLC504v9NLRTCIYnkpUBhGSJ2CwAq+hnojt7y6GDtUUoJUt3EMCHlYPRgSthxYGGCdDdn
Lo+H+7Qa/IgMwUzsV7XWXMcpdgXNw4zmPquol+tbFcYVd7PQI0QQtJDCoqxw/pOnEY3rkWm1V7Ut
UHLIRjJw739iZs/1j7HmaxaQYvgb83kuIDi2qJQ0B+/PG7udBURVlBzi4VWHMLuJii3O8X8zJ0Xd
WuOzas+Lufitpomr0ftMPCTRWzUIdxPbvPYMAFkKjQ3gLDH9WS7KlKxJx1YlNaYe+wVaq7Rzs1zz
W/09dSCPeZjru3pLDnTty9n4bBDVQ0i6EMGM9d4ak2KoPcH9zoAyePGrml4HdavLtRLUrVM7UkCK
SzqQRsMxspy9oDcEYvaK6WqzV7Ct7uBaUrVE1oW4AfXIC3TDFI+cmyls2drjaD4qo6fjAa2nXt9B
YxEzkcF8YCF3IqBHd474dd1pVj/jwpMGPp3iL5k5UhI7I+U0/nHSTv2RN19tK9TFnlF0EUt37jEh
feNcrIXCU5OSo2IayVi1BF+RtJANmOlLaSgb0Xb1A56sSoqDCTGmwRIwoTTJsVkAGnETYlrwHUbR
fhHJtEGlX3uO44j/bxflAdM6KVrmdNhFuxl+8uTBBkOmSOIH1MBuQEF6UWInpChUduZHuznPZu2h
dWZdSgxoTbuJUaw2aQ95EzTZ6A7sWel/RvG7kxxr9qI5ATde2eaYm6XMIEf/03VLByWFNEM1YaCw
x5vMVzhx5w7AJpI9cFK/tawIp+F5MpKdEgO7n71Mxrsmiq135rK8az9CqoXkBoFyC8Pm583PInrq
m8HvKKbmPWDofSEO1Yy32Jd2C8e6GovATgLMHQoKmnzVYhKgOlYQKvUSza+6F7t9jIYwqzYcee0O
WThQ/2fFlB6yeRb1tWLBimXiTocqdR/O2l63vupAlQ0bj9mV7GGBWRkLUGEZ0iWdmtSeKlNTEYqo
86ZU+Y6w94kqL1ytXKUmx8zS3cLa4gRvGJWf6iaQZWCPwyhkfWrxZkW3GR6UEHPW1aMdpy6pNvxl
JanFbFkbGCQHBcsLOiXB/OhY58hYSu2Jdbqr88MkEvd6XF3xjjMj0sGwSkyi7AwYmcfHDq/0gnrN
hBxsi728tRjJ91PF0WqbLXac7wkfADWIXOefE//Q1odux/JGBbhAdvWqAe4ut5EwgfVuFu+0DpwZ
yrkg8rKtj7O6b+BK4HpHMQUv4/PcjOpplNcqTLHoYRa/muHFjl+s7p+/ArCgv1aWG+okaZ1zdJQK
BVagntMIAAWcAOJSTf8ZG403RBsOt3bHYryKZmFaG+4IIH3PzXEHLSV9MWeXDzz+PhiAK+jvxHqy
5702BEO/U7b8YuUCROkS42zBCaVoZkn7aNUYAQ8lzBp8og7gT0xzsIM6vufOsTG3BPDWTvACicSY
Y6RkF2NkgPqs9ciBrRqYuzoH//YtqT+ccXSt7sdsBBwR+J+fLrgHoKdImDC6V9rQqSFFnA2wiAHB
rtJFGM8bH7U58vVC+2+m5Pc9eg651eSLKWXAfJx8r+hfDAsi9LWz1cdY8310hW2AxIBwwYz0czeB
cFvExtiqvanjxc8qiuvvDtOUj0Fv2UsLtTVAC+sivh2spDgW82wfyQRhsh1awRjaFXEIxKpU2MaT
qMBkAu4xaYSvGqXYyN9W7iRoCuiYYY0W9qJKf/47mTWObY8BmchQCzgypPMerRq82xzKlzU0FPjn
9a+95suLVNmiIAS3pVIsjUnPBAPtBdNAGjevA4N+jkjHifropMnGWV1dG9q+YL8uTXq5uaGYvO6N
ZW1zwzWMzk6mQLfZHY/ZjPF9EKco6nSPxW9AqddCBNQQMSwQgmygAMrDyiIGAbMh7zAsvv7UzTud
Fr5Fnpj+BCqOD0mf1gzQv7u+rytrPbO5+ONJFDTtmQvTaRlmDKNDWMx+OX1bCnYWRPY6TH7q0Pu+
bnGtVXdmUnLxcRog82MuJnmg1mFt7jC4cmlYavaeaR2GPh5ofGdSv2vCij0x+n79B6wvmeK9CjwJ
cmbJdXHPs0IUPUMv4g6o+LZ7djqMlZgDNG6reGvC31pxZJGhQkIFLarLKJwURpOirMs8i5Po3anU
6dmOTe1lTkdd8wxRdJ8DMfK9bpbW78bq6Tc6JiJoRW9k7ohO3sGsWusDcRy/jXSl8+xkuZXvlNoc
Bp80IkkCLkj+xYLwgV8So/UBUNd+x7OBKpamxdq/ea7iC/5vB+V0LU+bnEUaHDVTE8/Q9zW9n8Sh
bzylBExnLFH4f2fqHq2skvwcubkRjv8/B+WvfemtU6sOLZ0YXzCeDxlkqNIvLPNi1ZvSt8TYj4BI
YXDadadZybHOlizFnyFF9g9WKwO+8SkRv6CFYfa/r5tY/E56wpyZkK5rJkQxjyp2NUlMXKG6q2qh
BQUzWu6BTOWLswbXLa4EVeCDHERVEP6BpZT2URk0OszGzLyZ3kyOrwrHpfx7Gu3szW+2ZgrVFHCP
TEimg5V1HmcoL81oigfmjcrXuvKtGSiNPDD00h3nLUjNyh0KeXaI6yBLBQJKJn+ZHUan6O0IiY8S
Hb/qiEw/yLIfotlf3741P4RgEF5mCNdIe+QhsppQSSQKjXlmbwEnX9lmX7hmgdFnQ9tBFWZqVT1x
R6pWR6I43eCXGYizGA8+lhsl2NXtPfklS8w7CeMYGWaqwlCBGkzGp3b+UacfHXqOU46uy7zFgFnd
X2qAU2QTU8WsonNjUNqNedZj2cXc1kBDKqZPtOqjpjamIACKcH2X106eBtrgohVtQQJLui5EnIA0
OIHElDTVfR3Xx6IyMEpza5rDyg5iPRpZBj7iZpAfHRBVcTptzhn6qdgyDHvVX9A/pfl3Y9hIndbO
OcTDDMDm8K6FGOL59omqSmozBRAc0jRR9c4wslltb/iIRty4K+vkgOh/fQvXSlN4BIAPiYkUEM+V
hVQchXPWQIMGxMvfar5Dto5BLqkLmq8Y8zCnn3X9HhvvWbWhKHbJxYPEwIlhWSRlZH2uQgIZJ0QB
677351bxM/poRd90aPw0A6R2bmizs+Z9SsG/eOT2Rxp/zvV9u+W0q2nH6U+RvHbsplL0BD9FUbhn
4VwOGjBSpW+p3zII8Bp8r5fHePYrjLtUPItBlmtLAHfNlVFSMYFcR+pBLekn2EZkxCZUzQDRokFm
PSQJcdX6c+Njr6AR8BLDkQGjARmjLAit251eRgRWBBotAwT5vkXlzlkcmYfZdMMzAYm6Lf29y5iw
KLMu8yPwIFhaT+dOXRadQ4EPh+Zm/ptMAU1fSXtTbElyLG/y8ysSVkBuAc0AvM6LRpNltw5NJkjR
FnFiBCYjGFU6pVuI1tW1nFhZ/v1JME1HjLFlBYTJMeDML3ugqpDIRPCJMg+vf6vLVHRZD2gMiG+g
BsmvvbooMaYeGrr4IDgiuqf0XlR+W8bz0Acl2Xqjb1mTLonZ7BP0C6GhO/LuFgJmvwqbWy4TWhdC
dgzJ5UBSt6SACl5f5fp+/l2ldPf3OdJiGmOVfHphpeamPXWrGdQkY+OquIysAAirKjoYEPkBlla6
Kkxb9F2VQpGqciKkyqh21JiBoytBDsg8eMF+6VBvMIr99fWt7SuIqZBNxG0I4LXk+01qxhA/hu93
wBYAB81fYgy4Kb8nbHJ5tnVRrWQdyyr/mpMKV3XV6UIVMGcnKiZp39uYI1ur+8h4tIa3NAXOyQOt
6L8tcYlsJ0dCMOg4oHcMx+xQwTIPFQe5xroncaDaT5sDdlbuq2WJ6CSrBgIZosq5uXFECHUsyBLT
9M1SoeCya5VDXsVuZhw1CPdSqIA5vg1E+/Vl/ilbyAHm1LB89IcmIgqDYQAejir/mjnfavbWQLNc
wdvYaXA+DOUwdbnbE7aj4KDUVo8BGcYOBTCX0j6MWOarlRESQKKu/7jL2+N8UyTv7po2rgwF3j2D
vaVHzxX5yMYNG5dZEGwss96WCRAWqobnG8853qh8gg0l6bg70QrqCAlaxwDX9sHUV/d45W4JnKyA
uM+NSnFJlJjINsZQwEbN5S0bh52d9Gj7D26a1qEOsU8BAZKs+WTQ6cms30Y+35naW6EqrmELv7Im
H6rZRx5Vu+sbvu6GJ7shBS6VxP0ITgvUsUeoBShf9H4vxK6YfpiQfKuGIGZ3dnmDF/p1u6sfGoXb
pZeINFsWYKuyZkwybdmPsdpjvtded+J9W7Gt5V0mCsu+I0NDdEchVa4PU1C+Uc3FoRZALOIhAyU7
EXTQArU66mqm/momtY8B1k/TnGzYXrvIT01LMcwckBvTJYb1RNykTXNA9XrDldd38e/qpBhSDXre
s0XJnXZjiCIEQkjuMnOrNrweMk52UQoZA6lUPZuwlAYsSz/fQ03kd7qH3MSR76t95XiP+gve1YOL
0sh+ev43rvJ3kdJ5ZVUXDwX0YyHIP/otzQJAm4JhKjeYaasX68kapRNqR21vt8vF6qQHaw6d+pni
6smPWY+6xL7PN15IW59OPncdxeD5ZUsLYEmGO0KOZPx5feM2HFDmbGZZNFCmIRdS6tfReNjMIVf/
fDDWFp1MyCnKVD6jNZGrzssSqoeOvzT03+Qc6ItCEwPVG/R4zgM1KUVtA2+AnEPNj0NOIPyevVjs
lZhsz0lxK8b2+/UdW/7Ei6vxxKLkA01J1IbqsEgmyBWBQ/TYKHur/hl1G862+vVPDElff6BqnNcT
DCXOQ48Zu2bvAmW0cdOvrgaUQoxvhOTOhX5ZPsxKhqcYAtCwIKOK8aBOqIAn6gfwgF43qxvfay0H
hgweWlWgTEI3RIpGZl9HQOVhJkHi7Fvzi6P5hIad2Lg5lm9w8Y0w/RCpL576qEqde4UCwmrsEGxd
TAqfd5A9Kxrc3Zh0Gu9BaUUHP/wXTvHXoIx5SboasrYDDDb1ztHvOQ+6+pfqvIIC9N8MSU/nWHFQ
NWuWlWGSCun8iWMo1XcU0Om8UUr781SVNxHUcsBD0b1fhsGfb2JpY5DSlHRI+So38SAVdEO8MSTg
KexTV7j5wbobwvvs5vMx8qnXf7y0t71f3Fo7tCtcbLkHiv/GkVgR2Edi9fc3yRAQpg6cG6Rtvfnh
QwniG2Pf3dZPxRfjjt3O99mX9DAHTxhbYD02t7EPWYlxq5m8Uj/BT1i00SFYijlMhvQFcs4qo6T9
nwHv5o2xQ0vKHyDQ7nUB9NIfDVffJRst+ksaOFRoT23q559iKiLBiQOb3+PZ047jF/VxelQ/Gv8T
LBl/8jSX+8mNeYtd31sbHqetHdlT49KzbqBGRmklsOCbRUGsDqLJQ9vFG8Lh0drhGXss7p3Q2Uhb
VvOJU7NSahTjeRuxHGYhReI3geXWN3nuojr249i8mg+Oq/jkzvZVX99tFbRXelXn+y1FqW5qBnUy
sN/Q2g5n991+GMPvz8TtQ+JrN+qj+kA9Y2f6k5t/eelDZOjZ1vLXQtjp8qV0SlQdH0iEn4BRyRpc
rAueZ3cMFe/P0avC8oPt7BsjoP71ALO+77aON/yiaw0di3Nfg3b81MYC+267GVyrDaBT74oPI8T0
4jD12G02QSQua7wyjKCisXEfreULxol1+au3BWZKOLAeASZtikAHWPv6AtcsALm1kD9AnEHWcL4+
phQp3HnEFNEi86C56mWboglLZJQj59LiQd8c8FxonZ+b0KpiyFIVJlruan6zR5DuvsNzbn+gzO3+
ig/x6+Qmh94r3p2tDVw7rae2Jb8xW82YtQi2aS4AR8YMdj9B6UDZImCs+gmYM+DsQN0Oes7SPhLB
ed7MMGRgovIP6mKQ6UP5LYYkhvVUuBb3Uk949ScKJIM77Taj0lp2dGpecpShSdOSAHwBlJdr/Rg/
8ruMu5Czj4ULSSYv/2bgoVE+/LzuPKtFJxtImmUEH+gLsn591oksagYD26u92wV6d7+IfRT5a66/
Z5af5Ddiq8u7euedmpQSTjs1hkRkMMkxgPJJ7FHNfqj86pYd8v1gucRwtXtMbhde5i7CJ1kQ475+
gzzE9aWvODUoGwbk+1GixVNZuvci3pbJ2KBdM5K3GrDI8oGZO9QUHag49c3DJtBu5QOjsA3952U0
H8B2kj1dn5yKaA33oJcodiMFY8OMMoGHULGlx7kSEhwb00gsaHig3iNrsRUpS4WpAoANXZ/QYdO3
2VQ3sqnV1ZyYkD5ilQqk2hZMaC0m4NWz3w0PYtpd/0QrZ99BpgDVDmTXi9T6edwhTZ8ZKVuA5IBM
1HEe9FhOHpbR53U7a6cAhlAYsxeIG0pP54YApTBape+4N2g3I9JDMCyEuTMidIygNXhwijuWvFy3
ufaNHAP9ZSAh0bmT3S82Mpbloude65RhFbEDivbhdRNrdS4s668NKc2arYRURQ4bOYOQlxrg+Q0u
HXM7I+Sdj7HxaIslXZjEG5D5NeeAEik6kmi44sEihVJGK5ZSB3JUxnQfRb/S8aXeAlWsuoYJAVh8
s4WHI5lQx3qqJiG417HXhmpubPywiww37Pv1PVxfyl87UlhOqhSKKx3soMGYGwCH3Gudd93ECsQf
MxghboqyOPg2qjwyQbHTYozUxfvK+mnOomVwSf3OZ6NHX9eM91M8z9A2ZdWx1pIDp8YnxVgUv5rj
rWFml/q6cBeQvdC9XiRLUI0/PwiaWRmRlo/cE8UYF25L7fZ9qJP40S5G9mMyq1H3soHZJWbsWrmP
OafOfZInGEvSK3mDwXFZtccfXu+q3F5EupCXHEenHWxwiEhcu+k8P8YU00tShY27tO6aI8NQ4jeL
qIS7xYCBrK6K4aGPzRC3T4lC8heHzl3QTXp3UMfJfk/poDE/MdP+CXBiDV7M3VEfMwAI9eyh7pe6
VcQmBzIZYODV+VT/HhIFLydgR9Qghqzwo1Y1eD43Wq/f6H3vbMmx/MFJSOkSpkKA9QtBZDCZZBmz
QenmyeET9yqieE79hn0O6rEMZzrvW0dzjcm4QUL1PbZ+q0334ky6m+jZF9waGO4L5SsgbSv+Ncdg
SrMdIPCqoaUmNjr4K34NRATmVKFGvIjpSxGvgFCV2lj40HqX3g4DgEn1eDPaX6679sode2ZlOcUn
7aV0dqreUmGFtmy4NxOTJ27iQFfTVUk6H9SqzZ9zle5iG4pcbBw2ULcrQQLACBuXPIomUAyW4h9m
1mZqpSD2dZnq1pPwzOHFcIKp3bCzUnQ6syOdGiVyDEzcxNXu8Diw57AGvXHGI294EYBeXd/SlQ+H
E0rhDBgJc5mmQmu6jlUHAQlIhGOhYSCWUh2jOP4X9zvcFzxaKEvjUCxLPvly1hiXhGUz95LefmCq
8EETwDx3c4shsnb1AhaLViBYyIB8y2n33GiDsEusZ8xEDEJcE4ViItBThmDaC4+RDc9xrXsAfw8u
cdoq0Psqfr2+p1t+IgX5CqgA0eUce1qmbo/pUQkwUGUARZ9/YUdb8N+Ijuj0SvlMH9PO0Fv4idEl
PtBy3LpjpuPa2v66nTV/BI4CJBggkZZHxfnHS6KRYd40jh0HdLs0XjKWY4xDKIa3MZ7C67bW9u7U
lnzGogQP7Am2FHpD+c5Kujs1Pha2cvgXdtA0wysFNdALTGMmcG3NMfwkTXTnadLxHrCUVvtNCaSQ
ZmJVb9ftreRnmLyOjinuBdw+MpG4GvN0xpgEhK4SYwaM4bkctqp/K0f5zMSytSdnTHQmpHYo7omh
qUEA1UKqTX4n2n8R6jGhDBMtkIqBNi55Q5yCRjQtR9nk33m56EO8ZMqv67u1wnTFH3xiRHKDMk4s
aHhguxr7TzNJzd0x/6jUg6a9GcXOckYAUryhu+/pDsLG162v1JZgfJGjAbFIx3CA842cMXSygnYg
3gmkdW1zP7QQtIzvc1R4E7/d5H+t3WoaHguQXFtQPrK2RykwTG7ii8uz4RBl5k4bx68AitzWsTia
kBZRZ/NgGcP79VWueSRIUwvPCGqJCJXnq2RRrOSkxSqzsd11en0P/sY/j/q4r/+akAJhIbLSIIur
WGr6JNTyOUsWYdCtER5rjo+vBZIJKnImWCbnK0FBLp/tvsLjkVN/rucQ8kgHWk7+9Q2z1/wCzzpk
N4sYADhh53YaG2Vm3ay51ydaU4Onhw8GjUFr8NUy51YoEouEjmjGFwc0lHtWFLlf6E2E/0jBj3RT
Ne0m11aTVsfY7q6xMeud175qcWXyeJLlj5ZSGHcKqrrBUBfRg95lkKmLVHU8RsKeb0yIuX4BEBrq
Lw2Nmi9dRMvASTQw9iHnnB6Hls9P1BzYa5vR+UZgTKkvOjY7LopBNghXc4f/1WAsyzy8gUrLjVGx
+WFYRSyCWq8x6qzSqB+PSfToDHqDe1JfoIHmCGEmZoqd0Yw0c3XomKNPlDxyYaShijv2oFTRIa8V
CKgpVjCD/xcamRP588AooHd0esDMtRmC2Yp5BEWq525S9HUZ9FoDinM7VM6PcjSN/TS38/vECbgI
g71Iks1o+rvFCB64O2VVEThWIl7HYtR2fVPmn0qcalCPSAmAVEibtjQEVrMJsIjAioKwKLIjybN0
qrQVoMq4ycHZOKZRA8EYTAw/gBJkvgOuF0GXoupHyKqMzr3m9FnljtkkNo7R2p0IUO7y9MbjHqp1
kt+JKWs6tjzoUFgS/W+OwZqmFYzR7+sOvmVHCrq8rkpmQDDe0/QipKQ5qlb0nhXOzUDnxPtvtqSz
FJfN1BY2ajEWjb4TvKPcGEiilkMeYqjt5+vG1kLd6WeUFgYhM4sNFj4jFnIcc/s5r/rddRNrQXwR
CUcNCxIXGIt6/o0GvBlbEzVfYAo1b+4xG7iGdneCEaRgTH2vwbqNMufAyFbDeC03AwkMtTm8R1Rw
0c7tUjoowlhywEo7Qgiihr6PjgJnVuzRDHSvr3HNP05tSUW6ss/G0hbYRmaDXt73RRkqRH3tioY/
Q3/X+I9uL90eE3RQGwzzWFLB3C9jl5M8YPprlGyta+3bnZ4v6dvV+pQXvQlDOdTd7X6EkDJ3Vfo+
G+jvpPljyRk4Gs1GVevyywHxAS6Bjnv1Tx56/uVytKkTtQGGsEBzQHxXcfdDBgXaL5O6VZtewdcv
tkArXgoImKchrTCf83FOItiKR2j99z9nk9x2+rcutjyC5qxGBg9vttrV8l8dSX17EnfUav2Zm3dK
5sCFH8f4X8jhnf+oxd1O8lWzLaNIoGLhOYYdYLZRoACxOR2m1DfIx9zsHfXe6F+vu/BlJIDNRVYJ
uDRshnxMVU6nGm+mzisd9Skvycv2YIrLLOHchLQsI8mVcWoA4dAr8Jkz1IB3au4rLD5Myk1SbSHq
L5Ofc3NSAGh72ilJC3NGqrqDAP+laN3ZbDbO/qq3nmycdPYHwrSxj7BxJNf2cRvWmerjteOBS8i2
4CmrS6IWZqwDeAhoo3w3DCLJBINjLM0AqyGu2QXj5uiSS1gjgKsLyAZSOpgTIJckCLDJ3VhiRSBB
JobfgslqmCCaeAr0eEsUAImr6/t/7n4L1wzvTSCWL+jv9jySxrHwsRgaRR037ouBb/BmL4M0lnVi
QrrrlAbE6CbFshQ03ZXkAVXsKgbui71dX8qaQ5zakT4SuJ3YVQY7FbjkTvtQtcGM8JnUQbf1Htsy
JV0EjV5reWvCVK6jW+u4jOvA93i8Oxbpj+urWoE2nG+fFCl5lZOpVEGtUEDddjvdde6Q7gXU0x/Y
LbhXfoEOrhbMuxvnIXl+y7y32Lf86z9iLYKcbq0UQUreD73aLZ4JZf6yCoa5DgeQISztVokxe+bn
dXNb27v8+5M43IgxnWoH5sDhe1V0yMBnZop/tOGc5YFlp7vr9lY9dNE/MgAhB+9SsqcNmDmm9H3n
mU04G0dm3jnxt3nLaVY38cSKFLAoTYtS7wUgr+VucMReUSw3jW7HtgyY8xj34fVFrfT74Tgn9pYk
42QXq6ZheB9iVVCqdX7bsVt+GL76ZECt3UXTncWe8j756l6/b8IujO7il+s/YC1oIlSCoAtRHhOC
/uf2hWEpYzJhvUoG8Fmceqnpka2K49r1eWpE8sx4IonyZ1OjOvVV/Uvab90zK90r7OPC5jChEQjZ
XymuzHnB5zHCPlbKQ1M/VvEnj3f2+CM1f3LxQDKM5LuLlV2uvv6L/Tuxuyz95PtFOlidyXLw2zn2
NTAfLRuJ0VZH7DLVPF+d9JUULkoxR7ACkqpZ/zKno96XLjHdmFVu3hZBTTaUG1ZP28m6pE821qxB
/3Txi/aGZp+puIvbT2vryl6xsnR/lsE+C3ZIRkUJlakz+Ea42ECAy2wjhPKemzsPQksP17/Tn0rp
eTsMJk5MSR8qzgt9wJgH0NM0l75owgUp9A4jOO5AC+VueYi96ZZ+ahs9mZVwsswTRBsTFDx6wftl
6Ocb8QBKYcfunGh0QenBK881odQzxEFfbzwOVk7zmTlpkZ0xFND4gDmmH0vlWcv2mvK8sZFbS5J8
cSRscBoVNrj1PABHyP1S3PWFD+axF6WBJn53ZsidW9V54uLWqh7b9KGN/R6BLdnY3RUQz4Kj/dPh
hOIqCmznp09rVUuZIWriMT++Nx56fNn6m+k9p0dx7PbJcx+Wihvt82N1T9yb5K3dAhSuXIJnP0A6
JlWksMLK8QPGKIzGENq1CYVW/D1Ltoh5m2v9f6R9aW/cONPtLxKgndRXbb27vTv2F8FxEu37rl9/
jwy8M2q2bhOZZzDABPHAJRaLxWIt5zD3HxBQwyTUIErx7TLaisjCmeqvwP0dH78iN3rLJTvc+fe9
mR3R0v5cbD55D17eYpm7kdJ8IKWBnW9Tu1dtFQX0KnVC/0OJXm8bGU8ScysmBAyrmY61qiNm5Q5l
sh8TELI8eSHv4phPBOsWFhbETmqAf1NRowqSKvlYqR9NzImrV7pf0P8EVAq8GFAspSyBTa0WsqfO
Y7HjcNa8s1GDNswtFXfKDuNgY3EKyJYmVeM8vNSVYwr8JBwKJJyBrcZWIwK/BjjioM4DSopdwb8N
gyVGmwjDV3LvJEh6AtvEN/RtWhz87iQEhxI5BIC7K3dggdL7hxDYzzI4cHp/E3t2lHfOVJu9eIgn
twdB5IQHkGKO6g4J20ProX+dIgOCgYoGZLj18AocHKdpPmWge6Y6YMlGs4gPY3UmjegOgWXg3eTL
ZsjzgCuWg0wnYEdQnFN1TGBcegQU7vJcmDTEAfCAPhpmjFMcW5gnAkSnfdtI1zS8FMU427xXpyaR
Z1HhMdTtGmA1PZoFBZv6tl5wPPuqMKTq5qaYuS2G8XT+1CNvpkBY0hnmkE6uKOhmI/0Q+mPe3kVF
495e3MrNPAv6Rx7j2FpQvaBiB3mx8CqS0lbkZ7/W3al1bsvhrYvxahL1lKLW53VpnpnWqUvlr1zb
KJgJLAjd0SnhHIwVgcgAYvgX9VucD7YrTJAD6qEJqkXVxxH9YhdOH2NzErLyHErO3yN4IhchU4rC
LUrglIX9SDNSToZvtJaseSAjfxm9CQkCt8841jHvPuPFLuQwplhISqDWIsFotnEe4lMiPYe8FrQV
R3khgjFAZVKMUCmht8ZTLYzpWrrKCdFWF6GgGDdnNiUwpV0eXXlSdD8LoCw1aN+abLK7InjMIk7M
sLqOhZTZPhYBeydRQQ9FSJmx7ZUmRcvR9rZJ89bBXF6REGCQbYKEMv1dlI4yIuWFbOn/JESZ01SL
Zaharvg4IK01oEm50XY9BaQpD2CFoyu2jgWOxI6oOVYitoAT6WQb0Db27XWs5ZgxFfLPrivy5ULm
dvdGA4+VNWbTKdSP2hijYJWZzajYRZgdZ0K2LOjxGBfNZiJOCTaLAYC4QZeZWi9uvP6piXXOrT1v
0dV5WnwUc4tkXZQ1hgDtpu0LzZ/K8c73D0l96PyTBMLE9uG2Elac7YUO5n1YbGbkiV0WybNNhv2m
Cw1TCN8SeePFnNIIbz+ZM9x2BrD4jPkMx9F9W5WHNHu+vRKeBObayEvfoIMICb36AxPzcsMdiJ4N
+9bWMF5CD5MpiyvoKtHEZ3BWRiadeop+qfF+6ATHiKk7gKyyqR8BCsI5dCuFXfjzhV0wziPwJ3Rc
9h4OhPicgnAtwCFvz+l0X+v7IQL6h3DIBJkjddUYkfXC1Y/Sw1Xxoa4oCp1C0FkpPJaXOaEKos7S
IgOwmj/1R7H5fXsP16wRRG8zbSCApDAqcGmNdAB64gxSY7VG9yetMMGMXFgrZQD65Cp0Pt3sbi5l
MQrtGyqnZRx2GL+rU7vCnMux+CQn7+lFfqy+ck7n28rQHbCDFktjXDP11CSSMDVgdV/iXfhKnuK7
8XcJIrUDGS3FsbXdq/bg27f1uWo1C6ksoGFBQFZTJ5CK16nT/+lSUzupuwA9tibgPG4L42weCwJF
pQKsTQNkjVVoA+vBAkxiHD1SdXNbztolt1wT47YDLQKEUQQ5qWLs9EQ9BH1o9cBp/N/EMI64lYJK
SZtZDKataL+PkF3jJe9XusYurEKbndrC/Y50JGM7CxG2qElsqh/Rc3YE5Poh/6E+RboZctzw6p23
VB7jhwHyI3bxvEl19up/ElP/aOzaFJxwg3lXzRR+Fwf5uatM4yF5/d/0yfhn+M2kCitIVpSvnr7K
Sm2W4sttGdzlMQ6kG2NJEGfb0E8KILs+JLM5hHsts9seS8p/TPvhPra1AjO9lHNxr+WBlydcYxwK
bm0d81SQjfJ4CTaaMxidC1MvMLjjvItmtiGcvsaVyWVgrmGUG7jBBD1eKrOZ3gia0KKRakstQrzt
z2myj4GUodhyWtth9DSWp8zbtu2mHG2hvItizklcyTDMH2AgwwDEZFDzMGdkGibfSDJQjxs9xtZB
fpAWmjWKJvZ2BLJNtBsD3QFhW8pjNUYv0ZX7vhTNnJyc+jRE30BtxfrBJyhNphah27jfhfFJMM5p
fqzKH7myqciroZmdDHJvgCuLvyXpU8cbRTPFIX4wKgwg+6KjNOB6PtHS205dbBFM1CiuLPxI88o2
isisi85sqo8hEK2mOftTZgKMQpExpeDvOrV2K6Qv6mM9oduDftBJcIRGtYbRleRtNDlFutPKfQ6G
tbLfZcLGi3Y6QMObdDeBVX3cVN1TPJw85ayhDcaPfCB7/vLDg49WbB1RRZrbxnSfROdMtnXZRbds
UWyH7Bylu2h0xQbxavaaUkv0thHZUuM1Lx7QXm0p2SEZH4B0TKTYRvsbKZ9o46axgj5UsFjsI/9B
z49C9xKQNwN1/+kYV4ccvDNlvCP5YxpvsvrT659RN8mMJ9Jtc90kI/CMzxnOjwgyJD38qlWMnZz7
ye2I7ISeqaY/xPo9JyGoATwTQVGsnwIKRu+XLHoS8k9lrG0D7YUIWBpgbBUURPelugd4ohF+yTkw
Mfx3ERSb0VkoQBKDQorcRduUujA/K8pfQOuYeu7U/GlKKzKOondGGqurX4AC2AM8KiiPXTkr5KBN
TmYMVty5vurUYr0TwJvW+Jhblc+J0ptiTgEd+EMRNTcNndTg1Z1Wqmv6TIgFsGt0Xs5zw5eePdV8
r9KCFjXKwpJ2ZFdh3Bqw5WZyrM0GMz73yom8VA4s7En0Td5M9Jr4mSdbxdwHsFSuSGvLRMMkkAzx
0TGxZbDbx1Z2rkTTM9+e9KNvZ/svFI7eaqfkBDrfKJ+XcRWqDgvJzMHU81EnFS617y4hz5H3pTm9
+aUJ9DbReiQOORVOfRy3wY7YhR1thMEUbd/m3QQr/uHiMxj9B12dA0IInyFboAOFaJDOg/PD7N38
x0tm4oazyTE2fxi/bl9B11HQ5fKZa64rZmpOgnrZ4NtB+lHITl0UZqvw1jd//y01MzedGKd9STTU
r1IzvVMt5RC4MdZZ2t2mcbxDvQXionV7aSuFrMu1MTdcGgDWq6HQafpaYtw9c0vVrBzkH+3P5nSH
Jner51gTb5VM1JwoVZLVsxkTY69oG2+4U4QtZ1WzQf7/NWmITD4jGAuqxxVkRLr/U9S2k5jtiqhG
k+8nKk62kQyfTS+bJA5iwPNW1ohBnD7sHuKY98K8LrQAFQ1ZfyArzTBBaPG5dBqk9RIdfI+9RT+A
iV7iQe5mrtCZ0QxTMZr1ebTJRthFAMj4M1jko9gLx4iDTXKljvkbdAr2Y7Sni8AivfyGKilqmitg
sDWSoyr9oe3v2/peX+RCAGNFKKH3qd+E6KsfdHS15WYJTslIpI/oS87MFtxcAvqNRuAMRKOKt3Zg
egOy+X2w9YGGLikgzwH3uTGVZ0xL7mKKcfm+eqIaxhwKIeR5Uvn2gUYh9VIfhpHIhTG3SSBAf8Bc
tOJmu8iO7zz7ZwysmOkRkQYQETKzdilm9nu3sXp7D/6Yp9t6u/oO7IsKKFr064K9QWeDvV4IxkSU
PYS2Y+XKtAQsW2/W5CT/NfTabAAzTxKmtHCtsvl+I5mSQlexP2oA/hE9g1aBZ+7eXs117MpIYfyk
3ClTMtSQAhAEWpkTYmYzjzbZ1nvKd4oFiOIcBcW/njhipDLGnRV9SvwSxi3kD030XGhuL3G85NXF
w4hgzBtZZKEWWyxMiERxl8Rl+mZoET1LaQE0M4xt5yfSRskfAc3JnATzmoloiDZAb6Wj+Z99gccY
oZK6KelRp92IQDAX5de+OsjKD87e8eQwL/BJBbcn0L3hIhBw2xIwpDb+Xn4XDMs/0qfssThoJ6BJ
WTXh5KOu38uzcmUFjGHaN7gDs38+mYzeCGPQa+9w9HZENN8qs3OAUrr7hsngkf1yBTK72fplG1Yt
BOqn5hgiZb8xLO2BfPTusAn29I6bJ7pKMjIrZG48QRuzngQQWGruYGN6wpQBBoUQ2s344DzXCKWX
0r7zR4v8Q5sleTeKkDbY0pluuq8cM+9ghQEAVXOYNvq5RsQaWM0nrGnc8gKKq9v9WzqerhQ9RoiU
558vpI9SnmfylPboeEPLcbft5/SipvOMZtVcZ5wTFWD7gGVgjEZvKCkMqBVRcPun3YiW7gjHcl/8
9O6JUyFPdZfe+27TcxzBuu0sbnPm5mjp1Po6hVxU/L7UB8lOXM9OfsrPk6VZ5bn9yTmW87G7CGRm
dS7kzT9fqFMT5KQJgry3iIwWo6Yx0R9shZsakFpAFWjxLOdo9jrWnyUurnLGWLuYxiVAQuHr9J3+
0X9OoGx2g6di+1iY9RYjUu7U29Fe2Q+WpNuDNdpPf90Gc/kJLFCfIqhDlWhwt+m0K8UPoX2gISj+
3rKElwxfDYyQZQGlOWwIoCyX6o06DXw3Nc7KhIJXBrqkYRA3nC1cNVUg22M2EKQQGmUCwCEjeKPO
p39q0TyLyL69c7WDkprje2P6z9q+2VRolHR5SCk8ufPaF6YTeVWshA3kGqG8U4vpiFK15eejEwRf
t5e4rsV/V8ic+S4atanxIYkab2H4qobO7d+/dv2i1QV9L+ggQJTEHDpSA06j90uYpK9tamQ+vHtj
eOyzDUC87lJez8faapbSmCMHiIApqBNIG4231ndzIFPeXg5PAGMQOgm1QZoF6PRJlX413fb275+N
lvUZSPqC4hrN/Qqwai43XpJHRQHyV2915CdeGwrgmEIXky2Gz/OGqyv5VxJlnln5ACopEkNSqIid
hWFMpJ3j6JT6v3wvdn1g5pdZ0thZZ7z1YaZYgKd+FTtMNmg0v/OS2r298Ot0LRwH4EQxK4mbARET
o9nRV0uly/A98R8wdIGUC51FtZkf79CphKxII3KesmtHbMbv14E3YszoMpeaVkNFpQHGwyzfa+2R
HAsFM9qSk9c2Z2FXEQTYgZZDb8yWhpjWFdocQ28BImwzxJ1g9qNwpGH4Ow6S00gCPGpFMXPErEc/
H+mrP7e/4OpaxwfgFyAEFTGEig7vy5Xm4yAXSYMPkEpkCfE/zwiT/U9PqHn8L1eH/VvSP/gm3+WA
hdtShzKPACIAjALVg8fvUOcqIzR/KYDRR3OCKlalWWmEO1fNHhpGLBMURnmRe4oEsWVFZkzDkNhq
jJpaBrysjmOnV8eGkcXsZlZVtRbNEC4houkEz6Kw4LiA9e36R4ksCWRRFUIdQQ5I7u/0oDH7/lDF
P2+bxJXxX66CHQimrWigiRwa87M/YSWYwLAAtYN/bkoeC9+sjwuHNktajB7PX7IwCcDqBJqnYky3
jPZ9ItqFfiyj2Bwla8A1qhRu0KScLbryoYxI5mSLQU/EpINIFX0qQCsyQ6l9irMSc/KC1eTJ5j/o
crFCxvrCtuooNSAu0UZT8XZ691DWqCHz2JlX9wzjbOgfB/GNxhbj+zHPpHEEeBpNkpMRBLbWpY4A
JBU9KzmXw6oGF6KYJaV6bMDTY14ctayMfurDFrDv1jzEX+nBf9ktjB3D7YMmF5740kBamfZFmsEU
NaWl5ph/kiDZl7Ic2CmOVqUOnOO1UiSDRf4rkO2X0ojQZhg3ANKUJO7EQt3rYX2ofXGXtT+aoDzr
ePFIgQ5ss8zCb+Isd/V0o61NAmES6HJZF1kOSe4lJXYxEZBtL8EwNv30NB4L8KqtLKQwG5inct42
EaT0gKIDcNFRDCK3jQE5ofFCru836dUJB4cyLFIDy+V3lnpxwtFH1Fd+CllC48ioOcao7UUocvh2
UakmOmAHXzFVHqXgqh7RSglsEMBB4d9Ls5FbvUyTHpB+5ei5w/cMshLZutBwirqr/utfOWzHxhgI
vZcKgPnJY8NKlA8APvUYwe3oJkLuT6u+MCTs3HYo8+ZcKXQhkgmZBypnmqBAZIINM3DOgT2aWnX5
gYYVU9Q5DaM8aUzIPIH1FzTcUKQ6k708+cKjbpwC9SnIAE7HyWXzlMnEeKCw0NUMEOOW3pXOJNhj
5jYTwoLXDKRtg2TH6Jq+rUuexPk6XxhnXAgz2wQkSmPkNloHUjgf45CS7bfJzhvSlyQczuD8/XVb
7GqUsNjC2XoXYqVMCjuaQ6xfASS3TIAPyGvrv84Vzdccgjrk3gDBg1aHSxlyRuBdQtSfQ+EYdK8o
rzc1RgjsucqdA1Vkm6ruhKZpL3qgYgAGYzSIHki7A4Zvhem+2wtePY6Lj2H0XIVp3Y2YRbY6/TFt
Rwcd/sBG4ghZ1epCCKNV1IkjrS+x4jjeK9XglGNj317Gqt+cSe1UFWxpCJkvdUqwVUnTAW9IgAql
7letgqAxM2nJS4Kt6mshaP6QhYHEqgL+phKCwGlg5h1YZZVXSef4rmshqoh/8MBBmg2AtYwjqRLA
sBBjdiQq3t9duMlbFViAvAz79bZcimE8COBCfSUG6Z9FZblzMip6zhg2yV9vzaUUxtwFYEY33Qx8
SicZ/KavVRKapfez1z7+1gRmOYDVmFmRAFLGyKFDgYY2HbGP2uibztP2E15wptI3m16XO45FX7sn
CJPxKoOxIcHEQqHJNJ6KARkzq4UZBOOTElmU2AEIx7XIwSsAp5bjEFc3ayGR2SzUjPXYT0TcZ/p0
B/gcszH8h9saXDU7Cghhgj4kUKkztt2RIUfHwQxHpiQ/s6xX30DM56GH2fjrZCNVRRxVHUSqgKBU
WXKapBCmQRpVIJDF+V4Otl0DRFxgY5XvwCq9vaiVhlHIQh8FyjhIwVxhKLV1Lsc01RE2gg7ihys+
Dab8kAOuXwd5q1na/Q/fan9KvO7+bxaQy2jgUi6zYRLwY+ioa5VFzGe6T47oMHamc+c+SFaCv2vR
yNbirzEvbpjPwHSyurd6A9RwW3NAkrKNXiUL5J8gEMmPOUgO+jfl123NXBeQ511YaIY9MXletYUy
f+E52ATPxRtxAovahoMvOBRObzfmtAf+7WOGwcuNYnY8ypDrEObyA2abXzjTSSzrth3wAaG0r6o3
SX+Wop2a3o8KbgqOca+Eu5fCmCsiFGV/HiuDHSS2pJ4UzfGF0BSp21Xg5HuqPGcqOC7p+jl2KZI5
UGOPIYQwhOlp4LJVwKeL4QcdsWHnbQnvBlzTpYJmA/Ci4fzqbL4WUK5elwsERyo3B0EBqTSA0zoU
ZfzObqtD+nbbeFZeYzMPxr/yGPPOQqIWEYG8LH5pVDMR79LiA68/y8hPwmgOg4sRgppHwrHmd5GV
mzvbgXSgs8m/oRiEIE48WMxwRv+fgEGLxHekwDDjYiuLL/TvJ5pUMDvLKPiChxnw8fMHLUzUCNGN
OJYQ2MRuX32Q/HXwOOfwur6Fc7iQwSaOSk0u5KYC6TCQqJ4mTE217WcXhx/qDH01SvdSoR4KLbFF
2m9KdPvF0xvg+jk32nUel/kKJuiIkjDAZ2ClfV9Yhfaz9LKHdMhdycusUH6deh9PmaMghGi0BLEF
2mRvW9TaYVlqgTGoOJe0FHSS8xvDcEr0ek3q2yQdteie8Or7a1a0FMU4vhw4vSWpsVQReceqqEyf
2Er7S6ldBNtxvSXdf3E+S4mMp8s1BRTSEyTG43NUboYURaHUFEgBmNaXmvgOWmIr8e9znpeGxbi8
oUJAMs1SB/KSA2hP5cVcPEUyDo6mkoYZZQiosykwfRWliL4za0zTdgq6hBXvNQMJwpRpj7dtZc3Z
LdU529LiVAq1VxRgxoCzQwdTrx/UuDFJQ6wi+I1m6fDvszKzHpEjwTQNCpdsaDk1ZVSDTRSvwvRP
33RIxpiZYafSy+1VrcVfSzGMkQAvtJPIfAKaKdp69XhSG9UR5ZLzupg3hQ1MlmIYq9DCxhdrBWLE
+jHr50sJrViFRSJ9e3s9/x+X8q/eGPNQSm+M/JlNvQIO9pA0jha+6ZMtk42Cyqzmzk94zZoCGxCc
Jkf27K6uV4kCMIpxgNxi283oUEv5BHwDq0+0/ncaq8NGj6dol80jl2abet2jUKj129Sp6PWsgOOh
AioSsG2p4N7+lFXHBkhQCdDCGuaxZ2NeGKuS6G1IqqC20k61AzRLxehbiBxVdUjImZ345j2+WvVC
FnNdeYPWhXGNVZOqtcN+gkwIm6KXMtatynhPlRFTG/2h0eJNKevvpAhMUaytbuiPYvdHAIUIzH+X
iF+GhNZ3ydgog7CJQu+xrKJDU+foRpZ3t/WzZvZgEwbs24yxILF5SAgBpZkGOj0D+aSwckIRoGX+
Xxdo5+ttoRnG5wtBEaPLApoRxN9DtgPVfSEc8nRmieCYHm+/mWM8Q2dHQQpJFMXfnDhZ8ZyLP/wy
cPIi5tzaqw54sSrmLPtIk6ltAdvKErepnkAPXwJvI0N/dqqFltC+SeHr7d1ajaOXimQONWIkgUw6
DrVGNpGGeQBHVE0h0i2vsrv2wRiRxeJBHa6HSIt1Mg7fKL2wbQh0qhQPBOg7ooZZ3rdkkpxa8t2s
asC0hMTkA+g6KmMf87Dpv23w+lzpaK1CCChiIOHyDJfK6JG6CUHlBZLBKrB6vTXVYDtFd3AmRfVB
AaTSDY/SAFTN597Y6+IbaXOOYX03WN36Ckb1ajy2RS/jK8j5rL+PVrCp7GgHCBfRxOg4YkQTgNS7
3PoqMJf4B+VB0QX+pJuAC296v20GqzcwQEn+TyHMhkjlBOLFFp8ygFoFcCQfSJVgGD8b7VYsd5pa
20Or8doWV1+swBX4RyrjShPfN4JagtTKJmbmBoH5+8O4w0jtL/AAonUYFXr8Vzcr3/Jd2OZ24D3r
15zV8gsYBxvKaZwnAb4gBqlaCUMA/0IxcDb6e2L+xkazzVg50uwRmrFqS9wAta7dyhvMMO1+Aqfp
p2Yqv0YLIz9vnmBS4AVle3Bym4PVvyuPXxJ6mvJdgs7p2OYfQs7i2axXWzcK7ebPKtoYPR5aUo4W
IFwm0AwFwD4u1BHp6kCO76WgR7se6YNmX7chOlSiNGx/q1KkqmbsjcZPUTUizBtJxklsUoqWrMxQ
xwfMOjXveReXR6mrPRDTEq1+BJpr645BVAeu3McG1J3G1PRLcSJWEJSe76Q0Kfd+pDVbgBQrh5yU
SP6WgvQwiK3+hCQHhskldLBsvaCgb2nde/u48sHkk2MO3MaZQmJd6ae7jBjJJqqItqHlFDqlgDnw
nrYAMIhqYiOHXdljWjUvlaDhwakbfrhPAD59ztWKfBrI5Z7SdipaNJNTObKnIEXNqQFi8psSDLGr
eUS0M5AAmEMoqMgf18o7WsXa+xwWndoGCO5R5J4ye2rS4BlYfjo6RlN63yTdSICoZohIx4yesmkK
qmWg2xn1LxEaOwSlPxNvk1YE0o9RiIpZGsGACTbUtAErT3p457LZt4ZRvdKpG58xB1ne02EIzjWY
lPe0iyW0/BHJSfpO/BOWcveA1JD43jWyseuyAL8R8xqpW4wEGz6NUrOrUOna+7EqPohe7ys2Sl/0
pRO75hSUI4Y9ylLMfnkTEVwv0Fu0wKFtYivRtEhx3yaVum+jUQLMatAYmYs8GSicK88DYKLsxe1g
otYkA0wxkqXHcaj9B9WTg5k5K/HuakOX75EFCBQTiKrpB6l8D+1GkY/RzZpUAjXjkhhbUc3Ue9GL
m32QKsLJ0BvgNxUijZxK98Y/SqFiPCIee2Vz2y9+5+ZvHV358qZQJ6QhYxFnRD6Fjwg0PyL7Pt57
9ldmhhv5nO9C+60/kN3oBqbA807fqYJb0pkoJw3q3ADyHmKPzc8WGbtt8NRn1vSQmfL75FAneuhA
jHskZ++OzO6ShwawGo8Ykg5qTxUVXra2NSY4x6ofY/VNrgIApDzp6kQdr+0/04h+YTzoSDJsmpaP
u9uKvx6EQIC3DCOZy3FojLjXcxCkUuGrac2SHAM8ealXWgKgAjXFrMgTsPvEyJGDDx9IWVpOOCXZ
WQSr/eUnMJfioASgTsXEnEXK1BYDzY3Vx1Ed7ise2shq9m2G+pTgXyQ8b5h4JCwVkhbAMLYSqXY9
pcbIGjU+46AEbp/S4fbTBYTvgE83xaTEyK6ElByaxDkpm7X1Lr+CUTlpqpyKqCBaqO7decKwUYXd
lG4wF2Lf3txZcaxil4IYxXYY1RBQpqyttmxbUxmTz2KI/2ii8N6GGBaaeOdoNcgFL4syd95RihrP
5SkWktjQBjWqraY/KLhUR2rDfCQCPDQfb0S7G04RD5d6bZHfiN5gWpoxOxiZKqjp2mSETLH6mYGz
o9fe9Eozafum8VqS1teHlKYuKxSoVmxGww8IYIYrKBQo/v5gKcNBS06D0NoU/XcEYNilHUqSc3sX
18IHDa9gwNnNVOVs1aczQh9wpFlt4ZYztTY6BE3oFMhz/AcxaA9Fd/kMiPvdbL94b/vtCNAjD2+F
fNpWMS5q4SQ3f27LmN9wrEFqCxnMGw9JBMVQZMjwSVG6UtV0uzL2PY7C1s7XUgpzyr0RVNulBCld
XwF7rwTKO5CVZLsauF3F182uSAkpyG6h9wA1VHZYLdSzIhIEiNL6ypnAntvjvkQYZJV1jrH7Rjcz
JCyDitpqofCO25ph6FAYOonh0FSdCaqjisaZNteBcuFYDw+xdwIgwN9v2EIEYbqm/TYr87aFiDID
wzTyrj2YG2+LWLv7lipkvOEkGXFb9niLx8IRh9lWxvgH5gNfIiH5kDw4kUQ1i4ZXSl0/yoBMRmVT
noucjPK0GA+uQofbKKqtp5ixtOkMV5WtSbb0aQA7pUnSlLPUtQ1DlwxYwkVc8lc4b2o7CpmMpxi4
Ix412COgIXWFs2OrMtBZqOsi6E3QDXHpgkGDOBk55oetRPcPpQwAg2JbFL9v79nqRQp0gX+kMAc5
aijIAHpICfMEvUZgSsrjx9IbzrVKLcmrAFtTVbba9XZfac9GlQn/4WpbfsCshoW38gpMFOQpIrYm
Hn/oA/KkU/glKMVWBMJ21fByCKsuZbFexki1VOr6zsN6s2DTdK/h8NaEr13Ly/yupQfQ44e0K9Jd
YFhgjNJLg1TKweyB+Zv41yTSX6k8AlA+BqKJf+zUr66szLBF11irhHtVTk2axqGZoa0ffLCg0CmG
XwWVTmEYmmrDC1s4H8dOUGQEjFm+B5X3k1mGB6CHtKDt1moMT0d2lXFSdOt2TFA9NHRgVrLzEZj0
rz1/VkVGAaCaSXYl5Ds14wH9rXofAGT8nxjGkAdV6sEkCzFR99YU53aK7FF1aUKtMQd6CtL7tXP7
7PAWxlju2EheGXSQKKaT1VCw/FJ0h+fNwHOsPEGMzfqBXqhSPWuQvMTa3eD3AN3izeCt6g9dsDPD
K5q02TtIJXERSjViWQ/9SXX81kd3/hjZtfc5hRtcgGaNZ+1tBa6eRTpj3mMYHYUBJuBLirbVPTmH
79FcWtJNX29U4zS2kntbzqr+0LasgXlEBNsrs1ExAsspjyFHQ3s7GAUDpE3BsuzclrIavi6kMLuU
UmRBogkKLLXimNVj4vqN8E4a0LzJcvuQ+5HOkbi2ruWdzugvlbxeSOawQQMrbxXntj8eguD37WWt
3q86GE2AyjTncNhQWfSlJBQopCRx8I4/b6SKbitSOJE3nTJNQXvZQwY6A2Rrck45h6dS5tmTK57c
DQUCZqRQ3Lx9L7XIqkWk/FqMiUcx58JddYuLDZx/vriJqKxGeltCWlfuBOklqvZaHzxMVW/neWQq
lMcGwlsdc0dk6dRFYQV5ST24KVHuC5BuqjRxwia6G3KZBxu8ftz+OQas26cNmipJiGPQgXndG56r
+k9Jfg1cdP3Z7K7eBv/qkTJm2VAvjIoMchpD/qjjKDCrKBMOkt8f5TTtTJB86ui2HACmU6SpA/KE
P0JTxP/Jufy7WiYPVYdwxtK82koAyoUNBEOrTdAaRHgtOavbCHpCOJYZPu27dLMwG8BPpjKmwmsr
KE5p6QINTJpnW6q3wNvePoqrBrqQxFxxvUCMDExDiDrl10aEHl009E9ZZbZzQrjnIZas2guaE8Eo
jYIPYeuSqoAnUNjN+1hCUigBT8wHfq180hMePA9PFOM7gV5fiIUCUQWRnqjcv0caqni9vqu4hfE1
pzm3XP7fqhifUkdClsnzI1z1jQcVXI/m0P5UKRe3a/UULOQw3iRS/czrgwKXtu8ok50hDSljYDKD
bZTJc0OttLmfqKXx+uB4qmS8SkyCoc0rqLLE8CIS2BidqVozBt59n2k8l7JaFwRCCGJ08AXjBc1I
K9O8ACcXpGnR8DspJAtdhmc6+LsmDYGeiwYuuW7/RBhBj40Mw+CiiUIGxoc8O9WTNxWtgbePyCzv
yvf8+z0sF0InEECztN9az0wJ3cJURbsKwAO1HIyNdmI4Rc1Lzq1pfOa1xhCwiJkelk5NyBNNGbIK
Oy3mAITLiKPmoz0VFaoCvEGU9dt4IYwxq6QTctoNJZopyoPSHUTdUsF+m9o5eQlxBRtvQcgL01Yw
4JBZXshkNhkP0YYI6FUF/N4+C89pA0WicSt6Agag3tpqfvLFLQAj0ZTtNaeRbqV+HzSPJESt4YCc
1394fC8+R2VSGYIwKoGS4HNqzf/o4/qXLsebYvA4yezZm7KmhEorUmgA0ALzxexIFn5dKvxcCXOI
iUi7GfTsXaLTw21rXbs6liIYt2f4iu618qzYCDBh6qHG5T8J91L86omf/5soxu3pwFsjjYSDUdWS
GaQPtVC6BTloAtBgeJN1ay52uSzGRps68NKEYllwRJY42D7qiKPK6eJaF0LxUNGRdAJr1uX2xINB
w1rAqYtr1FSjwEp971AoGWeL1u5c8J78I4ZZSxVi7LGcajzks9NQPetC/aPO7vKkQavkYKLConKs
ezUjs5TInLZJwaRZ1EBimw1WkG+N31iccjcW5j4UUH202i77f6R9WXekuNLtXzmr3zkfIBBw19fn
gRxtl+ehhhctu8rNJAYJMYhff7fs6u40lSu5t8+Lc9mZzkBSKBSKYe/tP1AOF/QOETCRHMRBP86l
gh+quhFzaSfqU94lKMwEv4q6ipwHNCaclnU8T3UgbObFNDypEuTQcetryGZE/V1aWiuBtlbWbPsE
EAr9xnOe6uhWSMSAnjon5ksXwuNzfPAMs72dVEA0iNARv6I0jti30btLCxzIG8/CCdZsGMLNoXfd
Bl8Xxn7MKQCjy18TPdvwTRCkwdBCrpyKmPOVjUyzjIW7bUQRW7yMG1QuoUrOgWdwWvTR7XIgebZd
qrK38kpDctNtuN2fT3QEKuDutJCjJhNMaKEPxynCbfujHlnDZIOGuUP2c7LXrQJ2HVHdl9MyjpZC
0QMhM8d+iKQKohHlck50zRq4OJ+jaCetT6V31WfVSnyO3F2rrsL6u4oWJvGoMTgQPdsnFpg/rR7x
rBVBcqDz7XjKHqwU6QAJLKho31jBUrPkMX8GsREfUEEB+g7fmmwODiG/qXI7mSDRah50fwnmoyBD
t8YQcyLiTu3Dpfbk4w7G3xLnp2sfuhzEOZDYBzvlbmh9o4spRm/FugKmA8FtowVqLw83p5f16NQe
RBlmVmGSZTllPfxB7jw1YxpH6BgZsu6sY1/J8K0V0/60vKMTeyBvZgFE6vj50JvYSTSBqmfcuYO9
aWo3LqP+OhF0Z8LPGXfWp8UuDXNmAMqxH4FaA7FuZD1Z7KXnIo0V0duafHMAizC4zQJczFEXHfUI
Lo5JwPM4c2ztLvXKSE2Y2czVW9cdH52pucycZheG01XuPGaO3tdD9FpolGOAoBH9WNZnG3nDsGW7
mg4LZ81RGwHAHBAJog3Yj2bHmwfK1S73Q7maxLjjbnc3pkuZE2PLfvHc/hIB6OSPZqhvcNGZUogg
HZLIV3CKgVgeelsyLriIZrVOCZrbO1T4ldGIHiBG2SoDN2IHjByUN++rdCm6eNR+H4xpZvXckNeZ
bVaxV/ue3obDZ+UsGZvje/9AyMy+VVRNtlYYT1AmiBKReGhBZ8HPMwZQW9RyBRsX0OIOMPxO74pF
wbPdDw5CFPE6ENzbAB1mSTyRTePte5A/GEx0uifiSgQLrt3SlM5MQNjXRZibjjEAogfoXGVgW237
haEdFeIjKmQiQ0grz4SQipdjaNatKsL9mDU7T9MNCvYXTqajKn8gZmZXhEt1mFOIAe83oG9fZF3E
SQ0w93zL2Lgg7KjaHwib+RJOpIJaaggTuoo1v2p6b6UTQDtOC9ZySZCxpgenH00cCd8bgrLqJh92
DgYVIJ+zRGaxtEYzk+Q3sP9FDkWwA9yrk/I+tfW2FO39aS0/LoaCztA1abA5FZVoalRETjBLDsni
gWjER+9HgHL+d1JmhqIqGpkgOIueJ+XvnSh90CLb5VW0cP06epD5fw9mZirQ0cGTLkQHEsF9Ekx3
Hlh9/GyvcE0RyXpauhUtzd3MQISSDV5XQ1xSX6UuuGGBZZ0tFe8tjWm2VxEESCM6YupKRJjWEgl+
cCFO5XPGw2mj7AKXdFEOZEP41D2cXrXjNxIcVWDSpvD15lUMXmelahjQSSbRJSQvQFKoUpQ611dN
fR6pdY6GaaSMk3FpzGbifjnC/pY7772skklowG/iOHbcmCMhzcYlB+RYaQ2KGP4c2hzNQfeW4tyB
iLDKQB+CSp5gT2Fo3XxVjMVKd1uqtzxZQlBZGtlsIwRV1QBNCyrjW8HZ2HRPk1xC0DqqlQcjm20C
n2YdKCGwaOj5lSXaROuHANp5WjWOeqoHQmaqHwCQ1tIa40BoM0aBYQsrKF0St1gwOt6p4nxagrJf
mrrZRuCDXVadC5EVY4gs8nNWVwut4UdN+8GoZgcWJQy5qBA2VwCfvZLgl6l3Hb3M0CR+evqOCwLk
OUIbPrHn7m9O04F5ptvPC4Ybp8yTFUq1Nz0Q4uvQ+3xa1tFTGMhOf8qaLZUULVc0gj6U/gXuTqMj
10StSbqynX8S6KYHomZL1HIUO1Sm89Qh3SeS6FXu3Y2GXc3ukpde8jOSTJuhYUvgtcdV/u8hztbN
s4uxzwtMpwsb3xWbkSaPyTgslDAetcQHo5t5GKSIBpCqYnSht1b8rvEy1CbVIJbaNjLaJEtQbks6
MvMzpq7vIqfEoNBL3yNN0Dc70n7z0ON0Wj+W5MwcDQf9BeAdx7Bc1FOM5uonMqQmivuuzpes7tFQ
019TCN74j75TFVoly0LIitLHbDhL65gU1Qpsf9PAYl7cT9Efo/1Qe2p/eoxvQHC/nih/asgvpcPo
h+J0ArMggCZDVJv/0bIo2YJRMVZwSERh7crmvu91HPXhesgasAixLXDgY5eksdsHd6MnbnRpLzXE
nlYpx54dB5UKvLbnWGOVPyqQuoe3qk7Pc/5E6bdCLsEkHTfaoHV3XOS/UAH2cfaJo5tGcpx5kttA
2lz1NQA3SRtXztlYPWuU2ETpwjlxVLmAe4B2X4MkPK9gHQvmupmE0Ub4Jg7STau+tuRVLMGuHY+/
HciZWQCr03neGv6SQJw11VmZrVrrO5f7sr/Vzs5xcdb+kN2j4LfaW2pEP7qIB7JndsELhauoOdOJ
2HOKvrfiqUVmswu3XbK2uyXk9aUpndkF2rRO7iiIS8pXkV15zUqEYK1an94xR0/bg0HNrEIb5ZQ3
BFL6Yjrz/e6H07kL3vrpgSCd9VEduZ1HTZVBRCbkGg1JMQBSpHXDxfb0UI6eDiGyoL5jA4nsrT37
4MIWRr2rctP6645AQfHIJS3tJyqDu9NijnvLB3JmOqjQzNwxAhtDhs9IkThkkwNzGlwDfrKx5drq
9sBFSIFUvyDXbNtfbNuB3Jn+udpq284ASkiU6shenLOJAAqkWDMA6oLTdZNGz22Vfm9yFQNiI666
9lMQoKr29HMcXc6Dx5jpJWFTBVwvY8t4d954zUWLYqFyBLCTNS2IOurSHIiaKWcZoVsety8AfZU/
fCgOej8mr9m2w2cfNHn/1bDmAKdFW7CKmDtlIrdJmq0gK9Ir21twPY8aEdMsBfCe0NzFP24Gzxtp
HgxQUqF3XvuKCpCmLteZvfbR2mgvwWgfPQkOpM3WKuqCQgUj1soevrnykfYXbvQ0sBTFnBdVs9Wq
W9iDSwJnK1a0zPLq2gyvyuOErirr0pFuLOurkmx8uiFL4aCj9uvvEc6bdf00RUmpi2J4FA/GGpGG
KVcPpzXjeAnCgYxZpJW1bot0KAZlc/s2yoYobsE4EgMvtl87fLwSQ36Njp7vpo8VLbnTY8umM8s0
v8nsOpPAcpCS55uaE7aqevTFAZW4BHsgsxZO4aOYHwGQ4E1BGNrT5p1pnFnKLgMUV4Nz7IG2INBB
rsjnNeCZchtVG8V52qudBySEBrbYyoczdO79kyDQ4UPM7KOHeCBSqXgIp74dLIGmfBmXAFZaWJVj
PuahmPlOUqVFysJ0fExnMty27adpeKIWRavHlzZ/tOu9L87EtGD9jx8yf+3fyP24fxl61nz0/Jpy
9encQp6IN95VItAedHp4S3JmPlwQ2jkQvrBzEbbdE1ZvgJkUA+JkQcxxcwT+gMBGmo/as/3KqVej
PgrDCehjT6cYJNIdMHYCvXHGWxu0WadHdfzsjHARBrwm0i/zC3EyBCMrPCwaL1Y8QFtk96lEMnFM
H8b0cqj2EYpdLfRdVEtod0ftxIFg8/6Bc5BkkcVr0z2PNmqwNQ67YamX5Oi5eCDBrOiBBLSL+/Cd
MJVjiKDCtG0oWxfBvvaWgBiOnorAMQEhZhSFiCt8FBTkeTTWA1SjSu98scmQubfhhnqbDORxp9fr
qBYeiJrNGhvd3q4MKFIlbtHjENPWjsskXzg0lqTMZq5MUg/tW5BiZZ8iZJiBGMCrpa6poycTqmQB
bhAQ+ktBaTqg6Aj9L7BKDrIT2Sedr4Ddj5aY64hvcjReCrJw1B8Fv0SqEaWJKMX0wT7/caEa3hdl
YXBTQG9bXPp3+oY+tFfuDdvaa/uLBF+q7M+SP+DFnV61Y5v6QO7clXFlUeXOW9RpOguDjY8KzPzG
TS46Z63zhTzW0Zb7Q2GzwzGraNHD88XhuIviZANEzQR4KFNMb8rzctdcRFP82Y75o9gmawCFeWxl
Ldwvju2HwydwP04zssYkox7UZxq36GvVGmGoh1CuqfN8el6PZgoPJc12noHIc4cEktz8Aia5092a
2Be+jxIFspd0K0q6EkvxoSOQ1Z59KHW2CcOwT9zedIcCaeFygl9/b+fxCLpdAM18Vo/s7kKRmK+y
9TPbJEvpbLKkTLPN6U5FZve56TaM0y17oDf553YdbLIN0m67BAt6m6/Rl7qSZ/6dWFvfgABztmu/
NNDuZtXu4SdF63CVn+3JV7m1b62LbOlidMy0B2iFDAzTI0I/M0eAUz0VOVBCVsF4xTLwcy0eW8cM
1KGrMVt3WZWK2xqHB7hRfI1iqXLHFivej8Y2DqXM1tkQgAHAAlLQMWqHYxzwy6YEf+UP0qF2glvb
yNmAbH6yd0O09bW9Oa3dx86vQ/Gzu4IFRANFTS+kJ6zzYgouBtA7Ovxzq60fpyUtTefMLsrerqsq
hEoF+sZ3HnV/r9gf/5WI+bUg73hXBQkG4wLvzc3cFSPTduLV+rSYo/7MwaTNQXmmMEr9bjCT5m0t
3MhxFnfhmXSve38zOD9y56J21jYtz07LXZjBuReapGPv2AYIKfG/SOTNeufWdz+flnF84/91l5i7
an6Yt01p0M2yAYV7ALMlg/UlDMGr47sveXjfhtn+tMTjG/lvibMNoKNCco9BohSXzIYXCODoJTfg
qAzA3Bk6GBCJzEdVtWGLXk2jGF16VUcDwiORV3ffT4/k6Nw5AM0AuoMLkO2ZwbBRATRwgxXmCrrW
VqztS8b12rXIWtDrBNm6/07ebObKZNJFbhqpC3EnvWtQkRX6Ux5+LdntSOWCe3FU+Q4GZ94/cHQD
O8sL2/S8635CEfKZLNo4LRYqdY9aowMh5v0DIUXSD0h5QwgbxAa9vSs7i3D/Dq9R6LGgdkuLNTs/
aFLlbmFDVI1S5wglKxs1vejxnrgXllrILR2dOxe46zQAkt0voflAtRo4SjjLg2Tt6+HcAYiYqBcG
dNwnO5AyU4fKcxuAqGAjhZfptdxPe2SvzsrLBkBEeYzEbR1na3JWrazLcmuXMb8MN+7C+v3KqomA
CViw/xrpTEtU51meLLAF+u/XBE7hE2r6fnx5cH2AnAPzc+XvgtW00p/DTbci55O/Ultv4RmOVh8e
PsNMiRAbBUpPgnnodFytQdHq340X7a7f5y/ie3pLNkWzQRpsCWrluMd2MPaZRvHK1bQVkAs48NCK
0fh3ofbuD/YDqFDILdlbgO2/IEt63aBIOdgs8UMfv3gcyDcaf7B5mOcVRQTkt5V/fxkBOOQz+zQA
eSmHZAB73XUX7M69YlOcvJw2Q0c37YHc2cGe07bxaYU1z4c4QwjBu5ysTbuUBFqQ8ualH4wuKFD7
DbQnHEzyJWfAzlkVeR9PYuH6Zh52Hm4/UJ63o/9AjOu3jOQGZsNPyhVPg1cCNxvArLFN/phSG56/
jbjtUsXsUWP09xS+RfgOpHrVJNNeQyrYdSzmrXkB4Dwe6/CBIm6YLRFIHgV1PBzl7KRKmjKyOhM/
1SuxCkAEuAq+4AXNgsGV38Zq89V+USv7zvpU7dQjOO75rfVJ707rzYJVfOvaOBi0IiAVAes9osYO
9srgbGtvBaKMf3JuHUztzCLVLm5SqdEbIauYUbGyu9eu8/7JUXwgZWZzuKxMmQKk2Pn3Fgip3Vqk
3/1ioxEizPP128T9z/fx/ySv9c27Orb/+V/8/r1utMySVM1+/c9181r964Y/f39t/9f8418f/Phv
/9m91lfP5a8f+vA/+PKfwtfP6vnDL5tKZUrfdq9S3722HVdv34/HNJ/8f33zX69v3/Kgm9fff/te
d5Uy35ZkdfXbz7fOfvz+m+vhxPqfw+//+aYZwO+/PVaZev3xr3v1rF7bX/7v9blVv/9mUfpvBHoI
igTBDGuy4FiI4dW85QTuv000BmgMxIBNhNiDVS1V+vtvgfNvQKUiPoTMjGMSiC0Y3/B3J/w3EKUA
74NcgoEhBzjsn0/3YZH+XrR/VV15U2foVfj9tzcgvr9Ni5FoMvMgYHFxZyWg8/5on7mTy8oZCv81
dJjqoo2LNJqFhpymz6YnJGGb4hnxDL/dVkK3GlUo7uin48qqmf2SVNKrrFXtjkVwjtsHYhBFZFVi
P0Qlby+5XzYGbq4Y/ebFL1Q+1mvMFc8J0LKAwPEKnhnd3fF0DPgzEggN+04QgaVXCc1EQ+ISgXs8
itf4srxOHVsN1TrhPnqkAdjpl+UnJ9ACj5yUpaMv3JJU+R+gRK3xPwdL+nPSDifJnJGHc4RIKlgm
TLcSxfK59syHCRyAlqY0DV/ZUFe52KvS496ee30rg/3UJgps2VPW8OwPbrPMZdvT4mepFA/sFmDy
RVsxAWEYknXzK9aUk7ClIOLEHa4gRQZ0UERicVmIXEvkWzkOiVRrmarEA5SkZ01NdTN4RLfuyvEm
OpBzRdOqLQBpJIh0riIfPYlL1XkfT0I05YC/zMM9BlQgQCKEWn7UozHNLEBzEusHEKF7210nU5AE
YgtcVEVsFLYpU17i20wtXD9na2PkorcwcF0fLMAhmcttOl0HtUXCH4mGztEYxJC8/ZICKBRN+kOO
OrrriqVKgZ0prYGDt2DIP57MZthg8wSnkBt5PtixgpmJTQCzbtno3PhhBTwQBKhp4CR7xkay1Fk9
oTj4KrOc2rkkhdDgMG1tG/wIbZpxTMppLfl4cOFJfBcAfqA4B70lZuMNSvjw4KKZneuiYt9ZBJ4F
uatFUzK9sVjZRnqnQzliVU6L/HXwKKA2EJ/ArgHz57xFKg1SxnNtyx8eHbDLt0BynRwA3Mqha5EC
CJlHvwFQ33UFQHOCgH6rbd2jbq3ParsZFhRhFrMyE2BAGt82KpLjgJz6qIFJNOV+1CjrJc1kUALy
WaVmQ4C6BGCoK2BMeZO3AkildhuQ4uCYF7EPZrDuvgRqGlAWLEdW9xEAq2S1Fn4t3bsSfXTty+k5
++hUoaDZIagIQWbOQRgeu2VmS7oBFUO2mMaXUSoJJbC7wsZk2eNAfCseAdpp3TduIcymUUNtXrIm
6f5/J8tBozAQ22xqGLQ9mLaPk4X6oVbpltYvFUfrs7XKYb2mIe61rbR/QZgPu98mnSwA1+pXsKiy
KaXj70Mrt3ogNwBM983y6xT/VWUT7y+8sUD9wILpnSW8zXxhkgIXiFkuVpjS2fk0kqFqgPZBXlrm
UqvcoCO44d0NWvGzploNQgs8nBWgrbPc1Bo4DBrQlZO27oemYWdthGx3sion9PNclKmoFANjh03R
x4O2RYvf0TJKpnLlkmiESXQtoBFX5/YUcXxrkeHCv5RMnYXpYKmoA2q1CI37BG0DOFU+zjw0sxI9
iGcM9q2f+waL2IcqMmZwmVcOoJJh2pl+t5688/Be92ZOGoeFeGscFKFi2w1keUN7cysO1nY4I6Cx
c1zggf6iFihDb0uW1s23RmIXiQ0AZUPv0nVSoi9I22lMR8R6Pj2V6aiBRt2lcgD4OQz+QO8SMTFr
L0svn56k1bX0KkQyBGoyen3Jo13R+WZ56pZEUCENUO/+rpF5MT1NnBaDgajl5tDKMPtYoLqKUvyR
wBWdnkJU9WDtiJ9rvLQTGrSBZeO3hqon6MzaFWOSwcEQb+KjMLH0EIf1mOMrajgPePLMqoxvoBq/
LJ7HFqzLzRbkik5/75F6Up+kLJhEN3Ip3XJlJawc94mHw/VrFVbMewKqtQMlC0IEaf7oRVXDRTlt
G+YmHLNvmltBVeIF6FJ8u0sfmHDCdJU4UcO/TU7ZyiQeXTto2nio8xo3dGBKwlCclji3RuCiBn0O
YMfgleLsnktsUeaTDiUBZPzUGWUcOs+YP7cNChzeQJ/36TeWkwlKOLidapPLAIYFenr6Md7q4Q48
LLg3wK0McHD5gHj04CV/3BQT6TthRbR8Kj0kOEis6s63XmsBEHH/Ii3aytlIFtTZTd+GCSxOk/p1
skkA5dQjrBEEA6oflJuIC85Cej8SlJzquB0c2t+p0LKzlfCnsb6AEoEKMrc9hnpbj6FLFJs9taGH
dZ/CuzhjeaHMzu89n1y7OO8bMIIXkoz9wjVzbtdCggMK7gZGjdEConZ2WhWUpdUg2uCx7yobTqwv
pQsntp+M3oIdxfP2qTOMUNuxiAheEvXm2Vq0MSpNunwA2S8bqVFpV6A9R+6zxiXGRKJXzHa2gvdN
m+0mZImw69hQGp/a0WGJ3Rk4AttoYRE/VsEgvAy8eBybsGpYQQcIcx8XURAgedV55T6GKiXYW6pJ
zAMoi3Rm677tY+B7ajwbS0ezxWErjUmRqAAqnq3UgRvvjL75Uy1QBffMoxxo/dnAzTwIPdT0ioFm
WF9kKTFD1ElJ222B3kWybULZE8QOcF5guAtDm3mZGJpBKwawqhMiVAp/7+PQ1Fg4Ae9q/Qg+GmOp
lBRQrYlPGbrr7bBw0f+najE9BW5lzsfSqh0syEhLnujNVFJHJduIWN3wCC9VYjqGICfQPtJPsCZV
ZkVQMW/gjbFuHczmPnObAWZNwSOBwEwxG7/hjuVgKsrEw1QoFaSWqanqcmyJNHJz/PY+P8YUFgsp
55l1AvQHMXyqrh/i2mn/4uo6w+RRTYX10JcBqBW27+6tm4YjwIhxs0yTpVSCOzuOjEhQqwL0FceS
TeE1fZx2O6/hQjZj8NB2DjREaaWgUDj7MT9e3ni1D4gKqx7bmHICSoY971kFlwVGD7M0SFBN3QS0
DRm6P5UXwhhgQ/Z3ktf41Fha2PgKOGL06ueyJWKoMJUjDyvsFewisxxJMZqFsHLAQrqrSOdRf2fX
ZY0n8YsCZ1NBlbmnnlY57y0xc2ATMXhzCMBIOI4HL2h+s4E72FqJPeqHNNWUs1h1BZif2WCz/Iqi
60TqjUglbcIYcIWRQZeTIhPnNu/I6McNvB3rArzulncJFNaArMRQj8l3O+P2HnQXHkVFUFXzH17O
J3lX1rSUz+DV5sO1h4TeOK1DNEv6qPSG/9h22wGoov2VFCkb6xjVzKXzidjSidZVJUFInI+qkyyu
R0BF53Fa9dIbV+jS67EZekAHag4ySj/38i0S5513T7nSXrKyR6cbul0TDanD4L+xRJ0pYJJjOoOJ
D9OEay1UsTkbC82A5d82Od32UQCmCb+0xukBSP9u9tR5PGFr4inXWWncT2vAECcKpJNRBqoQZCZ5
sgdiqlqL2h6mCxZVtr1zBid1t4nVhikQD4q69B613yeF9RjV9jg+jGok6tJqVWXd4cQIuh++pFQ+
TkGfVDVqZWsnbW+jceLFjgGqcNxOtReWYHwvagL+y0BOrQhf0GoVVj9St6n7cQ1V0eI16tDiCIJB
PqCufq9YJfxwjXuAz+kOXPUFBeBMYBXFrqeN2/L0NQ0rguLI1QgGAIlINqkB3budHNk2SB1QW1F7
U1Ve0wRnXcSylH8CjHYhkk3eJ2roPw0+S7Jsa9VendE7X0lZn9HcS5MQWACA7y3QfDLZONY5Mqmo
KU0sjwq1Tpmccn2GEmErzXZDVuK0WaElycB69U3W+V9qq6N+ewblGCy2GgjcFueqa+B1RSB9IOFI
r7kbBHhR73+0sozjPVTleRA31a0nXqZORG5/nlPZJO7eGS0LxOM6B6B1sBtRPlTy2Pd6cy7avpVh
OAnxcag8j0yjinCVg4TFT6710AxNcJMzlJLyLSLzltucFZ2Owv6a5sQHQ6iIIhOTCKTy0+IpSBiz
pgvP4y1mytICJvsSVluk/oWFmvqAf3IykTn8Jkc+M2SbIYchSDZ15pgmBZgs80jo6uS2u7GTVAMr
324KgJivK2VbfvXFTcDxLrZlzqPosUtCgSpc3IMxs27YZThBVg5NzZfg+eGyxEJExqdHTSJGDw5D
pyJ0myN9ixkD0kqBl7pNlXVflUBYhZvQK7Q4r6JB1VCAqYK/sUOXRonPNe9DTZU/YfoECFoxpypq
GaTx1MElEwz3Znmcxktd/zNqh808V6DjQSzJ6iyJpbDQq596r0LgQiO2MkOfYrAaQgd1i6ssRLUB
YJhqD1QMTyqvuqzCfFnpVO/SbvKc8TLMA/PIGVa6me4pNAsSCN4SL+CIMApGpWVW3tcW/saj0kxN
3zv4KI7YUAx4hr4CgiUIHd/HIyUh4gUBtxR/88empveF77GIrLwhQgAILbUpSks3P7WHTW2Erwxy
ywyOKf02GR20BnVT7z5u5E+++Y20fnFJ7Exa9z+n2nr/+J+T/P45RArc4jJwmxIP4FRW2r8UGW0y
ucsqojFo4U4jZCUuSTL7HhfwpI5i/32h6qlXUDXcvDuZnFVOpJkfOwWSLPQ6Krsas9S7JcdH3AYx
NnT9gbqnB6WtrY3Tm5S+6UXlQWKLl+h9BusGOwh27X1MqZvhjrZq6ooOzl53obmd2+9L+64elBUc
80O9DP8BIG5uBj9SnUJPgTJgxKReSvFHXYMKKH2crMzr1DlGSsz0vivShHIzPCUGab7FyWSL/yNo
+Id2tSo1j/4+odY0TPgF5eaoPd1Ytl8V+dkESMqx2SUmomVvAG5TY09HeWIiH+2A9c36wBUvDrLh
UJ/Wh8eKwcsezi6IinC3xhe6vXnx+sS0SXAAheEj5eSb5686mqTDY8cTnmTbKgnxvakgTkL2RasD
R12Qd13J8hYIDrufUx7lIDKzN2NGCnwJTgBgwcR5AxbFbNeD5ozaj/Dc8rBfN8JSVbay24RBuJ+n
Na5MijeIbXIEDBCywTKl3VlQJ2Y7dzhf8TdwttE83IJ70B31OYlaPtZ75dV2iZRe5HEAwrI2QdgQ
xBkdPp8q0eIFTqPPr0rR4acuBwTRfHtwECoSiOXzq75QDEGBQeaQ7qRJ3T/Rio24BTA9Gd0fIpjy
fDsS4cLChDLlXbjhJY7YcjNaFYvaMwA6ymn8atMxh71JOJDvi/3PcHKueCrzbZdy3He/a68Fpce+
yVNMx4687RlRhxwT1rKhYNMTScN6UI+CDOlA9+p96GOUtJgi0oxTgREVydD6GzrZDqyckp6ZPmds
jNYgXmVU/D1+GrbFgBlAJbMZr8oyFy8SCo7PiwyhUAvARBPiypHnFlUUI2ShaXlJGkfiE1Q75g7b
+10LvXoPskyOzyXbggNCMvcsAaAdvmN6D70xXMsRNRS+VyBeypwCV9+yxN2pQncRAhP+RVlQs5+U
N2QIwidFqGAqgVyocea1GpYm3+KuZyavy4gJFbhdWCAWn/Mqwb9LzTHKrwPcM2adD6yVMruKSG6C
lDWggGBWCkaouvUQxtJsM7Lc0umWDqB8btcIXYBtKQ4QBKLfvIQ4uJLjMIyw+BPIfTEqWpXm2Ch9
ZtRNutKB8r3PZK7QvH5FMjsj/fkw+SULboupG6x74IooRBWmRkT0G+wt9MsamgkzkIPS3KhRU1kw
/rhemigVz+CvwrOOynpovtFIp8J58UZO+RWlotFs67l1q6w/hszJR7bBiUZAkttyxL+tVcgBbfOE
iORQqAc7EXmSrJgPFMvxDsX4DhE/oj7rhfsVbZUITexk0fUl6LncqS2eJq9zvTrucDqMuOw7Tg2f
MghACud00PIyj1xA9dTaCtAzMCAzNa5/juR9LUWTI0C88n2izbDezA3nvbF/kU6MNYH3bzZv1pbm
E9Vb9J7lrvkb2vwsfEIn2nyQEUQnyg1u7ia3kXHWYCsn8BbZ1aS0A0RwbFSzK6PSvPNTZeFTwhKB
/dS89R4PN+bUSgDtoyVSzI4r7fCmS4NkqOPBrhA99/TEwLM6iMrs8sSaTDiwRZ4IL+C0hbUQkw39
9mzkH64QtzRPXmTINH77KciXEY40AVWx7t9vbFWWT0ER51XTebfFu8Eq3gONInRMMNriwgQhW0ml
560BBCNqdBEK2ln3XeY3GLMakMXrzzM3MW5c6o2QEfTcPFb3tuGsusA5EjO/M5u8cU2aEdi/o9HJ
gE0uSB78tK3KcpPmHLtx+z4hiAMbo1eEgHuHeW8dC+RALuHBEsza7EKPWA7sAzQYnR8BdX4JK6cK
nBWIV7v3aV1TPHWQJCN2w1DDzApUC+EhUDJvdlefCfPsC7c7XFwP7nZGPDWJE/DZ+sAMnoffZTfW
1tAGCFW9m8YcMWA8Be4B2EmnRc2SNNhNqNhGSbKPkBV+UnOtPwgqDmEhQgZX8k8dQUVAXa9Eg8qc
6yBCzgoWmaZmUbssxwqDxNDDkv00jqef5WMIwQdwDKJCDugHKNLh0HP347OwnrgI3+bJfYSsGv2W
od0HJrptw4BswEywPM+/CnSjCIED9KeA4sqPZnHFIpW2w0sbrMVjhYMChHSROgt0ATP3c2efHuCs
LN+MELFbMISj681F6+88kDlyg3etOC5Z7xZjSCcTtNeUaN/fjl4b9tu8YZO87QYCWomyq4w9JxKm
wWonD+fRwhN91HQ8Ea5SoaG/Ric8ADnmaTEd2dYQaCLu+PumGuDXYY+PXYG6k20W9hmWIPU6jZ0Z
oWsQTyCs1DxI3hDRTWABwM1+65ekBtDjCNOiVzD1Ah/H/mDOVaaJS8RqeM9nNe9m9vQg5suIhUN9
IvBYfYRkHYBGfdQbnLtCuaPVX6VtYSzT9H+5+5bluJEsy1+JXXebDarwfmzaTAgEg29RDJIpaQMD
yUjA8YYDjtfYmM1mPmLWs6rF7GY5u/yT+ZI5HsHIIoJMUlK4pdIqq6y7mJQcDof79XvPPffcjSNU
1kbOPg2Szb5PUxf93vA8Q8aH5P+Y0OyZPs/q4Y2otswun669PowqMNYKWNbCpTUJvwtaM9BSE60/
gCzCcOOovjAHWucDiW5JfLm9luAk869hJSnORV5X/MJ4e0E5cPZP+wN8FnxjbFROSkHaFj9PX7Ab
xp7Q0UiOeZv5xIDOHfoufDUpDsz3mTr+KHw6G2kv0I8RZO6busxXs4GFZni8dUVaA+gI9pFaZfh/
b7/VXm4No3O5VSTjsYqIA2BZp6+Vy03kx33pPMgxYOqnY6WaCXcVqZbxcLKz2zyby5lOVcu10PkO
V2EKVxSVUVreW7dxJ8MIvjOvLUXk2YIDw8QSoMYQnehg2uz9NKYsI19kgQa5pKMqR/VCNXrOkmCy
rrLi13rMkWifF3UIzNdxM39EFMuL+BslO4MXAWoQOognJRCpc1UHJiJfZb4RhsXxAJ/FKC79niRK
P8x9FamwL3VVZQjPaKzqebXIUjaq4M0VsomSSpsagADPtV4pNPPK2eYZExNBkvYROvVK1V8kYdQ6
oPKw1iQKsJoYFJJjBEAWutOmUlxiizw5TpaEv4bmoVt3B5GDjUvM3JjXbQiUbFazizIVVwpCVu6e
dK0qwdHmHLj0MlcZlhuun8msSw1qPhhA2vpcJZK2+G5yaSsjcZO6yZTRzWvqQD3LLK00Zu4OikFb
OkzjycHaeHbI+HVY37GyuXNhVa1WnSDmSUx1UdoFHpkliHbaU/SX9Uk4T0HORZyHPEMap7ca3HFH
uzSHxtHLk9iUJQ5S1C0F/jts40Ow9Wut8qKEQSf1GsiQheyHG0eNXaCqjBUhpKPcCi0lDfXKqZwS
OtJhBaNT3RiD047FDfIgPNMG31RWzcuigXyHeUNKoOChh30OmsNRRCtFieeZAmf41wEhcW2fGmbf
qV8Vox8a+1LPOr/8lDtOnKiLOK8lGRE6DFrfzEExQ45/kRcDvq3X9epIUYsmATFp53AZFQPygfrg
d+eJUzf16CJN3hFE+Y5Nka8lkYwWRCjY7u5NOUuGyPN1BAK5m6FpK/2cAxGSmItuCDwV+GQjK+Tp
Q/PcznCfxEd5lJoqg3e/8f8AyHP/FXK6/DLcbo1046XmVpoglKQOmDpQfKaoT1FgYcPCwjTUJEHj
5QRSwze4XAp7VeYonT3KiBEabhSG3coYiIH+VqTzl0RvtWMia+NJRvv2GAhLcW1RU533jhFdWgRl
U8CyW3rjY1Mf66FR1C5OX3Qf0zL9HMoEwr5MlkHHjKh+hCAcUJeaG2d2KX8tEhzHvCvNcxNKPZ6l
RxG+rizRo9jq9UVcEPZxjNNGXiBaaBb2IGspdqyZPUQlW0HTuDyjuhSeZW0NVbsa0DgIMuFxWzDH
i5zO/mSVUQW+QUkeSY2eEGlUoqYOvcE8w3eqU3tUs6PBz5GdzktDx9D2kEMrP7eOOgx5Al206J72
BVuqQ+Q/Vk6SLpNeSUd3cGLjKIrlYlVCGXd0U0BHNURPivC260c7SKXcAMTAspvOVslCVhv5FCWk
EXELSdLQvdAYj2hT5+s6tvxPADUJeFSN5jwqSEEhzlJK5bpV44igJ3QuLZQ6a67rVgcQAlPg1UPP
TrWaokzNyDp77luOH9mfSYs+MSdgRrCHGr2GlEXBygbhF8miwW01w17bjWFlnuRL9BTCG4Xh6UoT
f+pbLUH8lhVnRt0o1dy3oyJAsUR53lu6fFabCt+hvsFzu6jZOO3hZl/IVtKeAJWXTkmiRaqHPrXp
o9J1Wu6Oow0KdQO+45eurLo1+nz3KNBSxqCuYyggO34JWuM41ti5UVqm6J6LHuJeOXZJf2qysApd
WSnJ5aBYMMQI9eZtp6XaqW7LaXlK+4oeqSVTwQrPehcI9J3RDQ8y8/1LXcHxaWvWeIA8ZQI5w6y1
UIRRaAvdavLLMtLpl6Hs4SvKSLuHNRTGwM1I5hYJjdKVmKYHyJhDykpN82UBAMNV5az51Ct58qmO
hiaZJxAwvq2iofpM+zIDyb9n/dxXKGj+MeaHTLANLBAHr4/Gud7b3ZWj1lE6z9GMKYizcnSRfMru
8oJAFqREUZeD5MZJqVJ7zqjsn+ok14PaNvvzGHmIFukQneGhfuP6DEILQ8jCc9OWCgLV+sQJqARn
y7PhN8auEdfVldmZyREMvWnOHTJax41SRFfgD4Fz0kX0Vi3yctmyXlnGZWsGVPNvO8Tvt2OVoU1f
VeqDG1dZuB6wIMuosRhbwD0dVg11DN+leoVMcoKSUDlq2xPTScplBf9YcUOrdm6dvHHutb7UbmLq
F/ft2I5rhg3utVahXuggPCxl3BRe1VfNCn6v5Bpd3p6jyULyFcru+VJLFR+MMcDcl9Eg67jLelgk
OSaosGiMxDxGjag/L+s8XiYGo7fgnGmYf6ueKnKuHcWmVn8BXlhdOXlEj5UhdVZZRsezsI6rRW/B
5CI8z8gl+NvNKWV6d5VDXfGG2rb+oCUtjIMKtcpLfchweIC1fVSgL3/WU6s7IV2vFcCT7Hzpm5nu
IWwH8xNwjHMyStQ/92HePo2qHd3agHS+VKPd3ODCD49x2KyLUZEacKtMcpQ6vnGOzDsUepvMST17
HHJUjIAjdzSGUnGVIDVwFfZFWc3BWJGPaBdXX0qU2oQI+sfxnDo6OwOBCgXuUlbchNrIqz/CrF9o
FhSAFeQi52056h9RUqwhY0Al1Bio4MadD4Y+osBqyHr44J7FALXb54mhtVazkAuapA3au5QoI5HK
8AroT3op6UN+lzY0wN8JAUAT5a7O4MHEzEIDMScGLdQoFXKKNqLqVyahCTmKKDr5AhQkdkvUtq2W
kZpqOiTiFOtM9wtoeDiQfnROs8guPeSX9dFtkYf3bGfMLDceG6d1M81HAwwJPISzQaosrLUpdw09
r5wWCSilp0p3kutV9lHrdemTlTuQPzN7GhUQRyrpdRwS6JwjFT1EZxlJCkiC0twAU9P3FWlptXU9
Xg92Tlm05K6H7DlVX6RFglUrujA5TYAVULQqteC5zI2M+e0FUByUjmlMCW86aywGqAqk5jlohL7i
dQpcxLMGAEFzZxBEpRR2hJaNYcJxCnPQnY7bxrRODbWX8/hm1AYf2rJDX8kOO1Vh7OQTW0emYlml
Qw7trLY22MqRwiQGMyhMHepSyQ8hpSHpTr8iaDluumqkp5+KQZFG9MZDtAtd4UqVzzsn7tEEiiK/
cGGlMKceiHujVwBxO43VhszRZCk5baShr+OP6SCZDmQJ2iyX+8wDfpQlnD1Wqkb2sWn02G68wYRy
mMpFpgqcBxtp1zlTBjVb6ApLo/MkQtYYsi+An+cjulLmrpYNSEhZLE6Oc6IbxSLsjO4iIYBvvbgn
/bEWokGxh344kQWoLqbKSRJSdKwqoXQ+uGqHrLzZqM2lZED2fJ7Fvl6jW3aiASIElninlBJ9bB24
JhotB3VZFD6kucI2Upk6hwsXSaiCqzlFroNCnXk9QKnIgmPG7IGkc1jSBn+gkCXSkwcYoco2F1GZ
lq4RVkrvLJIMnZujRQlxMcO4UKTWZLdIMmf+cVzZehC27ddxjMLbMCq/hk6J9hMIE7JVB87JwocU
4lLG5SHDSJgUaTlrPEsHNb2kGmFHbUSdeVmV6KRugT5aullmZCuap6ZHqTmgopjosK9tkz00oT8e
WUWK9GLY+xfIfNryXOnrrvJGXDb6lVNH2soCsYl6pAUGhf2ADQO5ANI9KkWZfCrRZNBe1JYVntdF
XqxYVaOrOuvD1j8Bmh1aqG7vnZOsiCtPzav0KKl8Y5UnsrJwmqg4S3wDLb2TXj9TSyRTofWEpLqD
sMhTVb8NcoaGRWOvQhNMtnAJe7LTVvWiVMziErzGrjkpKTQgnbqT+zm6dsdzHXK8JQqrMsghFSBq
spPaxMstBoDvK8idkUcf+fhqGSPv51Ecys5FtSu9xC2Py5+YSeqRGP4FpuBf49YhRwzNYNHApozu
YhIqX4EI9uiMpzjLQnayI6u04ispRnuuNjOjz3Ke3aYxGGohArcjS/XjL0WnovjY0IriiwbBzFOm
apDX92kf2xAXYvqpX6p46VAG8k76FjqhqvYxRlhy2nYKeUgizfqa+KHyOVG07rxFRtkzyqo40QBl
3yEpoCbcpvWlq8VydWH6vHE0GAcd34T6g57wIH3IM35r92p9X7S2RBZQHESCFiB3YZ7kRk6KeU1J
3yAHNhYAMa0uVtAZBHYELddJbFykZa3eR1HUJK6aYg5unFqRPU8w7hywHPZENJTGSWYy1fIQwrcp
ha+VhKdZWTS/lIjaonlSQsfnKy5eKDg5kt21x1KTmF6DbuXHpDLUW85nOFLGNmGo95PKj4bRx/es
tUtcD4g80TbTB0ur8A3tHClFelYOILu4NIRLc97XrLxP1KaHhiPgz9Ylbdo/NM2As4JDiTiNlUBX
H1tk0yAiEbftIo9b7RTgeQgqF+lHOPOgs651UFv9o8yKmjN9QPzmSnBHGi/1K8lYSBVX3ZXH1rhr
6jT9YpVtj65NWu2lslTJl6yzlBWyfjYKf0F1Qu/EpovSZQen6hTWL+8WfRVBirvqHbieYJdIxaUW
dYo0hwYg+E4QCzXKBS1bVD6AKYNNBMWGLIr1pD0KWxMpniyZxwmcNLrgYWw796GJrsKn1nJ//JxD
WSz5qBZKV3uIKnyUUmPzFmM5pwoL02EpyWqc6x9Npvk22otXRAtS0FnROauV7D5GZ1KaJ718kUSF
WaBCWsLJLF02Qu2dzS1cuMbgRcirQZOIgWWuD17eDn6WnA22D0hnXrPeUcqrtAVqpbk96OcOO6Ks
rMjnMEz0IvQ6HBWkd1AlxPuvtH1VmM1RCF8tP2ERk7Jf66ruIXcQgZeVQYe9Qg5w5csqckLLEgSu
JvfooEtyfBWzMsF30CXQuBi6TzPkJlrQ7/H660xyLBnrWKNRkOeUUW98NqihRqstiCyVPBHSpA6H
bFXF7yEs46CECKlg2HHgFziHo/UY6r7cm0vwvUect0qpHfKFlV0kRW5uA4CTENn6cWfiioA5bu5Y
BEDBPm/gUPaX0KmUB33OwppVyXJE1g1fC1deXMT3ms3yNvOMtGFDfqYxvN7ooqpNVdHGyai1zF9p
jVFCUNcEgZZopzJj1VCAH0Ua+DiIHUK0PCttlF+DPlh4CdhRFypIZnDdSwcWc3DQ+Lix9SVprGwY
SqDDLRBeMgfVi6WdvgjzXifpouzABIKmDs0L+3yE62cvfCk1fWTnWt8pmavolaMvrGHU9CXykdld
abP0VgLrp3HVAkVxrs5wdhZgwWSPcp7AywIrP6LJojBrJ/JaCv5M745QCf6EQiY2bNj/pw4J2yuA
uO0x8GlyXsi+Nk9Uk13EyjBki1LLQCJrHSSoSyldQaGqs04quHAWuvaUg+72eZfkS9rIYFf2dtnl
KBpqk8dylP0EplXPfNfEPcq8RhuH65pIXQ8HQUoX8EARIfpxaRhLaupN5vmZ3d9Lo99DAAd9XSvl
2k5IYkDPN88fqIzEulvHLUKDfJRaRCM0VqIF3AlaH7PISNrHUILOvjSHR63m8zGJwiPUj7W+dJQx
xQZpSK2cfO7LEDJc6INcH6PniPUlbVP0wZ5bvhoW6KClEgMRqjXUl5ltysxTZYM1n0HJAJ3DpSXY
f3NwTaoWDpKigu8EcOsyROSduTqKXPuLHonAHo0YEmthJWZ6Cn2fAhR7ZqDoA5y/MgOlRB1Y7dm5
4SBVJjXREvUU+DBWH0quBs7fcVWmVTxnAMzuRxApsDd85xOToHzHorE8MpWyvxrwsT3d8W1nEYPz
sZZAqgJ4GJfhuQQzXEMW0kajYSvOKPe6NJUcw4MxTykUrcg9TKQ2LLVWj6+LTvMvQN8MH0MKgWHX
7sYeNDqfARkZR9K7JZG7W7s32FVH0wivgPI6ZK2trIA1tTIUUSSGc60APrQ8Jy66EwWgBfE6cHZ+
6TQd9Y0Guukd53ocgzZJjVXlh8VRo+byZ5P3DXQs8CMjmo6oHKjHwUVd1nCJWk+VeCqrWxSbpTmI
+w5pHahqmRSsuRoda2s39Lse03VSTtlANDwvc2tQj5C5Qv4Xksak9sJWQy91eD4+UJimtEB71EJU
8LthPtQXGivZeagq0IyWjbC0jkDQKG+63mrAhm5yvCVYCtZXnUZ26GZwwD9WEvd4a8iD5C586oG4
ZuI7oMkkFYk8XOgxGGGAS67GDAiAO5plaS6SFsQ/T5MzshirHn8nNEDzA50lK71WK3/t6ihfqH7d
z7vGGL5YsBbtWd/ktPTSqrWva4M2DI8zjAoBAQEKlKnFhZb66pkdpYkF+pI/ZC5VfOdMkiL1HkrQ
yWkvlfUVOITxHNw0NUC1DsuR/7AgfkqMOobScqeTwWPdgA4UKbUbf8EiYqewv1RLz2JFHYyjxuwM
dJSKyv4SyBU6c4Jgkg3QRsyUL8QBE8PNQBC5LMB8kRdWZwwIChwV1RaVLxvZIlPi6CYxetrNcW/C
q4N/7kUarWy+bubHTusAQ2tq4V/aaaZ9rsD+CN2WpV+0Ois+06Yo3IjkwB7B9ASBK2yx5VP6JZQ6
SLwldS/NJXgeF5Sh7KgG7vI1D5l0QmMcao+SxPrYsKY4bYwKNSjUSs6BC1jHki/bd0CMiYVtEJr3
pYrGQL0u19ctHdSTpC4adR63dse9NTkDpScHxGPVtX1ca1FueqMjcelL4vTL3FDb9BpVvMSjALc8
iq2uo0uuwRZwX5SzfCgicBY75XPkD/1nx28Ut6yZjJJO1I5ndur/Crqz7OmG3tzacPeXiu4r9wWY
8Z9l/BXDldDdCwQw6TNqgeyLHuSDZdk2OHU2C0Ccbq5KJg++azeFrOAcjFdOKCXwaBQ9W+I+QEk8
s2vNsy2QZvC3z7tKpb/EADs8u0egUqHWeYROo1LcSXaqr+JI0yFOBVT/pCxzBSk6MEATTXsYGNB/
CmUN4EH0HhdUkrUecvOorvqMiLbIymuq14VufGziqIKVr22bc6ZohbpskBf6Ic4q5BqQCC0+6gMo
PsOyU1FDonpaIfdNdCKzKIuhbOejLOkWgl+d8WDkepEcx4WdNfrc16ncSJ7dGnpHYbwSsGyQawNv
I3YUYsoeCIHKCLfRhqbXnCYmlfsTNvRAMV1T7Y0jXc87+6uZ5w2MSlUmaZ/CjhmRbHjw88Cf8KTB
DEMQbXRwv0CThhsPtteAGm0cGtDrIdM5tFFZrOVKGqzaQ6IVBMJFXXZDEiGTSsIELKYy9Dm5HXuw
QhokjMNRrj61mt0ghCFab1J6V9id38YeEsQ24j6UMpE+vozjomaFV3embSoLudRYXd2zZGyVwcUo
JRnmXaHDJXPHMoJlOPZRZx07cyDW/E10M5SddBmFfWtVvzApHFXDJb6d4Hfg6FtmD9mbGgHzWTzU
fmrOe9mxrfbo7fTcNLuMrKGFPD1qZx3kX8EC5zX4zxkSxBhQmhQS6zEpSp7QyLbEjyxxUnxwqUBa
6p1E5TQnz5+IMm6udIraYaR8ucTA8ycCnLMbGfUSa7SN5k9st6wazUD3ZB0BcaQzkOBauZdQ8oEm
8t2T1sZ3iTX8kQjDRLfhpsjw3zfFHC7IAy3q4tdm/08doObwTPjhhZzDVnTiSexho2twU/zYH9rp
JnDViJcDfas+hPpst/0+0ieuTfHWCGkACQv2CAkJQ/sbZE1B2UIbwM0/2H/Y3OHTryUoRMCZxbkE
l2Pzz/aBz5bo5dxfqmL82J956w3WG/kMrpHBs9kTiYzNw75nCdS/2UjXO+Ymc4+XxCs+XwIL+hko
sAdV62kJUHqGB/6FluClTMj3roHm/A09tg2Qh8BaeP7yjvM3GVYCOgf69u3x+299+W9Yod+PEyxJ
+rg5SGRdbz7edhe9+wd2x+jlAE/bZ6OjAmlC9Xelks0f5cor28G3W4n//J8Pz4VYNl/42S93X/z5
X396xZcPf3Vau395TNY0oA/RsHnh3Undarq4a9S6r6diLrufXlWL+X3vvzUq2BtNMLsmD+AGbV+J
L4sB0//PF3yhQ/NNIy/S2SpI2+CxoLvB+NC8YOzQoZcMujZZkE7mzFuVHjrwcZE/MhrUu5H4hBWu
i3PowJdYYBqEbDJjNII5fOSrIA+y6bBcieXtCb+2O383XC/37NRuf//vn2az+fz64ccNrsA/X296
NLcCT89+++eczQ9puKZk8hUEnKAPeVjs7fH3PiyWBi7IWwfe5aQd7JndSJstLuDouOucTCWqcP3+
80P8mA1xGWX5I9kNxOfK5ZcPHXYeBY+7UfiYurL76ccN6fW6ZPcpeZgVv86aaD2DEERY7IbdPETb
/fTjD/Hgej9Q+GgPs/efJ2AHzqEmRoup9JguYLMgTVXAO98tCF8eA2zWg78rBqBBOvvwK4W9zX9f
o93Im+cgzjr4OUG5nt2t6ePkOjYQTx06sheTewiqTXa8+a45f//UL8KhbHbT48tgCpjsosI9XMDu
pbMl6ijXE5tiCtgmC0oaOh3WEnBUF01EinJqri0Bp/MGx34ZZPfTkW0B7sMyuJ8eQt4V6dC9toz2
rgFbwCd7uREUWcTJ/u3/NOvZ47+dtAWhk1MHDYLDl+JsnQ+T3btpRXHoAp+T+32vQIH7c/CHO18D
OI0mlwt0cgSMS+73VoEz8A9dhYvgMUB3cfi/u7G4/YHcwe7HH78OL4KhaJrpduDNXg6fchp0ZDfO
Zro8/BUw7N6gAk7xBS7Sh4fpZjCErC2D9UWH5N17b5aB15wcvgx85CCfmklFxDV3UYzc/lZsuic4
EnTorC8JXPzdMJu1EHFlbEbdWwjL2D3mx0/G1gyj0riuA7YbbjNrXmx26Fpc//YPBv7MxN1XHAGL
fI3I5HFiiDc1K4fOd7UeHqJ1mq4nm1nlUlAHD83lb58czt1ofJ1V3ijs4MHX+ToM0t1Am3F5bd/B
4wJmosHsfF3kk4OC5jACBi+AzEy3NPqmCRiXPQaTHaeKuPlvimmUpvLqz4PX97f/VcyQoPjtHzPs
59kV/e1/5w+knK61JmCtb3AM67211gTEfTdBPu4baCQCDl+Z2/DFAecac4cuOHCChOTB7CioJzeh
qguwpYBfyZ5PrwoBSIHDNCSfuASQFjl8Nb6+iEGQ9xQwLMnug/tuuot54eShX2+1saGrF+ebF9Qe
OrZL6OwGztzEiBq8APrQkT/cD+vJtwORxlY0dLKzQUCEJh/U0997ys/DYSHliTrVXd7heebiDXT1
JyU+gogGU2yRd7U/9PvNh5JOvVsRbvMyGIMZ6nlIuZvhxuviqcNDJ3xCp/cfxJIFDFrTYD05HIqI
xcVcq93kNgvAO/AcugCnBd1zARSuzXjosGesC8gEHFNE2Ifz9X2Q7/nIIq7Qj9neNhBhgj+BazCN
bhwBR2wVsEcy+0CD/etTFnAtr6DMOg0VeOuWQzfD7bZzBp/zbJERYO17QYMq4ML7ZV03MzfIk918
N569IWBRvqyz9dRJNgUcvMtihk33b/Ushff2fM6GCLu2RJIrn63YPaqIYTgfJkdRBy343Wv0ffwb
jvL97KTm86+fvwCSu7B3vCnhoRvnwz2bXbB6siOfRhewLf/r9WK1uL5beP9txjfPmmLB9ve/pUIc
BK4NF3nhAvr6+xDbz/M/wGyD0pGKXjKQ4EBdGMRp/mRv5LV3f8YvmbhGC04qmvJP/vj3T1tpc6ZB
L3EOfq83PLKfle9mOKn7UT5vEHPoKbos6K9Fmjwd1d14fClBxEInFUh6clF4G02930+BvPaF/xyW
g+ZA3eqbvjs2Vo5Fe+FZT7958bAO8nf+zISi9LP2xSbx+vyzQRNk9+MOzXx65WfkvLf4Ch9yeCYP
yHhPLav5ku7znePu4yavpHy+b8QFo8UU41G4Kvthr48DwfFFpOH3VgCm0z5w7A+vnWL0M3kZt37f
Qmzj+VfmrEGC+IXD/n1jf+QnYer3meBGQ10Javi6Ztm4AF+6rt/3jCs4w2Gx/5RXLqw/NndwMr6N
JMfZZnuvAxU+tMRFby9gCJC7gMDY/hZi/2wK960PcoOUs0ZedoRDrygF3gJvJGAY0O+B9J+Ax10g
RYkqWCBnk2MLFwW9ZWyoXMkKZL4M8+UW/oF3uwjCiK7vd9PmtwUX8uP/gSgbOLrQvZNfnJUfeNA8
oOT+HhtwdrkGx4e+cCfRtQiFGlhFTYVLA4D6zWzk9tv9vFsKmXlMF9J7E1+Gm+m/Iv/1A2X3k830
1hf9xuOHy4WAlLlB6d2A3gOCfL6LXlxdz/bMNz8hZCSdsvh4F941ntwMuyvx+8flswW1dhrMCMhn
cQ6LG0SglE6GFhFazyF0gqPzShSmC8Aa5nu7Q0TC3isy4PNTz0MEkr4b93WGmilgeyzpOgfvYrfP
uEkUEeSCeP24TiF8tZ6M/OJO//79fAwIboKmK7K2e8aPn5JT7OO976eIAHAuAsozN/s8AxEcxosC
HVF5enYCgyhv3srfaIuuUP3TFJzsP02SiQBxVkDom9kZQaubjTW9XLdkakFkAYd8+5Rz9jB1K9D/
6PC9ckPxRR+Dx830b4p7uIC7QTehPO8OdqjVvkGecrs+c+zLon7NGKIrzuEP2i7UHckfMOXNG3FO
8tYqIOCcfhkRLC+Xk4XqaHZHaEheNfJApw5/r9vVm08QcGG7RR7sUQxVETUr0J8LHoLplrIEmLhV
MPWK0Dvv8GVe8cO8QHiIBPU0R4aaUwHDb4wFXJgm+u0f6TobdkPygwYJ6t2PP274Ny9wEeAJUzgc
6VkRzOft8dreArN/P0Ji7mH9H7tZ85fQ4P6/eyv+RM+fwyeHev1TiOovAT+9ihUZf+UvgeZ9/5Jf
4tcQ7HLkc6a5SgH27sO4RuRD4unAAozSB4rU2dSvEOCxIMsXpnCa6+i5eVAFLMTFEOTZNGmriphw
xPY/moALBQ1w8ilbRhMwV5Qn3ReP028mgk62omR2jvTsJH56CWR/f5QDns208k4EPw1Fq+HsjP+f
1Yfr57sMnR52P/74TXqSP4IluodRot2BkJGnnw5NyA8f9TQop6ZBEYFdnA00HMZ9cwa21+ET3iL8
Z8VeoZOiCVjiLRL/ytgCNsYZmE5J9HJJBJzr82AP2BJR9HnB3e8XR8QQsMoI2VGou7eXRTBEL4L0
kbTTaE0RAQ9h4GDYP9MiHOPLdTnlqyuWgND8KkDstE5fi5bRoOTwI3gVJC9cFTQTFjAwxCtIWb6I
uN/MRnwjmoMQJwxKmI3dNDcohQhs+SYKCE9tTAYW4VvcBDF60O2bDNBmd0/68WvqJiCoHdmNs1kK
ER4GB2y4W/hiziIs0u14v35lOUSg4Xdk3UAXYrIeIkzdR/A+inZ20qAwv5z9fbZA/W/RsFf4Goqh
ikD8nh54xvKgjsDl/vts9z/Jaw+1dBH4/KoE/JoOr9kbJEtF+D4X5PExXc8WQd08/0ZbVvYfw4z1
N9qGp1VbRVBohzePVfv9f27TL88fCiwAuVgBoOPmVgnwgShJ/99//591EgwBMMcBiQjM4Bg1zEDj
X1tUUA6g+fYuXvINND8CXQEJ9bHTotBNjyMR+YTVGkFBstvu9d89EhQD4iUy+wSdiim651iGpYpA
+LwieSywgDdBgjCSTMVeID6FvL2Aj3cWMAIhx+cbQ5FBYITC1e7f/bh1vgqklEgPEQmkuma78biV
fnqGgG+/QqT9yshC3NGyifbcmu3SvHtx/TyI7zWqxaGI3/O34ZsBNIHn/2rBc9o7luQbvxIoJ/Qa
9+fQt/wL4ppb+hc4v0FWTEAJEVi5u6bZPvFBgO+7QtuPrHg1FSQibJ4XPH/272dryKLl4X+8dq2I
yGttonNOtwbYT6CX8dpzDAFppznaV7869rsm5v1b8QjdHZ5bRhEh2dH6EVJ1zfrxiVLGZY82kpsv
sCLe2vPQvOkR6AwP0ewKvQtfji9g9Z/G38Al/GMj+Jn9TjzlUOC0asAWADeDSjFxz1+SFr8fXjxe
B/TxaRdt3uHiAf1pACK8trNATj38w5zBZ7hHknA30uZKF1HZPI8ogi6wkJ6mPn2AgJlfrrvZPEjX
QDf3kBswtw/esJdkT4JChG7RHXrDBM3UfRKR7b0MEM3t3nnzBUWcWb7AX9cAmqZAAjRDd486wJ8k
zQOy9K9eLqDMCnhAUIIWyF/hFUEjMR5xui/MIWBT45Kq4am+jpS9ZMx/v4XZJr6P1ynoZf9l9qEG
vaSGEMjG2IBAw2GSGaI99A6KJn4KmMyHf5SbIlnvrRqUeUWMCyRtN8wWOhIxW9YG6eRYqSLKSn/B
5yVbDtERQ6eB6cRFsB5fOJno87BbnR8/snMOhHL+2e7Q7obkC26ALmFZoE4bjoOYUzcsAWHbUynn
CiSWdQ3nJC/o7CMDrgN/8bULEQ/Fk9Hp2rBRZ4Rigvcl7F6Lfv6cwGdbSvEvGOrQkDuL020twni4
yNC005teRPG4S4NxKi4hQkBmjrzB+vkBEQGOzXlAtleJLQITXjyAFTwVeTYFXMFPPjnu3z2ZQhGy
IEdBmnDP5DU7YAmwdksGdsbENAPo2n3QHzeiK0CrgPUnW0N5s4bmGwFjnmFDIcSwm+LWCxTgkVyt
911LEZadsv3JqiJOyB30tkYGH+P5MqCaZ/fjH324n3cNvFbndOil8Pxt+Bv/BVC+V0ri/ty33IIs
3Cz/3otgN4G3ilfRzAR06Ml2EpGvvmb1XvJeFZHduPnt/0JGa5hYF5SZ/oV3/yu1i7vPsvlWT9v3
DUT3RVH1X2/3b6uID32vN9bgZxWLpxDImR4OAW7DB/DVUD2z27T8IhMAoW5KpadzVQTkxdDTIyRs
ggOKEEpyixoLuwnKj9d0XKPH1p5HLaKYBZMP9hS0RJSuuCwNOdb+/Au+b4TeR8G9NafLThKcIrRx
TiiWYQpxiZCbXdSIlKeLIAKXnI9rnoV9vrYiCjqOSL6/CCIi+KOAFuvXXHQRLu+2auP5StgCTvSS
3EMYZU9MSwSVbInivbxeTzz09xu9vH8slsj+Bfl0WBHrQNfrh4knIUIfeE4LJBsm2xcyi7tv+Efu
+fuLcMyAANLJIigiBHxPwFrcMw6KiJTtSROk09mKqIA8XdO9DaaIKFQ4BSYMpfZpIZYi4gY6D5o9
SEcRQf8/J03E9l0T5aWSyw/A52nRgms63cC6gITIOYFdR60biE97SpkiKgzOWb9GpQWjU4KNCKLi
RZE+Yk12R3iDO4jIp4OTHUzLnBVDgKEAxa2ZTlYE3/AP1EQUEUgXCAzdHq4j4mpGKn7fsIkQGLiC
3BHbkzxXHAEH5Brcwz1/ShXRmGSFE71fNoaavt1+/vErCXS2Deckn5YMi4g6VuWenC7EagRMGOmu
e/APdiPxo6yqAtJzqw5ckym1W0SQtOpIg1rC/W2sirjybhOuWDxxfyDntFuZH98UTymtM2SwHotp
2CiiPO0OzhXvmzWHNM1uspvP+KaM0TdCzFzYgvczoNMNLSKqWaEkdHqpqiL4FqBKrze8pmlhgQIl
QgFAxbbuC1VJr1BQoB8u4LI6Q//jdrLayK7q5kt5t+93ZH77H/zcvBaaoWs1KB6OAyl0G/KwGhpY
77bSH+3755Db4olD+udkUbciev960Nocyaep+o8Ifj/kQ9Yv4nwRl/PFut/TpFFEZBC3ZJUr3uxk
vaXDccUeNDHebciNbXtfHeD9+HFCNZiMzpuo84T2IVpfcwywaWv4igrkpn/xHz/hWwtGfle22812
44jv9OHeG//nHeDXBPcOPc7P34abrAPzX8+H21m3ZzrDT6M/pOBu/uf/BwAA//8=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microsoft.com/office/2014/relationships/chartEx" Target="../charts/chartEx2.xml"/><Relationship Id="rId1" Type="http://schemas.openxmlformats.org/officeDocument/2006/relationships/chart" Target="../charts/chart10.xml"/><Relationship Id="rId4" Type="http://schemas.microsoft.com/office/2014/relationships/chartEx" Target="../charts/chartEx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16</xdr:col>
      <xdr:colOff>17639</xdr:colOff>
      <xdr:row>17</xdr:row>
      <xdr:rowOff>31098</xdr:rowOff>
    </xdr:from>
    <xdr:to>
      <xdr:col>25</xdr:col>
      <xdr:colOff>801517</xdr:colOff>
      <xdr:row>29</xdr:row>
      <xdr:rowOff>0</xdr:rowOff>
    </xdr:to>
    <xdr:sp macro="" textlink="">
      <xdr:nvSpPr>
        <xdr:cNvPr id="9" name="Rectangle 8">
          <a:extLst>
            <a:ext uri="{FF2B5EF4-FFF2-40B4-BE49-F238E27FC236}">
              <a16:creationId xmlns:a16="http://schemas.microsoft.com/office/drawing/2014/main" id="{D81A5E23-0929-59D0-E3CA-E64CF833ECFB}"/>
            </a:ext>
          </a:extLst>
        </xdr:cNvPr>
        <xdr:cNvSpPr/>
      </xdr:nvSpPr>
      <xdr:spPr>
        <a:xfrm>
          <a:off x="11218333" y="2800404"/>
          <a:ext cx="6869295" cy="2297235"/>
        </a:xfrm>
        <a:prstGeom prst="rect">
          <a:avLst/>
        </a:prstGeom>
        <a:solidFill>
          <a:schemeClr val="accent5">
            <a:lumMod val="20000"/>
            <a:lumOff val="80000"/>
          </a:schemeClr>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wrap="square"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US" sz="1800" b="1">
              <a:solidFill>
                <a:schemeClr val="tx1"/>
              </a:solidFill>
            </a:rPr>
            <a:t>Sale By Country</a:t>
          </a:r>
        </a:p>
      </xdr:txBody>
    </xdr:sp>
    <xdr:clientData/>
  </xdr:twoCellAnchor>
  <xdr:twoCellAnchor>
    <xdr:from>
      <xdr:col>1</xdr:col>
      <xdr:colOff>10160</xdr:colOff>
      <xdr:row>1</xdr:row>
      <xdr:rowOff>0</xdr:rowOff>
    </xdr:from>
    <xdr:to>
      <xdr:col>25</xdr:col>
      <xdr:colOff>822377</xdr:colOff>
      <xdr:row>4</xdr:row>
      <xdr:rowOff>187377</xdr:rowOff>
    </xdr:to>
    <xdr:sp macro="" textlink="">
      <xdr:nvSpPr>
        <xdr:cNvPr id="2" name="Rounded Rectangle 1">
          <a:extLst>
            <a:ext uri="{FF2B5EF4-FFF2-40B4-BE49-F238E27FC236}">
              <a16:creationId xmlns:a16="http://schemas.microsoft.com/office/drawing/2014/main" id="{BF6CA8F3-1D35-E6B7-90C4-79F05E528F8B}"/>
            </a:ext>
          </a:extLst>
        </xdr:cNvPr>
        <xdr:cNvSpPr/>
      </xdr:nvSpPr>
      <xdr:spPr>
        <a:xfrm>
          <a:off x="148958" y="62459"/>
          <a:ext cx="18560987" cy="759918"/>
        </a:xfrm>
        <a:prstGeom prst="roundRect">
          <a:avLst/>
        </a:prstGeom>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4000" b="1"/>
            <a:t>Coffee Sales Dashboard</a:t>
          </a:r>
        </a:p>
      </xdr:txBody>
    </xdr:sp>
    <xdr:clientData/>
  </xdr:twoCellAnchor>
  <xdr:twoCellAnchor>
    <xdr:from>
      <xdr:col>1</xdr:col>
      <xdr:colOff>0</xdr:colOff>
      <xdr:row>16</xdr:row>
      <xdr:rowOff>105018</xdr:rowOff>
    </xdr:from>
    <xdr:to>
      <xdr:col>15</xdr:col>
      <xdr:colOff>0</xdr:colOff>
      <xdr:row>39</xdr:row>
      <xdr:rowOff>182880</xdr:rowOff>
    </xdr:to>
    <xdr:graphicFrame macro="">
      <xdr:nvGraphicFramePr>
        <xdr:cNvPr id="3" name="Chart 2">
          <a:extLst>
            <a:ext uri="{FF2B5EF4-FFF2-40B4-BE49-F238E27FC236}">
              <a16:creationId xmlns:a16="http://schemas.microsoft.com/office/drawing/2014/main" id="{B91CEC52-0A49-0845-9D14-0C3754F139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527</xdr:colOff>
      <xdr:row>6</xdr:row>
      <xdr:rowOff>4793</xdr:rowOff>
    </xdr:from>
    <xdr:to>
      <xdr:col>18</xdr:col>
      <xdr:colOff>5040</xdr:colOff>
      <xdr:row>16</xdr:row>
      <xdr:rowOff>614</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47565361-3D66-EE43-A414-6082512C12DD}"/>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39072" y="928429"/>
              <a:ext cx="12750695" cy="1831549"/>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9549</xdr:colOff>
      <xdr:row>6</xdr:row>
      <xdr:rowOff>16869</xdr:rowOff>
    </xdr:from>
    <xdr:to>
      <xdr:col>26</xdr:col>
      <xdr:colOff>181</xdr:colOff>
      <xdr:row>10</xdr:row>
      <xdr:rowOff>13791</xdr:rowOff>
    </xdr:to>
    <mc:AlternateContent xmlns:mc="http://schemas.openxmlformats.org/markup-compatibility/2006" xmlns:a14="http://schemas.microsoft.com/office/drawing/2010/main">
      <mc:Choice Requires="a14">
        <xdr:graphicFrame macro="">
          <xdr:nvGraphicFramePr>
            <xdr:cNvPr id="5" name="Roast Type Name 1">
              <a:extLst>
                <a:ext uri="{FF2B5EF4-FFF2-40B4-BE49-F238E27FC236}">
                  <a16:creationId xmlns:a16="http://schemas.microsoft.com/office/drawing/2014/main" id="{0661E271-C245-FC47-B924-66B4EB6A8F7E}"/>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3032822" y="940505"/>
              <a:ext cx="5116814" cy="78201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1937</xdr:colOff>
      <xdr:row>11</xdr:row>
      <xdr:rowOff>6741</xdr:rowOff>
    </xdr:from>
    <xdr:to>
      <xdr:col>22</xdr:col>
      <xdr:colOff>189</xdr:colOff>
      <xdr:row>16</xdr:row>
      <xdr:rowOff>3920</xdr:rowOff>
    </xdr:to>
    <mc:AlternateContent xmlns:mc="http://schemas.openxmlformats.org/markup-compatibility/2006" xmlns:a14="http://schemas.microsoft.com/office/drawing/2010/main">
      <mc:Choice Requires="a14">
        <xdr:graphicFrame macro="">
          <xdr:nvGraphicFramePr>
            <xdr:cNvPr id="6" name="Size 1">
              <a:extLst>
                <a:ext uri="{FF2B5EF4-FFF2-40B4-BE49-F238E27FC236}">
                  <a16:creationId xmlns:a16="http://schemas.microsoft.com/office/drawing/2014/main" id="{2488C09C-A5B7-174C-9077-3A156D9943D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3025210" y="1784741"/>
              <a:ext cx="2492070" cy="9785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5629</xdr:colOff>
      <xdr:row>11</xdr:row>
      <xdr:rowOff>4488</xdr:rowOff>
    </xdr:from>
    <xdr:to>
      <xdr:col>26</xdr:col>
      <xdr:colOff>3285</xdr:colOff>
      <xdr:row>16</xdr:row>
      <xdr:rowOff>3920</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1965C818-75EC-E149-A25D-F9B6A2BBF9DB}"/>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5661265" y="1782488"/>
              <a:ext cx="2491475" cy="98079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133027</xdr:colOff>
      <xdr:row>29</xdr:row>
      <xdr:rowOff>112503</xdr:rowOff>
    </xdr:from>
    <xdr:to>
      <xdr:col>25</xdr:col>
      <xdr:colOff>819150</xdr:colOff>
      <xdr:row>40</xdr:row>
      <xdr:rowOff>6350</xdr:rowOff>
    </xdr:to>
    <xdr:graphicFrame macro="">
      <xdr:nvGraphicFramePr>
        <xdr:cNvPr id="10" name="Chart 9">
          <a:extLst>
            <a:ext uri="{FF2B5EF4-FFF2-40B4-BE49-F238E27FC236}">
              <a16:creationId xmlns:a16="http://schemas.microsoft.com/office/drawing/2014/main" id="{0F63E8BD-A217-8B49-B9AF-0DE073318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6624</xdr:colOff>
      <xdr:row>41</xdr:row>
      <xdr:rowOff>5923</xdr:rowOff>
    </xdr:from>
    <xdr:to>
      <xdr:col>14</xdr:col>
      <xdr:colOff>824203</xdr:colOff>
      <xdr:row>57</xdr:row>
      <xdr:rowOff>0</xdr:rowOff>
    </xdr:to>
    <xdr:graphicFrame macro="">
      <xdr:nvGraphicFramePr>
        <xdr:cNvPr id="13" name="Chart 12">
          <a:extLst>
            <a:ext uri="{FF2B5EF4-FFF2-40B4-BE49-F238E27FC236}">
              <a16:creationId xmlns:a16="http://schemas.microsoft.com/office/drawing/2014/main" id="{B5C89ECD-C291-EF4A-943C-4A812636C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138678</xdr:colOff>
      <xdr:row>41</xdr:row>
      <xdr:rowOff>0</xdr:rowOff>
    </xdr:from>
    <xdr:to>
      <xdr:col>22</xdr:col>
      <xdr:colOff>0</xdr:colOff>
      <xdr:row>57</xdr:row>
      <xdr:rowOff>0</xdr:rowOff>
    </xdr:to>
    <xdr:graphicFrame macro="">
      <xdr:nvGraphicFramePr>
        <xdr:cNvPr id="23" name="Chart 22">
          <a:extLst>
            <a:ext uri="{FF2B5EF4-FFF2-40B4-BE49-F238E27FC236}">
              <a16:creationId xmlns:a16="http://schemas.microsoft.com/office/drawing/2014/main" id="{7FB60C39-A118-734D-9EDB-2B000C070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136943</xdr:colOff>
      <xdr:row>41</xdr:row>
      <xdr:rowOff>9703</xdr:rowOff>
    </xdr:from>
    <xdr:to>
      <xdr:col>6</xdr:col>
      <xdr:colOff>821503</xdr:colOff>
      <xdr:row>56</xdr:row>
      <xdr:rowOff>190943</xdr:rowOff>
    </xdr:to>
    <xdr:graphicFrame macro="">
      <xdr:nvGraphicFramePr>
        <xdr:cNvPr id="25" name="Chart 24">
          <a:extLst>
            <a:ext uri="{FF2B5EF4-FFF2-40B4-BE49-F238E27FC236}">
              <a16:creationId xmlns:a16="http://schemas.microsoft.com/office/drawing/2014/main" id="{CFA1A08F-C15B-FB4B-A2C6-086F245588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4996</xdr:colOff>
      <xdr:row>46</xdr:row>
      <xdr:rowOff>3175</xdr:rowOff>
    </xdr:from>
    <xdr:to>
      <xdr:col>26</xdr:col>
      <xdr:colOff>3175</xdr:colOff>
      <xdr:row>57</xdr:row>
      <xdr:rowOff>3354</xdr:rowOff>
    </xdr:to>
    <xdr:graphicFrame macro="">
      <xdr:nvGraphicFramePr>
        <xdr:cNvPr id="26" name="Chart 25">
          <a:extLst>
            <a:ext uri="{FF2B5EF4-FFF2-40B4-BE49-F238E27FC236}">
              <a16:creationId xmlns:a16="http://schemas.microsoft.com/office/drawing/2014/main" id="{641F1128-B985-A542-B0DC-7FB01D48D0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1346</xdr:colOff>
      <xdr:row>41</xdr:row>
      <xdr:rowOff>4060</xdr:rowOff>
    </xdr:from>
    <xdr:to>
      <xdr:col>26</xdr:col>
      <xdr:colOff>3175</xdr:colOff>
      <xdr:row>45</xdr:row>
      <xdr:rowOff>157520</xdr:rowOff>
    </xdr:to>
    <xdr:graphicFrame macro="">
      <xdr:nvGraphicFramePr>
        <xdr:cNvPr id="27" name="Chart 26">
          <a:extLst>
            <a:ext uri="{FF2B5EF4-FFF2-40B4-BE49-F238E27FC236}">
              <a16:creationId xmlns:a16="http://schemas.microsoft.com/office/drawing/2014/main" id="{37818CB9-B35E-ED42-B19A-2D2889356A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43739</xdr:colOff>
      <xdr:row>0</xdr:row>
      <xdr:rowOff>42373</xdr:rowOff>
    </xdr:from>
    <xdr:to>
      <xdr:col>26</xdr:col>
      <xdr:colOff>82550</xdr:colOff>
      <xdr:row>57</xdr:row>
      <xdr:rowOff>66111</xdr:rowOff>
    </xdr:to>
    <xdr:sp macro="" textlink="">
      <xdr:nvSpPr>
        <xdr:cNvPr id="28" name="Rectangle 27">
          <a:extLst>
            <a:ext uri="{FF2B5EF4-FFF2-40B4-BE49-F238E27FC236}">
              <a16:creationId xmlns:a16="http://schemas.microsoft.com/office/drawing/2014/main" id="{5E2FB9DD-A7AC-D042-5077-DE357AB6E02E}"/>
            </a:ext>
          </a:extLst>
        </xdr:cNvPr>
        <xdr:cNvSpPr/>
      </xdr:nvSpPr>
      <xdr:spPr>
        <a:xfrm>
          <a:off x="43739" y="42373"/>
          <a:ext cx="18072811" cy="10171038"/>
        </a:xfrm>
        <a:prstGeom prst="rect">
          <a:avLst/>
        </a:prstGeom>
        <a:noFill/>
        <a:ln w="38100">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16</xdr:col>
      <xdr:colOff>88195</xdr:colOff>
      <xdr:row>19</xdr:row>
      <xdr:rowOff>33598</xdr:rowOff>
    </xdr:from>
    <xdr:to>
      <xdr:col>21</xdr:col>
      <xdr:colOff>3198</xdr:colOff>
      <xdr:row>28</xdr:row>
      <xdr:rowOff>105834</xdr:rowOff>
    </xdr:to>
    <xdr:graphicFrame macro="">
      <xdr:nvGraphicFramePr>
        <xdr:cNvPr id="8" name="Chart 7">
          <a:extLst>
            <a:ext uri="{FF2B5EF4-FFF2-40B4-BE49-F238E27FC236}">
              <a16:creationId xmlns:a16="http://schemas.microsoft.com/office/drawing/2014/main" id="{FFC5A6C2-D947-CB4C-BCCE-F5C5DFCB89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58215</xdr:colOff>
      <xdr:row>18</xdr:row>
      <xdr:rowOff>180711</xdr:rowOff>
    </xdr:from>
    <xdr:to>
      <xdr:col>25</xdr:col>
      <xdr:colOff>712806</xdr:colOff>
      <xdr:row>28</xdr:row>
      <xdr:rowOff>120476</xdr:rowOff>
    </xdr:to>
    <mc:AlternateContent xmlns:mc="http://schemas.openxmlformats.org/markup-compatibility/2006">
      <mc:Choice xmlns:cx4="http://schemas.microsoft.com/office/drawing/2016/5/10/chartex" Requires="cx4">
        <xdr:graphicFrame macro="">
          <xdr:nvGraphicFramePr>
            <xdr:cNvPr id="32" name="Chart 31">
              <a:extLst>
                <a:ext uri="{FF2B5EF4-FFF2-40B4-BE49-F238E27FC236}">
                  <a16:creationId xmlns:a16="http://schemas.microsoft.com/office/drawing/2014/main" id="{5F03693B-2345-B547-926D-514F8D77CF8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4650515" y="3101711"/>
              <a:ext cx="3270791" cy="184476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314052</xdr:colOff>
      <xdr:row>12</xdr:row>
      <xdr:rowOff>126897</xdr:rowOff>
    </xdr:from>
    <xdr:to>
      <xdr:col>20</xdr:col>
      <xdr:colOff>137049</xdr:colOff>
      <xdr:row>38</xdr:row>
      <xdr:rowOff>63957</xdr:rowOff>
    </xdr:to>
    <xdr:graphicFrame macro="">
      <xdr:nvGraphicFramePr>
        <xdr:cNvPr id="3" name="Chart 2">
          <a:extLst>
            <a:ext uri="{FF2B5EF4-FFF2-40B4-BE49-F238E27FC236}">
              <a16:creationId xmlns:a16="http://schemas.microsoft.com/office/drawing/2014/main" id="{A0AD1A29-1052-7A3C-1FBA-6142A14264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371010</xdr:colOff>
      <xdr:row>0</xdr:row>
      <xdr:rowOff>139925</xdr:rowOff>
    </xdr:from>
    <xdr:to>
      <xdr:col>19</xdr:col>
      <xdr:colOff>539066</xdr:colOff>
      <xdr:row>7</xdr:row>
      <xdr:rowOff>109641</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92D0AFEC-AA79-D681-5D3E-65FDA4FC1C3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8173744" y="139925"/>
              <a:ext cx="8391077" cy="131281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22</xdr:col>
      <xdr:colOff>73658</xdr:colOff>
      <xdr:row>6</xdr:row>
      <xdr:rowOff>54797</xdr:rowOff>
    </xdr:from>
    <xdr:to>
      <xdr:col>23</xdr:col>
      <xdr:colOff>612157</xdr:colOff>
      <xdr:row>11</xdr:row>
      <xdr:rowOff>146187</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E9351AAC-386D-8ACA-5365-28374584DF8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8566320" y="1206020"/>
              <a:ext cx="1360801" cy="10507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156328</xdr:colOff>
      <xdr:row>18</xdr:row>
      <xdr:rowOff>148562</xdr:rowOff>
    </xdr:from>
    <xdr:to>
      <xdr:col>23</xdr:col>
      <xdr:colOff>301510</xdr:colOff>
      <xdr:row>24</xdr:row>
      <xdr:rowOff>82230</xdr:rowOff>
    </xdr:to>
    <mc:AlternateContent xmlns:mc="http://schemas.openxmlformats.org/markup-compatibility/2006" xmlns:a14="http://schemas.microsoft.com/office/drawing/2010/main">
      <mc:Choice Requires="a14">
        <xdr:graphicFrame macro="">
          <xdr:nvGraphicFramePr>
            <xdr:cNvPr id="2" name="Loyalty Card">
              <a:extLst>
                <a:ext uri="{FF2B5EF4-FFF2-40B4-BE49-F238E27FC236}">
                  <a16:creationId xmlns:a16="http://schemas.microsoft.com/office/drawing/2014/main" id="{DBDD1BC7-F3C4-E3FA-D7EE-43FB507E513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7826688" y="3602231"/>
              <a:ext cx="1789786" cy="10848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16263</xdr:colOff>
      <xdr:row>39</xdr:row>
      <xdr:rowOff>166835</xdr:rowOff>
    </xdr:from>
    <xdr:to>
      <xdr:col>12</xdr:col>
      <xdr:colOff>200459</xdr:colOff>
      <xdr:row>52</xdr:row>
      <xdr:rowOff>101388</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25092D80-4BF9-1394-3F92-BB0EC08FE92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641299" y="7649785"/>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276226</xdr:colOff>
      <xdr:row>16</xdr:row>
      <xdr:rowOff>22226</xdr:rowOff>
    </xdr:from>
    <xdr:to>
      <xdr:col>6</xdr:col>
      <xdr:colOff>572560</xdr:colOff>
      <xdr:row>30</xdr:row>
      <xdr:rowOff>94193</xdr:rowOff>
    </xdr:to>
    <xdr:graphicFrame macro="">
      <xdr:nvGraphicFramePr>
        <xdr:cNvPr id="2" name="Chart 1">
          <a:extLst>
            <a:ext uri="{FF2B5EF4-FFF2-40B4-BE49-F238E27FC236}">
              <a16:creationId xmlns:a16="http://schemas.microsoft.com/office/drawing/2014/main" id="{17132C03-BEE4-14B0-B353-5F3C221CE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73025</xdr:colOff>
      <xdr:row>34</xdr:row>
      <xdr:rowOff>168275</xdr:rowOff>
    </xdr:from>
    <xdr:to>
      <xdr:col>15</xdr:col>
      <xdr:colOff>352425</xdr:colOff>
      <xdr:row>49</xdr:row>
      <xdr:rowOff>53976</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A682DFF6-C562-FD83-0027-B4815EB486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683625" y="6645275"/>
              <a:ext cx="4406900" cy="2743201"/>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177800</xdr:colOff>
      <xdr:row>36</xdr:row>
      <xdr:rowOff>21166</xdr:rowOff>
    </xdr:from>
    <xdr:to>
      <xdr:col>8</xdr:col>
      <xdr:colOff>622300</xdr:colOff>
      <xdr:row>50</xdr:row>
      <xdr:rowOff>38099</xdr:rowOff>
    </xdr:to>
    <xdr:graphicFrame macro="">
      <xdr:nvGraphicFramePr>
        <xdr:cNvPr id="4" name="Chart 3">
          <a:extLst>
            <a:ext uri="{FF2B5EF4-FFF2-40B4-BE49-F238E27FC236}">
              <a16:creationId xmlns:a16="http://schemas.microsoft.com/office/drawing/2014/main" id="{F446FB70-023E-F2A8-9DA7-E0F467B36B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808566</xdr:colOff>
      <xdr:row>1</xdr:row>
      <xdr:rowOff>139700</xdr:rowOff>
    </xdr:from>
    <xdr:to>
      <xdr:col>11</xdr:col>
      <xdr:colOff>402166</xdr:colOff>
      <xdr:row>15</xdr:row>
      <xdr:rowOff>152400</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A23CB29E-47B3-EFAF-418C-1B2DD1DB9C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291666" y="330200"/>
              <a:ext cx="4546600" cy="26797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139441</xdr:colOff>
      <xdr:row>7</xdr:row>
      <xdr:rowOff>33917</xdr:rowOff>
    </xdr:from>
    <xdr:to>
      <xdr:col>6</xdr:col>
      <xdr:colOff>670672</xdr:colOff>
      <xdr:row>21</xdr:row>
      <xdr:rowOff>54051</xdr:rowOff>
    </xdr:to>
    <xdr:graphicFrame macro="">
      <xdr:nvGraphicFramePr>
        <xdr:cNvPr id="2" name="Chart 1">
          <a:extLst>
            <a:ext uri="{FF2B5EF4-FFF2-40B4-BE49-F238E27FC236}">
              <a16:creationId xmlns:a16="http://schemas.microsoft.com/office/drawing/2014/main" id="{F8C9ADA8-981D-EB38-07A3-0CA91DB17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247065</xdr:colOff>
      <xdr:row>2</xdr:row>
      <xdr:rowOff>24647</xdr:rowOff>
    </xdr:from>
    <xdr:to>
      <xdr:col>6</xdr:col>
      <xdr:colOff>891648</xdr:colOff>
      <xdr:row>15</xdr:row>
      <xdr:rowOff>101472</xdr:rowOff>
    </xdr:to>
    <xdr:graphicFrame macro="">
      <xdr:nvGraphicFramePr>
        <xdr:cNvPr id="2" name="Chart 1">
          <a:extLst>
            <a:ext uri="{FF2B5EF4-FFF2-40B4-BE49-F238E27FC236}">
              <a16:creationId xmlns:a16="http://schemas.microsoft.com/office/drawing/2014/main" id="{AC8490D9-B382-9C42-AFC8-7F8293207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676349</xdr:colOff>
      <xdr:row>19</xdr:row>
      <xdr:rowOff>20279</xdr:rowOff>
    </xdr:from>
    <xdr:to>
      <xdr:col>7</xdr:col>
      <xdr:colOff>664074</xdr:colOff>
      <xdr:row>35</xdr:row>
      <xdr:rowOff>24958</xdr:rowOff>
    </xdr:to>
    <xdr:graphicFrame macro="">
      <xdr:nvGraphicFramePr>
        <xdr:cNvPr id="3" name="Chart 2">
          <a:extLst>
            <a:ext uri="{FF2B5EF4-FFF2-40B4-BE49-F238E27FC236}">
              <a16:creationId xmlns:a16="http://schemas.microsoft.com/office/drawing/2014/main" id="{D8B4CA5D-09AE-799F-4EDF-DFD7D5D5B7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409965</xdr:colOff>
      <xdr:row>1</xdr:row>
      <xdr:rowOff>165768</xdr:rowOff>
    </xdr:from>
    <xdr:to>
      <xdr:col>7</xdr:col>
      <xdr:colOff>17824</xdr:colOff>
      <xdr:row>10</xdr:row>
      <xdr:rowOff>71298</xdr:rowOff>
    </xdr:to>
    <xdr:graphicFrame macro="">
      <xdr:nvGraphicFramePr>
        <xdr:cNvPr id="2" name="Chart 1">
          <a:extLst>
            <a:ext uri="{FF2B5EF4-FFF2-40B4-BE49-F238E27FC236}">
              <a16:creationId xmlns:a16="http://schemas.microsoft.com/office/drawing/2014/main" id="{D1CD3F59-F728-DBEC-FEF9-92302B20A3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283882</xdr:colOff>
      <xdr:row>13</xdr:row>
      <xdr:rowOff>92635</xdr:rowOff>
    </xdr:from>
    <xdr:to>
      <xdr:col>7</xdr:col>
      <xdr:colOff>239059</xdr:colOff>
      <xdr:row>25</xdr:row>
      <xdr:rowOff>14941</xdr:rowOff>
    </xdr:to>
    <xdr:graphicFrame macro="">
      <xdr:nvGraphicFramePr>
        <xdr:cNvPr id="4" name="Chart 3">
          <a:extLst>
            <a:ext uri="{FF2B5EF4-FFF2-40B4-BE49-F238E27FC236}">
              <a16:creationId xmlns:a16="http://schemas.microsoft.com/office/drawing/2014/main" id="{33B058AC-5F46-F0F9-A447-898DE8446C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814294</xdr:colOff>
      <xdr:row>10</xdr:row>
      <xdr:rowOff>10459</xdr:rowOff>
    </xdr:from>
    <xdr:to>
      <xdr:col>10</xdr:col>
      <xdr:colOff>789193</xdr:colOff>
      <xdr:row>15</xdr:row>
      <xdr:rowOff>136563</xdr:rowOff>
    </xdr:to>
    <xdr:graphicFrame macro="">
      <xdr:nvGraphicFramePr>
        <xdr:cNvPr id="8" name="Chart 7">
          <a:extLst>
            <a:ext uri="{FF2B5EF4-FFF2-40B4-BE49-F238E27FC236}">
              <a16:creationId xmlns:a16="http://schemas.microsoft.com/office/drawing/2014/main" id="{A6E701C8-268B-B7B5-587D-00F0294C3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1005817</xdr:colOff>
      <xdr:row>17</xdr:row>
      <xdr:rowOff>136547</xdr:rowOff>
    </xdr:from>
    <xdr:to>
      <xdr:col>14</xdr:col>
      <xdr:colOff>304703</xdr:colOff>
      <xdr:row>31</xdr:row>
      <xdr:rowOff>34415</xdr:rowOff>
    </xdr:to>
    <xdr:graphicFrame macro="">
      <xdr:nvGraphicFramePr>
        <xdr:cNvPr id="2" name="Chart 1">
          <a:extLst>
            <a:ext uri="{FF2B5EF4-FFF2-40B4-BE49-F238E27FC236}">
              <a16:creationId xmlns:a16="http://schemas.microsoft.com/office/drawing/2014/main" id="{4274CB03-66C2-D844-B56E-0EE1C7FB9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30032</xdr:colOff>
      <xdr:row>0</xdr:row>
      <xdr:rowOff>176524</xdr:rowOff>
    </xdr:from>
    <xdr:to>
      <xdr:col>14</xdr:col>
      <xdr:colOff>15194</xdr:colOff>
      <xdr:row>15</xdr:row>
      <xdr:rowOff>165506</xdr:rowOff>
    </xdr:to>
    <xdr:graphicFrame macro="">
      <xdr:nvGraphicFramePr>
        <xdr:cNvPr id="3" name="Chart 2">
          <a:extLst>
            <a:ext uri="{FF2B5EF4-FFF2-40B4-BE49-F238E27FC236}">
              <a16:creationId xmlns:a16="http://schemas.microsoft.com/office/drawing/2014/main" id="{02C63731-E665-5D4E-9581-A7D0A6413C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139043</xdr:colOff>
      <xdr:row>2</xdr:row>
      <xdr:rowOff>112621</xdr:rowOff>
    </xdr:from>
    <xdr:to>
      <xdr:col>17</xdr:col>
      <xdr:colOff>643834</xdr:colOff>
      <xdr:row>15</xdr:row>
      <xdr:rowOff>40387</xdr:rowOff>
    </xdr:to>
    <xdr:graphicFrame macro="">
      <xdr:nvGraphicFramePr>
        <xdr:cNvPr id="7" name="Chart 6">
          <a:extLst>
            <a:ext uri="{FF2B5EF4-FFF2-40B4-BE49-F238E27FC236}">
              <a16:creationId xmlns:a16="http://schemas.microsoft.com/office/drawing/2014/main" id="{46C2A23E-6D63-49A1-99A5-F0C07CBBAA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262466</xdr:colOff>
      <xdr:row>14</xdr:row>
      <xdr:rowOff>135467</xdr:rowOff>
    </xdr:from>
    <xdr:to>
      <xdr:col>9</xdr:col>
      <xdr:colOff>159626</xdr:colOff>
      <xdr:row>30</xdr:row>
      <xdr:rowOff>58473</xdr:rowOff>
    </xdr:to>
    <xdr:graphicFrame macro="">
      <xdr:nvGraphicFramePr>
        <xdr:cNvPr id="14" name="Chart 13">
          <a:extLst>
            <a:ext uri="{FF2B5EF4-FFF2-40B4-BE49-F238E27FC236}">
              <a16:creationId xmlns:a16="http://schemas.microsoft.com/office/drawing/2014/main" id="{B579C7DC-BE96-074D-AF6F-F5DEFD180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748604</xdr:colOff>
      <xdr:row>13</xdr:row>
      <xdr:rowOff>120126</xdr:rowOff>
    </xdr:from>
    <xdr:to>
      <xdr:col>5</xdr:col>
      <xdr:colOff>39541</xdr:colOff>
      <xdr:row>27</xdr:row>
      <xdr:rowOff>173424</xdr:rowOff>
    </xdr:to>
    <xdr:graphicFrame macro="">
      <xdr:nvGraphicFramePr>
        <xdr:cNvPr id="8" name="Chart 7">
          <a:extLst>
            <a:ext uri="{FF2B5EF4-FFF2-40B4-BE49-F238E27FC236}">
              <a16:creationId xmlns:a16="http://schemas.microsoft.com/office/drawing/2014/main" id="{E0324703-3998-C891-54A7-7C5314209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254000</xdr:colOff>
      <xdr:row>2</xdr:row>
      <xdr:rowOff>76200</xdr:rowOff>
    </xdr:from>
    <xdr:to>
      <xdr:col>20</xdr:col>
      <xdr:colOff>368062</xdr:colOff>
      <xdr:row>18</xdr:row>
      <xdr:rowOff>14689</xdr:rowOff>
    </xdr:to>
    <xdr:graphicFrame macro="">
      <xdr:nvGraphicFramePr>
        <xdr:cNvPr id="14" name="Chart 13">
          <a:extLst>
            <a:ext uri="{FF2B5EF4-FFF2-40B4-BE49-F238E27FC236}">
              <a16:creationId xmlns:a16="http://schemas.microsoft.com/office/drawing/2014/main" id="{0EEB86BA-1558-5F4C-985D-73A1C8FCE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696952</xdr:colOff>
      <xdr:row>13</xdr:row>
      <xdr:rowOff>131646</xdr:rowOff>
    </xdr:from>
    <xdr:to>
      <xdr:col>9</xdr:col>
      <xdr:colOff>553194</xdr:colOff>
      <xdr:row>27</xdr:row>
      <xdr:rowOff>184944</xdr:rowOff>
    </xdr:to>
    <xdr:graphicFrame macro="">
      <xdr:nvGraphicFramePr>
        <xdr:cNvPr id="20" name="Chart 19">
          <a:extLst>
            <a:ext uri="{FF2B5EF4-FFF2-40B4-BE49-F238E27FC236}">
              <a16:creationId xmlns:a16="http://schemas.microsoft.com/office/drawing/2014/main" id="{2D32DDDA-C267-5545-9D36-1795D2D16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32.615609953704" createdVersion="8" refreshedVersion="8" minRefreshableVersion="3" recordCount="1000" xr:uid="{98E86BF3-47CF-F844-8C99-81E2EFB11534}">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1/2019"/>
          <s v="Jan"/>
          <s v="Feb"/>
          <s v="Mar"/>
          <s v="Apr"/>
          <s v="May"/>
          <s v="Jun"/>
          <s v="Jul"/>
          <s v="Aug"/>
          <s v="Sep"/>
          <s v="Oct"/>
          <s v="Nov"/>
          <s v="Dec"/>
          <s v="&gt;20/8/2022"/>
        </groupItems>
      </fieldGroup>
    </cacheField>
    <cacheField name="Years (Order Date)"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1809375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x v="0"/>
    <x v="0"/>
    <x v="0"/>
    <n v="9.9499999999999993"/>
    <n v="19.899999999999999"/>
    <x v="0"/>
    <x v="0"/>
    <x v="0"/>
  </r>
  <r>
    <s v="QEV-37451-860"/>
    <x v="0"/>
    <x v="0"/>
    <s v="E-M-0.5"/>
    <n v="5"/>
    <x v="0"/>
    <s v="aallner0@lulu.com"/>
    <x v="0"/>
    <x v="1"/>
    <x v="0"/>
    <x v="1"/>
    <n v="8.25"/>
    <n v="41.25"/>
    <x v="1"/>
    <x v="0"/>
    <x v="0"/>
  </r>
  <r>
    <s v="FAA-43335-268"/>
    <x v="1"/>
    <x v="1"/>
    <s v="A-L-1"/>
    <n v="1"/>
    <x v="1"/>
    <s v="jredholes2@tmall.com"/>
    <x v="0"/>
    <x v="2"/>
    <x v="1"/>
    <x v="0"/>
    <n v="12.95"/>
    <n v="12.95"/>
    <x v="2"/>
    <x v="1"/>
    <x v="0"/>
  </r>
  <r>
    <s v="KAC-83089-793"/>
    <x v="2"/>
    <x v="2"/>
    <s v="E-M-1"/>
    <n v="2"/>
    <x v="2"/>
    <s v=""/>
    <x v="1"/>
    <x v="1"/>
    <x v="0"/>
    <x v="0"/>
    <n v="13.75"/>
    <n v="27.5"/>
    <x v="1"/>
    <x v="0"/>
    <x v="1"/>
  </r>
  <r>
    <s v="KAC-83089-793"/>
    <x v="2"/>
    <x v="2"/>
    <s v="R-L-2.5"/>
    <n v="2"/>
    <x v="2"/>
    <s v=""/>
    <x v="1"/>
    <x v="0"/>
    <x v="1"/>
    <x v="2"/>
    <n v="27.484999999999996"/>
    <n v="54.969999999999992"/>
    <x v="0"/>
    <x v="1"/>
    <x v="1"/>
  </r>
  <r>
    <s v="CVP-18956-553"/>
    <x v="3"/>
    <x v="3"/>
    <s v="L-D-1"/>
    <n v="3"/>
    <x v="3"/>
    <s v=""/>
    <x v="0"/>
    <x v="3"/>
    <x v="2"/>
    <x v="0"/>
    <n v="12.95"/>
    <n v="38.849999999999994"/>
    <x v="3"/>
    <x v="2"/>
    <x v="1"/>
  </r>
  <r>
    <s v="IPP-31994-879"/>
    <x v="4"/>
    <x v="4"/>
    <s v="E-D-0.5"/>
    <n v="3"/>
    <x v="4"/>
    <s v="slobe6@nifty.com"/>
    <x v="0"/>
    <x v="1"/>
    <x v="2"/>
    <x v="1"/>
    <n v="7.29"/>
    <n v="21.87"/>
    <x v="1"/>
    <x v="2"/>
    <x v="0"/>
  </r>
  <r>
    <s v="SNZ-65340-705"/>
    <x v="5"/>
    <x v="5"/>
    <s v="L-L-0.2"/>
    <n v="1"/>
    <x v="5"/>
    <s v=""/>
    <x v="1"/>
    <x v="3"/>
    <x v="1"/>
    <x v="3"/>
    <n v="4.7549999999999999"/>
    <n v="4.7549999999999999"/>
    <x v="3"/>
    <x v="1"/>
    <x v="0"/>
  </r>
  <r>
    <s v="EZT-46571-659"/>
    <x v="6"/>
    <x v="6"/>
    <s v="R-M-0.5"/>
    <n v="3"/>
    <x v="6"/>
    <s v="gpetracci8@livejournal.com"/>
    <x v="0"/>
    <x v="0"/>
    <x v="0"/>
    <x v="1"/>
    <n v="5.97"/>
    <n v="17.91"/>
    <x v="0"/>
    <x v="0"/>
    <x v="1"/>
  </r>
  <r>
    <s v="NWQ-70061-912"/>
    <x v="0"/>
    <x v="7"/>
    <s v="R-M-0.5"/>
    <n v="1"/>
    <x v="7"/>
    <s v="rraven9@ed.gov"/>
    <x v="0"/>
    <x v="0"/>
    <x v="0"/>
    <x v="1"/>
    <n v="5.97"/>
    <n v="5.97"/>
    <x v="0"/>
    <x v="0"/>
    <x v="1"/>
  </r>
  <r>
    <s v="BKK-47233-845"/>
    <x v="7"/>
    <x v="8"/>
    <s v="A-D-1"/>
    <n v="4"/>
    <x v="8"/>
    <s v="fferbera@businesswire.com"/>
    <x v="0"/>
    <x v="2"/>
    <x v="2"/>
    <x v="0"/>
    <n v="9.9499999999999993"/>
    <n v="39.799999999999997"/>
    <x v="2"/>
    <x v="2"/>
    <x v="1"/>
  </r>
  <r>
    <s v="VQR-01002-970"/>
    <x v="8"/>
    <x v="9"/>
    <s v="E-L-2.5"/>
    <n v="5"/>
    <x v="9"/>
    <s v="dphizackerlyb@utexas.edu"/>
    <x v="0"/>
    <x v="1"/>
    <x v="1"/>
    <x v="2"/>
    <n v="34.154999999999994"/>
    <n v="170.77499999999998"/>
    <x v="1"/>
    <x v="1"/>
    <x v="0"/>
  </r>
  <r>
    <s v="SZW-48378-399"/>
    <x v="9"/>
    <x v="10"/>
    <s v="R-M-1"/>
    <n v="5"/>
    <x v="10"/>
    <s v="rscholarc@nyu.edu"/>
    <x v="0"/>
    <x v="0"/>
    <x v="0"/>
    <x v="0"/>
    <n v="9.9499999999999993"/>
    <n v="49.75"/>
    <x v="0"/>
    <x v="0"/>
    <x v="1"/>
  </r>
  <r>
    <s v="ITA-87418-783"/>
    <x v="10"/>
    <x v="11"/>
    <s v="R-D-2.5"/>
    <n v="2"/>
    <x v="11"/>
    <s v="tvanyutind@wix.com"/>
    <x v="0"/>
    <x v="0"/>
    <x v="2"/>
    <x v="2"/>
    <n v="20.584999999999997"/>
    <n v="41.169999999999995"/>
    <x v="0"/>
    <x v="2"/>
    <x v="1"/>
  </r>
  <r>
    <s v="GNZ-46006-527"/>
    <x v="11"/>
    <x v="12"/>
    <s v="L-D-0.2"/>
    <n v="3"/>
    <x v="12"/>
    <s v="ptrobee@wunderground.com"/>
    <x v="0"/>
    <x v="3"/>
    <x v="2"/>
    <x v="3"/>
    <n v="3.8849999999999998"/>
    <n v="11.654999999999999"/>
    <x v="3"/>
    <x v="2"/>
    <x v="0"/>
  </r>
  <r>
    <s v="FYQ-78248-319"/>
    <x v="12"/>
    <x v="13"/>
    <s v="R-M-2.5"/>
    <n v="5"/>
    <x v="13"/>
    <s v="loscroftf@ebay.co.uk"/>
    <x v="0"/>
    <x v="0"/>
    <x v="0"/>
    <x v="2"/>
    <n v="22.884999999999998"/>
    <n v="114.42499999999998"/>
    <x v="0"/>
    <x v="0"/>
    <x v="1"/>
  </r>
  <r>
    <s v="VAU-44387-624"/>
    <x v="13"/>
    <x v="14"/>
    <s v="A-M-0.2"/>
    <n v="6"/>
    <x v="14"/>
    <s v="malabasterg@hexun.com"/>
    <x v="0"/>
    <x v="2"/>
    <x v="0"/>
    <x v="3"/>
    <n v="3.375"/>
    <n v="20.25"/>
    <x v="2"/>
    <x v="0"/>
    <x v="1"/>
  </r>
  <r>
    <s v="RDW-33155-159"/>
    <x v="14"/>
    <x v="15"/>
    <s v="A-L-1"/>
    <n v="6"/>
    <x v="15"/>
    <s v="rbroxuph@jimdo.com"/>
    <x v="0"/>
    <x v="2"/>
    <x v="1"/>
    <x v="0"/>
    <n v="12.95"/>
    <n v="77.699999999999989"/>
    <x v="2"/>
    <x v="1"/>
    <x v="1"/>
  </r>
  <r>
    <s v="TDZ-59011-211"/>
    <x v="15"/>
    <x v="16"/>
    <s v="R-D-2.5"/>
    <n v="4"/>
    <x v="16"/>
    <s v="predfordi@ow.ly"/>
    <x v="1"/>
    <x v="0"/>
    <x v="2"/>
    <x v="2"/>
    <n v="20.584999999999997"/>
    <n v="82.339999999999989"/>
    <x v="0"/>
    <x v="2"/>
    <x v="0"/>
  </r>
  <r>
    <s v="IDU-25793-399"/>
    <x v="16"/>
    <x v="17"/>
    <s v="A-M-0.2"/>
    <n v="5"/>
    <x v="17"/>
    <s v="acorradinoj@harvard.edu"/>
    <x v="0"/>
    <x v="2"/>
    <x v="0"/>
    <x v="3"/>
    <n v="3.375"/>
    <n v="16.875"/>
    <x v="2"/>
    <x v="0"/>
    <x v="0"/>
  </r>
  <r>
    <s v="IDU-25793-399"/>
    <x v="16"/>
    <x v="17"/>
    <s v="E-D-0.2"/>
    <n v="4"/>
    <x v="17"/>
    <s v="acorradinoj@harvard.edu"/>
    <x v="0"/>
    <x v="1"/>
    <x v="2"/>
    <x v="3"/>
    <n v="3.645"/>
    <n v="14.58"/>
    <x v="1"/>
    <x v="2"/>
    <x v="0"/>
  </r>
  <r>
    <s v="NUO-20013-488"/>
    <x v="16"/>
    <x v="18"/>
    <s v="A-D-0.2"/>
    <n v="6"/>
    <x v="18"/>
    <s v="adavidowskyl@netvibes.com"/>
    <x v="0"/>
    <x v="2"/>
    <x v="2"/>
    <x v="3"/>
    <n v="2.9849999999999999"/>
    <n v="17.91"/>
    <x v="2"/>
    <x v="2"/>
    <x v="1"/>
  </r>
  <r>
    <s v="UQU-65630-479"/>
    <x v="17"/>
    <x v="19"/>
    <s v="R-M-2.5"/>
    <n v="4"/>
    <x v="19"/>
    <s v="aantukm@kickstarter.com"/>
    <x v="0"/>
    <x v="0"/>
    <x v="0"/>
    <x v="2"/>
    <n v="22.884999999999998"/>
    <n v="91.539999999999992"/>
    <x v="0"/>
    <x v="0"/>
    <x v="0"/>
  </r>
  <r>
    <s v="FEO-11834-332"/>
    <x v="18"/>
    <x v="20"/>
    <s v="A-D-0.2"/>
    <n v="4"/>
    <x v="20"/>
    <s v="ikleinertn@timesonline.co.uk"/>
    <x v="0"/>
    <x v="2"/>
    <x v="2"/>
    <x v="3"/>
    <n v="2.9849999999999999"/>
    <n v="11.94"/>
    <x v="2"/>
    <x v="2"/>
    <x v="0"/>
  </r>
  <r>
    <s v="TKY-71558-096"/>
    <x v="19"/>
    <x v="21"/>
    <s v="A-M-1"/>
    <n v="1"/>
    <x v="21"/>
    <s v="cblofeldo@amazon.co.uk"/>
    <x v="0"/>
    <x v="2"/>
    <x v="0"/>
    <x v="0"/>
    <n v="11.25"/>
    <n v="11.25"/>
    <x v="2"/>
    <x v="0"/>
    <x v="1"/>
  </r>
  <r>
    <s v="OXY-65322-253"/>
    <x v="20"/>
    <x v="22"/>
    <s v="E-M-0.2"/>
    <n v="3"/>
    <x v="22"/>
    <s v=""/>
    <x v="0"/>
    <x v="1"/>
    <x v="0"/>
    <x v="3"/>
    <n v="4.125"/>
    <n v="12.375"/>
    <x v="1"/>
    <x v="0"/>
    <x v="0"/>
  </r>
  <r>
    <s v="EVP-43500-491"/>
    <x v="21"/>
    <x v="23"/>
    <s v="A-M-0.5"/>
    <n v="4"/>
    <x v="23"/>
    <s v="sshalesq@umich.edu"/>
    <x v="0"/>
    <x v="2"/>
    <x v="0"/>
    <x v="1"/>
    <n v="6.75"/>
    <n v="27"/>
    <x v="2"/>
    <x v="0"/>
    <x v="0"/>
  </r>
  <r>
    <s v="WAG-26945-689"/>
    <x v="22"/>
    <x v="24"/>
    <s v="A-M-0.2"/>
    <n v="5"/>
    <x v="24"/>
    <s v="vdanneilr@mtv.com"/>
    <x v="1"/>
    <x v="2"/>
    <x v="0"/>
    <x v="3"/>
    <n v="3.375"/>
    <n v="16.875"/>
    <x v="2"/>
    <x v="0"/>
    <x v="1"/>
  </r>
  <r>
    <s v="CHE-78995-767"/>
    <x v="23"/>
    <x v="25"/>
    <s v="A-D-0.5"/>
    <n v="3"/>
    <x v="25"/>
    <s v="tnewburys@usda.gov"/>
    <x v="1"/>
    <x v="2"/>
    <x v="2"/>
    <x v="1"/>
    <n v="5.97"/>
    <n v="17.91"/>
    <x v="2"/>
    <x v="2"/>
    <x v="1"/>
  </r>
  <r>
    <s v="RYZ-14633-602"/>
    <x v="21"/>
    <x v="26"/>
    <s v="A-D-1"/>
    <n v="4"/>
    <x v="26"/>
    <s v="mcalcuttt@baidu.com"/>
    <x v="1"/>
    <x v="2"/>
    <x v="2"/>
    <x v="0"/>
    <n v="9.9499999999999993"/>
    <n v="39.799999999999997"/>
    <x v="2"/>
    <x v="2"/>
    <x v="0"/>
  </r>
  <r>
    <s v="WOQ-36015-429"/>
    <x v="24"/>
    <x v="27"/>
    <s v="L-M-0.2"/>
    <n v="5"/>
    <x v="27"/>
    <s v=""/>
    <x v="0"/>
    <x v="3"/>
    <x v="0"/>
    <x v="3"/>
    <n v="4.3650000000000002"/>
    <n v="21.825000000000003"/>
    <x v="3"/>
    <x v="0"/>
    <x v="1"/>
  </r>
  <r>
    <s v="WOQ-36015-429"/>
    <x v="24"/>
    <x v="27"/>
    <s v="A-D-0.5"/>
    <n v="6"/>
    <x v="27"/>
    <s v=""/>
    <x v="0"/>
    <x v="2"/>
    <x v="2"/>
    <x v="1"/>
    <n v="5.97"/>
    <n v="35.82"/>
    <x v="2"/>
    <x v="2"/>
    <x v="1"/>
  </r>
  <r>
    <s v="WOQ-36015-429"/>
    <x v="24"/>
    <x v="27"/>
    <s v="L-M-0.5"/>
    <n v="6"/>
    <x v="27"/>
    <s v=""/>
    <x v="0"/>
    <x v="3"/>
    <x v="0"/>
    <x v="1"/>
    <n v="8.73"/>
    <n v="52.38"/>
    <x v="3"/>
    <x v="0"/>
    <x v="1"/>
  </r>
  <r>
    <s v="SCT-60553-454"/>
    <x v="25"/>
    <x v="28"/>
    <s v="L-L-0.2"/>
    <n v="5"/>
    <x v="28"/>
    <s v="ggatheralx@123-reg.co.uk"/>
    <x v="0"/>
    <x v="3"/>
    <x v="1"/>
    <x v="3"/>
    <n v="4.7549999999999999"/>
    <n v="23.774999999999999"/>
    <x v="3"/>
    <x v="1"/>
    <x v="1"/>
  </r>
  <r>
    <s v="GFK-52063-244"/>
    <x v="26"/>
    <x v="29"/>
    <s v="L-L-0.5"/>
    <n v="6"/>
    <x v="29"/>
    <s v="uwelberryy@ebay.co.uk"/>
    <x v="2"/>
    <x v="3"/>
    <x v="1"/>
    <x v="1"/>
    <n v="9.51"/>
    <n v="57.06"/>
    <x v="3"/>
    <x v="1"/>
    <x v="0"/>
  </r>
  <r>
    <s v="AMM-79521-378"/>
    <x v="27"/>
    <x v="30"/>
    <s v="A-D-0.5"/>
    <n v="6"/>
    <x v="30"/>
    <s v="feilhartz@who.int"/>
    <x v="0"/>
    <x v="2"/>
    <x v="2"/>
    <x v="1"/>
    <n v="5.97"/>
    <n v="35.82"/>
    <x v="2"/>
    <x v="2"/>
    <x v="1"/>
  </r>
  <r>
    <s v="QUQ-90580-772"/>
    <x v="28"/>
    <x v="31"/>
    <s v="L-M-0.2"/>
    <n v="2"/>
    <x v="31"/>
    <s v="zponting10@altervista.org"/>
    <x v="0"/>
    <x v="3"/>
    <x v="0"/>
    <x v="3"/>
    <n v="4.3650000000000002"/>
    <n v="8.73"/>
    <x v="3"/>
    <x v="0"/>
    <x v="1"/>
  </r>
  <r>
    <s v="LGD-24408-274"/>
    <x v="29"/>
    <x v="32"/>
    <s v="L-L-0.5"/>
    <n v="3"/>
    <x v="32"/>
    <s v="sstrase11@booking.com"/>
    <x v="0"/>
    <x v="3"/>
    <x v="1"/>
    <x v="1"/>
    <n v="9.51"/>
    <n v="28.53"/>
    <x v="3"/>
    <x v="1"/>
    <x v="1"/>
  </r>
  <r>
    <s v="HCT-95608-959"/>
    <x v="30"/>
    <x v="33"/>
    <s v="R-M-2.5"/>
    <n v="5"/>
    <x v="33"/>
    <s v="dde12@unesco.org"/>
    <x v="0"/>
    <x v="0"/>
    <x v="0"/>
    <x v="2"/>
    <n v="22.884999999999998"/>
    <n v="114.42499999999998"/>
    <x v="0"/>
    <x v="0"/>
    <x v="1"/>
  </r>
  <r>
    <s v="OFX-99147-470"/>
    <x v="31"/>
    <x v="34"/>
    <s v="R-M-1"/>
    <n v="6"/>
    <x v="34"/>
    <s v=""/>
    <x v="0"/>
    <x v="0"/>
    <x v="0"/>
    <x v="0"/>
    <n v="9.9499999999999993"/>
    <n v="59.699999999999996"/>
    <x v="0"/>
    <x v="0"/>
    <x v="0"/>
  </r>
  <r>
    <s v="LUO-37559-016"/>
    <x v="32"/>
    <x v="35"/>
    <s v="L-M-1"/>
    <n v="3"/>
    <x v="35"/>
    <s v=""/>
    <x v="0"/>
    <x v="3"/>
    <x v="0"/>
    <x v="0"/>
    <n v="14.55"/>
    <n v="43.650000000000006"/>
    <x v="3"/>
    <x v="0"/>
    <x v="1"/>
  </r>
  <r>
    <s v="XWC-20610-167"/>
    <x v="33"/>
    <x v="36"/>
    <s v="E-D-0.2"/>
    <n v="2"/>
    <x v="36"/>
    <s v="lyeoland15@pbs.org"/>
    <x v="0"/>
    <x v="1"/>
    <x v="2"/>
    <x v="3"/>
    <n v="3.645"/>
    <n v="7.29"/>
    <x v="1"/>
    <x v="2"/>
    <x v="0"/>
  </r>
  <r>
    <s v="GPU-79113-136"/>
    <x v="34"/>
    <x v="37"/>
    <s v="R-D-0.2"/>
    <n v="3"/>
    <x v="37"/>
    <s v="atolworthy16@toplist.cz"/>
    <x v="0"/>
    <x v="0"/>
    <x v="2"/>
    <x v="3"/>
    <n v="2.6849999999999996"/>
    <n v="8.0549999999999997"/>
    <x v="0"/>
    <x v="2"/>
    <x v="0"/>
  </r>
  <r>
    <s v="ULR-52653-960"/>
    <x v="35"/>
    <x v="38"/>
    <s v="L-L-2.5"/>
    <n v="2"/>
    <x v="38"/>
    <s v=""/>
    <x v="0"/>
    <x v="3"/>
    <x v="1"/>
    <x v="2"/>
    <n v="36.454999999999998"/>
    <n v="72.91"/>
    <x v="3"/>
    <x v="1"/>
    <x v="1"/>
  </r>
  <r>
    <s v="HPI-42308-142"/>
    <x v="36"/>
    <x v="39"/>
    <s v="E-M-0.5"/>
    <n v="2"/>
    <x v="39"/>
    <s v="obaudassi18@seesaa.net"/>
    <x v="0"/>
    <x v="1"/>
    <x v="0"/>
    <x v="1"/>
    <n v="8.25"/>
    <n v="16.5"/>
    <x v="1"/>
    <x v="0"/>
    <x v="0"/>
  </r>
  <r>
    <s v="XHI-30227-581"/>
    <x v="37"/>
    <x v="40"/>
    <s v="L-D-2.5"/>
    <n v="6"/>
    <x v="40"/>
    <s v="pkingsbury19@comcast.net"/>
    <x v="0"/>
    <x v="3"/>
    <x v="2"/>
    <x v="2"/>
    <n v="29.784999999999997"/>
    <n v="178.70999999999998"/>
    <x v="3"/>
    <x v="2"/>
    <x v="1"/>
  </r>
  <r>
    <s v="DJH-05202-380"/>
    <x v="38"/>
    <x v="41"/>
    <s v="E-M-2.5"/>
    <n v="2"/>
    <x v="41"/>
    <s v=""/>
    <x v="0"/>
    <x v="1"/>
    <x v="0"/>
    <x v="2"/>
    <n v="31.624999999999996"/>
    <n v="63.249999999999993"/>
    <x v="1"/>
    <x v="0"/>
    <x v="0"/>
  </r>
  <r>
    <s v="VMW-26889-781"/>
    <x v="39"/>
    <x v="42"/>
    <s v="A-L-0.2"/>
    <n v="2"/>
    <x v="42"/>
    <s v="acurley1b@hao123.com"/>
    <x v="0"/>
    <x v="2"/>
    <x v="1"/>
    <x v="3"/>
    <n v="3.8849999999999998"/>
    <n v="7.77"/>
    <x v="2"/>
    <x v="1"/>
    <x v="0"/>
  </r>
  <r>
    <s v="DBU-81099-586"/>
    <x v="40"/>
    <x v="43"/>
    <s v="A-D-2.5"/>
    <n v="4"/>
    <x v="43"/>
    <s v="rmcgilvary1c@tamu.edu"/>
    <x v="0"/>
    <x v="2"/>
    <x v="2"/>
    <x v="2"/>
    <n v="22.884999999999998"/>
    <n v="91.539999999999992"/>
    <x v="2"/>
    <x v="2"/>
    <x v="1"/>
  </r>
  <r>
    <s v="PQA-54820-810"/>
    <x v="41"/>
    <x v="44"/>
    <s v="A-L-1"/>
    <n v="3"/>
    <x v="44"/>
    <s v="ipikett1d@xinhuanet.com"/>
    <x v="0"/>
    <x v="2"/>
    <x v="1"/>
    <x v="0"/>
    <n v="12.95"/>
    <n v="38.849999999999994"/>
    <x v="2"/>
    <x v="1"/>
    <x v="1"/>
  </r>
  <r>
    <s v="XKB-41924-202"/>
    <x v="42"/>
    <x v="45"/>
    <s v="L-D-0.5"/>
    <n v="2"/>
    <x v="45"/>
    <s v="ibouldon1e@gizmodo.com"/>
    <x v="0"/>
    <x v="3"/>
    <x v="2"/>
    <x v="1"/>
    <n v="7.77"/>
    <n v="15.54"/>
    <x v="3"/>
    <x v="2"/>
    <x v="1"/>
  </r>
  <r>
    <s v="DWZ-69106-473"/>
    <x v="43"/>
    <x v="46"/>
    <s v="L-L-2.5"/>
    <n v="4"/>
    <x v="46"/>
    <s v="kflanders1f@over-blog.com"/>
    <x v="1"/>
    <x v="3"/>
    <x v="1"/>
    <x v="2"/>
    <n v="36.454999999999998"/>
    <n v="145.82"/>
    <x v="3"/>
    <x v="1"/>
    <x v="0"/>
  </r>
  <r>
    <s v="YHV-68700-050"/>
    <x v="44"/>
    <x v="47"/>
    <s v="R-M-0.5"/>
    <n v="5"/>
    <x v="47"/>
    <s v="hmattioli1g@webmd.com"/>
    <x v="2"/>
    <x v="0"/>
    <x v="0"/>
    <x v="1"/>
    <n v="5.97"/>
    <n v="29.849999999999998"/>
    <x v="0"/>
    <x v="0"/>
    <x v="1"/>
  </r>
  <r>
    <s v="YHV-68700-050"/>
    <x v="44"/>
    <x v="47"/>
    <s v="L-L-2.5"/>
    <n v="2"/>
    <x v="47"/>
    <s v="hmattioli1g@webmd.com"/>
    <x v="2"/>
    <x v="3"/>
    <x v="1"/>
    <x v="2"/>
    <n v="36.454999999999998"/>
    <n v="72.91"/>
    <x v="3"/>
    <x v="1"/>
    <x v="1"/>
  </r>
  <r>
    <s v="KRB-88066-642"/>
    <x v="45"/>
    <x v="48"/>
    <s v="L-M-1"/>
    <n v="5"/>
    <x v="48"/>
    <s v="agillard1i@issuu.com"/>
    <x v="0"/>
    <x v="3"/>
    <x v="0"/>
    <x v="0"/>
    <n v="14.55"/>
    <n v="72.75"/>
    <x v="3"/>
    <x v="0"/>
    <x v="1"/>
  </r>
  <r>
    <s v="LQU-08404-173"/>
    <x v="46"/>
    <x v="49"/>
    <s v="L-L-1"/>
    <n v="3"/>
    <x v="49"/>
    <s v=""/>
    <x v="0"/>
    <x v="3"/>
    <x v="1"/>
    <x v="0"/>
    <n v="15.85"/>
    <n v="47.55"/>
    <x v="3"/>
    <x v="1"/>
    <x v="1"/>
  </r>
  <r>
    <s v="CWK-60159-881"/>
    <x v="47"/>
    <x v="50"/>
    <s v="E-D-0.2"/>
    <n v="3"/>
    <x v="50"/>
    <s v="tgrizard1k@odnoklassniki.ru"/>
    <x v="0"/>
    <x v="1"/>
    <x v="2"/>
    <x v="3"/>
    <n v="3.645"/>
    <n v="10.935"/>
    <x v="1"/>
    <x v="2"/>
    <x v="0"/>
  </r>
  <r>
    <s v="EEG-74197-843"/>
    <x v="48"/>
    <x v="51"/>
    <s v="E-L-1"/>
    <n v="4"/>
    <x v="51"/>
    <s v="rrelton1l@stanford.edu"/>
    <x v="0"/>
    <x v="1"/>
    <x v="1"/>
    <x v="0"/>
    <n v="14.85"/>
    <n v="59.4"/>
    <x v="1"/>
    <x v="1"/>
    <x v="1"/>
  </r>
  <r>
    <s v="UCZ-59708-525"/>
    <x v="49"/>
    <x v="52"/>
    <s v="L-D-2.5"/>
    <n v="3"/>
    <x v="52"/>
    <s v=""/>
    <x v="0"/>
    <x v="3"/>
    <x v="2"/>
    <x v="2"/>
    <n v="29.784999999999997"/>
    <n v="89.35499999999999"/>
    <x v="3"/>
    <x v="2"/>
    <x v="0"/>
  </r>
  <r>
    <s v="HUB-47311-849"/>
    <x v="50"/>
    <x v="53"/>
    <s v="L-M-0.5"/>
    <n v="3"/>
    <x v="53"/>
    <s v="sgilroy1n@eepurl.com"/>
    <x v="0"/>
    <x v="3"/>
    <x v="0"/>
    <x v="1"/>
    <n v="8.73"/>
    <n v="26.19"/>
    <x v="3"/>
    <x v="0"/>
    <x v="0"/>
  </r>
  <r>
    <s v="WYM-17686-694"/>
    <x v="51"/>
    <x v="54"/>
    <s v="A-D-2.5"/>
    <n v="5"/>
    <x v="54"/>
    <s v="ccottingham1o@wikipedia.org"/>
    <x v="0"/>
    <x v="2"/>
    <x v="2"/>
    <x v="2"/>
    <n v="22.884999999999998"/>
    <n v="114.42499999999998"/>
    <x v="2"/>
    <x v="2"/>
    <x v="1"/>
  </r>
  <r>
    <s v="ZYQ-15797-695"/>
    <x v="52"/>
    <x v="55"/>
    <s v="R-D-0.5"/>
    <n v="5"/>
    <x v="55"/>
    <s v=""/>
    <x v="2"/>
    <x v="0"/>
    <x v="2"/>
    <x v="1"/>
    <n v="5.3699999999999992"/>
    <n v="26.849999999999994"/>
    <x v="0"/>
    <x v="2"/>
    <x v="0"/>
  </r>
  <r>
    <s v="EEJ-16185-108"/>
    <x v="53"/>
    <x v="56"/>
    <s v="L-L-0.2"/>
    <n v="5"/>
    <x v="56"/>
    <s v=""/>
    <x v="0"/>
    <x v="3"/>
    <x v="1"/>
    <x v="3"/>
    <n v="4.7549999999999999"/>
    <n v="23.774999999999999"/>
    <x v="3"/>
    <x v="1"/>
    <x v="0"/>
  </r>
  <r>
    <s v="RWR-77888-800"/>
    <x v="54"/>
    <x v="57"/>
    <s v="A-M-0.5"/>
    <n v="1"/>
    <x v="57"/>
    <s v="adykes1r@eventbrite.com"/>
    <x v="0"/>
    <x v="2"/>
    <x v="0"/>
    <x v="1"/>
    <n v="6.75"/>
    <n v="6.75"/>
    <x v="2"/>
    <x v="0"/>
    <x v="1"/>
  </r>
  <r>
    <s v="LHN-75209-742"/>
    <x v="55"/>
    <x v="58"/>
    <s v="R-M-0.5"/>
    <n v="6"/>
    <x v="58"/>
    <s v=""/>
    <x v="0"/>
    <x v="0"/>
    <x v="0"/>
    <x v="1"/>
    <n v="5.97"/>
    <n v="35.82"/>
    <x v="0"/>
    <x v="0"/>
    <x v="0"/>
  </r>
  <r>
    <s v="TIR-71396-998"/>
    <x v="56"/>
    <x v="59"/>
    <s v="R-D-2.5"/>
    <n v="4"/>
    <x v="59"/>
    <s v="acockrem1t@engadget.com"/>
    <x v="0"/>
    <x v="0"/>
    <x v="2"/>
    <x v="2"/>
    <n v="20.584999999999997"/>
    <n v="82.339999999999989"/>
    <x v="0"/>
    <x v="2"/>
    <x v="0"/>
  </r>
  <r>
    <s v="RXF-37618-213"/>
    <x v="57"/>
    <x v="60"/>
    <s v="R-L-0.5"/>
    <n v="1"/>
    <x v="60"/>
    <s v="bumpleby1u@soundcloud.com"/>
    <x v="0"/>
    <x v="0"/>
    <x v="1"/>
    <x v="1"/>
    <n v="7.169999999999999"/>
    <n v="7.169999999999999"/>
    <x v="0"/>
    <x v="1"/>
    <x v="0"/>
  </r>
  <r>
    <s v="ANM-16388-634"/>
    <x v="58"/>
    <x v="61"/>
    <s v="L-L-0.2"/>
    <n v="2"/>
    <x v="61"/>
    <s v="nsaleway1v@dedecms.com"/>
    <x v="0"/>
    <x v="3"/>
    <x v="1"/>
    <x v="3"/>
    <n v="4.7549999999999999"/>
    <n v="9.51"/>
    <x v="3"/>
    <x v="1"/>
    <x v="1"/>
  </r>
  <r>
    <s v="WYL-29300-070"/>
    <x v="59"/>
    <x v="62"/>
    <s v="R-M-0.2"/>
    <n v="1"/>
    <x v="62"/>
    <s v="hgoulter1w@abc.net.au"/>
    <x v="0"/>
    <x v="0"/>
    <x v="0"/>
    <x v="3"/>
    <n v="2.9849999999999999"/>
    <n v="2.9849999999999999"/>
    <x v="0"/>
    <x v="0"/>
    <x v="1"/>
  </r>
  <r>
    <s v="JHW-74554-805"/>
    <x v="60"/>
    <x v="63"/>
    <s v="R-M-1"/>
    <n v="6"/>
    <x v="63"/>
    <s v="grizzello1x@symantec.com"/>
    <x v="2"/>
    <x v="0"/>
    <x v="0"/>
    <x v="0"/>
    <n v="9.9499999999999993"/>
    <n v="59.699999999999996"/>
    <x v="0"/>
    <x v="0"/>
    <x v="0"/>
  </r>
  <r>
    <s v="KYS-27063-603"/>
    <x v="61"/>
    <x v="64"/>
    <s v="E-L-2.5"/>
    <n v="4"/>
    <x v="64"/>
    <s v="slist1y@mapquest.com"/>
    <x v="0"/>
    <x v="1"/>
    <x v="1"/>
    <x v="2"/>
    <n v="34.154999999999994"/>
    <n v="136.61999999999998"/>
    <x v="1"/>
    <x v="1"/>
    <x v="1"/>
  </r>
  <r>
    <s v="GAZ-58626-277"/>
    <x v="62"/>
    <x v="65"/>
    <s v="L-L-0.2"/>
    <n v="2"/>
    <x v="65"/>
    <s v="sedmondson1z@theguardian.com"/>
    <x v="1"/>
    <x v="3"/>
    <x v="1"/>
    <x v="3"/>
    <n v="4.7549999999999999"/>
    <n v="9.51"/>
    <x v="3"/>
    <x v="1"/>
    <x v="1"/>
  </r>
  <r>
    <s v="RPJ-37787-335"/>
    <x v="63"/>
    <x v="66"/>
    <s v="A-M-2.5"/>
    <n v="3"/>
    <x v="66"/>
    <s v=""/>
    <x v="0"/>
    <x v="2"/>
    <x v="0"/>
    <x v="2"/>
    <n v="25.874999999999996"/>
    <n v="77.624999999999986"/>
    <x v="2"/>
    <x v="0"/>
    <x v="1"/>
  </r>
  <r>
    <s v="LEF-83057-763"/>
    <x v="64"/>
    <x v="67"/>
    <s v="L-M-0.2"/>
    <n v="5"/>
    <x v="67"/>
    <s v=""/>
    <x v="0"/>
    <x v="3"/>
    <x v="0"/>
    <x v="3"/>
    <n v="4.3650000000000002"/>
    <n v="21.825000000000003"/>
    <x v="3"/>
    <x v="0"/>
    <x v="0"/>
  </r>
  <r>
    <s v="RPW-36123-215"/>
    <x v="65"/>
    <x v="68"/>
    <s v="E-L-0.5"/>
    <n v="2"/>
    <x v="68"/>
    <s v="jrangall22@newsvine.com"/>
    <x v="0"/>
    <x v="1"/>
    <x v="1"/>
    <x v="1"/>
    <n v="8.91"/>
    <n v="17.82"/>
    <x v="1"/>
    <x v="1"/>
    <x v="0"/>
  </r>
  <r>
    <s v="WLL-59044-117"/>
    <x v="66"/>
    <x v="69"/>
    <s v="R-D-1"/>
    <n v="6"/>
    <x v="69"/>
    <s v="kboorn23@ezinearticles.com"/>
    <x v="1"/>
    <x v="0"/>
    <x v="2"/>
    <x v="0"/>
    <n v="8.9499999999999993"/>
    <n v="53.699999999999996"/>
    <x v="0"/>
    <x v="2"/>
    <x v="0"/>
  </r>
  <r>
    <s v="AWT-22827-563"/>
    <x v="67"/>
    <x v="70"/>
    <s v="R-L-0.2"/>
    <n v="1"/>
    <x v="70"/>
    <s v=""/>
    <x v="1"/>
    <x v="0"/>
    <x v="1"/>
    <x v="3"/>
    <n v="3.5849999999999995"/>
    <n v="3.5849999999999995"/>
    <x v="0"/>
    <x v="1"/>
    <x v="0"/>
  </r>
  <r>
    <s v="QLM-07145-668"/>
    <x v="68"/>
    <x v="71"/>
    <s v="E-D-0.2"/>
    <n v="2"/>
    <x v="71"/>
    <s v="celgey25@webs.com"/>
    <x v="0"/>
    <x v="1"/>
    <x v="2"/>
    <x v="3"/>
    <n v="3.645"/>
    <n v="7.29"/>
    <x v="1"/>
    <x v="2"/>
    <x v="1"/>
  </r>
  <r>
    <s v="HVQ-64398-930"/>
    <x v="69"/>
    <x v="72"/>
    <s v="A-M-0.5"/>
    <n v="6"/>
    <x v="72"/>
    <s v="lmizzi26@rakuten.co.jp"/>
    <x v="0"/>
    <x v="2"/>
    <x v="0"/>
    <x v="1"/>
    <n v="6.75"/>
    <n v="40.5"/>
    <x v="2"/>
    <x v="0"/>
    <x v="0"/>
  </r>
  <r>
    <s v="WRT-40778-247"/>
    <x v="70"/>
    <x v="73"/>
    <s v="R-L-1"/>
    <n v="4"/>
    <x v="73"/>
    <s v="cgiacomazzo27@jigsy.com"/>
    <x v="0"/>
    <x v="0"/>
    <x v="1"/>
    <x v="0"/>
    <n v="11.95"/>
    <n v="47.8"/>
    <x v="0"/>
    <x v="1"/>
    <x v="1"/>
  </r>
  <r>
    <s v="SUB-13006-125"/>
    <x v="71"/>
    <x v="74"/>
    <s v="A-L-0.5"/>
    <n v="5"/>
    <x v="74"/>
    <s v="aarnow28@arizona.edu"/>
    <x v="0"/>
    <x v="2"/>
    <x v="1"/>
    <x v="1"/>
    <n v="7.77"/>
    <n v="38.849999999999994"/>
    <x v="2"/>
    <x v="1"/>
    <x v="0"/>
  </r>
  <r>
    <s v="CQM-49696-263"/>
    <x v="72"/>
    <x v="75"/>
    <s v="L-L-2.5"/>
    <n v="3"/>
    <x v="75"/>
    <s v="syann29@senate.gov"/>
    <x v="0"/>
    <x v="3"/>
    <x v="1"/>
    <x v="2"/>
    <n v="36.454999999999998"/>
    <n v="109.36499999999999"/>
    <x v="3"/>
    <x v="1"/>
    <x v="0"/>
  </r>
  <r>
    <s v="KXN-85094-246"/>
    <x v="73"/>
    <x v="76"/>
    <s v="L-M-2.5"/>
    <n v="3"/>
    <x v="76"/>
    <s v="bnaulls2a@tiny.cc"/>
    <x v="1"/>
    <x v="3"/>
    <x v="0"/>
    <x v="2"/>
    <n v="33.464999999999996"/>
    <n v="100.39499999999998"/>
    <x v="3"/>
    <x v="0"/>
    <x v="0"/>
  </r>
  <r>
    <s v="XOQ-12405-419"/>
    <x v="74"/>
    <x v="77"/>
    <s v="R-D-2.5"/>
    <n v="4"/>
    <x v="77"/>
    <s v=""/>
    <x v="0"/>
    <x v="0"/>
    <x v="2"/>
    <x v="2"/>
    <n v="20.584999999999997"/>
    <n v="82.339999999999989"/>
    <x v="0"/>
    <x v="2"/>
    <x v="0"/>
  </r>
  <r>
    <s v="HYF-10254-369"/>
    <x v="75"/>
    <x v="78"/>
    <s v="L-L-0.5"/>
    <n v="1"/>
    <x v="78"/>
    <s v="zsherewood2c@apache.org"/>
    <x v="0"/>
    <x v="3"/>
    <x v="1"/>
    <x v="1"/>
    <n v="9.51"/>
    <n v="9.51"/>
    <x v="3"/>
    <x v="1"/>
    <x v="1"/>
  </r>
  <r>
    <s v="XXJ-47000-307"/>
    <x v="76"/>
    <x v="79"/>
    <s v="A-L-2.5"/>
    <n v="3"/>
    <x v="79"/>
    <s v="jdufaire2d@fc2.com"/>
    <x v="0"/>
    <x v="2"/>
    <x v="1"/>
    <x v="2"/>
    <n v="29.784999999999997"/>
    <n v="89.35499999999999"/>
    <x v="2"/>
    <x v="1"/>
    <x v="1"/>
  </r>
  <r>
    <s v="XXJ-47000-307"/>
    <x v="76"/>
    <x v="79"/>
    <s v="A-D-0.2"/>
    <n v="4"/>
    <x v="79"/>
    <s v="jdufaire2d@fc2.com"/>
    <x v="0"/>
    <x v="2"/>
    <x v="2"/>
    <x v="3"/>
    <n v="2.9849999999999999"/>
    <n v="11.94"/>
    <x v="2"/>
    <x v="2"/>
    <x v="1"/>
  </r>
  <r>
    <s v="ZDK-82166-357"/>
    <x v="77"/>
    <x v="80"/>
    <s v="A-M-1"/>
    <n v="3"/>
    <x v="80"/>
    <s v="bkeaveney2f@netlog.com"/>
    <x v="0"/>
    <x v="2"/>
    <x v="0"/>
    <x v="0"/>
    <n v="11.25"/>
    <n v="33.75"/>
    <x v="2"/>
    <x v="0"/>
    <x v="1"/>
  </r>
  <r>
    <s v="IHN-19982-362"/>
    <x v="78"/>
    <x v="81"/>
    <s v="R-L-1"/>
    <n v="3"/>
    <x v="81"/>
    <s v="egrise2g@cargocollective.com"/>
    <x v="0"/>
    <x v="0"/>
    <x v="1"/>
    <x v="0"/>
    <n v="11.95"/>
    <n v="35.849999999999994"/>
    <x v="0"/>
    <x v="1"/>
    <x v="1"/>
  </r>
  <r>
    <s v="VMT-10030-889"/>
    <x v="79"/>
    <x v="82"/>
    <s v="A-L-1"/>
    <n v="6"/>
    <x v="82"/>
    <s v="tgottelier2h@vistaprint.com"/>
    <x v="0"/>
    <x v="2"/>
    <x v="1"/>
    <x v="0"/>
    <n v="12.95"/>
    <n v="77.699999999999989"/>
    <x v="2"/>
    <x v="1"/>
    <x v="1"/>
  </r>
  <r>
    <s v="NHL-11063-100"/>
    <x v="80"/>
    <x v="83"/>
    <s v="A-L-1"/>
    <n v="4"/>
    <x v="83"/>
    <s v=""/>
    <x v="1"/>
    <x v="2"/>
    <x v="1"/>
    <x v="0"/>
    <n v="12.95"/>
    <n v="51.8"/>
    <x v="2"/>
    <x v="1"/>
    <x v="0"/>
  </r>
  <r>
    <s v="ROV-87448-086"/>
    <x v="81"/>
    <x v="84"/>
    <s v="A-M-2.5"/>
    <n v="4"/>
    <x v="84"/>
    <s v="agreenhead2j@dailymail.co.uk"/>
    <x v="0"/>
    <x v="2"/>
    <x v="0"/>
    <x v="2"/>
    <n v="25.874999999999996"/>
    <n v="103.49999999999999"/>
    <x v="2"/>
    <x v="0"/>
    <x v="1"/>
  </r>
  <r>
    <s v="DGY-35773-612"/>
    <x v="82"/>
    <x v="85"/>
    <s v="E-L-1"/>
    <n v="3"/>
    <x v="85"/>
    <s v=""/>
    <x v="0"/>
    <x v="1"/>
    <x v="1"/>
    <x v="0"/>
    <n v="14.85"/>
    <n v="44.55"/>
    <x v="1"/>
    <x v="1"/>
    <x v="0"/>
  </r>
  <r>
    <s v="YWH-50638-556"/>
    <x v="83"/>
    <x v="86"/>
    <s v="E-L-0.5"/>
    <n v="4"/>
    <x v="86"/>
    <s v="elangcaster2l@spotify.com"/>
    <x v="2"/>
    <x v="1"/>
    <x v="1"/>
    <x v="1"/>
    <n v="8.91"/>
    <n v="35.64"/>
    <x v="1"/>
    <x v="1"/>
    <x v="0"/>
  </r>
  <r>
    <s v="ISL-11200-600"/>
    <x v="84"/>
    <x v="87"/>
    <s v="A-D-0.2"/>
    <n v="6"/>
    <x v="87"/>
    <s v=""/>
    <x v="1"/>
    <x v="2"/>
    <x v="2"/>
    <x v="3"/>
    <n v="2.9849999999999999"/>
    <n v="17.91"/>
    <x v="2"/>
    <x v="2"/>
    <x v="0"/>
  </r>
  <r>
    <s v="LBZ-75997-047"/>
    <x v="85"/>
    <x v="88"/>
    <s v="A-M-2.5"/>
    <n v="6"/>
    <x v="88"/>
    <s v="nmagauran2n@51.la"/>
    <x v="0"/>
    <x v="2"/>
    <x v="0"/>
    <x v="2"/>
    <n v="25.874999999999996"/>
    <n v="155.24999999999997"/>
    <x v="2"/>
    <x v="0"/>
    <x v="1"/>
  </r>
  <r>
    <s v="EUH-08089-954"/>
    <x v="86"/>
    <x v="89"/>
    <s v="A-D-0.2"/>
    <n v="2"/>
    <x v="89"/>
    <s v="vkirdsch2o@google.fr"/>
    <x v="0"/>
    <x v="2"/>
    <x v="2"/>
    <x v="3"/>
    <n v="2.9849999999999999"/>
    <n v="5.97"/>
    <x v="2"/>
    <x v="2"/>
    <x v="1"/>
  </r>
  <r>
    <s v="BLD-12227-251"/>
    <x v="87"/>
    <x v="90"/>
    <s v="A-M-0.5"/>
    <n v="2"/>
    <x v="90"/>
    <s v="iwhapple2p@com.com"/>
    <x v="0"/>
    <x v="2"/>
    <x v="0"/>
    <x v="1"/>
    <n v="6.75"/>
    <n v="13.5"/>
    <x v="2"/>
    <x v="0"/>
    <x v="1"/>
  </r>
  <r>
    <s v="OPY-30711-853"/>
    <x v="25"/>
    <x v="91"/>
    <s v="A-D-0.2"/>
    <n v="1"/>
    <x v="91"/>
    <s v=""/>
    <x v="1"/>
    <x v="2"/>
    <x v="2"/>
    <x v="3"/>
    <n v="2.9849999999999999"/>
    <n v="2.9849999999999999"/>
    <x v="2"/>
    <x v="2"/>
    <x v="1"/>
  </r>
  <r>
    <s v="DBC-44122-300"/>
    <x v="88"/>
    <x v="92"/>
    <s v="L-M-0.2"/>
    <n v="3"/>
    <x v="92"/>
    <s v=""/>
    <x v="0"/>
    <x v="3"/>
    <x v="0"/>
    <x v="3"/>
    <n v="4.3650000000000002"/>
    <n v="13.095000000000001"/>
    <x v="3"/>
    <x v="0"/>
    <x v="0"/>
  </r>
  <r>
    <s v="FJQ-60035-234"/>
    <x v="89"/>
    <x v="93"/>
    <s v="A-L-0.2"/>
    <n v="2"/>
    <x v="93"/>
    <s v=""/>
    <x v="0"/>
    <x v="2"/>
    <x v="1"/>
    <x v="3"/>
    <n v="3.8849999999999998"/>
    <n v="7.77"/>
    <x v="2"/>
    <x v="1"/>
    <x v="0"/>
  </r>
  <r>
    <s v="HSF-66926-425"/>
    <x v="90"/>
    <x v="94"/>
    <s v="L-D-2.5"/>
    <n v="5"/>
    <x v="94"/>
    <s v="nyoules2t@reference.com"/>
    <x v="1"/>
    <x v="3"/>
    <x v="2"/>
    <x v="2"/>
    <n v="29.784999999999997"/>
    <n v="148.92499999999998"/>
    <x v="3"/>
    <x v="2"/>
    <x v="0"/>
  </r>
  <r>
    <s v="LQG-41416-375"/>
    <x v="91"/>
    <x v="95"/>
    <s v="L-D-1"/>
    <n v="3"/>
    <x v="95"/>
    <s v="daizikovitz2u@answers.com"/>
    <x v="1"/>
    <x v="3"/>
    <x v="2"/>
    <x v="0"/>
    <n v="12.95"/>
    <n v="38.849999999999994"/>
    <x v="3"/>
    <x v="2"/>
    <x v="0"/>
  </r>
  <r>
    <s v="VZO-97265-841"/>
    <x v="92"/>
    <x v="96"/>
    <s v="R-M-0.2"/>
    <n v="4"/>
    <x v="96"/>
    <s v="brevel2v@fastcompany.com"/>
    <x v="0"/>
    <x v="0"/>
    <x v="0"/>
    <x v="3"/>
    <n v="2.9849999999999999"/>
    <n v="11.94"/>
    <x v="0"/>
    <x v="0"/>
    <x v="1"/>
  </r>
  <r>
    <s v="MOR-12987-399"/>
    <x v="93"/>
    <x v="97"/>
    <s v="L-M-1"/>
    <n v="6"/>
    <x v="97"/>
    <s v="epriddis2w@nationalgeographic.com"/>
    <x v="0"/>
    <x v="3"/>
    <x v="0"/>
    <x v="0"/>
    <n v="14.55"/>
    <n v="87.300000000000011"/>
    <x v="3"/>
    <x v="0"/>
    <x v="1"/>
  </r>
  <r>
    <s v="UOA-23786-489"/>
    <x v="94"/>
    <x v="98"/>
    <s v="A-M-0.5"/>
    <n v="6"/>
    <x v="98"/>
    <s v="qveel2x@jugem.jp"/>
    <x v="0"/>
    <x v="2"/>
    <x v="0"/>
    <x v="1"/>
    <n v="6.75"/>
    <n v="40.5"/>
    <x v="2"/>
    <x v="0"/>
    <x v="0"/>
  </r>
  <r>
    <s v="AJL-52941-018"/>
    <x v="95"/>
    <x v="99"/>
    <s v="E-D-1"/>
    <n v="2"/>
    <x v="99"/>
    <s v="lconyers2y@twitter.com"/>
    <x v="0"/>
    <x v="1"/>
    <x v="2"/>
    <x v="0"/>
    <n v="12.15"/>
    <n v="24.3"/>
    <x v="1"/>
    <x v="2"/>
    <x v="1"/>
  </r>
  <r>
    <s v="XSZ-84273-421"/>
    <x v="96"/>
    <x v="100"/>
    <s v="R-M-0.5"/>
    <n v="3"/>
    <x v="100"/>
    <s v="pwye2z@dagondesign.com"/>
    <x v="0"/>
    <x v="0"/>
    <x v="0"/>
    <x v="1"/>
    <n v="5.97"/>
    <n v="17.91"/>
    <x v="0"/>
    <x v="0"/>
    <x v="0"/>
  </r>
  <r>
    <s v="NUN-48214-216"/>
    <x v="97"/>
    <x v="101"/>
    <s v="A-M-0.5"/>
    <n v="4"/>
    <x v="101"/>
    <s v=""/>
    <x v="0"/>
    <x v="2"/>
    <x v="0"/>
    <x v="1"/>
    <n v="6.75"/>
    <n v="27"/>
    <x v="2"/>
    <x v="0"/>
    <x v="1"/>
  </r>
  <r>
    <s v="AKV-93064-769"/>
    <x v="98"/>
    <x v="102"/>
    <s v="L-D-0.5"/>
    <n v="1"/>
    <x v="102"/>
    <s v="tsheryn31@mtv.com"/>
    <x v="0"/>
    <x v="3"/>
    <x v="2"/>
    <x v="1"/>
    <n v="7.77"/>
    <n v="7.77"/>
    <x v="3"/>
    <x v="2"/>
    <x v="0"/>
  </r>
  <r>
    <s v="BRB-40903-533"/>
    <x v="99"/>
    <x v="103"/>
    <s v="E-L-0.2"/>
    <n v="3"/>
    <x v="103"/>
    <s v="mredgrave32@cargocollective.com"/>
    <x v="0"/>
    <x v="1"/>
    <x v="1"/>
    <x v="3"/>
    <n v="4.4550000000000001"/>
    <n v="13.365"/>
    <x v="1"/>
    <x v="1"/>
    <x v="0"/>
  </r>
  <r>
    <s v="GPR-19973-483"/>
    <x v="100"/>
    <x v="104"/>
    <s v="R-D-0.5"/>
    <n v="5"/>
    <x v="104"/>
    <s v="bfominov33@yale.edu"/>
    <x v="0"/>
    <x v="0"/>
    <x v="2"/>
    <x v="1"/>
    <n v="5.3699999999999992"/>
    <n v="26.849999999999994"/>
    <x v="0"/>
    <x v="2"/>
    <x v="1"/>
  </r>
  <r>
    <s v="XIY-43041-882"/>
    <x v="101"/>
    <x v="105"/>
    <s v="A-M-1"/>
    <n v="1"/>
    <x v="105"/>
    <s v="scritchlow34@un.org"/>
    <x v="0"/>
    <x v="2"/>
    <x v="0"/>
    <x v="0"/>
    <n v="11.25"/>
    <n v="11.25"/>
    <x v="2"/>
    <x v="0"/>
    <x v="1"/>
  </r>
  <r>
    <s v="YGY-98425-969"/>
    <x v="102"/>
    <x v="106"/>
    <s v="L-M-1"/>
    <n v="1"/>
    <x v="106"/>
    <s v="msteptow35@earthlink.net"/>
    <x v="1"/>
    <x v="3"/>
    <x v="0"/>
    <x v="0"/>
    <n v="14.55"/>
    <n v="14.55"/>
    <x v="3"/>
    <x v="0"/>
    <x v="1"/>
  </r>
  <r>
    <s v="MSB-08397-648"/>
    <x v="103"/>
    <x v="107"/>
    <s v="R-L-0.2"/>
    <n v="4"/>
    <x v="107"/>
    <s v=""/>
    <x v="0"/>
    <x v="0"/>
    <x v="1"/>
    <x v="3"/>
    <n v="3.5849999999999995"/>
    <n v="14.339999999999998"/>
    <x v="0"/>
    <x v="1"/>
    <x v="1"/>
  </r>
  <r>
    <s v="WDR-06028-345"/>
    <x v="104"/>
    <x v="108"/>
    <s v="L-L-1"/>
    <n v="1"/>
    <x v="108"/>
    <s v="imulliner37@pinterest.com"/>
    <x v="2"/>
    <x v="3"/>
    <x v="1"/>
    <x v="0"/>
    <n v="15.85"/>
    <n v="15.85"/>
    <x v="3"/>
    <x v="1"/>
    <x v="1"/>
  </r>
  <r>
    <s v="MXM-42948-061"/>
    <x v="105"/>
    <x v="109"/>
    <s v="L-L-0.2"/>
    <n v="4"/>
    <x v="109"/>
    <s v="gstandley38@dion.ne.jp"/>
    <x v="1"/>
    <x v="3"/>
    <x v="1"/>
    <x v="3"/>
    <n v="4.7549999999999999"/>
    <n v="19.02"/>
    <x v="3"/>
    <x v="1"/>
    <x v="0"/>
  </r>
  <r>
    <s v="MGQ-98961-173"/>
    <x v="11"/>
    <x v="110"/>
    <s v="L-L-0.5"/>
    <n v="4"/>
    <x v="110"/>
    <s v="bdrage39@youku.com"/>
    <x v="0"/>
    <x v="3"/>
    <x v="1"/>
    <x v="1"/>
    <n v="9.51"/>
    <n v="38.04"/>
    <x v="3"/>
    <x v="1"/>
    <x v="1"/>
  </r>
  <r>
    <s v="RFH-64349-897"/>
    <x v="106"/>
    <x v="111"/>
    <s v="E-D-0.5"/>
    <n v="3"/>
    <x v="111"/>
    <s v="myallop3a@fema.gov"/>
    <x v="0"/>
    <x v="1"/>
    <x v="2"/>
    <x v="1"/>
    <n v="7.29"/>
    <n v="21.87"/>
    <x v="1"/>
    <x v="2"/>
    <x v="0"/>
  </r>
  <r>
    <s v="TKL-20738-660"/>
    <x v="107"/>
    <x v="112"/>
    <s v="E-M-0.2"/>
    <n v="1"/>
    <x v="112"/>
    <s v="cswitsur3b@chronoengine.com"/>
    <x v="0"/>
    <x v="1"/>
    <x v="0"/>
    <x v="3"/>
    <n v="4.125"/>
    <n v="4.125"/>
    <x v="1"/>
    <x v="0"/>
    <x v="1"/>
  </r>
  <r>
    <s v="TKL-20738-660"/>
    <x v="107"/>
    <x v="112"/>
    <s v="A-L-0.2"/>
    <n v="1"/>
    <x v="112"/>
    <s v="cswitsur3b@chronoengine.com"/>
    <x v="0"/>
    <x v="2"/>
    <x v="1"/>
    <x v="3"/>
    <n v="3.8849999999999998"/>
    <n v="3.8849999999999998"/>
    <x v="2"/>
    <x v="1"/>
    <x v="1"/>
  </r>
  <r>
    <s v="TKL-20738-660"/>
    <x v="107"/>
    <x v="112"/>
    <s v="E-M-1"/>
    <n v="5"/>
    <x v="112"/>
    <s v="cswitsur3b@chronoengine.com"/>
    <x v="0"/>
    <x v="1"/>
    <x v="0"/>
    <x v="0"/>
    <n v="13.75"/>
    <n v="68.75"/>
    <x v="1"/>
    <x v="0"/>
    <x v="1"/>
  </r>
  <r>
    <s v="GOW-03198-575"/>
    <x v="108"/>
    <x v="113"/>
    <s v="A-D-0.5"/>
    <n v="4"/>
    <x v="113"/>
    <s v="mludwell3e@blogger.com"/>
    <x v="0"/>
    <x v="2"/>
    <x v="2"/>
    <x v="1"/>
    <n v="5.97"/>
    <n v="23.88"/>
    <x v="2"/>
    <x v="2"/>
    <x v="0"/>
  </r>
  <r>
    <s v="QJB-90477-635"/>
    <x v="109"/>
    <x v="114"/>
    <s v="L-L-2.5"/>
    <n v="4"/>
    <x v="114"/>
    <s v="dbeauchamp3f@usda.gov"/>
    <x v="0"/>
    <x v="3"/>
    <x v="1"/>
    <x v="2"/>
    <n v="36.454999999999998"/>
    <n v="145.82"/>
    <x v="3"/>
    <x v="1"/>
    <x v="1"/>
  </r>
  <r>
    <s v="MWP-46239-785"/>
    <x v="110"/>
    <x v="115"/>
    <s v="L-M-0.2"/>
    <n v="5"/>
    <x v="115"/>
    <s v="srodliff3g@ted.com"/>
    <x v="0"/>
    <x v="3"/>
    <x v="0"/>
    <x v="3"/>
    <n v="4.3650000000000002"/>
    <n v="21.825000000000003"/>
    <x v="3"/>
    <x v="0"/>
    <x v="0"/>
  </r>
  <r>
    <s v="QDV-03406-248"/>
    <x v="111"/>
    <x v="116"/>
    <s v="L-M-0.5"/>
    <n v="3"/>
    <x v="116"/>
    <s v="swoodham3h@businesswire.com"/>
    <x v="1"/>
    <x v="3"/>
    <x v="0"/>
    <x v="1"/>
    <n v="8.73"/>
    <n v="26.19"/>
    <x v="3"/>
    <x v="0"/>
    <x v="0"/>
  </r>
  <r>
    <s v="GPH-40635-105"/>
    <x v="112"/>
    <x v="117"/>
    <s v="A-M-1"/>
    <n v="1"/>
    <x v="117"/>
    <s v="hsynnot3i@about.com"/>
    <x v="0"/>
    <x v="2"/>
    <x v="0"/>
    <x v="0"/>
    <n v="11.25"/>
    <n v="11.25"/>
    <x v="2"/>
    <x v="0"/>
    <x v="1"/>
  </r>
  <r>
    <s v="JOM-80930-071"/>
    <x v="113"/>
    <x v="118"/>
    <s v="L-D-1"/>
    <n v="6"/>
    <x v="118"/>
    <s v="rlepere3j@shop-pro.jp"/>
    <x v="1"/>
    <x v="3"/>
    <x v="2"/>
    <x v="0"/>
    <n v="12.95"/>
    <n v="77.699999999999989"/>
    <x v="3"/>
    <x v="2"/>
    <x v="1"/>
  </r>
  <r>
    <s v="OIL-26493-755"/>
    <x v="114"/>
    <x v="119"/>
    <s v="A-M-0.5"/>
    <n v="1"/>
    <x v="119"/>
    <s v="twoofinden3k@businesswire.com"/>
    <x v="0"/>
    <x v="2"/>
    <x v="0"/>
    <x v="1"/>
    <n v="6.75"/>
    <n v="6.75"/>
    <x v="2"/>
    <x v="0"/>
    <x v="1"/>
  </r>
  <r>
    <s v="CYV-13426-645"/>
    <x v="115"/>
    <x v="120"/>
    <s v="E-D-1"/>
    <n v="1"/>
    <x v="120"/>
    <s v="edacca3l@google.pl"/>
    <x v="0"/>
    <x v="1"/>
    <x v="2"/>
    <x v="0"/>
    <n v="12.15"/>
    <n v="12.15"/>
    <x v="1"/>
    <x v="2"/>
    <x v="0"/>
  </r>
  <r>
    <s v="WRP-39846-614"/>
    <x v="49"/>
    <x v="121"/>
    <s v="A-L-2.5"/>
    <n v="5"/>
    <x v="121"/>
    <s v=""/>
    <x v="1"/>
    <x v="2"/>
    <x v="1"/>
    <x v="2"/>
    <n v="29.784999999999997"/>
    <n v="148.92499999999998"/>
    <x v="2"/>
    <x v="1"/>
    <x v="0"/>
  </r>
  <r>
    <s v="VDZ-76673-968"/>
    <x v="116"/>
    <x v="122"/>
    <s v="E-D-0.5"/>
    <n v="2"/>
    <x v="122"/>
    <s v="bhindsberg3n@blogs.com"/>
    <x v="0"/>
    <x v="1"/>
    <x v="2"/>
    <x v="1"/>
    <n v="7.29"/>
    <n v="14.58"/>
    <x v="1"/>
    <x v="2"/>
    <x v="0"/>
  </r>
  <r>
    <s v="VTV-03546-175"/>
    <x v="117"/>
    <x v="123"/>
    <s v="A-L-2.5"/>
    <n v="5"/>
    <x v="123"/>
    <s v="orobins3o@salon.com"/>
    <x v="0"/>
    <x v="2"/>
    <x v="1"/>
    <x v="2"/>
    <n v="29.784999999999997"/>
    <n v="148.92499999999998"/>
    <x v="2"/>
    <x v="1"/>
    <x v="0"/>
  </r>
  <r>
    <s v="GHR-72274-715"/>
    <x v="118"/>
    <x v="124"/>
    <s v="L-D-1"/>
    <n v="1"/>
    <x v="124"/>
    <s v="osyseland3p@independent.co.uk"/>
    <x v="0"/>
    <x v="3"/>
    <x v="2"/>
    <x v="0"/>
    <n v="12.95"/>
    <n v="12.95"/>
    <x v="3"/>
    <x v="2"/>
    <x v="1"/>
  </r>
  <r>
    <s v="ZGK-97262-313"/>
    <x v="119"/>
    <x v="125"/>
    <s v="E-M-2.5"/>
    <n v="3"/>
    <x v="125"/>
    <s v=""/>
    <x v="0"/>
    <x v="1"/>
    <x v="0"/>
    <x v="2"/>
    <n v="31.624999999999996"/>
    <n v="94.874999999999986"/>
    <x v="1"/>
    <x v="0"/>
    <x v="0"/>
  </r>
  <r>
    <s v="ZFS-30776-804"/>
    <x v="120"/>
    <x v="126"/>
    <s v="A-L-0.5"/>
    <n v="5"/>
    <x v="126"/>
    <s v="bmcamish2e@tripadvisor.com"/>
    <x v="0"/>
    <x v="2"/>
    <x v="1"/>
    <x v="1"/>
    <n v="7.77"/>
    <n v="38.849999999999994"/>
    <x v="2"/>
    <x v="1"/>
    <x v="0"/>
  </r>
  <r>
    <s v="QUU-91729-492"/>
    <x v="121"/>
    <x v="127"/>
    <s v="A-D-0.2"/>
    <n v="4"/>
    <x v="127"/>
    <s v="lkeenleyside3s@topsy.com"/>
    <x v="0"/>
    <x v="2"/>
    <x v="2"/>
    <x v="3"/>
    <n v="2.9849999999999999"/>
    <n v="11.94"/>
    <x v="2"/>
    <x v="2"/>
    <x v="1"/>
  </r>
  <r>
    <s v="PVI-72795-960"/>
    <x v="122"/>
    <x v="128"/>
    <s v="E-L-2.5"/>
    <n v="3"/>
    <x v="128"/>
    <s v=""/>
    <x v="1"/>
    <x v="1"/>
    <x v="1"/>
    <x v="2"/>
    <n v="34.154999999999994"/>
    <n v="102.46499999999997"/>
    <x v="1"/>
    <x v="1"/>
    <x v="1"/>
  </r>
  <r>
    <s v="PPP-78935-365"/>
    <x v="123"/>
    <x v="129"/>
    <s v="E-D-1"/>
    <n v="4"/>
    <x v="129"/>
    <s v=""/>
    <x v="0"/>
    <x v="1"/>
    <x v="2"/>
    <x v="0"/>
    <n v="12.15"/>
    <n v="48.6"/>
    <x v="1"/>
    <x v="2"/>
    <x v="1"/>
  </r>
  <r>
    <s v="JUO-34131-517"/>
    <x v="124"/>
    <x v="130"/>
    <s v="L-D-1"/>
    <n v="6"/>
    <x v="130"/>
    <s v=""/>
    <x v="0"/>
    <x v="3"/>
    <x v="2"/>
    <x v="0"/>
    <n v="12.95"/>
    <n v="77.699999999999989"/>
    <x v="3"/>
    <x v="2"/>
    <x v="0"/>
  </r>
  <r>
    <s v="ZJE-89333-489"/>
    <x v="125"/>
    <x v="131"/>
    <s v="L-D-2.5"/>
    <n v="1"/>
    <x v="131"/>
    <s v="vkundt3w@bigcartel.com"/>
    <x v="1"/>
    <x v="3"/>
    <x v="2"/>
    <x v="2"/>
    <n v="29.784999999999997"/>
    <n v="29.784999999999997"/>
    <x v="3"/>
    <x v="2"/>
    <x v="0"/>
  </r>
  <r>
    <s v="LOO-35324-159"/>
    <x v="126"/>
    <x v="132"/>
    <s v="A-L-0.2"/>
    <n v="4"/>
    <x v="132"/>
    <s v="bbett3x@google.de"/>
    <x v="0"/>
    <x v="2"/>
    <x v="1"/>
    <x v="3"/>
    <n v="3.8849999999999998"/>
    <n v="15.54"/>
    <x v="2"/>
    <x v="1"/>
    <x v="0"/>
  </r>
  <r>
    <s v="JBQ-93412-846"/>
    <x v="127"/>
    <x v="133"/>
    <s v="E-L-2.5"/>
    <n v="4"/>
    <x v="133"/>
    <s v=""/>
    <x v="1"/>
    <x v="1"/>
    <x v="1"/>
    <x v="2"/>
    <n v="34.154999999999994"/>
    <n v="136.61999999999998"/>
    <x v="1"/>
    <x v="1"/>
    <x v="0"/>
  </r>
  <r>
    <s v="EHX-66333-637"/>
    <x v="128"/>
    <x v="134"/>
    <s v="L-M-0.5"/>
    <n v="2"/>
    <x v="134"/>
    <s v="dstaite3z@scientificamerican.com"/>
    <x v="0"/>
    <x v="3"/>
    <x v="0"/>
    <x v="1"/>
    <n v="8.73"/>
    <n v="17.46"/>
    <x v="3"/>
    <x v="0"/>
    <x v="1"/>
  </r>
  <r>
    <s v="WXG-25759-236"/>
    <x v="103"/>
    <x v="135"/>
    <s v="E-L-2.5"/>
    <n v="2"/>
    <x v="135"/>
    <s v="wkeyse40@apple.com"/>
    <x v="0"/>
    <x v="1"/>
    <x v="1"/>
    <x v="2"/>
    <n v="34.154999999999994"/>
    <n v="68.309999999999988"/>
    <x v="1"/>
    <x v="1"/>
    <x v="0"/>
  </r>
  <r>
    <s v="QNA-31113-984"/>
    <x v="129"/>
    <x v="136"/>
    <s v="L-M-0.2"/>
    <n v="4"/>
    <x v="136"/>
    <s v="oclausenthue41@marriott.com"/>
    <x v="0"/>
    <x v="3"/>
    <x v="0"/>
    <x v="3"/>
    <n v="4.3650000000000002"/>
    <n v="17.46"/>
    <x v="3"/>
    <x v="0"/>
    <x v="1"/>
  </r>
  <r>
    <s v="ZWI-52029-159"/>
    <x v="130"/>
    <x v="137"/>
    <s v="L-M-1"/>
    <n v="3"/>
    <x v="137"/>
    <s v="lfrancisco42@fema.gov"/>
    <x v="0"/>
    <x v="3"/>
    <x v="0"/>
    <x v="0"/>
    <n v="14.55"/>
    <n v="43.650000000000006"/>
    <x v="3"/>
    <x v="0"/>
    <x v="1"/>
  </r>
  <r>
    <s v="ZWI-52029-159"/>
    <x v="130"/>
    <x v="137"/>
    <s v="E-M-1"/>
    <n v="2"/>
    <x v="137"/>
    <s v="lfrancisco42@fema.gov"/>
    <x v="0"/>
    <x v="1"/>
    <x v="0"/>
    <x v="0"/>
    <n v="13.75"/>
    <n v="27.5"/>
    <x v="1"/>
    <x v="0"/>
    <x v="1"/>
  </r>
  <r>
    <s v="DFS-49954-707"/>
    <x v="131"/>
    <x v="138"/>
    <s v="E-D-0.2"/>
    <n v="5"/>
    <x v="138"/>
    <s v="gskingle44@clickbank.net"/>
    <x v="0"/>
    <x v="1"/>
    <x v="2"/>
    <x v="3"/>
    <n v="3.645"/>
    <n v="18.225000000000001"/>
    <x v="1"/>
    <x v="2"/>
    <x v="0"/>
  </r>
  <r>
    <s v="VYP-89830-878"/>
    <x v="132"/>
    <x v="139"/>
    <s v="A-M-2.5"/>
    <n v="2"/>
    <x v="139"/>
    <s v=""/>
    <x v="0"/>
    <x v="2"/>
    <x v="0"/>
    <x v="2"/>
    <n v="25.874999999999996"/>
    <n v="51.749999999999993"/>
    <x v="2"/>
    <x v="0"/>
    <x v="0"/>
  </r>
  <r>
    <s v="AMT-40418-362"/>
    <x v="133"/>
    <x v="140"/>
    <s v="L-D-1"/>
    <n v="1"/>
    <x v="140"/>
    <s v="jbalsillie46@princeton.edu"/>
    <x v="0"/>
    <x v="3"/>
    <x v="2"/>
    <x v="0"/>
    <n v="12.95"/>
    <n v="12.95"/>
    <x v="3"/>
    <x v="2"/>
    <x v="0"/>
  </r>
  <r>
    <s v="NFQ-23241-793"/>
    <x v="134"/>
    <x v="141"/>
    <s v="A-M-1"/>
    <n v="3"/>
    <x v="141"/>
    <s v=""/>
    <x v="0"/>
    <x v="2"/>
    <x v="0"/>
    <x v="0"/>
    <n v="11.25"/>
    <n v="33.75"/>
    <x v="2"/>
    <x v="0"/>
    <x v="0"/>
  </r>
  <r>
    <s v="JQK-64922-985"/>
    <x v="113"/>
    <x v="142"/>
    <s v="R-M-2.5"/>
    <n v="3"/>
    <x v="142"/>
    <s v="bleffek48@ning.com"/>
    <x v="0"/>
    <x v="0"/>
    <x v="0"/>
    <x v="2"/>
    <n v="22.884999999999998"/>
    <n v="68.655000000000001"/>
    <x v="0"/>
    <x v="0"/>
    <x v="0"/>
  </r>
  <r>
    <s v="YET-17732-678"/>
    <x v="135"/>
    <x v="143"/>
    <s v="R-D-0.2"/>
    <n v="1"/>
    <x v="143"/>
    <s v=""/>
    <x v="0"/>
    <x v="0"/>
    <x v="2"/>
    <x v="3"/>
    <n v="2.6849999999999996"/>
    <n v="2.6849999999999996"/>
    <x v="0"/>
    <x v="2"/>
    <x v="1"/>
  </r>
  <r>
    <s v="NKW-24945-846"/>
    <x v="35"/>
    <x v="144"/>
    <s v="A-D-2.5"/>
    <n v="5"/>
    <x v="144"/>
    <s v="jpray4a@youtube.com"/>
    <x v="0"/>
    <x v="2"/>
    <x v="2"/>
    <x v="2"/>
    <n v="22.884999999999998"/>
    <n v="114.42499999999998"/>
    <x v="2"/>
    <x v="2"/>
    <x v="1"/>
  </r>
  <r>
    <s v="VKA-82720-513"/>
    <x v="136"/>
    <x v="145"/>
    <s v="A-M-2.5"/>
    <n v="6"/>
    <x v="145"/>
    <s v="gholborn4b@ow.ly"/>
    <x v="0"/>
    <x v="2"/>
    <x v="0"/>
    <x v="2"/>
    <n v="25.874999999999996"/>
    <n v="155.24999999999997"/>
    <x v="2"/>
    <x v="0"/>
    <x v="0"/>
  </r>
  <r>
    <s v="THA-60599-417"/>
    <x v="137"/>
    <x v="146"/>
    <s v="A-M-2.5"/>
    <n v="3"/>
    <x v="146"/>
    <s v="fkeinrat4c@dailymail.co.uk"/>
    <x v="0"/>
    <x v="2"/>
    <x v="0"/>
    <x v="2"/>
    <n v="25.874999999999996"/>
    <n v="77.624999999999986"/>
    <x v="2"/>
    <x v="0"/>
    <x v="0"/>
  </r>
  <r>
    <s v="MEK-39769-035"/>
    <x v="138"/>
    <x v="147"/>
    <s v="R-D-2.5"/>
    <n v="3"/>
    <x v="147"/>
    <s v="pyea4d@aol.com"/>
    <x v="1"/>
    <x v="0"/>
    <x v="2"/>
    <x v="2"/>
    <n v="20.584999999999997"/>
    <n v="61.754999999999995"/>
    <x v="0"/>
    <x v="2"/>
    <x v="1"/>
  </r>
  <r>
    <s v="JAF-18294-750"/>
    <x v="139"/>
    <x v="148"/>
    <s v="R-D-2.5"/>
    <n v="6"/>
    <x v="148"/>
    <s v=""/>
    <x v="0"/>
    <x v="0"/>
    <x v="2"/>
    <x v="2"/>
    <n v="20.584999999999997"/>
    <n v="123.50999999999999"/>
    <x v="0"/>
    <x v="2"/>
    <x v="0"/>
  </r>
  <r>
    <s v="TME-59627-221"/>
    <x v="140"/>
    <x v="149"/>
    <s v="L-L-2.5"/>
    <n v="6"/>
    <x v="149"/>
    <s v=""/>
    <x v="0"/>
    <x v="3"/>
    <x v="1"/>
    <x v="2"/>
    <n v="36.454999999999998"/>
    <n v="218.73"/>
    <x v="3"/>
    <x v="1"/>
    <x v="1"/>
  </r>
  <r>
    <s v="UDG-65353-824"/>
    <x v="141"/>
    <x v="150"/>
    <s v="E-M-0.5"/>
    <n v="4"/>
    <x v="150"/>
    <s v="kswede4g@addthis.com"/>
    <x v="0"/>
    <x v="1"/>
    <x v="0"/>
    <x v="1"/>
    <n v="8.25"/>
    <n v="33"/>
    <x v="1"/>
    <x v="0"/>
    <x v="1"/>
  </r>
  <r>
    <s v="ENQ-42923-176"/>
    <x v="142"/>
    <x v="151"/>
    <s v="A-L-0.5"/>
    <n v="3"/>
    <x v="151"/>
    <s v="lrubrow4h@microsoft.com"/>
    <x v="0"/>
    <x v="2"/>
    <x v="1"/>
    <x v="1"/>
    <n v="7.77"/>
    <n v="23.31"/>
    <x v="2"/>
    <x v="1"/>
    <x v="1"/>
  </r>
  <r>
    <s v="CBT-55781-720"/>
    <x v="143"/>
    <x v="152"/>
    <s v="E-D-0.5"/>
    <n v="3"/>
    <x v="152"/>
    <s v="dtift4i@netvibes.com"/>
    <x v="0"/>
    <x v="1"/>
    <x v="2"/>
    <x v="1"/>
    <n v="7.29"/>
    <n v="21.87"/>
    <x v="1"/>
    <x v="2"/>
    <x v="0"/>
  </r>
  <r>
    <s v="NEU-86533-016"/>
    <x v="144"/>
    <x v="153"/>
    <s v="R-D-0.2"/>
    <n v="6"/>
    <x v="153"/>
    <s v="gschonfeld4j@oracle.com"/>
    <x v="0"/>
    <x v="0"/>
    <x v="2"/>
    <x v="3"/>
    <n v="2.6849999999999996"/>
    <n v="16.11"/>
    <x v="0"/>
    <x v="2"/>
    <x v="1"/>
  </r>
  <r>
    <s v="BYU-58154-603"/>
    <x v="145"/>
    <x v="154"/>
    <s v="E-D-0.5"/>
    <n v="4"/>
    <x v="154"/>
    <s v="cfeye4k@google.co.jp"/>
    <x v="1"/>
    <x v="1"/>
    <x v="2"/>
    <x v="1"/>
    <n v="7.29"/>
    <n v="29.16"/>
    <x v="1"/>
    <x v="2"/>
    <x v="1"/>
  </r>
  <r>
    <s v="EHJ-05910-257"/>
    <x v="146"/>
    <x v="155"/>
    <s v="R-D-1"/>
    <n v="6"/>
    <x v="155"/>
    <s v=""/>
    <x v="0"/>
    <x v="0"/>
    <x v="2"/>
    <x v="0"/>
    <n v="8.9499999999999993"/>
    <n v="53.699999999999996"/>
    <x v="0"/>
    <x v="2"/>
    <x v="0"/>
  </r>
  <r>
    <s v="EIL-44855-309"/>
    <x v="147"/>
    <x v="156"/>
    <s v="R-D-0.5"/>
    <n v="5"/>
    <x v="156"/>
    <s v=""/>
    <x v="0"/>
    <x v="0"/>
    <x v="2"/>
    <x v="1"/>
    <n v="5.3699999999999992"/>
    <n v="26.849999999999994"/>
    <x v="0"/>
    <x v="2"/>
    <x v="0"/>
  </r>
  <r>
    <s v="HCA-87224-420"/>
    <x v="148"/>
    <x v="157"/>
    <s v="E-M-0.5"/>
    <n v="5"/>
    <x v="157"/>
    <s v="tfero4n@comsenz.com"/>
    <x v="0"/>
    <x v="1"/>
    <x v="0"/>
    <x v="1"/>
    <n v="8.25"/>
    <n v="41.25"/>
    <x v="1"/>
    <x v="0"/>
    <x v="0"/>
  </r>
  <r>
    <s v="ABO-29054-365"/>
    <x v="149"/>
    <x v="158"/>
    <s v="A-M-0.5"/>
    <n v="6"/>
    <x v="158"/>
    <s v=""/>
    <x v="1"/>
    <x v="2"/>
    <x v="0"/>
    <x v="1"/>
    <n v="6.75"/>
    <n v="40.5"/>
    <x v="2"/>
    <x v="0"/>
    <x v="1"/>
  </r>
  <r>
    <s v="TKN-58485-031"/>
    <x v="150"/>
    <x v="159"/>
    <s v="R-D-1"/>
    <n v="2"/>
    <x v="159"/>
    <s v="fdauney4p@sphinn.com"/>
    <x v="1"/>
    <x v="0"/>
    <x v="2"/>
    <x v="0"/>
    <n v="8.9499999999999993"/>
    <n v="17.899999999999999"/>
    <x v="0"/>
    <x v="2"/>
    <x v="1"/>
  </r>
  <r>
    <s v="RCK-04069-371"/>
    <x v="151"/>
    <x v="160"/>
    <s v="E-L-2.5"/>
    <n v="2"/>
    <x v="160"/>
    <s v="searley4q@youku.com"/>
    <x v="2"/>
    <x v="1"/>
    <x v="1"/>
    <x v="2"/>
    <n v="34.154999999999994"/>
    <n v="68.309999999999988"/>
    <x v="1"/>
    <x v="1"/>
    <x v="1"/>
  </r>
  <r>
    <s v="IRJ-67095-738"/>
    <x v="13"/>
    <x v="161"/>
    <s v="E-M-2.5"/>
    <n v="2"/>
    <x v="161"/>
    <s v="mchamberlayne4r@bigcartel.com"/>
    <x v="0"/>
    <x v="1"/>
    <x v="0"/>
    <x v="2"/>
    <n v="31.624999999999996"/>
    <n v="63.249999999999993"/>
    <x v="1"/>
    <x v="0"/>
    <x v="0"/>
  </r>
  <r>
    <s v="VEA-31961-977"/>
    <x v="79"/>
    <x v="162"/>
    <s v="E-D-0.5"/>
    <n v="3"/>
    <x v="162"/>
    <s v="bflaherty4s@moonfruit.com"/>
    <x v="1"/>
    <x v="1"/>
    <x v="2"/>
    <x v="1"/>
    <n v="7.29"/>
    <n v="21.87"/>
    <x v="1"/>
    <x v="2"/>
    <x v="1"/>
  </r>
  <r>
    <s v="BAF-42286-205"/>
    <x v="152"/>
    <x v="163"/>
    <s v="R-M-2.5"/>
    <n v="4"/>
    <x v="163"/>
    <s v="ocolbeck4t@sina.com.cn"/>
    <x v="0"/>
    <x v="0"/>
    <x v="0"/>
    <x v="2"/>
    <n v="22.884999999999998"/>
    <n v="91.539999999999992"/>
    <x v="0"/>
    <x v="0"/>
    <x v="1"/>
  </r>
  <r>
    <s v="WOR-52762-511"/>
    <x v="153"/>
    <x v="164"/>
    <s v="E-L-2.5"/>
    <n v="6"/>
    <x v="164"/>
    <s v=""/>
    <x v="0"/>
    <x v="1"/>
    <x v="1"/>
    <x v="2"/>
    <n v="34.154999999999994"/>
    <n v="204.92999999999995"/>
    <x v="1"/>
    <x v="1"/>
    <x v="0"/>
  </r>
  <r>
    <s v="ZWK-03995-815"/>
    <x v="154"/>
    <x v="165"/>
    <s v="E-M-2.5"/>
    <n v="2"/>
    <x v="165"/>
    <s v="ehobbing4v@nsw.gov.au"/>
    <x v="0"/>
    <x v="1"/>
    <x v="0"/>
    <x v="2"/>
    <n v="31.624999999999996"/>
    <n v="63.249999999999993"/>
    <x v="1"/>
    <x v="0"/>
    <x v="0"/>
  </r>
  <r>
    <s v="CKF-43291-846"/>
    <x v="155"/>
    <x v="166"/>
    <s v="E-L-2.5"/>
    <n v="1"/>
    <x v="166"/>
    <s v="othynne4w@auda.org.au"/>
    <x v="0"/>
    <x v="1"/>
    <x v="1"/>
    <x v="2"/>
    <n v="34.154999999999994"/>
    <n v="34.154999999999994"/>
    <x v="1"/>
    <x v="1"/>
    <x v="0"/>
  </r>
  <r>
    <s v="RMW-74160-339"/>
    <x v="156"/>
    <x v="167"/>
    <s v="R-L-2.5"/>
    <n v="4"/>
    <x v="167"/>
    <s v="eheining4x@flickr.com"/>
    <x v="0"/>
    <x v="0"/>
    <x v="1"/>
    <x v="2"/>
    <n v="27.484999999999996"/>
    <n v="109.93999999999998"/>
    <x v="0"/>
    <x v="1"/>
    <x v="0"/>
  </r>
  <r>
    <s v="FMT-94584-786"/>
    <x v="22"/>
    <x v="168"/>
    <s v="A-L-1"/>
    <n v="2"/>
    <x v="168"/>
    <s v="kmelloi4y@imdb.com"/>
    <x v="0"/>
    <x v="2"/>
    <x v="1"/>
    <x v="0"/>
    <n v="12.95"/>
    <n v="25.9"/>
    <x v="2"/>
    <x v="1"/>
    <x v="1"/>
  </r>
  <r>
    <s v="NWT-78222-575"/>
    <x v="157"/>
    <x v="169"/>
    <s v="A-D-0.2"/>
    <n v="1"/>
    <x v="169"/>
    <s v=""/>
    <x v="1"/>
    <x v="2"/>
    <x v="2"/>
    <x v="3"/>
    <n v="2.9849999999999999"/>
    <n v="2.9849999999999999"/>
    <x v="2"/>
    <x v="2"/>
    <x v="1"/>
  </r>
  <r>
    <s v="EOI-02511-919"/>
    <x v="158"/>
    <x v="170"/>
    <s v="E-L-0.2"/>
    <n v="5"/>
    <x v="170"/>
    <s v="amussen50@51.la"/>
    <x v="0"/>
    <x v="1"/>
    <x v="1"/>
    <x v="3"/>
    <n v="4.4550000000000001"/>
    <n v="22.274999999999999"/>
    <x v="1"/>
    <x v="1"/>
    <x v="1"/>
  </r>
  <r>
    <s v="EOI-02511-919"/>
    <x v="158"/>
    <x v="170"/>
    <s v="A-D-0.5"/>
    <n v="5"/>
    <x v="170"/>
    <s v="amussen50@51.la"/>
    <x v="0"/>
    <x v="2"/>
    <x v="2"/>
    <x v="1"/>
    <n v="5.97"/>
    <n v="29.849999999999998"/>
    <x v="2"/>
    <x v="2"/>
    <x v="1"/>
  </r>
  <r>
    <s v="UCT-03935-589"/>
    <x v="78"/>
    <x v="171"/>
    <s v="R-D-0.5"/>
    <n v="6"/>
    <x v="171"/>
    <s v="amundford52@nbcnews.com"/>
    <x v="0"/>
    <x v="0"/>
    <x v="2"/>
    <x v="1"/>
    <n v="5.3699999999999992"/>
    <n v="32.22"/>
    <x v="0"/>
    <x v="2"/>
    <x v="1"/>
  </r>
  <r>
    <s v="SBI-60013-494"/>
    <x v="159"/>
    <x v="172"/>
    <s v="E-M-0.2"/>
    <n v="2"/>
    <x v="172"/>
    <s v="twalas53@google.ca"/>
    <x v="0"/>
    <x v="1"/>
    <x v="0"/>
    <x v="3"/>
    <n v="4.125"/>
    <n v="8.25"/>
    <x v="1"/>
    <x v="0"/>
    <x v="1"/>
  </r>
  <r>
    <s v="QRA-73277-814"/>
    <x v="160"/>
    <x v="173"/>
    <s v="A-L-0.5"/>
    <n v="4"/>
    <x v="173"/>
    <s v="iblazewicz54@thetimes.co.uk"/>
    <x v="0"/>
    <x v="2"/>
    <x v="1"/>
    <x v="1"/>
    <n v="7.77"/>
    <n v="31.08"/>
    <x v="2"/>
    <x v="1"/>
    <x v="1"/>
  </r>
  <r>
    <s v="EQE-31648-909"/>
    <x v="161"/>
    <x v="174"/>
    <s v="E-D-0.5"/>
    <n v="5"/>
    <x v="174"/>
    <s v="arizzetti55@naver.com"/>
    <x v="0"/>
    <x v="1"/>
    <x v="2"/>
    <x v="1"/>
    <n v="7.29"/>
    <n v="36.450000000000003"/>
    <x v="1"/>
    <x v="2"/>
    <x v="0"/>
  </r>
  <r>
    <s v="QOO-24615-950"/>
    <x v="162"/>
    <x v="175"/>
    <s v="R-M-2.5"/>
    <n v="3"/>
    <x v="175"/>
    <s v="mmeriet56@noaa.gov"/>
    <x v="0"/>
    <x v="0"/>
    <x v="0"/>
    <x v="2"/>
    <n v="22.884999999999998"/>
    <n v="68.655000000000001"/>
    <x v="0"/>
    <x v="0"/>
    <x v="1"/>
  </r>
  <r>
    <s v="WDV-73864-037"/>
    <x v="70"/>
    <x v="176"/>
    <s v="L-M-0.5"/>
    <n v="5"/>
    <x v="176"/>
    <s v="lpratt57@netvibes.com"/>
    <x v="0"/>
    <x v="3"/>
    <x v="0"/>
    <x v="1"/>
    <n v="8.73"/>
    <n v="43.650000000000006"/>
    <x v="3"/>
    <x v="0"/>
    <x v="0"/>
  </r>
  <r>
    <s v="PKR-88575-066"/>
    <x v="163"/>
    <x v="177"/>
    <s v="E-L-0.2"/>
    <n v="1"/>
    <x v="177"/>
    <s v="akitchingham58@com.com"/>
    <x v="0"/>
    <x v="1"/>
    <x v="1"/>
    <x v="3"/>
    <n v="4.4550000000000001"/>
    <n v="4.4550000000000001"/>
    <x v="1"/>
    <x v="1"/>
    <x v="0"/>
  </r>
  <r>
    <s v="BWR-85735-955"/>
    <x v="153"/>
    <x v="178"/>
    <s v="L-M-1"/>
    <n v="3"/>
    <x v="178"/>
    <s v="bbartholin59@xinhuanet.com"/>
    <x v="0"/>
    <x v="3"/>
    <x v="0"/>
    <x v="0"/>
    <n v="14.55"/>
    <n v="43.650000000000006"/>
    <x v="3"/>
    <x v="0"/>
    <x v="0"/>
  </r>
  <r>
    <s v="YFX-64795-136"/>
    <x v="164"/>
    <x v="179"/>
    <s v="L-M-2.5"/>
    <n v="1"/>
    <x v="179"/>
    <s v="mprinn5a@usa.gov"/>
    <x v="0"/>
    <x v="3"/>
    <x v="0"/>
    <x v="2"/>
    <n v="33.464999999999996"/>
    <n v="33.464999999999996"/>
    <x v="3"/>
    <x v="0"/>
    <x v="0"/>
  </r>
  <r>
    <s v="DDO-71442-967"/>
    <x v="165"/>
    <x v="180"/>
    <s v="L-D-0.2"/>
    <n v="5"/>
    <x v="180"/>
    <s v="abaudino5b@netvibes.com"/>
    <x v="0"/>
    <x v="3"/>
    <x v="2"/>
    <x v="3"/>
    <n v="3.8849999999999998"/>
    <n v="19.424999999999997"/>
    <x v="3"/>
    <x v="2"/>
    <x v="0"/>
  </r>
  <r>
    <s v="ILQ-11027-588"/>
    <x v="166"/>
    <x v="181"/>
    <s v="E-D-1"/>
    <n v="6"/>
    <x v="181"/>
    <s v="ppetrushanko5c@blinklist.com"/>
    <x v="1"/>
    <x v="1"/>
    <x v="2"/>
    <x v="0"/>
    <n v="12.15"/>
    <n v="72.900000000000006"/>
    <x v="1"/>
    <x v="2"/>
    <x v="0"/>
  </r>
  <r>
    <s v="KRZ-13868-122"/>
    <x v="167"/>
    <x v="182"/>
    <s v="E-L-1"/>
    <n v="3"/>
    <x v="182"/>
    <s v=""/>
    <x v="0"/>
    <x v="1"/>
    <x v="1"/>
    <x v="0"/>
    <n v="14.85"/>
    <n v="44.55"/>
    <x v="1"/>
    <x v="1"/>
    <x v="1"/>
  </r>
  <r>
    <s v="VRM-93594-914"/>
    <x v="168"/>
    <x v="183"/>
    <s v="E-D-0.5"/>
    <n v="5"/>
    <x v="183"/>
    <s v="elaird5e@bing.com"/>
    <x v="0"/>
    <x v="1"/>
    <x v="2"/>
    <x v="1"/>
    <n v="7.29"/>
    <n v="36.450000000000003"/>
    <x v="1"/>
    <x v="2"/>
    <x v="1"/>
  </r>
  <r>
    <s v="HXL-22497-359"/>
    <x v="169"/>
    <x v="184"/>
    <s v="A-L-1"/>
    <n v="3"/>
    <x v="184"/>
    <s v="mhowsden5f@infoseek.co.jp"/>
    <x v="0"/>
    <x v="2"/>
    <x v="1"/>
    <x v="0"/>
    <n v="12.95"/>
    <n v="38.849999999999994"/>
    <x v="2"/>
    <x v="1"/>
    <x v="1"/>
  </r>
  <r>
    <s v="NOP-21394-646"/>
    <x v="170"/>
    <x v="185"/>
    <s v="E-L-0.5"/>
    <n v="6"/>
    <x v="185"/>
    <s v="ncuttler5g@parallels.com"/>
    <x v="0"/>
    <x v="1"/>
    <x v="1"/>
    <x v="1"/>
    <n v="8.91"/>
    <n v="53.46"/>
    <x v="1"/>
    <x v="1"/>
    <x v="1"/>
  </r>
  <r>
    <s v="NOP-21394-646"/>
    <x v="170"/>
    <x v="185"/>
    <s v="L-D-2.5"/>
    <n v="2"/>
    <x v="185"/>
    <s v="ncuttler5g@parallels.com"/>
    <x v="0"/>
    <x v="3"/>
    <x v="2"/>
    <x v="2"/>
    <n v="29.784999999999997"/>
    <n v="59.569999999999993"/>
    <x v="3"/>
    <x v="2"/>
    <x v="1"/>
  </r>
  <r>
    <s v="NOP-21394-646"/>
    <x v="170"/>
    <x v="185"/>
    <s v="L-D-2.5"/>
    <n v="3"/>
    <x v="185"/>
    <s v="ncuttler5g@parallels.com"/>
    <x v="0"/>
    <x v="3"/>
    <x v="2"/>
    <x v="2"/>
    <n v="29.784999999999997"/>
    <n v="89.35499999999999"/>
    <x v="3"/>
    <x v="2"/>
    <x v="1"/>
  </r>
  <r>
    <s v="NOP-21394-646"/>
    <x v="170"/>
    <x v="185"/>
    <s v="L-L-0.5"/>
    <n v="4"/>
    <x v="185"/>
    <s v="ncuttler5g@parallels.com"/>
    <x v="0"/>
    <x v="3"/>
    <x v="1"/>
    <x v="1"/>
    <n v="9.51"/>
    <n v="38.04"/>
    <x v="3"/>
    <x v="1"/>
    <x v="1"/>
  </r>
  <r>
    <s v="NOP-21394-646"/>
    <x v="170"/>
    <x v="185"/>
    <s v="E-M-1"/>
    <n v="3"/>
    <x v="185"/>
    <s v="ncuttler5g@parallels.com"/>
    <x v="0"/>
    <x v="1"/>
    <x v="0"/>
    <x v="0"/>
    <n v="13.75"/>
    <n v="41.25"/>
    <x v="1"/>
    <x v="0"/>
    <x v="1"/>
  </r>
  <r>
    <s v="FTV-77095-168"/>
    <x v="171"/>
    <x v="186"/>
    <s v="L-L-0.5"/>
    <n v="6"/>
    <x v="186"/>
    <s v=""/>
    <x v="0"/>
    <x v="3"/>
    <x v="1"/>
    <x v="1"/>
    <n v="9.51"/>
    <n v="57.06"/>
    <x v="3"/>
    <x v="1"/>
    <x v="1"/>
  </r>
  <r>
    <s v="BOR-02906-411"/>
    <x v="172"/>
    <x v="187"/>
    <s v="L-D-2.5"/>
    <n v="6"/>
    <x v="187"/>
    <s v="tfelip5m@typepad.com"/>
    <x v="0"/>
    <x v="3"/>
    <x v="2"/>
    <x v="2"/>
    <n v="29.784999999999997"/>
    <n v="178.70999999999998"/>
    <x v="3"/>
    <x v="2"/>
    <x v="0"/>
  </r>
  <r>
    <s v="WMP-68847-770"/>
    <x v="173"/>
    <x v="188"/>
    <s v="L-L-0.2"/>
    <n v="1"/>
    <x v="188"/>
    <s v="vle5n@disqus.com"/>
    <x v="0"/>
    <x v="3"/>
    <x v="1"/>
    <x v="3"/>
    <n v="4.7549999999999999"/>
    <n v="4.7549999999999999"/>
    <x v="3"/>
    <x v="1"/>
    <x v="1"/>
  </r>
  <r>
    <s v="TMO-22785-872"/>
    <x v="174"/>
    <x v="189"/>
    <s v="E-M-1"/>
    <n v="6"/>
    <x v="189"/>
    <s v=""/>
    <x v="0"/>
    <x v="1"/>
    <x v="0"/>
    <x v="0"/>
    <n v="13.75"/>
    <n v="82.5"/>
    <x v="1"/>
    <x v="0"/>
    <x v="1"/>
  </r>
  <r>
    <s v="TJG-73587-353"/>
    <x v="175"/>
    <x v="190"/>
    <s v="R-D-0.2"/>
    <n v="3"/>
    <x v="190"/>
    <s v=""/>
    <x v="0"/>
    <x v="0"/>
    <x v="2"/>
    <x v="3"/>
    <n v="2.6849999999999996"/>
    <n v="8.0549999999999997"/>
    <x v="0"/>
    <x v="2"/>
    <x v="0"/>
  </r>
  <r>
    <s v="OOU-61343-455"/>
    <x v="176"/>
    <x v="191"/>
    <s v="A-M-1"/>
    <n v="2"/>
    <x v="191"/>
    <s v="npoolman5q@howstuffworks.com"/>
    <x v="0"/>
    <x v="2"/>
    <x v="0"/>
    <x v="0"/>
    <n v="11.25"/>
    <n v="22.5"/>
    <x v="2"/>
    <x v="0"/>
    <x v="1"/>
  </r>
  <r>
    <s v="RMA-08327-369"/>
    <x v="142"/>
    <x v="192"/>
    <s v="A-M-0.5"/>
    <n v="6"/>
    <x v="192"/>
    <s v="oduny5r@constantcontact.com"/>
    <x v="0"/>
    <x v="2"/>
    <x v="0"/>
    <x v="1"/>
    <n v="6.75"/>
    <n v="40.5"/>
    <x v="2"/>
    <x v="0"/>
    <x v="0"/>
  </r>
  <r>
    <s v="SFB-97929-779"/>
    <x v="177"/>
    <x v="193"/>
    <s v="E-D-0.5"/>
    <n v="4"/>
    <x v="193"/>
    <s v="chalfhide5s@google.ru"/>
    <x v="1"/>
    <x v="1"/>
    <x v="2"/>
    <x v="1"/>
    <n v="7.29"/>
    <n v="29.16"/>
    <x v="1"/>
    <x v="2"/>
    <x v="0"/>
  </r>
  <r>
    <s v="AUP-10128-606"/>
    <x v="178"/>
    <x v="194"/>
    <s v="A-M-0.5"/>
    <n v="1"/>
    <x v="194"/>
    <s v="fmalecky5t@list-manage.com"/>
    <x v="2"/>
    <x v="2"/>
    <x v="0"/>
    <x v="1"/>
    <n v="6.75"/>
    <n v="6.75"/>
    <x v="2"/>
    <x v="0"/>
    <x v="1"/>
  </r>
  <r>
    <s v="YTW-40242-005"/>
    <x v="179"/>
    <x v="195"/>
    <s v="L-D-1"/>
    <n v="4"/>
    <x v="195"/>
    <s v="aattwater5u@wikia.com"/>
    <x v="0"/>
    <x v="3"/>
    <x v="2"/>
    <x v="0"/>
    <n v="12.95"/>
    <n v="51.8"/>
    <x v="3"/>
    <x v="2"/>
    <x v="0"/>
  </r>
  <r>
    <s v="PRP-53390-819"/>
    <x v="180"/>
    <x v="196"/>
    <s v="E-L-0.5"/>
    <n v="6"/>
    <x v="196"/>
    <s v="mwhellans5v@mapquest.com"/>
    <x v="0"/>
    <x v="1"/>
    <x v="1"/>
    <x v="1"/>
    <n v="8.91"/>
    <n v="53.46"/>
    <x v="1"/>
    <x v="1"/>
    <x v="1"/>
  </r>
  <r>
    <s v="GSJ-01065-125"/>
    <x v="181"/>
    <x v="197"/>
    <s v="E-D-0.2"/>
    <n v="4"/>
    <x v="197"/>
    <s v="dcamilletti5w@businesswire.com"/>
    <x v="0"/>
    <x v="1"/>
    <x v="2"/>
    <x v="3"/>
    <n v="3.645"/>
    <n v="14.58"/>
    <x v="1"/>
    <x v="2"/>
    <x v="0"/>
  </r>
  <r>
    <s v="YQU-65147-580"/>
    <x v="182"/>
    <x v="198"/>
    <s v="R-D-2.5"/>
    <n v="1"/>
    <x v="198"/>
    <s v="egalgey5x@wufoo.com"/>
    <x v="0"/>
    <x v="0"/>
    <x v="2"/>
    <x v="2"/>
    <n v="20.584999999999997"/>
    <n v="20.584999999999997"/>
    <x v="0"/>
    <x v="2"/>
    <x v="1"/>
  </r>
  <r>
    <s v="QPM-95832-683"/>
    <x v="183"/>
    <x v="199"/>
    <s v="L-L-1"/>
    <n v="2"/>
    <x v="199"/>
    <s v="mhame5y@newsvine.com"/>
    <x v="1"/>
    <x v="3"/>
    <x v="1"/>
    <x v="0"/>
    <n v="15.85"/>
    <n v="31.7"/>
    <x v="3"/>
    <x v="1"/>
    <x v="1"/>
  </r>
  <r>
    <s v="BNQ-88920-567"/>
    <x v="184"/>
    <x v="200"/>
    <s v="L-D-0.2"/>
    <n v="6"/>
    <x v="200"/>
    <s v="igurnee5z@usnews.com"/>
    <x v="0"/>
    <x v="3"/>
    <x v="2"/>
    <x v="3"/>
    <n v="3.8849999999999998"/>
    <n v="23.31"/>
    <x v="3"/>
    <x v="2"/>
    <x v="1"/>
  </r>
  <r>
    <s v="PUX-47906-110"/>
    <x v="185"/>
    <x v="201"/>
    <s v="L-M-1"/>
    <n v="4"/>
    <x v="201"/>
    <s v="asnowding60@comsenz.com"/>
    <x v="0"/>
    <x v="3"/>
    <x v="0"/>
    <x v="0"/>
    <n v="14.55"/>
    <n v="58.2"/>
    <x v="3"/>
    <x v="0"/>
    <x v="0"/>
  </r>
  <r>
    <s v="COL-72079-610"/>
    <x v="186"/>
    <x v="202"/>
    <s v="E-L-0.5"/>
    <n v="4"/>
    <x v="202"/>
    <s v="gpoinsett61@berkeley.edu"/>
    <x v="0"/>
    <x v="1"/>
    <x v="1"/>
    <x v="1"/>
    <n v="8.91"/>
    <n v="35.64"/>
    <x v="1"/>
    <x v="1"/>
    <x v="1"/>
  </r>
  <r>
    <s v="LBC-45686-819"/>
    <x v="187"/>
    <x v="203"/>
    <s v="A-M-1"/>
    <n v="5"/>
    <x v="203"/>
    <s v="rfurman62@t.co"/>
    <x v="1"/>
    <x v="2"/>
    <x v="0"/>
    <x v="0"/>
    <n v="11.25"/>
    <n v="56.25"/>
    <x v="2"/>
    <x v="0"/>
    <x v="0"/>
  </r>
  <r>
    <s v="BLQ-03709-265"/>
    <x v="148"/>
    <x v="204"/>
    <s v="R-L-0.2"/>
    <n v="3"/>
    <x v="204"/>
    <s v="ccrosier63@xrea.com"/>
    <x v="0"/>
    <x v="0"/>
    <x v="1"/>
    <x v="3"/>
    <n v="3.5849999999999995"/>
    <n v="10.754999999999999"/>
    <x v="0"/>
    <x v="1"/>
    <x v="1"/>
  </r>
  <r>
    <s v="BLQ-03709-265"/>
    <x v="148"/>
    <x v="204"/>
    <s v="R-M-0.2"/>
    <n v="5"/>
    <x v="204"/>
    <s v="ccrosier63@xrea.com"/>
    <x v="0"/>
    <x v="0"/>
    <x v="0"/>
    <x v="3"/>
    <n v="2.9849999999999999"/>
    <n v="14.924999999999999"/>
    <x v="0"/>
    <x v="0"/>
    <x v="1"/>
  </r>
  <r>
    <s v="VFZ-91673-181"/>
    <x v="188"/>
    <x v="205"/>
    <s v="A-L-1"/>
    <n v="6"/>
    <x v="205"/>
    <s v="lrushmer65@europa.eu"/>
    <x v="0"/>
    <x v="2"/>
    <x v="1"/>
    <x v="0"/>
    <n v="12.95"/>
    <n v="77.699999999999989"/>
    <x v="2"/>
    <x v="1"/>
    <x v="0"/>
  </r>
  <r>
    <s v="WKD-81956-870"/>
    <x v="189"/>
    <x v="206"/>
    <s v="L-D-0.5"/>
    <n v="3"/>
    <x v="206"/>
    <s v="wedinborough66@github.io"/>
    <x v="0"/>
    <x v="3"/>
    <x v="2"/>
    <x v="1"/>
    <n v="7.77"/>
    <n v="23.31"/>
    <x v="3"/>
    <x v="2"/>
    <x v="1"/>
  </r>
  <r>
    <s v="TNI-91067-006"/>
    <x v="190"/>
    <x v="207"/>
    <s v="E-L-1"/>
    <n v="4"/>
    <x v="207"/>
    <s v=""/>
    <x v="0"/>
    <x v="1"/>
    <x v="1"/>
    <x v="0"/>
    <n v="14.85"/>
    <n v="59.4"/>
    <x v="1"/>
    <x v="1"/>
    <x v="0"/>
  </r>
  <r>
    <s v="IZA-61469-812"/>
    <x v="191"/>
    <x v="208"/>
    <s v="L-D-2.5"/>
    <n v="4"/>
    <x v="208"/>
    <s v="kbromehead68@un.org"/>
    <x v="0"/>
    <x v="3"/>
    <x v="2"/>
    <x v="2"/>
    <n v="29.784999999999997"/>
    <n v="119.13999999999999"/>
    <x v="3"/>
    <x v="2"/>
    <x v="0"/>
  </r>
  <r>
    <s v="PSS-22466-862"/>
    <x v="192"/>
    <x v="209"/>
    <s v="R-L-0.2"/>
    <n v="4"/>
    <x v="209"/>
    <s v="ewesterman69@si.edu"/>
    <x v="1"/>
    <x v="0"/>
    <x v="1"/>
    <x v="3"/>
    <n v="3.5849999999999995"/>
    <n v="14.339999999999998"/>
    <x v="0"/>
    <x v="1"/>
    <x v="1"/>
  </r>
  <r>
    <s v="REH-56504-397"/>
    <x v="193"/>
    <x v="210"/>
    <s v="A-M-2.5"/>
    <n v="5"/>
    <x v="210"/>
    <s v="ahutchens6a@amazonaws.com"/>
    <x v="0"/>
    <x v="2"/>
    <x v="0"/>
    <x v="2"/>
    <n v="25.874999999999996"/>
    <n v="129.37499999999997"/>
    <x v="2"/>
    <x v="0"/>
    <x v="1"/>
  </r>
  <r>
    <s v="ALA-62598-016"/>
    <x v="194"/>
    <x v="211"/>
    <s v="R-D-0.2"/>
    <n v="6"/>
    <x v="211"/>
    <s v="nwyvill6b@naver.com"/>
    <x v="2"/>
    <x v="0"/>
    <x v="2"/>
    <x v="3"/>
    <n v="2.6849999999999996"/>
    <n v="16.11"/>
    <x v="0"/>
    <x v="2"/>
    <x v="0"/>
  </r>
  <r>
    <s v="EYE-70374-835"/>
    <x v="195"/>
    <x v="212"/>
    <s v="R-L-0.2"/>
    <n v="5"/>
    <x v="212"/>
    <s v="bmathon6c@barnesandnoble.com"/>
    <x v="0"/>
    <x v="0"/>
    <x v="1"/>
    <x v="3"/>
    <n v="3.5849999999999995"/>
    <n v="17.924999999999997"/>
    <x v="0"/>
    <x v="1"/>
    <x v="1"/>
  </r>
  <r>
    <s v="CCZ-19589-212"/>
    <x v="196"/>
    <x v="213"/>
    <s v="L-M-0.2"/>
    <n v="2"/>
    <x v="213"/>
    <s v="kstreight6d@about.com"/>
    <x v="0"/>
    <x v="3"/>
    <x v="0"/>
    <x v="3"/>
    <n v="4.3650000000000002"/>
    <n v="8.73"/>
    <x v="3"/>
    <x v="0"/>
    <x v="1"/>
  </r>
  <r>
    <s v="BPT-83989-157"/>
    <x v="197"/>
    <x v="214"/>
    <s v="A-M-2.5"/>
    <n v="2"/>
    <x v="214"/>
    <s v="pcutchie6e@globo.com"/>
    <x v="0"/>
    <x v="2"/>
    <x v="0"/>
    <x v="2"/>
    <n v="25.874999999999996"/>
    <n v="51.749999999999993"/>
    <x v="2"/>
    <x v="0"/>
    <x v="1"/>
  </r>
  <r>
    <s v="YFH-87456-208"/>
    <x v="198"/>
    <x v="215"/>
    <s v="L-M-0.2"/>
    <n v="2"/>
    <x v="215"/>
    <s v=""/>
    <x v="0"/>
    <x v="3"/>
    <x v="0"/>
    <x v="3"/>
    <n v="4.3650000000000002"/>
    <n v="8.73"/>
    <x v="3"/>
    <x v="0"/>
    <x v="0"/>
  </r>
  <r>
    <s v="JLN-14700-924"/>
    <x v="199"/>
    <x v="216"/>
    <s v="L-L-0.2"/>
    <n v="5"/>
    <x v="216"/>
    <s v="cgheraldi6g@opera.com"/>
    <x v="2"/>
    <x v="3"/>
    <x v="1"/>
    <x v="3"/>
    <n v="4.7549999999999999"/>
    <n v="23.774999999999999"/>
    <x v="3"/>
    <x v="1"/>
    <x v="1"/>
  </r>
  <r>
    <s v="JVW-22582-137"/>
    <x v="200"/>
    <x v="217"/>
    <s v="E-M-0.2"/>
    <n v="5"/>
    <x v="217"/>
    <s v="bkenwell6h@over-blog.com"/>
    <x v="0"/>
    <x v="1"/>
    <x v="0"/>
    <x v="3"/>
    <n v="4.125"/>
    <n v="20.625"/>
    <x v="1"/>
    <x v="0"/>
    <x v="1"/>
  </r>
  <r>
    <s v="LAA-41879-001"/>
    <x v="201"/>
    <x v="218"/>
    <s v="L-L-2.5"/>
    <n v="1"/>
    <x v="218"/>
    <s v="tsutty6i@google.es"/>
    <x v="0"/>
    <x v="3"/>
    <x v="1"/>
    <x v="2"/>
    <n v="36.454999999999998"/>
    <n v="36.454999999999998"/>
    <x v="3"/>
    <x v="1"/>
    <x v="1"/>
  </r>
  <r>
    <s v="BRV-64870-915"/>
    <x v="202"/>
    <x v="219"/>
    <s v="L-L-2.5"/>
    <n v="5"/>
    <x v="219"/>
    <s v=""/>
    <x v="1"/>
    <x v="3"/>
    <x v="1"/>
    <x v="2"/>
    <n v="36.454999999999998"/>
    <n v="182.27499999999998"/>
    <x v="3"/>
    <x v="1"/>
    <x v="1"/>
  </r>
  <r>
    <s v="RGJ-12544-083"/>
    <x v="203"/>
    <x v="220"/>
    <s v="L-D-2.5"/>
    <n v="3"/>
    <x v="220"/>
    <s v="charce6k@cafepress.com"/>
    <x v="1"/>
    <x v="3"/>
    <x v="2"/>
    <x v="2"/>
    <n v="29.784999999999997"/>
    <n v="89.35499999999999"/>
    <x v="3"/>
    <x v="2"/>
    <x v="1"/>
  </r>
  <r>
    <s v="JJX-83339-346"/>
    <x v="204"/>
    <x v="221"/>
    <s v="R-L-0.2"/>
    <n v="1"/>
    <x v="221"/>
    <s v=""/>
    <x v="0"/>
    <x v="0"/>
    <x v="1"/>
    <x v="3"/>
    <n v="3.5849999999999995"/>
    <n v="3.5849999999999995"/>
    <x v="0"/>
    <x v="1"/>
    <x v="0"/>
  </r>
  <r>
    <s v="BIU-21970-705"/>
    <x v="205"/>
    <x v="222"/>
    <s v="R-M-2.5"/>
    <n v="2"/>
    <x v="222"/>
    <s v="fdrysdale6m@symantec.com"/>
    <x v="0"/>
    <x v="0"/>
    <x v="0"/>
    <x v="2"/>
    <n v="22.884999999999998"/>
    <n v="45.769999999999996"/>
    <x v="0"/>
    <x v="0"/>
    <x v="0"/>
  </r>
  <r>
    <s v="ELJ-87741-745"/>
    <x v="206"/>
    <x v="223"/>
    <s v="E-L-1"/>
    <n v="4"/>
    <x v="223"/>
    <s v="dmagowan6n@fc2.com"/>
    <x v="0"/>
    <x v="1"/>
    <x v="1"/>
    <x v="0"/>
    <n v="14.85"/>
    <n v="59.4"/>
    <x v="1"/>
    <x v="1"/>
    <x v="1"/>
  </r>
  <r>
    <s v="SGI-48226-857"/>
    <x v="207"/>
    <x v="224"/>
    <s v="A-M-2.5"/>
    <n v="6"/>
    <x v="224"/>
    <s v=""/>
    <x v="0"/>
    <x v="2"/>
    <x v="0"/>
    <x v="2"/>
    <n v="25.874999999999996"/>
    <n v="155.24999999999997"/>
    <x v="2"/>
    <x v="0"/>
    <x v="0"/>
  </r>
  <r>
    <s v="AHV-66988-037"/>
    <x v="208"/>
    <x v="225"/>
    <s v="R-M-2.5"/>
    <n v="2"/>
    <x v="225"/>
    <s v=""/>
    <x v="0"/>
    <x v="0"/>
    <x v="0"/>
    <x v="2"/>
    <n v="22.884999999999998"/>
    <n v="45.769999999999996"/>
    <x v="0"/>
    <x v="0"/>
    <x v="1"/>
  </r>
  <r>
    <s v="ISK-42066-094"/>
    <x v="209"/>
    <x v="226"/>
    <s v="E-D-1"/>
    <n v="3"/>
    <x v="226"/>
    <s v="srushbrooke6q@youku.com"/>
    <x v="0"/>
    <x v="1"/>
    <x v="2"/>
    <x v="0"/>
    <n v="12.15"/>
    <n v="36.450000000000003"/>
    <x v="1"/>
    <x v="2"/>
    <x v="0"/>
  </r>
  <r>
    <s v="FTC-35822-530"/>
    <x v="210"/>
    <x v="227"/>
    <s v="E-D-0.5"/>
    <n v="4"/>
    <x v="227"/>
    <s v="tdrynan6r@deviantart.com"/>
    <x v="0"/>
    <x v="1"/>
    <x v="2"/>
    <x v="1"/>
    <n v="7.29"/>
    <n v="29.16"/>
    <x v="1"/>
    <x v="2"/>
    <x v="0"/>
  </r>
  <r>
    <s v="VSS-56247-688"/>
    <x v="211"/>
    <x v="228"/>
    <s v="L-M-2.5"/>
    <n v="4"/>
    <x v="228"/>
    <s v="eyurkov6s@hud.gov"/>
    <x v="0"/>
    <x v="3"/>
    <x v="0"/>
    <x v="2"/>
    <n v="33.464999999999996"/>
    <n v="133.85999999999999"/>
    <x v="3"/>
    <x v="0"/>
    <x v="1"/>
  </r>
  <r>
    <s v="HVW-25584-144"/>
    <x v="212"/>
    <x v="229"/>
    <s v="L-L-0.2"/>
    <n v="5"/>
    <x v="229"/>
    <s v="lmallan6t@state.gov"/>
    <x v="0"/>
    <x v="3"/>
    <x v="1"/>
    <x v="3"/>
    <n v="4.7549999999999999"/>
    <n v="23.774999999999999"/>
    <x v="3"/>
    <x v="1"/>
    <x v="0"/>
  </r>
  <r>
    <s v="MUY-15309-209"/>
    <x v="213"/>
    <x v="230"/>
    <s v="L-D-1"/>
    <n v="3"/>
    <x v="230"/>
    <s v="gbentjens6u@netlog.com"/>
    <x v="2"/>
    <x v="3"/>
    <x v="2"/>
    <x v="0"/>
    <n v="12.95"/>
    <n v="38.849999999999994"/>
    <x v="3"/>
    <x v="2"/>
    <x v="1"/>
  </r>
  <r>
    <s v="VAJ-44572-469"/>
    <x v="63"/>
    <x v="231"/>
    <s v="R-L-0.2"/>
    <n v="6"/>
    <x v="231"/>
    <s v=""/>
    <x v="1"/>
    <x v="0"/>
    <x v="1"/>
    <x v="3"/>
    <n v="3.5849999999999995"/>
    <n v="21.509999999999998"/>
    <x v="0"/>
    <x v="1"/>
    <x v="0"/>
  </r>
  <r>
    <s v="YJU-84377-606"/>
    <x v="214"/>
    <x v="232"/>
    <s v="A-D-1"/>
    <n v="1"/>
    <x v="232"/>
    <s v="lentwistle6w@omniture.com"/>
    <x v="0"/>
    <x v="2"/>
    <x v="2"/>
    <x v="0"/>
    <n v="9.9499999999999993"/>
    <n v="9.9499999999999993"/>
    <x v="2"/>
    <x v="2"/>
    <x v="0"/>
  </r>
  <r>
    <s v="VNC-93921-469"/>
    <x v="215"/>
    <x v="233"/>
    <s v="L-L-1"/>
    <n v="1"/>
    <x v="233"/>
    <s v="zkiffe74@cyberchimps.com"/>
    <x v="0"/>
    <x v="3"/>
    <x v="1"/>
    <x v="0"/>
    <n v="15.85"/>
    <n v="15.85"/>
    <x v="3"/>
    <x v="1"/>
    <x v="0"/>
  </r>
  <r>
    <s v="OGB-91614-810"/>
    <x v="216"/>
    <x v="234"/>
    <s v="R-M-0.2"/>
    <n v="1"/>
    <x v="234"/>
    <s v="macott6y@pagesperso-orange.fr"/>
    <x v="0"/>
    <x v="0"/>
    <x v="0"/>
    <x v="3"/>
    <n v="2.9849999999999999"/>
    <n v="2.9849999999999999"/>
    <x v="0"/>
    <x v="0"/>
    <x v="0"/>
  </r>
  <r>
    <s v="BQI-61647-496"/>
    <x v="217"/>
    <x v="235"/>
    <s v="E-M-1"/>
    <n v="5"/>
    <x v="235"/>
    <s v="cheaviside6z@rediff.com"/>
    <x v="0"/>
    <x v="1"/>
    <x v="0"/>
    <x v="0"/>
    <n v="13.75"/>
    <n v="68.75"/>
    <x v="1"/>
    <x v="0"/>
    <x v="0"/>
  </r>
  <r>
    <s v="IOM-51636-823"/>
    <x v="218"/>
    <x v="236"/>
    <s v="A-D-1"/>
    <n v="3"/>
    <x v="236"/>
    <s v=""/>
    <x v="0"/>
    <x v="2"/>
    <x v="2"/>
    <x v="0"/>
    <n v="9.9499999999999993"/>
    <n v="29.849999999999998"/>
    <x v="2"/>
    <x v="2"/>
    <x v="1"/>
  </r>
  <r>
    <s v="GGD-38107-641"/>
    <x v="219"/>
    <x v="237"/>
    <s v="L-M-1"/>
    <n v="4"/>
    <x v="237"/>
    <s v="lkernan71@wsj.com"/>
    <x v="0"/>
    <x v="3"/>
    <x v="0"/>
    <x v="0"/>
    <n v="14.55"/>
    <n v="58.2"/>
    <x v="3"/>
    <x v="0"/>
    <x v="1"/>
  </r>
  <r>
    <s v="LTO-95975-728"/>
    <x v="220"/>
    <x v="238"/>
    <s v="R-L-0.5"/>
    <n v="4"/>
    <x v="238"/>
    <s v="rmclae72@dailymotion.com"/>
    <x v="2"/>
    <x v="0"/>
    <x v="1"/>
    <x v="1"/>
    <n v="7.169999999999999"/>
    <n v="28.679999999999996"/>
    <x v="0"/>
    <x v="1"/>
    <x v="1"/>
  </r>
  <r>
    <s v="IGM-84664-265"/>
    <x v="114"/>
    <x v="239"/>
    <s v="R-L-0.5"/>
    <n v="3"/>
    <x v="239"/>
    <s v="cblowfelde73@ustream.tv"/>
    <x v="0"/>
    <x v="0"/>
    <x v="1"/>
    <x v="1"/>
    <n v="7.169999999999999"/>
    <n v="21.509999999999998"/>
    <x v="0"/>
    <x v="1"/>
    <x v="1"/>
  </r>
  <r>
    <s v="SKO-45740-621"/>
    <x v="221"/>
    <x v="233"/>
    <s v="L-M-0.5"/>
    <n v="2"/>
    <x v="233"/>
    <s v="zkiffe74@cyberchimps.com"/>
    <x v="0"/>
    <x v="3"/>
    <x v="0"/>
    <x v="1"/>
    <n v="8.73"/>
    <n v="17.46"/>
    <x v="3"/>
    <x v="0"/>
    <x v="0"/>
  </r>
  <r>
    <s v="FOJ-02234-063"/>
    <x v="222"/>
    <x v="240"/>
    <s v="E-D-2.5"/>
    <n v="1"/>
    <x v="240"/>
    <s v="docalleran75@ucla.edu"/>
    <x v="0"/>
    <x v="1"/>
    <x v="2"/>
    <x v="2"/>
    <n v="27.945"/>
    <n v="27.945"/>
    <x v="1"/>
    <x v="2"/>
    <x v="0"/>
  </r>
  <r>
    <s v="MSJ-11909-468"/>
    <x v="188"/>
    <x v="241"/>
    <s v="E-D-2.5"/>
    <n v="5"/>
    <x v="241"/>
    <s v="ccromwell76@desdev.cn"/>
    <x v="0"/>
    <x v="1"/>
    <x v="2"/>
    <x v="2"/>
    <n v="27.945"/>
    <n v="139.72499999999999"/>
    <x v="1"/>
    <x v="2"/>
    <x v="1"/>
  </r>
  <r>
    <s v="DKB-78053-329"/>
    <x v="223"/>
    <x v="242"/>
    <s v="R-M-0.2"/>
    <n v="2"/>
    <x v="242"/>
    <s v="ihay77@lulu.com"/>
    <x v="2"/>
    <x v="0"/>
    <x v="0"/>
    <x v="3"/>
    <n v="2.9849999999999999"/>
    <n v="5.97"/>
    <x v="0"/>
    <x v="0"/>
    <x v="1"/>
  </r>
  <r>
    <s v="DFZ-45083-941"/>
    <x v="224"/>
    <x v="243"/>
    <s v="R-L-2.5"/>
    <n v="1"/>
    <x v="243"/>
    <s v="ttaffarello78@sciencedaily.com"/>
    <x v="0"/>
    <x v="0"/>
    <x v="1"/>
    <x v="2"/>
    <n v="27.484999999999996"/>
    <n v="27.484999999999996"/>
    <x v="0"/>
    <x v="1"/>
    <x v="0"/>
  </r>
  <r>
    <s v="OTA-40969-710"/>
    <x v="83"/>
    <x v="244"/>
    <s v="R-L-1"/>
    <n v="5"/>
    <x v="244"/>
    <s v="mcanty79@jigsy.com"/>
    <x v="0"/>
    <x v="0"/>
    <x v="1"/>
    <x v="0"/>
    <n v="11.95"/>
    <n v="59.75"/>
    <x v="0"/>
    <x v="1"/>
    <x v="0"/>
  </r>
  <r>
    <s v="GRH-45571-667"/>
    <x v="104"/>
    <x v="245"/>
    <s v="E-M-1"/>
    <n v="3"/>
    <x v="245"/>
    <s v="jkopke7a@auda.org.au"/>
    <x v="0"/>
    <x v="1"/>
    <x v="0"/>
    <x v="0"/>
    <n v="13.75"/>
    <n v="41.25"/>
    <x v="1"/>
    <x v="0"/>
    <x v="1"/>
  </r>
  <r>
    <s v="NXV-05302-067"/>
    <x v="225"/>
    <x v="246"/>
    <s v="L-M-2.5"/>
    <n v="4"/>
    <x v="246"/>
    <s v=""/>
    <x v="0"/>
    <x v="3"/>
    <x v="0"/>
    <x v="2"/>
    <n v="33.464999999999996"/>
    <n v="133.85999999999999"/>
    <x v="3"/>
    <x v="0"/>
    <x v="1"/>
  </r>
  <r>
    <s v="VZH-86274-142"/>
    <x v="226"/>
    <x v="247"/>
    <s v="R-L-1"/>
    <n v="5"/>
    <x v="247"/>
    <s v=""/>
    <x v="1"/>
    <x v="0"/>
    <x v="1"/>
    <x v="0"/>
    <n v="11.95"/>
    <n v="59.75"/>
    <x v="0"/>
    <x v="1"/>
    <x v="0"/>
  </r>
  <r>
    <s v="KIX-93248-135"/>
    <x v="227"/>
    <x v="248"/>
    <s v="A-D-0.5"/>
    <n v="1"/>
    <x v="248"/>
    <s v="vhellmore7d@bbc.co.uk"/>
    <x v="0"/>
    <x v="2"/>
    <x v="2"/>
    <x v="1"/>
    <n v="5.97"/>
    <n v="5.97"/>
    <x v="2"/>
    <x v="2"/>
    <x v="0"/>
  </r>
  <r>
    <s v="AXR-10962-010"/>
    <x v="180"/>
    <x v="249"/>
    <s v="E-D-1"/>
    <n v="2"/>
    <x v="249"/>
    <s v="mseawright7e@nbcnews.com"/>
    <x v="2"/>
    <x v="1"/>
    <x v="2"/>
    <x v="0"/>
    <n v="12.15"/>
    <n v="24.3"/>
    <x v="1"/>
    <x v="2"/>
    <x v="1"/>
  </r>
  <r>
    <s v="IHS-71573-008"/>
    <x v="228"/>
    <x v="250"/>
    <s v="E-D-0.2"/>
    <n v="6"/>
    <x v="250"/>
    <s v="snortheast7f@mashable.com"/>
    <x v="0"/>
    <x v="1"/>
    <x v="2"/>
    <x v="3"/>
    <n v="3.645"/>
    <n v="21.87"/>
    <x v="1"/>
    <x v="2"/>
    <x v="0"/>
  </r>
  <r>
    <s v="QTR-19001-114"/>
    <x v="229"/>
    <x v="195"/>
    <s v="A-D-1"/>
    <n v="2"/>
    <x v="195"/>
    <s v="aattwater5u@wikia.com"/>
    <x v="0"/>
    <x v="2"/>
    <x v="2"/>
    <x v="0"/>
    <n v="9.9499999999999993"/>
    <n v="19.899999999999999"/>
    <x v="2"/>
    <x v="2"/>
    <x v="0"/>
  </r>
  <r>
    <s v="WBK-62297-910"/>
    <x v="230"/>
    <x v="251"/>
    <s v="A-D-0.2"/>
    <n v="2"/>
    <x v="251"/>
    <s v="mfearon7h@reverbnation.com"/>
    <x v="0"/>
    <x v="2"/>
    <x v="2"/>
    <x v="3"/>
    <n v="2.9849999999999999"/>
    <n v="5.97"/>
    <x v="2"/>
    <x v="2"/>
    <x v="1"/>
  </r>
  <r>
    <s v="OGY-19377-175"/>
    <x v="231"/>
    <x v="252"/>
    <s v="E-D-0.5"/>
    <n v="1"/>
    <x v="252"/>
    <s v=""/>
    <x v="1"/>
    <x v="1"/>
    <x v="2"/>
    <x v="1"/>
    <n v="7.29"/>
    <n v="7.29"/>
    <x v="1"/>
    <x v="2"/>
    <x v="0"/>
  </r>
  <r>
    <s v="ESR-66651-814"/>
    <x v="80"/>
    <x v="253"/>
    <s v="A-D-0.2"/>
    <n v="4"/>
    <x v="253"/>
    <s v="jsisneros7j@a8.net"/>
    <x v="0"/>
    <x v="2"/>
    <x v="2"/>
    <x v="3"/>
    <n v="2.9849999999999999"/>
    <n v="11.94"/>
    <x v="2"/>
    <x v="2"/>
    <x v="0"/>
  </r>
  <r>
    <s v="CPX-46916-770"/>
    <x v="232"/>
    <x v="254"/>
    <s v="R-L-1"/>
    <n v="6"/>
    <x v="254"/>
    <s v="zcarlson7k@bigcartel.com"/>
    <x v="1"/>
    <x v="0"/>
    <x v="1"/>
    <x v="0"/>
    <n v="11.95"/>
    <n v="71.699999999999989"/>
    <x v="0"/>
    <x v="1"/>
    <x v="0"/>
  </r>
  <r>
    <s v="MDC-03318-645"/>
    <x v="233"/>
    <x v="255"/>
    <s v="A-L-0.2"/>
    <n v="2"/>
    <x v="255"/>
    <s v="wmaddox7l@timesonline.co.uk"/>
    <x v="0"/>
    <x v="2"/>
    <x v="1"/>
    <x v="3"/>
    <n v="3.8849999999999998"/>
    <n v="7.77"/>
    <x v="2"/>
    <x v="1"/>
    <x v="1"/>
  </r>
  <r>
    <s v="SFF-86059-407"/>
    <x v="234"/>
    <x v="256"/>
    <s v="A-M-2.5"/>
    <n v="1"/>
    <x v="256"/>
    <s v="dhedlestone7m@craigslist.org"/>
    <x v="0"/>
    <x v="2"/>
    <x v="0"/>
    <x v="2"/>
    <n v="25.874999999999996"/>
    <n v="25.874999999999996"/>
    <x v="2"/>
    <x v="0"/>
    <x v="1"/>
  </r>
  <r>
    <s v="SCL-94540-788"/>
    <x v="235"/>
    <x v="257"/>
    <s v="E-L-2.5"/>
    <n v="6"/>
    <x v="257"/>
    <s v="tcrowthe7n@europa.eu"/>
    <x v="0"/>
    <x v="1"/>
    <x v="1"/>
    <x v="2"/>
    <n v="34.154999999999994"/>
    <n v="204.92999999999995"/>
    <x v="1"/>
    <x v="1"/>
    <x v="1"/>
  </r>
  <r>
    <s v="HVU-21634-076"/>
    <x v="236"/>
    <x v="258"/>
    <s v="R-L-2.5"/>
    <n v="4"/>
    <x v="258"/>
    <s v="dbury7o@tinyurl.com"/>
    <x v="1"/>
    <x v="0"/>
    <x v="1"/>
    <x v="2"/>
    <n v="27.484999999999996"/>
    <n v="109.93999999999998"/>
    <x v="0"/>
    <x v="1"/>
    <x v="0"/>
  </r>
  <r>
    <s v="XUS-73326-418"/>
    <x v="237"/>
    <x v="259"/>
    <s v="E-L-1"/>
    <n v="6"/>
    <x v="259"/>
    <s v="gbroadbear7p@omniture.com"/>
    <x v="0"/>
    <x v="1"/>
    <x v="1"/>
    <x v="0"/>
    <n v="14.85"/>
    <n v="89.1"/>
    <x v="1"/>
    <x v="1"/>
    <x v="1"/>
  </r>
  <r>
    <s v="XWD-18933-006"/>
    <x v="238"/>
    <x v="260"/>
    <s v="A-L-0.2"/>
    <n v="2"/>
    <x v="260"/>
    <s v="epalfrey7q@devhub.com"/>
    <x v="0"/>
    <x v="2"/>
    <x v="1"/>
    <x v="3"/>
    <n v="3.8849999999999998"/>
    <n v="7.77"/>
    <x v="2"/>
    <x v="1"/>
    <x v="0"/>
  </r>
  <r>
    <s v="HPD-65272-772"/>
    <x v="52"/>
    <x v="261"/>
    <s v="L-M-2.5"/>
    <n v="1"/>
    <x v="261"/>
    <s v="pmetrick7r@rakuten.co.jp"/>
    <x v="0"/>
    <x v="3"/>
    <x v="0"/>
    <x v="2"/>
    <n v="33.464999999999996"/>
    <n v="33.464999999999996"/>
    <x v="3"/>
    <x v="0"/>
    <x v="0"/>
  </r>
  <r>
    <s v="JEG-93140-224"/>
    <x v="146"/>
    <x v="262"/>
    <s v="E-M-0.5"/>
    <n v="5"/>
    <x v="262"/>
    <s v=""/>
    <x v="0"/>
    <x v="1"/>
    <x v="0"/>
    <x v="1"/>
    <n v="8.25"/>
    <n v="41.25"/>
    <x v="1"/>
    <x v="0"/>
    <x v="0"/>
  </r>
  <r>
    <s v="NNH-62058-950"/>
    <x v="239"/>
    <x v="263"/>
    <s v="E-L-1"/>
    <n v="4"/>
    <x v="263"/>
    <s v="kkarby7t@sbwire.com"/>
    <x v="0"/>
    <x v="1"/>
    <x v="1"/>
    <x v="0"/>
    <n v="14.85"/>
    <n v="59.4"/>
    <x v="1"/>
    <x v="1"/>
    <x v="0"/>
  </r>
  <r>
    <s v="LTD-71429-845"/>
    <x v="240"/>
    <x v="264"/>
    <s v="A-L-0.5"/>
    <n v="1"/>
    <x v="264"/>
    <s v="fcrumpe7u@ftc.gov"/>
    <x v="2"/>
    <x v="2"/>
    <x v="1"/>
    <x v="1"/>
    <n v="7.77"/>
    <n v="7.77"/>
    <x v="2"/>
    <x v="1"/>
    <x v="1"/>
  </r>
  <r>
    <s v="MPV-26985-215"/>
    <x v="241"/>
    <x v="265"/>
    <s v="R-D-0.5"/>
    <n v="1"/>
    <x v="265"/>
    <s v="achatto7v@sakura.ne.jp"/>
    <x v="2"/>
    <x v="0"/>
    <x v="2"/>
    <x v="1"/>
    <n v="5.3699999999999992"/>
    <n v="5.3699999999999992"/>
    <x v="0"/>
    <x v="2"/>
    <x v="0"/>
  </r>
  <r>
    <s v="IYO-10245-081"/>
    <x v="242"/>
    <x v="266"/>
    <s v="E-M-2.5"/>
    <n v="3"/>
    <x v="266"/>
    <s v=""/>
    <x v="0"/>
    <x v="1"/>
    <x v="0"/>
    <x v="2"/>
    <n v="31.624999999999996"/>
    <n v="94.874999999999986"/>
    <x v="1"/>
    <x v="0"/>
    <x v="1"/>
  </r>
  <r>
    <s v="BYZ-39669-954"/>
    <x v="243"/>
    <x v="267"/>
    <s v="L-L-2.5"/>
    <n v="1"/>
    <x v="267"/>
    <s v=""/>
    <x v="0"/>
    <x v="3"/>
    <x v="1"/>
    <x v="2"/>
    <n v="36.454999999999998"/>
    <n v="36.454999999999998"/>
    <x v="3"/>
    <x v="1"/>
    <x v="1"/>
  </r>
  <r>
    <s v="EFB-72860-209"/>
    <x v="244"/>
    <x v="268"/>
    <s v="A-M-0.2"/>
    <n v="4"/>
    <x v="268"/>
    <s v="bmergue7y@umn.edu"/>
    <x v="0"/>
    <x v="2"/>
    <x v="0"/>
    <x v="3"/>
    <n v="3.375"/>
    <n v="13.5"/>
    <x v="2"/>
    <x v="0"/>
    <x v="0"/>
  </r>
  <r>
    <s v="GMM-72397-378"/>
    <x v="245"/>
    <x v="269"/>
    <s v="R-L-0.2"/>
    <n v="4"/>
    <x v="269"/>
    <s v="kpatise7z@jigsy.com"/>
    <x v="0"/>
    <x v="0"/>
    <x v="1"/>
    <x v="3"/>
    <n v="3.5849999999999995"/>
    <n v="14.339999999999998"/>
    <x v="0"/>
    <x v="1"/>
    <x v="1"/>
  </r>
  <r>
    <s v="LYP-52345-883"/>
    <x v="246"/>
    <x v="270"/>
    <s v="E-M-0.5"/>
    <n v="1"/>
    <x v="270"/>
    <s v=""/>
    <x v="1"/>
    <x v="1"/>
    <x v="0"/>
    <x v="1"/>
    <n v="8.25"/>
    <n v="8.25"/>
    <x v="1"/>
    <x v="0"/>
    <x v="0"/>
  </r>
  <r>
    <s v="DFK-35846-692"/>
    <x v="247"/>
    <x v="271"/>
    <s v="R-D-0.2"/>
    <n v="5"/>
    <x v="271"/>
    <s v=""/>
    <x v="0"/>
    <x v="0"/>
    <x v="2"/>
    <x v="3"/>
    <n v="2.6849999999999996"/>
    <n v="13.424999999999997"/>
    <x v="0"/>
    <x v="2"/>
    <x v="0"/>
  </r>
  <r>
    <s v="XAH-93337-609"/>
    <x v="248"/>
    <x v="272"/>
    <s v="A-D-1"/>
    <n v="5"/>
    <x v="272"/>
    <s v="dduke82@vkontakte.ru"/>
    <x v="0"/>
    <x v="2"/>
    <x v="2"/>
    <x v="0"/>
    <n v="9.9499999999999993"/>
    <n v="49.75"/>
    <x v="2"/>
    <x v="2"/>
    <x v="1"/>
  </r>
  <r>
    <s v="QKA-72582-644"/>
    <x v="249"/>
    <x v="273"/>
    <s v="E-M-0.5"/>
    <n v="2"/>
    <x v="273"/>
    <s v=""/>
    <x v="1"/>
    <x v="1"/>
    <x v="0"/>
    <x v="1"/>
    <n v="8.25"/>
    <n v="16.5"/>
    <x v="1"/>
    <x v="0"/>
    <x v="1"/>
  </r>
  <r>
    <s v="ZDK-84567-102"/>
    <x v="250"/>
    <x v="274"/>
    <s v="A-D-0.5"/>
    <n v="3"/>
    <x v="274"/>
    <s v="ihussey84@mapy.cz"/>
    <x v="0"/>
    <x v="2"/>
    <x v="2"/>
    <x v="1"/>
    <n v="5.97"/>
    <n v="17.91"/>
    <x v="2"/>
    <x v="2"/>
    <x v="1"/>
  </r>
  <r>
    <s v="WAV-38301-984"/>
    <x v="251"/>
    <x v="275"/>
    <s v="A-D-0.5"/>
    <n v="5"/>
    <x v="275"/>
    <s v="cpinkerton85@upenn.edu"/>
    <x v="0"/>
    <x v="2"/>
    <x v="2"/>
    <x v="1"/>
    <n v="5.97"/>
    <n v="29.849999999999998"/>
    <x v="2"/>
    <x v="2"/>
    <x v="1"/>
  </r>
  <r>
    <s v="KZR-33023-209"/>
    <x v="177"/>
    <x v="276"/>
    <s v="E-L-1"/>
    <n v="3"/>
    <x v="276"/>
    <s v=""/>
    <x v="0"/>
    <x v="1"/>
    <x v="1"/>
    <x v="0"/>
    <n v="14.85"/>
    <n v="44.55"/>
    <x v="1"/>
    <x v="1"/>
    <x v="1"/>
  </r>
  <r>
    <s v="ULM-49433-003"/>
    <x v="252"/>
    <x v="277"/>
    <s v="E-M-1"/>
    <n v="2"/>
    <x v="277"/>
    <s v=""/>
    <x v="0"/>
    <x v="1"/>
    <x v="0"/>
    <x v="0"/>
    <n v="13.75"/>
    <n v="27.5"/>
    <x v="1"/>
    <x v="0"/>
    <x v="1"/>
  </r>
  <r>
    <s v="SIB-83254-136"/>
    <x v="253"/>
    <x v="278"/>
    <s v="R-M-0.5"/>
    <n v="6"/>
    <x v="278"/>
    <s v="dvizor88@furl.net"/>
    <x v="0"/>
    <x v="0"/>
    <x v="0"/>
    <x v="1"/>
    <n v="5.97"/>
    <n v="35.82"/>
    <x v="0"/>
    <x v="0"/>
    <x v="0"/>
  </r>
  <r>
    <s v="NOK-50349-551"/>
    <x v="254"/>
    <x v="279"/>
    <s v="R-D-0.5"/>
    <n v="3"/>
    <x v="279"/>
    <s v="esedgebeer89@oaic.gov.au"/>
    <x v="0"/>
    <x v="0"/>
    <x v="2"/>
    <x v="1"/>
    <n v="5.3699999999999992"/>
    <n v="16.11"/>
    <x v="0"/>
    <x v="2"/>
    <x v="0"/>
  </r>
  <r>
    <s v="YIS-96268-844"/>
    <x v="227"/>
    <x v="280"/>
    <s v="E-L-0.2"/>
    <n v="6"/>
    <x v="280"/>
    <s v="klestrange8a@lulu.com"/>
    <x v="0"/>
    <x v="1"/>
    <x v="1"/>
    <x v="3"/>
    <n v="4.4550000000000001"/>
    <n v="26.73"/>
    <x v="1"/>
    <x v="1"/>
    <x v="0"/>
  </r>
  <r>
    <s v="CXI-04933-855"/>
    <x v="110"/>
    <x v="281"/>
    <s v="E-L-2.5"/>
    <n v="6"/>
    <x v="281"/>
    <s v="ltanti8b@techcrunch.com"/>
    <x v="0"/>
    <x v="1"/>
    <x v="1"/>
    <x v="2"/>
    <n v="34.154999999999994"/>
    <n v="204.92999999999995"/>
    <x v="1"/>
    <x v="1"/>
    <x v="0"/>
  </r>
  <r>
    <s v="IZU-90429-382"/>
    <x v="182"/>
    <x v="282"/>
    <s v="A-L-1"/>
    <n v="3"/>
    <x v="282"/>
    <s v="ade8c@1und1.de"/>
    <x v="0"/>
    <x v="2"/>
    <x v="1"/>
    <x v="0"/>
    <n v="12.95"/>
    <n v="38.849999999999994"/>
    <x v="2"/>
    <x v="1"/>
    <x v="0"/>
  </r>
  <r>
    <s v="WIT-40912-783"/>
    <x v="255"/>
    <x v="283"/>
    <s v="L-D-0.2"/>
    <n v="4"/>
    <x v="283"/>
    <s v="tjedrachowicz8d@acquirethisname.com"/>
    <x v="0"/>
    <x v="3"/>
    <x v="2"/>
    <x v="3"/>
    <n v="3.8849999999999998"/>
    <n v="15.54"/>
    <x v="3"/>
    <x v="2"/>
    <x v="0"/>
  </r>
  <r>
    <s v="PSD-57291-590"/>
    <x v="256"/>
    <x v="284"/>
    <s v="A-M-0.5"/>
    <n v="1"/>
    <x v="284"/>
    <s v="pstonner8e@moonfruit.com"/>
    <x v="0"/>
    <x v="2"/>
    <x v="0"/>
    <x v="1"/>
    <n v="6.75"/>
    <n v="6.75"/>
    <x v="2"/>
    <x v="0"/>
    <x v="1"/>
  </r>
  <r>
    <s v="GOI-41472-677"/>
    <x v="3"/>
    <x v="285"/>
    <s v="E-D-2.5"/>
    <n v="4"/>
    <x v="285"/>
    <s v="dtingly8f@goo.ne.jp"/>
    <x v="0"/>
    <x v="1"/>
    <x v="2"/>
    <x v="2"/>
    <n v="27.945"/>
    <n v="111.78"/>
    <x v="1"/>
    <x v="2"/>
    <x v="0"/>
  </r>
  <r>
    <s v="KTX-17944-494"/>
    <x v="257"/>
    <x v="286"/>
    <s v="A-L-0.2"/>
    <n v="1"/>
    <x v="286"/>
    <s v="crushe8n@about.me"/>
    <x v="0"/>
    <x v="2"/>
    <x v="1"/>
    <x v="3"/>
    <n v="3.8849999999999998"/>
    <n v="3.8849999999999998"/>
    <x v="2"/>
    <x v="1"/>
    <x v="0"/>
  </r>
  <r>
    <s v="RDM-99811-230"/>
    <x v="258"/>
    <x v="287"/>
    <s v="L-M-0.2"/>
    <n v="5"/>
    <x v="287"/>
    <s v="bchecci8h@usa.gov"/>
    <x v="2"/>
    <x v="3"/>
    <x v="0"/>
    <x v="3"/>
    <n v="4.3650000000000002"/>
    <n v="21.825000000000003"/>
    <x v="3"/>
    <x v="0"/>
    <x v="1"/>
  </r>
  <r>
    <s v="JTU-55897-581"/>
    <x v="259"/>
    <x v="288"/>
    <s v="R-M-0.2"/>
    <n v="5"/>
    <x v="288"/>
    <s v="jbagot8i@mac.com"/>
    <x v="0"/>
    <x v="0"/>
    <x v="0"/>
    <x v="3"/>
    <n v="2.9849999999999999"/>
    <n v="14.924999999999999"/>
    <x v="0"/>
    <x v="0"/>
    <x v="1"/>
  </r>
  <r>
    <s v="CRK-07584-240"/>
    <x v="260"/>
    <x v="289"/>
    <s v="A-M-1"/>
    <n v="3"/>
    <x v="289"/>
    <s v="ebeeble8j@soundcloud.com"/>
    <x v="0"/>
    <x v="2"/>
    <x v="0"/>
    <x v="0"/>
    <n v="11.25"/>
    <n v="33.75"/>
    <x v="2"/>
    <x v="0"/>
    <x v="0"/>
  </r>
  <r>
    <s v="MKE-75518-399"/>
    <x v="261"/>
    <x v="290"/>
    <s v="A-M-1"/>
    <n v="3"/>
    <x v="290"/>
    <s v="cfluin8k@flickr.com"/>
    <x v="2"/>
    <x v="2"/>
    <x v="0"/>
    <x v="0"/>
    <n v="11.25"/>
    <n v="33.75"/>
    <x v="2"/>
    <x v="0"/>
    <x v="1"/>
  </r>
  <r>
    <s v="AEL-51169-725"/>
    <x v="262"/>
    <x v="291"/>
    <s v="L-M-0.2"/>
    <n v="6"/>
    <x v="291"/>
    <s v="ebletsor8l@vinaora.com"/>
    <x v="0"/>
    <x v="3"/>
    <x v="0"/>
    <x v="3"/>
    <n v="4.3650000000000002"/>
    <n v="26.19"/>
    <x v="3"/>
    <x v="0"/>
    <x v="0"/>
  </r>
  <r>
    <s v="ZGM-83108-823"/>
    <x v="263"/>
    <x v="292"/>
    <s v="E-L-1"/>
    <n v="1"/>
    <x v="292"/>
    <s v="pbrydell8m@bloglovin.com"/>
    <x v="1"/>
    <x v="1"/>
    <x v="1"/>
    <x v="0"/>
    <n v="14.85"/>
    <n v="14.85"/>
    <x v="1"/>
    <x v="1"/>
    <x v="1"/>
  </r>
  <r>
    <s v="JBP-78754-392"/>
    <x v="212"/>
    <x v="286"/>
    <s v="E-M-2.5"/>
    <n v="6"/>
    <x v="286"/>
    <s v="crushe8n@about.me"/>
    <x v="0"/>
    <x v="1"/>
    <x v="0"/>
    <x v="2"/>
    <n v="31.624999999999996"/>
    <n v="189.74999999999997"/>
    <x v="1"/>
    <x v="0"/>
    <x v="0"/>
  </r>
  <r>
    <s v="RNH-54912-747"/>
    <x v="187"/>
    <x v="293"/>
    <s v="R-M-0.5"/>
    <n v="1"/>
    <x v="293"/>
    <s v="nleethem8o@mac.com"/>
    <x v="0"/>
    <x v="0"/>
    <x v="0"/>
    <x v="1"/>
    <n v="5.97"/>
    <n v="5.97"/>
    <x v="0"/>
    <x v="0"/>
    <x v="0"/>
  </r>
  <r>
    <s v="JDS-33440-914"/>
    <x v="248"/>
    <x v="294"/>
    <s v="R-M-1"/>
    <n v="3"/>
    <x v="294"/>
    <s v="anesfield8p@people.com.cn"/>
    <x v="2"/>
    <x v="0"/>
    <x v="0"/>
    <x v="0"/>
    <n v="9.9499999999999993"/>
    <n v="29.849999999999998"/>
    <x v="0"/>
    <x v="0"/>
    <x v="0"/>
  </r>
  <r>
    <s v="SYX-48878-182"/>
    <x v="264"/>
    <x v="295"/>
    <s v="R-D-1"/>
    <n v="5"/>
    <x v="295"/>
    <s v=""/>
    <x v="0"/>
    <x v="0"/>
    <x v="2"/>
    <x v="0"/>
    <n v="8.9499999999999993"/>
    <n v="44.75"/>
    <x v="0"/>
    <x v="2"/>
    <x v="1"/>
  </r>
  <r>
    <s v="ZGD-94763-868"/>
    <x v="265"/>
    <x v="296"/>
    <s v="E-L-2.5"/>
    <n v="1"/>
    <x v="296"/>
    <s v="mbrockway8r@ibm.com"/>
    <x v="0"/>
    <x v="1"/>
    <x v="1"/>
    <x v="2"/>
    <n v="34.154999999999994"/>
    <n v="34.154999999999994"/>
    <x v="1"/>
    <x v="1"/>
    <x v="0"/>
  </r>
  <r>
    <s v="CZY-70361-485"/>
    <x v="266"/>
    <x v="297"/>
    <s v="E-L-2.5"/>
    <n v="6"/>
    <x v="297"/>
    <s v="nlush8s@dedecms.com"/>
    <x v="1"/>
    <x v="1"/>
    <x v="1"/>
    <x v="2"/>
    <n v="34.154999999999994"/>
    <n v="204.92999999999995"/>
    <x v="1"/>
    <x v="1"/>
    <x v="1"/>
  </r>
  <r>
    <s v="RJR-12175-899"/>
    <x v="267"/>
    <x v="298"/>
    <s v="E-D-0.5"/>
    <n v="3"/>
    <x v="298"/>
    <s v="smcmillian8t@csmonitor.com"/>
    <x v="0"/>
    <x v="1"/>
    <x v="2"/>
    <x v="1"/>
    <n v="7.29"/>
    <n v="21.87"/>
    <x v="1"/>
    <x v="2"/>
    <x v="1"/>
  </r>
  <r>
    <s v="ELB-07929-407"/>
    <x v="204"/>
    <x v="299"/>
    <s v="A-M-2.5"/>
    <n v="2"/>
    <x v="299"/>
    <s v="tbennison8u@google.cn"/>
    <x v="0"/>
    <x v="2"/>
    <x v="0"/>
    <x v="2"/>
    <n v="25.874999999999996"/>
    <n v="51.749999999999993"/>
    <x v="2"/>
    <x v="0"/>
    <x v="0"/>
  </r>
  <r>
    <s v="UJQ-54441-340"/>
    <x v="268"/>
    <x v="300"/>
    <s v="E-M-0.2"/>
    <n v="2"/>
    <x v="300"/>
    <s v="gtweed8v@yolasite.com"/>
    <x v="0"/>
    <x v="1"/>
    <x v="0"/>
    <x v="3"/>
    <n v="4.125"/>
    <n v="8.25"/>
    <x v="1"/>
    <x v="0"/>
    <x v="0"/>
  </r>
  <r>
    <s v="UJQ-54441-340"/>
    <x v="268"/>
    <x v="300"/>
    <s v="A-L-0.2"/>
    <n v="5"/>
    <x v="300"/>
    <s v="gtweed8v@yolasite.com"/>
    <x v="0"/>
    <x v="2"/>
    <x v="1"/>
    <x v="3"/>
    <n v="3.8849999999999998"/>
    <n v="19.424999999999997"/>
    <x v="2"/>
    <x v="1"/>
    <x v="0"/>
  </r>
  <r>
    <s v="OWY-43108-475"/>
    <x v="269"/>
    <x v="301"/>
    <s v="A-M-0.2"/>
    <n v="6"/>
    <x v="301"/>
    <s v="ggoggin8x@wix.com"/>
    <x v="1"/>
    <x v="2"/>
    <x v="0"/>
    <x v="3"/>
    <n v="3.375"/>
    <n v="20.25"/>
    <x v="2"/>
    <x v="0"/>
    <x v="0"/>
  </r>
  <r>
    <s v="GNO-91911-159"/>
    <x v="145"/>
    <x v="302"/>
    <s v="L-D-0.5"/>
    <n v="3"/>
    <x v="302"/>
    <s v="sjeyness8y@biglobe.ne.jp"/>
    <x v="1"/>
    <x v="3"/>
    <x v="2"/>
    <x v="1"/>
    <n v="7.77"/>
    <n v="23.31"/>
    <x v="3"/>
    <x v="2"/>
    <x v="1"/>
  </r>
  <r>
    <s v="CNY-06284-066"/>
    <x v="270"/>
    <x v="303"/>
    <s v="E-D-0.2"/>
    <n v="5"/>
    <x v="303"/>
    <s v="dbonhome8z@shinystat.com"/>
    <x v="0"/>
    <x v="1"/>
    <x v="2"/>
    <x v="3"/>
    <n v="3.645"/>
    <n v="18.225000000000001"/>
    <x v="1"/>
    <x v="2"/>
    <x v="0"/>
  </r>
  <r>
    <s v="OQS-46321-904"/>
    <x v="271"/>
    <x v="304"/>
    <s v="E-M-1"/>
    <n v="1"/>
    <x v="304"/>
    <s v=""/>
    <x v="0"/>
    <x v="1"/>
    <x v="0"/>
    <x v="0"/>
    <n v="13.75"/>
    <n v="13.75"/>
    <x v="1"/>
    <x v="0"/>
    <x v="1"/>
  </r>
  <r>
    <s v="IBW-87442-480"/>
    <x v="272"/>
    <x v="305"/>
    <s v="A-L-2.5"/>
    <n v="1"/>
    <x v="305"/>
    <s v="tle91@epa.gov"/>
    <x v="0"/>
    <x v="2"/>
    <x v="1"/>
    <x v="2"/>
    <n v="29.784999999999997"/>
    <n v="29.784999999999997"/>
    <x v="2"/>
    <x v="1"/>
    <x v="0"/>
  </r>
  <r>
    <s v="DGZ-82537-477"/>
    <x v="252"/>
    <x v="306"/>
    <s v="R-D-1"/>
    <n v="5"/>
    <x v="306"/>
    <s v=""/>
    <x v="0"/>
    <x v="0"/>
    <x v="2"/>
    <x v="0"/>
    <n v="8.9499999999999993"/>
    <n v="44.75"/>
    <x v="0"/>
    <x v="2"/>
    <x v="1"/>
  </r>
  <r>
    <s v="LPS-39089-432"/>
    <x v="273"/>
    <x v="307"/>
    <s v="R-D-1"/>
    <n v="5"/>
    <x v="307"/>
    <s v="balldridge93@yandex.ru"/>
    <x v="0"/>
    <x v="0"/>
    <x v="2"/>
    <x v="0"/>
    <n v="8.9499999999999993"/>
    <n v="44.75"/>
    <x v="0"/>
    <x v="2"/>
    <x v="0"/>
  </r>
  <r>
    <s v="MQU-86100-929"/>
    <x v="274"/>
    <x v="308"/>
    <s v="L-L-0.5"/>
    <n v="4"/>
    <x v="308"/>
    <s v=""/>
    <x v="0"/>
    <x v="3"/>
    <x v="1"/>
    <x v="1"/>
    <n v="9.51"/>
    <n v="38.04"/>
    <x v="3"/>
    <x v="1"/>
    <x v="0"/>
  </r>
  <r>
    <s v="XUR-14132-391"/>
    <x v="275"/>
    <x v="309"/>
    <s v="R-D-0.5"/>
    <n v="4"/>
    <x v="309"/>
    <s v="lgoodger95@guardian.co.uk"/>
    <x v="0"/>
    <x v="0"/>
    <x v="2"/>
    <x v="1"/>
    <n v="5.3699999999999992"/>
    <n v="21.479999999999997"/>
    <x v="0"/>
    <x v="2"/>
    <x v="0"/>
  </r>
  <r>
    <s v="OVI-27064-381"/>
    <x v="276"/>
    <x v="298"/>
    <s v="R-D-0.5"/>
    <n v="3"/>
    <x v="298"/>
    <s v="smcmillian8t@csmonitor.com"/>
    <x v="0"/>
    <x v="0"/>
    <x v="2"/>
    <x v="1"/>
    <n v="5.3699999999999992"/>
    <n v="16.11"/>
    <x v="0"/>
    <x v="2"/>
    <x v="1"/>
  </r>
  <r>
    <s v="SHP-17012-870"/>
    <x v="277"/>
    <x v="310"/>
    <s v="R-M-2.5"/>
    <n v="1"/>
    <x v="310"/>
    <s v="cdrewett97@wikipedia.org"/>
    <x v="0"/>
    <x v="0"/>
    <x v="0"/>
    <x v="2"/>
    <n v="22.884999999999998"/>
    <n v="22.884999999999998"/>
    <x v="0"/>
    <x v="0"/>
    <x v="0"/>
  </r>
  <r>
    <s v="FDY-03414-903"/>
    <x v="278"/>
    <x v="311"/>
    <s v="A-D-0.5"/>
    <n v="3"/>
    <x v="311"/>
    <s v="qparsons98@blogtalkradio.com"/>
    <x v="0"/>
    <x v="2"/>
    <x v="2"/>
    <x v="1"/>
    <n v="5.97"/>
    <n v="17.91"/>
    <x v="2"/>
    <x v="2"/>
    <x v="0"/>
  </r>
  <r>
    <s v="WXT-85291-143"/>
    <x v="279"/>
    <x v="312"/>
    <s v="R-M-0.5"/>
    <n v="4"/>
    <x v="312"/>
    <s v="vceely99@auda.org.au"/>
    <x v="0"/>
    <x v="0"/>
    <x v="0"/>
    <x v="1"/>
    <n v="5.97"/>
    <n v="23.88"/>
    <x v="0"/>
    <x v="0"/>
    <x v="0"/>
  </r>
  <r>
    <s v="QNP-18893-547"/>
    <x v="280"/>
    <x v="313"/>
    <s v="R-L-1"/>
    <n v="5"/>
    <x v="313"/>
    <s v=""/>
    <x v="0"/>
    <x v="0"/>
    <x v="1"/>
    <x v="0"/>
    <n v="11.95"/>
    <n v="59.75"/>
    <x v="0"/>
    <x v="1"/>
    <x v="1"/>
  </r>
  <r>
    <s v="DOH-92927-530"/>
    <x v="281"/>
    <x v="314"/>
    <s v="L-L-0.2"/>
    <n v="6"/>
    <x v="314"/>
    <s v="cvasiliev9b@discuz.net"/>
    <x v="0"/>
    <x v="3"/>
    <x v="1"/>
    <x v="3"/>
    <n v="4.7549999999999999"/>
    <n v="28.53"/>
    <x v="3"/>
    <x v="1"/>
    <x v="0"/>
  </r>
  <r>
    <s v="HGJ-82768-173"/>
    <x v="282"/>
    <x v="315"/>
    <s v="A-M-1"/>
    <n v="4"/>
    <x v="315"/>
    <s v="tomoylan9c@liveinternet.ru"/>
    <x v="2"/>
    <x v="2"/>
    <x v="0"/>
    <x v="0"/>
    <n v="11.25"/>
    <n v="45"/>
    <x v="2"/>
    <x v="0"/>
    <x v="1"/>
  </r>
  <r>
    <s v="YPT-95383-088"/>
    <x v="283"/>
    <x v="306"/>
    <s v="E-D-2.5"/>
    <n v="2"/>
    <x v="306"/>
    <s v=""/>
    <x v="0"/>
    <x v="1"/>
    <x v="2"/>
    <x v="2"/>
    <n v="27.945"/>
    <n v="55.89"/>
    <x v="1"/>
    <x v="2"/>
    <x v="1"/>
  </r>
  <r>
    <s v="OYH-16533-767"/>
    <x v="284"/>
    <x v="316"/>
    <s v="E-L-1"/>
    <n v="4"/>
    <x v="316"/>
    <s v="wfetherston9e@constantcontact.com"/>
    <x v="0"/>
    <x v="1"/>
    <x v="1"/>
    <x v="0"/>
    <n v="14.85"/>
    <n v="59.4"/>
    <x v="1"/>
    <x v="1"/>
    <x v="1"/>
  </r>
  <r>
    <s v="DWW-28642-549"/>
    <x v="285"/>
    <x v="317"/>
    <s v="E-D-0.2"/>
    <n v="2"/>
    <x v="317"/>
    <s v="erasmus9f@techcrunch.com"/>
    <x v="0"/>
    <x v="1"/>
    <x v="2"/>
    <x v="3"/>
    <n v="3.645"/>
    <n v="7.29"/>
    <x v="1"/>
    <x v="2"/>
    <x v="0"/>
  </r>
  <r>
    <s v="CGO-79583-871"/>
    <x v="286"/>
    <x v="318"/>
    <s v="E-D-0.5"/>
    <n v="1"/>
    <x v="318"/>
    <s v="wgiorgioni9g@wikipedia.org"/>
    <x v="0"/>
    <x v="1"/>
    <x v="2"/>
    <x v="1"/>
    <n v="7.29"/>
    <n v="7.29"/>
    <x v="1"/>
    <x v="2"/>
    <x v="0"/>
  </r>
  <r>
    <s v="TFY-52090-386"/>
    <x v="287"/>
    <x v="319"/>
    <s v="E-L-0.5"/>
    <n v="2"/>
    <x v="319"/>
    <s v="lscargle9h@myspace.com"/>
    <x v="0"/>
    <x v="1"/>
    <x v="1"/>
    <x v="1"/>
    <n v="8.91"/>
    <n v="17.82"/>
    <x v="1"/>
    <x v="1"/>
    <x v="1"/>
  </r>
  <r>
    <s v="TFY-52090-386"/>
    <x v="287"/>
    <x v="319"/>
    <s v="L-D-0.5"/>
    <n v="5"/>
    <x v="319"/>
    <s v="lscargle9h@myspace.com"/>
    <x v="0"/>
    <x v="3"/>
    <x v="2"/>
    <x v="1"/>
    <n v="7.77"/>
    <n v="38.849999999999994"/>
    <x v="3"/>
    <x v="2"/>
    <x v="1"/>
  </r>
  <r>
    <s v="NYY-73968-094"/>
    <x v="288"/>
    <x v="320"/>
    <s v="R-D-0.5"/>
    <n v="6"/>
    <x v="320"/>
    <s v="nclimance9j@europa.eu"/>
    <x v="0"/>
    <x v="0"/>
    <x v="2"/>
    <x v="1"/>
    <n v="5.3699999999999992"/>
    <n v="32.22"/>
    <x v="0"/>
    <x v="2"/>
    <x v="1"/>
  </r>
  <r>
    <s v="QEY-71761-460"/>
    <x v="250"/>
    <x v="321"/>
    <s v="R-M-1"/>
    <n v="2"/>
    <x v="321"/>
    <s v=""/>
    <x v="1"/>
    <x v="0"/>
    <x v="0"/>
    <x v="0"/>
    <n v="9.9499999999999993"/>
    <n v="19.899999999999999"/>
    <x v="0"/>
    <x v="0"/>
    <x v="0"/>
  </r>
  <r>
    <s v="GKQ-82603-910"/>
    <x v="289"/>
    <x v="322"/>
    <s v="R-L-1"/>
    <n v="5"/>
    <x v="322"/>
    <s v="asnazle9l@oracle.com"/>
    <x v="0"/>
    <x v="0"/>
    <x v="1"/>
    <x v="0"/>
    <n v="11.95"/>
    <n v="59.75"/>
    <x v="0"/>
    <x v="1"/>
    <x v="1"/>
  </r>
  <r>
    <s v="IOB-32673-745"/>
    <x v="290"/>
    <x v="323"/>
    <s v="A-L-0.5"/>
    <n v="3"/>
    <x v="323"/>
    <s v="rworg9m@arstechnica.com"/>
    <x v="0"/>
    <x v="2"/>
    <x v="1"/>
    <x v="1"/>
    <n v="7.77"/>
    <n v="23.31"/>
    <x v="2"/>
    <x v="1"/>
    <x v="0"/>
  </r>
  <r>
    <s v="YAU-98893-150"/>
    <x v="291"/>
    <x v="324"/>
    <s v="L-M-1"/>
    <n v="3"/>
    <x v="324"/>
    <s v="ldanes9n@umn.edu"/>
    <x v="0"/>
    <x v="3"/>
    <x v="0"/>
    <x v="0"/>
    <n v="14.55"/>
    <n v="43.650000000000006"/>
    <x v="3"/>
    <x v="0"/>
    <x v="1"/>
  </r>
  <r>
    <s v="XNM-14163-951"/>
    <x v="292"/>
    <x v="325"/>
    <s v="E-L-2.5"/>
    <n v="6"/>
    <x v="325"/>
    <s v="skeynd9o@narod.ru"/>
    <x v="0"/>
    <x v="1"/>
    <x v="1"/>
    <x v="2"/>
    <n v="34.154999999999994"/>
    <n v="204.92999999999995"/>
    <x v="1"/>
    <x v="1"/>
    <x v="1"/>
  </r>
  <r>
    <s v="JPB-45297-000"/>
    <x v="293"/>
    <x v="326"/>
    <s v="R-L-0.2"/>
    <n v="4"/>
    <x v="326"/>
    <s v="ddaveridge9p@arstechnica.com"/>
    <x v="0"/>
    <x v="0"/>
    <x v="1"/>
    <x v="3"/>
    <n v="3.5849999999999995"/>
    <n v="14.339999999999998"/>
    <x v="0"/>
    <x v="1"/>
    <x v="1"/>
  </r>
  <r>
    <s v="MOU-74341-266"/>
    <x v="294"/>
    <x v="327"/>
    <s v="A-D-0.5"/>
    <n v="4"/>
    <x v="327"/>
    <s v="jawdry9q@utexas.edu"/>
    <x v="0"/>
    <x v="2"/>
    <x v="2"/>
    <x v="1"/>
    <n v="5.97"/>
    <n v="23.88"/>
    <x v="2"/>
    <x v="2"/>
    <x v="1"/>
  </r>
  <r>
    <s v="DHJ-87461-571"/>
    <x v="295"/>
    <x v="328"/>
    <s v="A-M-1"/>
    <n v="2"/>
    <x v="328"/>
    <s v="eryles9r@fastcompany.com"/>
    <x v="0"/>
    <x v="2"/>
    <x v="0"/>
    <x v="0"/>
    <n v="11.25"/>
    <n v="22.5"/>
    <x v="2"/>
    <x v="0"/>
    <x v="1"/>
  </r>
  <r>
    <s v="DKM-97676-850"/>
    <x v="296"/>
    <x v="306"/>
    <s v="E-D-0.5"/>
    <n v="5"/>
    <x v="306"/>
    <s v=""/>
    <x v="0"/>
    <x v="1"/>
    <x v="2"/>
    <x v="1"/>
    <n v="7.29"/>
    <n v="36.450000000000003"/>
    <x v="1"/>
    <x v="2"/>
    <x v="1"/>
  </r>
  <r>
    <s v="UEB-09112-118"/>
    <x v="297"/>
    <x v="329"/>
    <s v="A-M-0.5"/>
    <n v="4"/>
    <x v="329"/>
    <s v=""/>
    <x v="0"/>
    <x v="2"/>
    <x v="0"/>
    <x v="1"/>
    <n v="6.75"/>
    <n v="27"/>
    <x v="2"/>
    <x v="0"/>
    <x v="0"/>
  </r>
  <r>
    <s v="ORZ-67699-748"/>
    <x v="298"/>
    <x v="330"/>
    <s v="A-M-2.5"/>
    <n v="6"/>
    <x v="330"/>
    <s v="jcaldicott9u@usda.gov"/>
    <x v="0"/>
    <x v="2"/>
    <x v="0"/>
    <x v="2"/>
    <n v="25.874999999999996"/>
    <n v="155.24999999999997"/>
    <x v="2"/>
    <x v="0"/>
    <x v="1"/>
  </r>
  <r>
    <s v="JXP-28398-485"/>
    <x v="299"/>
    <x v="331"/>
    <s v="A-D-2.5"/>
    <n v="5"/>
    <x v="331"/>
    <s v="mvedmore9v@a8.net"/>
    <x v="0"/>
    <x v="2"/>
    <x v="2"/>
    <x v="2"/>
    <n v="22.884999999999998"/>
    <n v="114.42499999999998"/>
    <x v="2"/>
    <x v="2"/>
    <x v="0"/>
  </r>
  <r>
    <s v="WWH-92259-198"/>
    <x v="300"/>
    <x v="332"/>
    <s v="L-D-1"/>
    <n v="4"/>
    <x v="332"/>
    <s v="wromao9w@chronoengine.com"/>
    <x v="0"/>
    <x v="3"/>
    <x v="2"/>
    <x v="0"/>
    <n v="12.95"/>
    <n v="51.8"/>
    <x v="3"/>
    <x v="2"/>
    <x v="0"/>
  </r>
  <r>
    <s v="FLR-82914-153"/>
    <x v="301"/>
    <x v="333"/>
    <s v="A-M-2.5"/>
    <n v="6"/>
    <x v="333"/>
    <s v=""/>
    <x v="0"/>
    <x v="2"/>
    <x v="0"/>
    <x v="2"/>
    <n v="25.874999999999996"/>
    <n v="155.24999999999997"/>
    <x v="2"/>
    <x v="0"/>
    <x v="1"/>
  </r>
  <r>
    <s v="AMB-93600-000"/>
    <x v="302"/>
    <x v="334"/>
    <s v="A-L-2.5"/>
    <n v="1"/>
    <x v="334"/>
    <s v="tcotmore9y@amazonaws.com"/>
    <x v="0"/>
    <x v="2"/>
    <x v="1"/>
    <x v="2"/>
    <n v="29.784999999999997"/>
    <n v="29.784999999999997"/>
    <x v="2"/>
    <x v="1"/>
    <x v="1"/>
  </r>
  <r>
    <s v="FEP-36895-658"/>
    <x v="303"/>
    <x v="335"/>
    <s v="R-L-0.2"/>
    <n v="6"/>
    <x v="335"/>
    <s v="yskipsey9z@spotify.com"/>
    <x v="2"/>
    <x v="0"/>
    <x v="1"/>
    <x v="3"/>
    <n v="3.5849999999999995"/>
    <n v="21.509999999999998"/>
    <x v="0"/>
    <x v="1"/>
    <x v="1"/>
  </r>
  <r>
    <s v="RXW-91413-276"/>
    <x v="304"/>
    <x v="336"/>
    <s v="R-D-2.5"/>
    <n v="2"/>
    <x v="336"/>
    <s v="ncorpsa0@gmpg.org"/>
    <x v="0"/>
    <x v="0"/>
    <x v="2"/>
    <x v="2"/>
    <n v="20.584999999999997"/>
    <n v="41.169999999999995"/>
    <x v="0"/>
    <x v="2"/>
    <x v="1"/>
  </r>
  <r>
    <s v="RXW-91413-276"/>
    <x v="304"/>
    <x v="336"/>
    <s v="R-M-0.5"/>
    <n v="1"/>
    <x v="336"/>
    <s v="ncorpsa0@gmpg.org"/>
    <x v="0"/>
    <x v="0"/>
    <x v="0"/>
    <x v="1"/>
    <n v="5.97"/>
    <n v="5.97"/>
    <x v="0"/>
    <x v="0"/>
    <x v="1"/>
  </r>
  <r>
    <s v="SDB-77492-188"/>
    <x v="305"/>
    <x v="337"/>
    <s v="E-L-1"/>
    <n v="5"/>
    <x v="337"/>
    <s v="fbabbera2@stanford.edu"/>
    <x v="0"/>
    <x v="1"/>
    <x v="1"/>
    <x v="0"/>
    <n v="14.85"/>
    <n v="74.25"/>
    <x v="1"/>
    <x v="1"/>
    <x v="0"/>
  </r>
  <r>
    <s v="RZN-65182-395"/>
    <x v="196"/>
    <x v="338"/>
    <s v="L-M-1"/>
    <n v="6"/>
    <x v="338"/>
    <s v="kloxtona3@opensource.org"/>
    <x v="0"/>
    <x v="3"/>
    <x v="0"/>
    <x v="0"/>
    <n v="14.55"/>
    <n v="87.300000000000011"/>
    <x v="3"/>
    <x v="0"/>
    <x v="1"/>
  </r>
  <r>
    <s v="HDQ-86094-507"/>
    <x v="110"/>
    <x v="339"/>
    <s v="E-D-1"/>
    <n v="6"/>
    <x v="339"/>
    <s v="ptoffula4@posterous.com"/>
    <x v="0"/>
    <x v="1"/>
    <x v="2"/>
    <x v="0"/>
    <n v="12.15"/>
    <n v="72.900000000000006"/>
    <x v="1"/>
    <x v="2"/>
    <x v="0"/>
  </r>
  <r>
    <s v="YXO-79631-417"/>
    <x v="24"/>
    <x v="340"/>
    <s v="L-D-0.5"/>
    <n v="1"/>
    <x v="340"/>
    <s v="cgwinnetta5@behance.net"/>
    <x v="0"/>
    <x v="3"/>
    <x v="2"/>
    <x v="1"/>
    <n v="7.77"/>
    <n v="7.77"/>
    <x v="3"/>
    <x v="2"/>
    <x v="1"/>
  </r>
  <r>
    <s v="SNF-57032-096"/>
    <x v="306"/>
    <x v="341"/>
    <s v="E-D-0.5"/>
    <n v="6"/>
    <x v="341"/>
    <s v=""/>
    <x v="0"/>
    <x v="1"/>
    <x v="2"/>
    <x v="1"/>
    <n v="7.29"/>
    <n v="43.74"/>
    <x v="1"/>
    <x v="2"/>
    <x v="1"/>
  </r>
  <r>
    <s v="DGL-29648-995"/>
    <x v="307"/>
    <x v="342"/>
    <s v="L-M-0.2"/>
    <n v="2"/>
    <x v="342"/>
    <s v=""/>
    <x v="0"/>
    <x v="3"/>
    <x v="0"/>
    <x v="3"/>
    <n v="4.3650000000000002"/>
    <n v="8.73"/>
    <x v="3"/>
    <x v="0"/>
    <x v="0"/>
  </r>
  <r>
    <s v="GPU-65651-504"/>
    <x v="308"/>
    <x v="343"/>
    <s v="E-M-2.5"/>
    <n v="2"/>
    <x v="343"/>
    <s v="lflaoniera8@wordpress.org"/>
    <x v="0"/>
    <x v="1"/>
    <x v="0"/>
    <x v="2"/>
    <n v="31.624999999999996"/>
    <n v="63.249999999999993"/>
    <x v="1"/>
    <x v="0"/>
    <x v="1"/>
  </r>
  <r>
    <s v="OJU-34452-896"/>
    <x v="309"/>
    <x v="344"/>
    <s v="E-L-0.5"/>
    <n v="1"/>
    <x v="344"/>
    <s v=""/>
    <x v="0"/>
    <x v="1"/>
    <x v="1"/>
    <x v="1"/>
    <n v="8.91"/>
    <n v="8.91"/>
    <x v="1"/>
    <x v="1"/>
    <x v="0"/>
  </r>
  <r>
    <s v="GZS-50547-887"/>
    <x v="310"/>
    <x v="345"/>
    <s v="E-D-1"/>
    <n v="2"/>
    <x v="345"/>
    <s v="ccatchesideaa@macromedia.com"/>
    <x v="0"/>
    <x v="1"/>
    <x v="2"/>
    <x v="0"/>
    <n v="12.15"/>
    <n v="24.3"/>
    <x v="1"/>
    <x v="2"/>
    <x v="0"/>
  </r>
  <r>
    <s v="ESR-54041-053"/>
    <x v="311"/>
    <x v="346"/>
    <s v="A-L-0.5"/>
    <n v="6"/>
    <x v="346"/>
    <s v="cgibbonsonab@accuweather.com"/>
    <x v="0"/>
    <x v="2"/>
    <x v="1"/>
    <x v="1"/>
    <n v="7.77"/>
    <n v="46.62"/>
    <x v="2"/>
    <x v="1"/>
    <x v="0"/>
  </r>
  <r>
    <s v="OGD-10781-526"/>
    <x v="132"/>
    <x v="347"/>
    <s v="R-L-0.5"/>
    <n v="6"/>
    <x v="347"/>
    <s v="tfarraac@behance.net"/>
    <x v="0"/>
    <x v="0"/>
    <x v="1"/>
    <x v="1"/>
    <n v="7.169999999999999"/>
    <n v="43.019999999999996"/>
    <x v="0"/>
    <x v="1"/>
    <x v="1"/>
  </r>
  <r>
    <s v="FVH-29271-315"/>
    <x v="312"/>
    <x v="348"/>
    <s v="A-D-0.5"/>
    <n v="3"/>
    <x v="348"/>
    <s v=""/>
    <x v="1"/>
    <x v="2"/>
    <x v="2"/>
    <x v="1"/>
    <n v="5.97"/>
    <n v="17.91"/>
    <x v="2"/>
    <x v="2"/>
    <x v="0"/>
  </r>
  <r>
    <s v="BNZ-20544-633"/>
    <x v="313"/>
    <x v="349"/>
    <s v="L-L-0.5"/>
    <n v="4"/>
    <x v="349"/>
    <s v="gbamfieldae@yellowpages.com"/>
    <x v="0"/>
    <x v="3"/>
    <x v="1"/>
    <x v="1"/>
    <n v="9.51"/>
    <n v="38.04"/>
    <x v="3"/>
    <x v="1"/>
    <x v="0"/>
  </r>
  <r>
    <s v="FUX-85791-078"/>
    <x v="156"/>
    <x v="350"/>
    <s v="A-M-0.2"/>
    <n v="2"/>
    <x v="350"/>
    <s v="whollingdaleaf@about.me"/>
    <x v="0"/>
    <x v="2"/>
    <x v="0"/>
    <x v="3"/>
    <n v="3.375"/>
    <n v="6.75"/>
    <x v="2"/>
    <x v="0"/>
    <x v="0"/>
  </r>
  <r>
    <s v="YXP-20078-116"/>
    <x v="314"/>
    <x v="351"/>
    <s v="R-M-0.5"/>
    <n v="1"/>
    <x v="351"/>
    <s v="jdeag@xrea.com"/>
    <x v="0"/>
    <x v="0"/>
    <x v="0"/>
    <x v="1"/>
    <n v="5.97"/>
    <n v="5.97"/>
    <x v="0"/>
    <x v="0"/>
    <x v="0"/>
  </r>
  <r>
    <s v="VQV-59984-866"/>
    <x v="315"/>
    <x v="352"/>
    <s v="R-D-0.2"/>
    <n v="3"/>
    <x v="352"/>
    <s v="vskulletah@tinyurl.com"/>
    <x v="1"/>
    <x v="0"/>
    <x v="2"/>
    <x v="3"/>
    <n v="2.6849999999999996"/>
    <n v="8.0549999999999997"/>
    <x v="0"/>
    <x v="2"/>
    <x v="1"/>
  </r>
  <r>
    <s v="JEH-37276-048"/>
    <x v="316"/>
    <x v="353"/>
    <s v="A-L-0.5"/>
    <n v="3"/>
    <x v="353"/>
    <s v="jrudeforthai@wunderground.com"/>
    <x v="1"/>
    <x v="2"/>
    <x v="1"/>
    <x v="1"/>
    <n v="7.77"/>
    <n v="23.31"/>
    <x v="2"/>
    <x v="1"/>
    <x v="0"/>
  </r>
  <r>
    <s v="VYD-28555-589"/>
    <x v="317"/>
    <x v="354"/>
    <s v="R-L-0.5"/>
    <n v="6"/>
    <x v="354"/>
    <s v="atomaszewskiaj@answers.com"/>
    <x v="2"/>
    <x v="0"/>
    <x v="1"/>
    <x v="1"/>
    <n v="7.169999999999999"/>
    <n v="43.019999999999996"/>
    <x v="0"/>
    <x v="1"/>
    <x v="0"/>
  </r>
  <r>
    <s v="WUG-76466-650"/>
    <x v="318"/>
    <x v="306"/>
    <s v="L-D-0.5"/>
    <n v="3"/>
    <x v="306"/>
    <s v=""/>
    <x v="0"/>
    <x v="3"/>
    <x v="2"/>
    <x v="1"/>
    <n v="7.77"/>
    <n v="23.31"/>
    <x v="3"/>
    <x v="2"/>
    <x v="1"/>
  </r>
  <r>
    <s v="RJV-08261-583"/>
    <x v="182"/>
    <x v="355"/>
    <s v="A-D-0.2"/>
    <n v="5"/>
    <x v="355"/>
    <s v="pbessal@qq.com"/>
    <x v="0"/>
    <x v="2"/>
    <x v="2"/>
    <x v="3"/>
    <n v="2.9849999999999999"/>
    <n v="14.924999999999999"/>
    <x v="2"/>
    <x v="2"/>
    <x v="0"/>
  </r>
  <r>
    <s v="PMR-56062-609"/>
    <x v="319"/>
    <x v="356"/>
    <s v="E-D-0.5"/>
    <n v="3"/>
    <x v="356"/>
    <s v="ewindressam@marketwatch.com"/>
    <x v="0"/>
    <x v="1"/>
    <x v="2"/>
    <x v="1"/>
    <n v="7.29"/>
    <n v="21.87"/>
    <x v="1"/>
    <x v="2"/>
    <x v="1"/>
  </r>
  <r>
    <s v="XLD-12920-505"/>
    <x v="320"/>
    <x v="357"/>
    <s v="E-L-0.5"/>
    <n v="6"/>
    <x v="357"/>
    <s v=""/>
    <x v="0"/>
    <x v="1"/>
    <x v="1"/>
    <x v="1"/>
    <n v="8.91"/>
    <n v="53.46"/>
    <x v="1"/>
    <x v="1"/>
    <x v="0"/>
  </r>
  <r>
    <s v="UBW-50312-037"/>
    <x v="321"/>
    <x v="358"/>
    <s v="A-L-2.5"/>
    <n v="4"/>
    <x v="358"/>
    <s v=""/>
    <x v="0"/>
    <x v="2"/>
    <x v="1"/>
    <x v="2"/>
    <n v="29.784999999999997"/>
    <n v="119.13999999999999"/>
    <x v="2"/>
    <x v="1"/>
    <x v="1"/>
  </r>
  <r>
    <s v="QAW-05889-019"/>
    <x v="322"/>
    <x v="359"/>
    <s v="L-M-0.5"/>
    <n v="5"/>
    <x v="359"/>
    <s v="vbaumadierap@google.cn"/>
    <x v="0"/>
    <x v="3"/>
    <x v="0"/>
    <x v="1"/>
    <n v="8.73"/>
    <n v="43.650000000000006"/>
    <x v="3"/>
    <x v="0"/>
    <x v="0"/>
  </r>
  <r>
    <s v="EPT-12715-397"/>
    <x v="128"/>
    <x v="360"/>
    <s v="A-D-0.2"/>
    <n v="6"/>
    <x v="360"/>
    <s v=""/>
    <x v="0"/>
    <x v="2"/>
    <x v="2"/>
    <x v="3"/>
    <n v="2.9849999999999999"/>
    <n v="17.91"/>
    <x v="2"/>
    <x v="2"/>
    <x v="0"/>
  </r>
  <r>
    <s v="DHT-93810-053"/>
    <x v="323"/>
    <x v="361"/>
    <s v="E-L-1"/>
    <n v="5"/>
    <x v="361"/>
    <s v="sweldsar@wired.com"/>
    <x v="0"/>
    <x v="1"/>
    <x v="1"/>
    <x v="0"/>
    <n v="14.85"/>
    <n v="74.25"/>
    <x v="1"/>
    <x v="1"/>
    <x v="0"/>
  </r>
  <r>
    <s v="DMY-96037-963"/>
    <x v="324"/>
    <x v="362"/>
    <s v="L-D-0.2"/>
    <n v="3"/>
    <x v="362"/>
    <s v="msarvaras@artisteer.com"/>
    <x v="0"/>
    <x v="3"/>
    <x v="2"/>
    <x v="3"/>
    <n v="3.8849999999999998"/>
    <n v="11.654999999999999"/>
    <x v="3"/>
    <x v="2"/>
    <x v="0"/>
  </r>
  <r>
    <s v="MBM-55936-917"/>
    <x v="325"/>
    <x v="363"/>
    <s v="L-D-0.5"/>
    <n v="3"/>
    <x v="363"/>
    <s v="ahavickat@nsw.gov.au"/>
    <x v="0"/>
    <x v="3"/>
    <x v="2"/>
    <x v="1"/>
    <n v="7.77"/>
    <n v="23.31"/>
    <x v="3"/>
    <x v="2"/>
    <x v="0"/>
  </r>
  <r>
    <s v="TPA-93614-840"/>
    <x v="326"/>
    <x v="364"/>
    <s v="E-D-0.5"/>
    <n v="2"/>
    <x v="364"/>
    <s v="sdivinyau@ask.com"/>
    <x v="0"/>
    <x v="1"/>
    <x v="2"/>
    <x v="1"/>
    <n v="7.29"/>
    <n v="14.58"/>
    <x v="1"/>
    <x v="2"/>
    <x v="0"/>
  </r>
  <r>
    <s v="WDM-77521-710"/>
    <x v="327"/>
    <x v="365"/>
    <s v="A-M-0.5"/>
    <n v="2"/>
    <x v="365"/>
    <s v="inorquoyav@businessweek.com"/>
    <x v="0"/>
    <x v="2"/>
    <x v="0"/>
    <x v="1"/>
    <n v="6.75"/>
    <n v="13.5"/>
    <x v="2"/>
    <x v="0"/>
    <x v="1"/>
  </r>
  <r>
    <s v="EIP-19142-462"/>
    <x v="328"/>
    <x v="366"/>
    <s v="E-L-1"/>
    <n v="6"/>
    <x v="366"/>
    <s v="aiddisonaw@usa.gov"/>
    <x v="0"/>
    <x v="1"/>
    <x v="1"/>
    <x v="0"/>
    <n v="14.85"/>
    <n v="89.1"/>
    <x v="1"/>
    <x v="1"/>
    <x v="1"/>
  </r>
  <r>
    <s v="EIP-19142-462"/>
    <x v="328"/>
    <x v="366"/>
    <s v="A-L-0.2"/>
    <n v="1"/>
    <x v="366"/>
    <s v="aiddisonaw@usa.gov"/>
    <x v="0"/>
    <x v="2"/>
    <x v="1"/>
    <x v="3"/>
    <n v="3.8849999999999998"/>
    <n v="3.8849999999999998"/>
    <x v="2"/>
    <x v="1"/>
    <x v="1"/>
  </r>
  <r>
    <s v="ZZL-76364-387"/>
    <x v="128"/>
    <x v="367"/>
    <s v="R-L-2.5"/>
    <n v="4"/>
    <x v="367"/>
    <s v="rlongfielday@bluehost.com"/>
    <x v="0"/>
    <x v="0"/>
    <x v="1"/>
    <x v="2"/>
    <n v="27.484999999999996"/>
    <n v="109.93999999999998"/>
    <x v="0"/>
    <x v="1"/>
    <x v="1"/>
  </r>
  <r>
    <s v="GMF-18638-786"/>
    <x v="329"/>
    <x v="368"/>
    <s v="L-D-0.5"/>
    <n v="6"/>
    <x v="368"/>
    <s v="gkislingburyaz@samsung.com"/>
    <x v="0"/>
    <x v="3"/>
    <x v="2"/>
    <x v="1"/>
    <n v="7.77"/>
    <n v="46.62"/>
    <x v="3"/>
    <x v="2"/>
    <x v="0"/>
  </r>
  <r>
    <s v="TDJ-20844-787"/>
    <x v="330"/>
    <x v="369"/>
    <s v="A-L-0.5"/>
    <n v="5"/>
    <x v="369"/>
    <s v="xgibbonsb0@artisteer.com"/>
    <x v="0"/>
    <x v="2"/>
    <x v="1"/>
    <x v="1"/>
    <n v="7.77"/>
    <n v="38.849999999999994"/>
    <x v="2"/>
    <x v="1"/>
    <x v="1"/>
  </r>
  <r>
    <s v="BWK-39400-446"/>
    <x v="331"/>
    <x v="370"/>
    <s v="L-D-0.5"/>
    <n v="4"/>
    <x v="370"/>
    <s v="fparresb1@imageshack.us"/>
    <x v="0"/>
    <x v="3"/>
    <x v="2"/>
    <x v="1"/>
    <n v="7.77"/>
    <n v="31.08"/>
    <x v="3"/>
    <x v="2"/>
    <x v="0"/>
  </r>
  <r>
    <s v="LCB-02099-995"/>
    <x v="332"/>
    <x v="371"/>
    <s v="A-D-0.2"/>
    <n v="6"/>
    <x v="371"/>
    <s v="gsibrayb2@wsj.com"/>
    <x v="0"/>
    <x v="2"/>
    <x v="2"/>
    <x v="3"/>
    <n v="2.9849999999999999"/>
    <n v="17.91"/>
    <x v="2"/>
    <x v="2"/>
    <x v="0"/>
  </r>
  <r>
    <s v="UBA-43678-174"/>
    <x v="333"/>
    <x v="372"/>
    <s v="E-D-2.5"/>
    <n v="6"/>
    <x v="372"/>
    <s v="ihotchkinb3@mit.edu"/>
    <x v="2"/>
    <x v="1"/>
    <x v="2"/>
    <x v="2"/>
    <n v="27.945"/>
    <n v="167.67000000000002"/>
    <x v="1"/>
    <x v="2"/>
    <x v="1"/>
  </r>
  <r>
    <s v="UDH-24280-432"/>
    <x v="334"/>
    <x v="373"/>
    <s v="L-L-1"/>
    <n v="4"/>
    <x v="373"/>
    <s v="nbroadberrieb4@gnu.org"/>
    <x v="0"/>
    <x v="3"/>
    <x v="1"/>
    <x v="0"/>
    <n v="15.85"/>
    <n v="63.4"/>
    <x v="3"/>
    <x v="1"/>
    <x v="1"/>
  </r>
  <r>
    <s v="IDQ-20193-502"/>
    <x v="335"/>
    <x v="374"/>
    <s v="L-M-0.2"/>
    <n v="2"/>
    <x v="374"/>
    <s v="rpithcockb5@yellowbook.com"/>
    <x v="0"/>
    <x v="3"/>
    <x v="0"/>
    <x v="3"/>
    <n v="4.3650000000000002"/>
    <n v="8.73"/>
    <x v="3"/>
    <x v="0"/>
    <x v="0"/>
  </r>
  <r>
    <s v="DJG-14442-608"/>
    <x v="336"/>
    <x v="375"/>
    <s v="R-D-1"/>
    <n v="3"/>
    <x v="375"/>
    <s v="gcroysdaleb6@nih.gov"/>
    <x v="0"/>
    <x v="0"/>
    <x v="2"/>
    <x v="0"/>
    <n v="8.9499999999999993"/>
    <n v="26.849999999999998"/>
    <x v="0"/>
    <x v="2"/>
    <x v="0"/>
  </r>
  <r>
    <s v="DWB-61381-370"/>
    <x v="337"/>
    <x v="376"/>
    <s v="L-L-0.2"/>
    <n v="2"/>
    <x v="376"/>
    <s v="bgozzettb7@github.com"/>
    <x v="0"/>
    <x v="3"/>
    <x v="1"/>
    <x v="3"/>
    <n v="4.7549999999999999"/>
    <n v="9.51"/>
    <x v="3"/>
    <x v="1"/>
    <x v="1"/>
  </r>
  <r>
    <s v="FRD-17347-990"/>
    <x v="80"/>
    <x v="377"/>
    <s v="A-D-1"/>
    <n v="4"/>
    <x v="377"/>
    <s v="tcraggsb8@house.gov"/>
    <x v="1"/>
    <x v="2"/>
    <x v="2"/>
    <x v="0"/>
    <n v="9.9499999999999993"/>
    <n v="39.799999999999997"/>
    <x v="2"/>
    <x v="2"/>
    <x v="1"/>
  </r>
  <r>
    <s v="YPP-27450-525"/>
    <x v="338"/>
    <x v="378"/>
    <s v="E-M-0.5"/>
    <n v="3"/>
    <x v="378"/>
    <s v="lcullrfordb9@xing.com"/>
    <x v="0"/>
    <x v="1"/>
    <x v="0"/>
    <x v="1"/>
    <n v="8.25"/>
    <n v="24.75"/>
    <x v="1"/>
    <x v="0"/>
    <x v="0"/>
  </r>
  <r>
    <s v="EFC-39577-424"/>
    <x v="339"/>
    <x v="379"/>
    <s v="E-M-1"/>
    <n v="5"/>
    <x v="379"/>
    <s v="arizonba@xing.com"/>
    <x v="0"/>
    <x v="1"/>
    <x v="0"/>
    <x v="0"/>
    <n v="13.75"/>
    <n v="68.75"/>
    <x v="1"/>
    <x v="0"/>
    <x v="0"/>
  </r>
  <r>
    <s v="LAW-80062-016"/>
    <x v="340"/>
    <x v="380"/>
    <s v="E-M-0.5"/>
    <n v="6"/>
    <x v="380"/>
    <s v=""/>
    <x v="1"/>
    <x v="1"/>
    <x v="0"/>
    <x v="1"/>
    <n v="8.25"/>
    <n v="49.5"/>
    <x v="1"/>
    <x v="0"/>
    <x v="1"/>
  </r>
  <r>
    <s v="WKL-27981-758"/>
    <x v="177"/>
    <x v="381"/>
    <s v="A-M-2.5"/>
    <n v="2"/>
    <x v="381"/>
    <s v="fmiellbc@spiegel.de"/>
    <x v="0"/>
    <x v="2"/>
    <x v="0"/>
    <x v="2"/>
    <n v="25.874999999999996"/>
    <n v="51.749999999999993"/>
    <x v="2"/>
    <x v="0"/>
    <x v="0"/>
  </r>
  <r>
    <s v="VRT-39834-265"/>
    <x v="341"/>
    <x v="382"/>
    <s v="L-L-1"/>
    <n v="3"/>
    <x v="382"/>
    <s v=""/>
    <x v="1"/>
    <x v="3"/>
    <x v="1"/>
    <x v="0"/>
    <n v="15.85"/>
    <n v="47.55"/>
    <x v="3"/>
    <x v="1"/>
    <x v="0"/>
  </r>
  <r>
    <s v="QTC-71005-730"/>
    <x v="342"/>
    <x v="383"/>
    <s v="A-L-0.2"/>
    <n v="4"/>
    <x v="383"/>
    <s v=""/>
    <x v="0"/>
    <x v="2"/>
    <x v="1"/>
    <x v="3"/>
    <n v="3.8849999999999998"/>
    <n v="15.54"/>
    <x v="2"/>
    <x v="1"/>
    <x v="1"/>
  </r>
  <r>
    <s v="TNX-09857-717"/>
    <x v="343"/>
    <x v="384"/>
    <s v="L-M-1"/>
    <n v="6"/>
    <x v="384"/>
    <s v=""/>
    <x v="0"/>
    <x v="3"/>
    <x v="0"/>
    <x v="0"/>
    <n v="14.55"/>
    <n v="87.300000000000011"/>
    <x v="3"/>
    <x v="0"/>
    <x v="0"/>
  </r>
  <r>
    <s v="JZV-43874-185"/>
    <x v="344"/>
    <x v="385"/>
    <s v="A-M-1"/>
    <n v="5"/>
    <x v="385"/>
    <s v=""/>
    <x v="0"/>
    <x v="2"/>
    <x v="0"/>
    <x v="0"/>
    <n v="11.25"/>
    <n v="56.25"/>
    <x v="2"/>
    <x v="0"/>
    <x v="0"/>
  </r>
  <r>
    <s v="ICF-17486-106"/>
    <x v="47"/>
    <x v="386"/>
    <s v="L-L-2.5"/>
    <n v="1"/>
    <x v="386"/>
    <s v="wspringallbh@jugem.jp"/>
    <x v="0"/>
    <x v="3"/>
    <x v="1"/>
    <x v="2"/>
    <n v="36.454999999999998"/>
    <n v="36.454999999999998"/>
    <x v="3"/>
    <x v="1"/>
    <x v="0"/>
  </r>
  <r>
    <s v="BMK-49520-383"/>
    <x v="345"/>
    <x v="387"/>
    <s v="R-L-0.2"/>
    <n v="3"/>
    <x v="387"/>
    <s v=""/>
    <x v="0"/>
    <x v="0"/>
    <x v="1"/>
    <x v="3"/>
    <n v="3.5849999999999995"/>
    <n v="10.754999999999999"/>
    <x v="0"/>
    <x v="1"/>
    <x v="0"/>
  </r>
  <r>
    <s v="HTS-15020-632"/>
    <x v="169"/>
    <x v="388"/>
    <s v="R-M-0.2"/>
    <n v="3"/>
    <x v="388"/>
    <s v="ghawkyensbj@census.gov"/>
    <x v="0"/>
    <x v="0"/>
    <x v="0"/>
    <x v="3"/>
    <n v="2.9849999999999999"/>
    <n v="8.9550000000000001"/>
    <x v="0"/>
    <x v="0"/>
    <x v="1"/>
  </r>
  <r>
    <s v="YLE-18247-749"/>
    <x v="346"/>
    <x v="389"/>
    <s v="A-L-0.5"/>
    <n v="3"/>
    <x v="389"/>
    <s v=""/>
    <x v="0"/>
    <x v="2"/>
    <x v="1"/>
    <x v="1"/>
    <n v="7.77"/>
    <n v="23.31"/>
    <x v="2"/>
    <x v="1"/>
    <x v="0"/>
  </r>
  <r>
    <s v="KJJ-12573-591"/>
    <x v="347"/>
    <x v="390"/>
    <s v="A-L-2.5"/>
    <n v="1"/>
    <x v="390"/>
    <s v=""/>
    <x v="0"/>
    <x v="2"/>
    <x v="1"/>
    <x v="2"/>
    <n v="29.784999999999997"/>
    <n v="29.784999999999997"/>
    <x v="2"/>
    <x v="1"/>
    <x v="0"/>
  </r>
  <r>
    <s v="RGU-43561-950"/>
    <x v="348"/>
    <x v="391"/>
    <s v="A-L-2.5"/>
    <n v="5"/>
    <x v="391"/>
    <s v="bmcgilvrabm@so-net.ne.jp"/>
    <x v="0"/>
    <x v="2"/>
    <x v="1"/>
    <x v="2"/>
    <n v="29.784999999999997"/>
    <n v="148.92499999999998"/>
    <x v="2"/>
    <x v="1"/>
    <x v="0"/>
  </r>
  <r>
    <s v="JSN-73975-443"/>
    <x v="349"/>
    <x v="392"/>
    <s v="L-M-0.5"/>
    <n v="1"/>
    <x v="392"/>
    <s v="adanzeybn@github.com"/>
    <x v="0"/>
    <x v="3"/>
    <x v="0"/>
    <x v="1"/>
    <n v="8.73"/>
    <n v="8.73"/>
    <x v="3"/>
    <x v="0"/>
    <x v="0"/>
  </r>
  <r>
    <s v="WNR-71736-993"/>
    <x v="350"/>
    <x v="347"/>
    <s v="L-D-0.5"/>
    <n v="4"/>
    <x v="347"/>
    <s v="tfarraac@behance.net"/>
    <x v="0"/>
    <x v="3"/>
    <x v="2"/>
    <x v="1"/>
    <n v="7.77"/>
    <n v="31.08"/>
    <x v="3"/>
    <x v="2"/>
    <x v="1"/>
  </r>
  <r>
    <s v="WNR-71736-993"/>
    <x v="350"/>
    <x v="347"/>
    <s v="A-D-2.5"/>
    <n v="6"/>
    <x v="347"/>
    <s v="tfarraac@behance.net"/>
    <x v="0"/>
    <x v="2"/>
    <x v="2"/>
    <x v="2"/>
    <n v="22.884999999999998"/>
    <n v="137.31"/>
    <x v="2"/>
    <x v="2"/>
    <x v="1"/>
  </r>
  <r>
    <s v="HNI-91338-546"/>
    <x v="54"/>
    <x v="393"/>
    <s v="A-D-0.5"/>
    <n v="5"/>
    <x v="393"/>
    <s v=""/>
    <x v="0"/>
    <x v="2"/>
    <x v="2"/>
    <x v="1"/>
    <n v="5.97"/>
    <n v="29.849999999999998"/>
    <x v="2"/>
    <x v="2"/>
    <x v="1"/>
  </r>
  <r>
    <s v="CYH-53243-218"/>
    <x v="237"/>
    <x v="394"/>
    <s v="R-M-0.5"/>
    <n v="3"/>
    <x v="394"/>
    <s v=""/>
    <x v="0"/>
    <x v="0"/>
    <x v="0"/>
    <x v="1"/>
    <n v="5.97"/>
    <n v="17.91"/>
    <x v="0"/>
    <x v="0"/>
    <x v="1"/>
  </r>
  <r>
    <s v="SVD-75407-177"/>
    <x v="351"/>
    <x v="395"/>
    <s v="E-L-0.5"/>
    <n v="3"/>
    <x v="395"/>
    <s v="ydombrellbs@dedecms.com"/>
    <x v="0"/>
    <x v="1"/>
    <x v="1"/>
    <x v="1"/>
    <n v="8.91"/>
    <n v="26.73"/>
    <x v="1"/>
    <x v="1"/>
    <x v="0"/>
  </r>
  <r>
    <s v="NVN-66443-451"/>
    <x v="352"/>
    <x v="396"/>
    <s v="R-D-1"/>
    <n v="2"/>
    <x v="396"/>
    <s v="adarthbt@t.co"/>
    <x v="0"/>
    <x v="0"/>
    <x v="2"/>
    <x v="0"/>
    <n v="8.9499999999999993"/>
    <n v="17.899999999999999"/>
    <x v="0"/>
    <x v="2"/>
    <x v="1"/>
  </r>
  <r>
    <s v="JUA-13580-095"/>
    <x v="102"/>
    <x v="397"/>
    <s v="R-L-0.2"/>
    <n v="4"/>
    <x v="397"/>
    <s v="mdarrigoebu@hud.gov"/>
    <x v="1"/>
    <x v="0"/>
    <x v="1"/>
    <x v="3"/>
    <n v="3.5849999999999995"/>
    <n v="14.339999999999998"/>
    <x v="0"/>
    <x v="1"/>
    <x v="0"/>
  </r>
  <r>
    <s v="ACY-56225-839"/>
    <x v="353"/>
    <x v="398"/>
    <s v="A-M-2.5"/>
    <n v="3"/>
    <x v="398"/>
    <s v=""/>
    <x v="0"/>
    <x v="2"/>
    <x v="0"/>
    <x v="2"/>
    <n v="25.874999999999996"/>
    <n v="77.624999999999986"/>
    <x v="2"/>
    <x v="0"/>
    <x v="0"/>
  </r>
  <r>
    <s v="QBB-07903-622"/>
    <x v="354"/>
    <x v="399"/>
    <s v="R-L-1"/>
    <n v="5"/>
    <x v="399"/>
    <s v="mackrillbw@bandcamp.com"/>
    <x v="0"/>
    <x v="0"/>
    <x v="1"/>
    <x v="0"/>
    <n v="11.95"/>
    <n v="59.75"/>
    <x v="0"/>
    <x v="1"/>
    <x v="1"/>
  </r>
  <r>
    <s v="JLJ-81802-619"/>
    <x v="135"/>
    <x v="347"/>
    <s v="A-L-1"/>
    <n v="6"/>
    <x v="347"/>
    <s v="tfarraac@behance.net"/>
    <x v="0"/>
    <x v="2"/>
    <x v="1"/>
    <x v="0"/>
    <n v="12.95"/>
    <n v="77.699999999999989"/>
    <x v="2"/>
    <x v="1"/>
    <x v="1"/>
  </r>
  <r>
    <s v="HFT-77191-168"/>
    <x v="343"/>
    <x v="400"/>
    <s v="R-D-0.2"/>
    <n v="2"/>
    <x v="400"/>
    <s v="mkippenby@dion.ne.jp"/>
    <x v="0"/>
    <x v="0"/>
    <x v="2"/>
    <x v="3"/>
    <n v="2.6849999999999996"/>
    <n v="5.3699999999999992"/>
    <x v="0"/>
    <x v="2"/>
    <x v="0"/>
  </r>
  <r>
    <s v="SZR-35951-530"/>
    <x v="89"/>
    <x v="401"/>
    <s v="E-D-2.5"/>
    <n v="3"/>
    <x v="401"/>
    <s v="wransonbz@ted.com"/>
    <x v="1"/>
    <x v="1"/>
    <x v="2"/>
    <x v="2"/>
    <n v="27.945"/>
    <n v="83.835000000000008"/>
    <x v="1"/>
    <x v="2"/>
    <x v="0"/>
  </r>
  <r>
    <s v="IKL-95976-565"/>
    <x v="355"/>
    <x v="402"/>
    <s v="A-M-1"/>
    <n v="2"/>
    <x v="402"/>
    <s v=""/>
    <x v="0"/>
    <x v="2"/>
    <x v="0"/>
    <x v="0"/>
    <n v="11.25"/>
    <n v="22.5"/>
    <x v="2"/>
    <x v="0"/>
    <x v="1"/>
  </r>
  <r>
    <s v="XEY-48929-474"/>
    <x v="204"/>
    <x v="403"/>
    <s v="L-M-2.5"/>
    <n v="6"/>
    <x v="403"/>
    <s v="lrignoldc1@miibeian.gov.cn"/>
    <x v="0"/>
    <x v="3"/>
    <x v="0"/>
    <x v="2"/>
    <n v="33.464999999999996"/>
    <n v="200.78999999999996"/>
    <x v="3"/>
    <x v="0"/>
    <x v="0"/>
  </r>
  <r>
    <s v="SQT-07286-736"/>
    <x v="356"/>
    <x v="404"/>
    <s v="A-M-1"/>
    <n v="6"/>
    <x v="404"/>
    <s v=""/>
    <x v="0"/>
    <x v="2"/>
    <x v="0"/>
    <x v="0"/>
    <n v="11.25"/>
    <n v="67.5"/>
    <x v="2"/>
    <x v="0"/>
    <x v="1"/>
  </r>
  <r>
    <s v="QDU-45390-361"/>
    <x v="357"/>
    <x v="405"/>
    <s v="E-M-0.5"/>
    <n v="1"/>
    <x v="405"/>
    <s v="crowthornc3@msn.com"/>
    <x v="0"/>
    <x v="1"/>
    <x v="0"/>
    <x v="1"/>
    <n v="8.25"/>
    <n v="8.25"/>
    <x v="1"/>
    <x v="0"/>
    <x v="1"/>
  </r>
  <r>
    <s v="RUJ-30649-712"/>
    <x v="300"/>
    <x v="406"/>
    <s v="L-L-0.2"/>
    <n v="2"/>
    <x v="406"/>
    <s v="orylandc4@deviantart.com"/>
    <x v="0"/>
    <x v="3"/>
    <x v="1"/>
    <x v="3"/>
    <n v="4.7549999999999999"/>
    <n v="9.51"/>
    <x v="3"/>
    <x v="1"/>
    <x v="0"/>
  </r>
  <r>
    <s v="WSV-49732-075"/>
    <x v="358"/>
    <x v="407"/>
    <s v="L-D-2.5"/>
    <n v="1"/>
    <x v="407"/>
    <s v=""/>
    <x v="0"/>
    <x v="3"/>
    <x v="2"/>
    <x v="2"/>
    <n v="29.784999999999997"/>
    <n v="29.784999999999997"/>
    <x v="3"/>
    <x v="2"/>
    <x v="1"/>
  </r>
  <r>
    <s v="VJF-46305-323"/>
    <x v="161"/>
    <x v="408"/>
    <s v="L-D-0.5"/>
    <n v="2"/>
    <x v="408"/>
    <s v="msesonck@census.gov"/>
    <x v="0"/>
    <x v="3"/>
    <x v="2"/>
    <x v="1"/>
    <n v="7.77"/>
    <n v="15.54"/>
    <x v="3"/>
    <x v="2"/>
    <x v="1"/>
  </r>
  <r>
    <s v="CXD-74176-600"/>
    <x v="129"/>
    <x v="409"/>
    <s v="E-L-0.5"/>
    <n v="4"/>
    <x v="409"/>
    <s v="craglessc7@webmd.com"/>
    <x v="1"/>
    <x v="1"/>
    <x v="1"/>
    <x v="1"/>
    <n v="8.91"/>
    <n v="35.64"/>
    <x v="1"/>
    <x v="1"/>
    <x v="1"/>
  </r>
  <r>
    <s v="ADX-50674-975"/>
    <x v="359"/>
    <x v="410"/>
    <s v="A-M-2.5"/>
    <n v="4"/>
    <x v="410"/>
    <s v="fhollowsc8@blogtalkradio.com"/>
    <x v="0"/>
    <x v="2"/>
    <x v="0"/>
    <x v="2"/>
    <n v="25.874999999999996"/>
    <n v="103.49999999999999"/>
    <x v="2"/>
    <x v="0"/>
    <x v="0"/>
  </r>
  <r>
    <s v="RRP-51647-420"/>
    <x v="360"/>
    <x v="411"/>
    <s v="E-D-1"/>
    <n v="3"/>
    <x v="411"/>
    <s v="llathleiffc9@nationalgeographic.com"/>
    <x v="1"/>
    <x v="1"/>
    <x v="2"/>
    <x v="0"/>
    <n v="12.15"/>
    <n v="36.450000000000003"/>
    <x v="1"/>
    <x v="2"/>
    <x v="0"/>
  </r>
  <r>
    <s v="PKJ-99134-523"/>
    <x v="361"/>
    <x v="412"/>
    <s v="R-L-0.5"/>
    <n v="5"/>
    <x v="412"/>
    <s v="kheadsca@jalbum.net"/>
    <x v="0"/>
    <x v="0"/>
    <x v="1"/>
    <x v="1"/>
    <n v="7.169999999999999"/>
    <n v="35.849999999999994"/>
    <x v="0"/>
    <x v="1"/>
    <x v="1"/>
  </r>
  <r>
    <s v="FZQ-29439-457"/>
    <x v="362"/>
    <x v="413"/>
    <s v="E-L-0.2"/>
    <n v="5"/>
    <x v="413"/>
    <s v="tbownecb@unicef.org"/>
    <x v="1"/>
    <x v="1"/>
    <x v="1"/>
    <x v="3"/>
    <n v="4.4550000000000001"/>
    <n v="22.274999999999999"/>
    <x v="1"/>
    <x v="1"/>
    <x v="0"/>
  </r>
  <r>
    <s v="USN-68115-161"/>
    <x v="363"/>
    <x v="414"/>
    <s v="E-M-0.2"/>
    <n v="6"/>
    <x v="414"/>
    <s v="rjacquemardcc@acquirethisname.com"/>
    <x v="1"/>
    <x v="1"/>
    <x v="0"/>
    <x v="3"/>
    <n v="4.125"/>
    <n v="24.75"/>
    <x v="1"/>
    <x v="0"/>
    <x v="1"/>
  </r>
  <r>
    <s v="IXU-20263-532"/>
    <x v="364"/>
    <x v="415"/>
    <s v="L-M-2.5"/>
    <n v="2"/>
    <x v="415"/>
    <s v="kwarmancd@printfriendly.com"/>
    <x v="1"/>
    <x v="3"/>
    <x v="0"/>
    <x v="2"/>
    <n v="33.464999999999996"/>
    <n v="66.929999999999993"/>
    <x v="3"/>
    <x v="0"/>
    <x v="0"/>
  </r>
  <r>
    <s v="CBT-15092-420"/>
    <x v="85"/>
    <x v="416"/>
    <s v="L-M-0.5"/>
    <n v="1"/>
    <x v="416"/>
    <s v="wcholomince@about.com"/>
    <x v="2"/>
    <x v="3"/>
    <x v="0"/>
    <x v="1"/>
    <n v="8.73"/>
    <n v="8.73"/>
    <x v="3"/>
    <x v="0"/>
    <x v="0"/>
  </r>
  <r>
    <s v="PKQ-46841-696"/>
    <x v="365"/>
    <x v="417"/>
    <s v="R-M-0.5"/>
    <n v="3"/>
    <x v="417"/>
    <s v="abraidmancf@census.gov"/>
    <x v="0"/>
    <x v="0"/>
    <x v="0"/>
    <x v="1"/>
    <n v="5.97"/>
    <n v="17.91"/>
    <x v="0"/>
    <x v="0"/>
    <x v="1"/>
  </r>
  <r>
    <s v="XDU-05471-219"/>
    <x v="366"/>
    <x v="418"/>
    <s v="R-L-0.5"/>
    <n v="1"/>
    <x v="418"/>
    <s v="pdurbancg@symantec.com"/>
    <x v="1"/>
    <x v="0"/>
    <x v="1"/>
    <x v="1"/>
    <n v="7.169999999999999"/>
    <n v="7.169999999999999"/>
    <x v="0"/>
    <x v="1"/>
    <x v="1"/>
  </r>
  <r>
    <s v="NID-20149-329"/>
    <x v="367"/>
    <x v="419"/>
    <s v="R-D-0.2"/>
    <n v="2"/>
    <x v="419"/>
    <s v="aharroldch@miibeian.gov.cn"/>
    <x v="0"/>
    <x v="0"/>
    <x v="2"/>
    <x v="3"/>
    <n v="2.6849999999999996"/>
    <n v="5.3699999999999992"/>
    <x v="0"/>
    <x v="2"/>
    <x v="1"/>
  </r>
  <r>
    <s v="SVU-27222-213"/>
    <x v="142"/>
    <x v="420"/>
    <s v="L-L-0.2"/>
    <n v="5"/>
    <x v="420"/>
    <s v="spamphilonci@mlb.com"/>
    <x v="1"/>
    <x v="3"/>
    <x v="1"/>
    <x v="3"/>
    <n v="4.7549999999999999"/>
    <n v="23.774999999999999"/>
    <x v="3"/>
    <x v="1"/>
    <x v="1"/>
  </r>
  <r>
    <s v="RWI-84131-848"/>
    <x v="368"/>
    <x v="421"/>
    <s v="R-D-2.5"/>
    <n v="2"/>
    <x v="421"/>
    <s v="mspurdencj@exblog.jp"/>
    <x v="0"/>
    <x v="0"/>
    <x v="2"/>
    <x v="2"/>
    <n v="20.584999999999997"/>
    <n v="41.169999999999995"/>
    <x v="0"/>
    <x v="2"/>
    <x v="0"/>
  </r>
  <r>
    <s v="GUU-40666-525"/>
    <x v="31"/>
    <x v="408"/>
    <s v="A-L-0.2"/>
    <n v="3"/>
    <x v="408"/>
    <s v="msesonck@census.gov"/>
    <x v="0"/>
    <x v="2"/>
    <x v="1"/>
    <x v="3"/>
    <n v="3.8849999999999998"/>
    <n v="11.654999999999999"/>
    <x v="2"/>
    <x v="1"/>
    <x v="1"/>
  </r>
  <r>
    <s v="SCN-51395-066"/>
    <x v="369"/>
    <x v="422"/>
    <s v="L-L-0.5"/>
    <n v="4"/>
    <x v="422"/>
    <s v="npirronecl@weibo.com"/>
    <x v="0"/>
    <x v="3"/>
    <x v="1"/>
    <x v="1"/>
    <n v="9.51"/>
    <n v="38.04"/>
    <x v="3"/>
    <x v="1"/>
    <x v="1"/>
  </r>
  <r>
    <s v="ULA-24644-321"/>
    <x v="370"/>
    <x v="423"/>
    <s v="R-D-2.5"/>
    <n v="4"/>
    <x v="423"/>
    <s v="rcawleycm@yellowbook.com"/>
    <x v="1"/>
    <x v="0"/>
    <x v="2"/>
    <x v="2"/>
    <n v="20.584999999999997"/>
    <n v="82.339999999999989"/>
    <x v="0"/>
    <x v="2"/>
    <x v="0"/>
  </r>
  <r>
    <s v="EOL-92666-762"/>
    <x v="371"/>
    <x v="424"/>
    <s v="L-L-0.2"/>
    <n v="2"/>
    <x v="424"/>
    <s v="sbarribalcn@microsoft.com"/>
    <x v="1"/>
    <x v="3"/>
    <x v="1"/>
    <x v="3"/>
    <n v="4.7549999999999999"/>
    <n v="9.51"/>
    <x v="3"/>
    <x v="1"/>
    <x v="0"/>
  </r>
  <r>
    <s v="AJV-18231-334"/>
    <x v="372"/>
    <x v="425"/>
    <s v="R-D-2.5"/>
    <n v="2"/>
    <x v="425"/>
    <s v="aadamidesco@bizjournals.com"/>
    <x v="2"/>
    <x v="0"/>
    <x v="2"/>
    <x v="2"/>
    <n v="20.584999999999997"/>
    <n v="41.169999999999995"/>
    <x v="0"/>
    <x v="2"/>
    <x v="1"/>
  </r>
  <r>
    <s v="ZQI-47236-301"/>
    <x v="373"/>
    <x v="426"/>
    <s v="L-L-0.5"/>
    <n v="5"/>
    <x v="426"/>
    <s v="cthowescp@craigslist.org"/>
    <x v="0"/>
    <x v="3"/>
    <x v="1"/>
    <x v="1"/>
    <n v="9.51"/>
    <n v="47.55"/>
    <x v="3"/>
    <x v="1"/>
    <x v="1"/>
  </r>
  <r>
    <s v="ZCR-15721-658"/>
    <x v="374"/>
    <x v="427"/>
    <s v="A-M-1"/>
    <n v="4"/>
    <x v="427"/>
    <s v="rwillowaycq@admin.ch"/>
    <x v="0"/>
    <x v="2"/>
    <x v="0"/>
    <x v="0"/>
    <n v="11.25"/>
    <n v="45"/>
    <x v="2"/>
    <x v="0"/>
    <x v="1"/>
  </r>
  <r>
    <s v="QEW-47945-682"/>
    <x v="319"/>
    <x v="428"/>
    <s v="L-L-0.2"/>
    <n v="5"/>
    <x v="428"/>
    <s v="aelwincr@privacy.gov.au"/>
    <x v="0"/>
    <x v="3"/>
    <x v="1"/>
    <x v="3"/>
    <n v="4.7549999999999999"/>
    <n v="23.774999999999999"/>
    <x v="3"/>
    <x v="1"/>
    <x v="1"/>
  </r>
  <r>
    <s v="PSY-45485-542"/>
    <x v="375"/>
    <x v="429"/>
    <s v="R-D-0.5"/>
    <n v="3"/>
    <x v="429"/>
    <s v="abilbrookcs@booking.com"/>
    <x v="1"/>
    <x v="0"/>
    <x v="2"/>
    <x v="1"/>
    <n v="5.3699999999999992"/>
    <n v="16.11"/>
    <x v="0"/>
    <x v="2"/>
    <x v="0"/>
  </r>
  <r>
    <s v="BAQ-74241-156"/>
    <x v="376"/>
    <x v="430"/>
    <s v="R-D-0.2"/>
    <n v="4"/>
    <x v="430"/>
    <s v="rmckallct@sakura.ne.jp"/>
    <x v="2"/>
    <x v="0"/>
    <x v="2"/>
    <x v="3"/>
    <n v="2.6849999999999996"/>
    <n v="10.739999999999998"/>
    <x v="0"/>
    <x v="2"/>
    <x v="0"/>
  </r>
  <r>
    <s v="BVU-77367-451"/>
    <x v="377"/>
    <x v="431"/>
    <s v="A-D-1"/>
    <n v="5"/>
    <x v="431"/>
    <s v="bdailecu@vistaprint.com"/>
    <x v="0"/>
    <x v="2"/>
    <x v="2"/>
    <x v="0"/>
    <n v="9.9499999999999993"/>
    <n v="49.75"/>
    <x v="2"/>
    <x v="2"/>
    <x v="0"/>
  </r>
  <r>
    <s v="TJE-91516-344"/>
    <x v="378"/>
    <x v="432"/>
    <s v="E-M-1"/>
    <n v="2"/>
    <x v="432"/>
    <s v="atrehernecv@state.tx.us"/>
    <x v="1"/>
    <x v="1"/>
    <x v="0"/>
    <x v="0"/>
    <n v="13.75"/>
    <n v="27.5"/>
    <x v="1"/>
    <x v="0"/>
    <x v="1"/>
  </r>
  <r>
    <s v="LIS-96202-702"/>
    <x v="277"/>
    <x v="433"/>
    <s v="L-D-2.5"/>
    <n v="4"/>
    <x v="433"/>
    <s v="abrentnallcw@biglobe.ne.jp"/>
    <x v="2"/>
    <x v="3"/>
    <x v="2"/>
    <x v="2"/>
    <n v="29.784999999999997"/>
    <n v="119.13999999999999"/>
    <x v="3"/>
    <x v="2"/>
    <x v="1"/>
  </r>
  <r>
    <s v="VIO-27668-766"/>
    <x v="379"/>
    <x v="434"/>
    <s v="R-D-2.5"/>
    <n v="1"/>
    <x v="434"/>
    <s v="ddrinkallcx@psu.edu"/>
    <x v="0"/>
    <x v="0"/>
    <x v="2"/>
    <x v="2"/>
    <n v="20.584999999999997"/>
    <n v="20.584999999999997"/>
    <x v="0"/>
    <x v="2"/>
    <x v="0"/>
  </r>
  <r>
    <s v="ZVG-20473-043"/>
    <x v="86"/>
    <x v="435"/>
    <s v="A-D-0.2"/>
    <n v="3"/>
    <x v="435"/>
    <s v="dkornelcy@cyberchimps.com"/>
    <x v="0"/>
    <x v="2"/>
    <x v="2"/>
    <x v="3"/>
    <n v="2.9849999999999999"/>
    <n v="8.9550000000000001"/>
    <x v="2"/>
    <x v="2"/>
    <x v="0"/>
  </r>
  <r>
    <s v="KGZ-56395-231"/>
    <x v="380"/>
    <x v="436"/>
    <s v="A-D-0.5"/>
    <n v="1"/>
    <x v="436"/>
    <s v="rlequeuxcz@newyorker.com"/>
    <x v="0"/>
    <x v="2"/>
    <x v="2"/>
    <x v="1"/>
    <n v="5.97"/>
    <n v="5.97"/>
    <x v="2"/>
    <x v="2"/>
    <x v="1"/>
  </r>
  <r>
    <s v="CUU-92244-729"/>
    <x v="381"/>
    <x v="437"/>
    <s v="E-M-1"/>
    <n v="3"/>
    <x v="437"/>
    <s v="jmccaulld0@parallels.com"/>
    <x v="0"/>
    <x v="1"/>
    <x v="0"/>
    <x v="0"/>
    <n v="13.75"/>
    <n v="41.25"/>
    <x v="1"/>
    <x v="0"/>
    <x v="0"/>
  </r>
  <r>
    <s v="EHE-94714-312"/>
    <x v="382"/>
    <x v="438"/>
    <s v="E-L-0.2"/>
    <n v="5"/>
    <x v="438"/>
    <s v="abrashda@plala.or.jp"/>
    <x v="0"/>
    <x v="1"/>
    <x v="1"/>
    <x v="3"/>
    <n v="4.4550000000000001"/>
    <n v="22.274999999999999"/>
    <x v="1"/>
    <x v="1"/>
    <x v="0"/>
  </r>
  <r>
    <s v="RTL-16205-161"/>
    <x v="11"/>
    <x v="439"/>
    <s v="A-M-0.5"/>
    <n v="1"/>
    <x v="439"/>
    <s v="ahutchinsond2@imgur.com"/>
    <x v="0"/>
    <x v="2"/>
    <x v="0"/>
    <x v="1"/>
    <n v="6.75"/>
    <n v="6.75"/>
    <x v="2"/>
    <x v="0"/>
    <x v="0"/>
  </r>
  <r>
    <s v="GTS-22482-014"/>
    <x v="167"/>
    <x v="440"/>
    <s v="L-M-2.5"/>
    <n v="4"/>
    <x v="440"/>
    <s v=""/>
    <x v="0"/>
    <x v="3"/>
    <x v="0"/>
    <x v="2"/>
    <n v="33.464999999999996"/>
    <n v="133.85999999999999"/>
    <x v="3"/>
    <x v="0"/>
    <x v="0"/>
  </r>
  <r>
    <s v="DYG-25473-881"/>
    <x v="383"/>
    <x v="441"/>
    <s v="A-D-0.2"/>
    <n v="2"/>
    <x v="441"/>
    <s v="rdriversd4@hexun.com"/>
    <x v="0"/>
    <x v="2"/>
    <x v="2"/>
    <x v="3"/>
    <n v="2.9849999999999999"/>
    <n v="5.97"/>
    <x v="2"/>
    <x v="2"/>
    <x v="1"/>
  </r>
  <r>
    <s v="HTR-21838-286"/>
    <x v="18"/>
    <x v="442"/>
    <s v="A-L-1"/>
    <n v="2"/>
    <x v="442"/>
    <s v="hzeald5@google.de"/>
    <x v="0"/>
    <x v="2"/>
    <x v="1"/>
    <x v="0"/>
    <n v="12.95"/>
    <n v="25.9"/>
    <x v="2"/>
    <x v="1"/>
    <x v="1"/>
  </r>
  <r>
    <s v="KYG-28296-920"/>
    <x v="84"/>
    <x v="443"/>
    <s v="E-M-2.5"/>
    <n v="1"/>
    <x v="443"/>
    <s v="gsmallcombed6@ucla.edu"/>
    <x v="1"/>
    <x v="1"/>
    <x v="0"/>
    <x v="2"/>
    <n v="31.624999999999996"/>
    <n v="31.624999999999996"/>
    <x v="1"/>
    <x v="0"/>
    <x v="0"/>
  </r>
  <r>
    <s v="NNB-20459-430"/>
    <x v="384"/>
    <x v="444"/>
    <s v="L-M-0.2"/>
    <n v="2"/>
    <x v="444"/>
    <s v="ddibleyd7@feedburner.com"/>
    <x v="0"/>
    <x v="3"/>
    <x v="0"/>
    <x v="3"/>
    <n v="4.3650000000000002"/>
    <n v="8.73"/>
    <x v="3"/>
    <x v="0"/>
    <x v="1"/>
  </r>
  <r>
    <s v="FEK-14025-351"/>
    <x v="385"/>
    <x v="445"/>
    <s v="E-L-0.2"/>
    <n v="6"/>
    <x v="445"/>
    <s v="gdimitrioud8@chronoengine.com"/>
    <x v="0"/>
    <x v="1"/>
    <x v="1"/>
    <x v="3"/>
    <n v="4.4550000000000001"/>
    <n v="26.73"/>
    <x v="1"/>
    <x v="1"/>
    <x v="0"/>
  </r>
  <r>
    <s v="AWH-16980-469"/>
    <x v="386"/>
    <x v="446"/>
    <s v="L-M-0.2"/>
    <n v="6"/>
    <x v="446"/>
    <s v="fflanagand9@woothemes.com"/>
    <x v="0"/>
    <x v="3"/>
    <x v="0"/>
    <x v="3"/>
    <n v="4.3650000000000002"/>
    <n v="26.19"/>
    <x v="3"/>
    <x v="0"/>
    <x v="1"/>
  </r>
  <r>
    <s v="ZPW-31329-741"/>
    <x v="387"/>
    <x v="438"/>
    <s v="R-D-1"/>
    <n v="6"/>
    <x v="438"/>
    <s v="abrashda@plala.or.jp"/>
    <x v="0"/>
    <x v="0"/>
    <x v="2"/>
    <x v="0"/>
    <n v="8.9499999999999993"/>
    <n v="53.699999999999996"/>
    <x v="0"/>
    <x v="2"/>
    <x v="0"/>
  </r>
  <r>
    <s v="ZPW-31329-741"/>
    <x v="387"/>
    <x v="438"/>
    <s v="E-M-2.5"/>
    <n v="4"/>
    <x v="438"/>
    <s v="abrashda@plala.or.jp"/>
    <x v="0"/>
    <x v="1"/>
    <x v="0"/>
    <x v="2"/>
    <n v="31.624999999999996"/>
    <n v="126.49999999999999"/>
    <x v="1"/>
    <x v="0"/>
    <x v="0"/>
  </r>
  <r>
    <s v="ZPW-31329-741"/>
    <x v="387"/>
    <x v="438"/>
    <s v="E-M-0.2"/>
    <n v="1"/>
    <x v="438"/>
    <s v="abrashda@plala.or.jp"/>
    <x v="0"/>
    <x v="1"/>
    <x v="0"/>
    <x v="3"/>
    <n v="4.125"/>
    <n v="4.125"/>
    <x v="1"/>
    <x v="0"/>
    <x v="0"/>
  </r>
  <r>
    <s v="UBI-83843-396"/>
    <x v="388"/>
    <x v="447"/>
    <s v="R-L-1"/>
    <n v="2"/>
    <x v="447"/>
    <s v="nizhakovdd@aol.com"/>
    <x v="2"/>
    <x v="0"/>
    <x v="1"/>
    <x v="0"/>
    <n v="11.95"/>
    <n v="23.9"/>
    <x v="0"/>
    <x v="1"/>
    <x v="1"/>
  </r>
  <r>
    <s v="VID-40587-569"/>
    <x v="389"/>
    <x v="448"/>
    <s v="E-D-2.5"/>
    <n v="5"/>
    <x v="448"/>
    <s v="skeetsde@answers.com"/>
    <x v="0"/>
    <x v="1"/>
    <x v="2"/>
    <x v="2"/>
    <n v="27.945"/>
    <n v="139.72499999999999"/>
    <x v="1"/>
    <x v="2"/>
    <x v="0"/>
  </r>
  <r>
    <s v="KBB-52530-416"/>
    <x v="229"/>
    <x v="449"/>
    <s v="L-D-2.5"/>
    <n v="2"/>
    <x v="449"/>
    <s v=""/>
    <x v="0"/>
    <x v="3"/>
    <x v="2"/>
    <x v="2"/>
    <n v="29.784999999999997"/>
    <n v="59.569999999999993"/>
    <x v="3"/>
    <x v="2"/>
    <x v="0"/>
  </r>
  <r>
    <s v="ISJ-48676-420"/>
    <x v="390"/>
    <x v="450"/>
    <s v="L-L-0.5"/>
    <n v="6"/>
    <x v="450"/>
    <s v="kcakedg@huffingtonpost.com"/>
    <x v="0"/>
    <x v="3"/>
    <x v="1"/>
    <x v="1"/>
    <n v="9.51"/>
    <n v="57.06"/>
    <x v="3"/>
    <x v="1"/>
    <x v="1"/>
  </r>
  <r>
    <s v="MIF-17920-768"/>
    <x v="391"/>
    <x v="451"/>
    <s v="R-L-0.2"/>
    <n v="6"/>
    <x v="451"/>
    <s v="mhanseddh@instagram.com"/>
    <x v="1"/>
    <x v="0"/>
    <x v="1"/>
    <x v="3"/>
    <n v="3.5849999999999995"/>
    <n v="21.509999999999998"/>
    <x v="0"/>
    <x v="1"/>
    <x v="0"/>
  </r>
  <r>
    <s v="CPX-19312-088"/>
    <x v="117"/>
    <x v="452"/>
    <s v="L-M-0.5"/>
    <n v="6"/>
    <x v="452"/>
    <s v="fkienleindi@trellian.com"/>
    <x v="1"/>
    <x v="3"/>
    <x v="0"/>
    <x v="1"/>
    <n v="8.73"/>
    <n v="52.38"/>
    <x v="3"/>
    <x v="0"/>
    <x v="0"/>
  </r>
  <r>
    <s v="RXI-67978-260"/>
    <x v="392"/>
    <x v="453"/>
    <s v="E-D-1"/>
    <n v="6"/>
    <x v="453"/>
    <s v="kegglestonedj@sphinn.com"/>
    <x v="1"/>
    <x v="1"/>
    <x v="2"/>
    <x v="0"/>
    <n v="12.15"/>
    <n v="72.900000000000006"/>
    <x v="1"/>
    <x v="2"/>
    <x v="1"/>
  </r>
  <r>
    <s v="LKE-14821-285"/>
    <x v="393"/>
    <x v="454"/>
    <s v="R-M-0.2"/>
    <n v="5"/>
    <x v="454"/>
    <s v="bsemkinsdk@unc.edu"/>
    <x v="1"/>
    <x v="0"/>
    <x v="0"/>
    <x v="3"/>
    <n v="2.9849999999999999"/>
    <n v="14.924999999999999"/>
    <x v="0"/>
    <x v="0"/>
    <x v="0"/>
  </r>
  <r>
    <s v="LRK-97117-150"/>
    <x v="394"/>
    <x v="455"/>
    <s v="L-L-1"/>
    <n v="6"/>
    <x v="455"/>
    <s v="slorenzettidl@is.gd"/>
    <x v="0"/>
    <x v="3"/>
    <x v="1"/>
    <x v="0"/>
    <n v="15.85"/>
    <n v="95.1"/>
    <x v="3"/>
    <x v="1"/>
    <x v="1"/>
  </r>
  <r>
    <s v="IGK-51227-573"/>
    <x v="137"/>
    <x v="456"/>
    <s v="L-D-0.5"/>
    <n v="2"/>
    <x v="456"/>
    <s v="bgiannazzidm@apple.com"/>
    <x v="0"/>
    <x v="3"/>
    <x v="2"/>
    <x v="1"/>
    <n v="7.77"/>
    <n v="15.54"/>
    <x v="3"/>
    <x v="2"/>
    <x v="1"/>
  </r>
  <r>
    <s v="ZAY-43009-775"/>
    <x v="395"/>
    <x v="457"/>
    <s v="L-D-0.2"/>
    <n v="6"/>
    <x v="457"/>
    <s v=""/>
    <x v="0"/>
    <x v="3"/>
    <x v="2"/>
    <x v="3"/>
    <n v="3.8849999999999998"/>
    <n v="23.31"/>
    <x v="3"/>
    <x v="2"/>
    <x v="1"/>
  </r>
  <r>
    <s v="EMA-63190-618"/>
    <x v="396"/>
    <x v="458"/>
    <s v="E-M-0.2"/>
    <n v="1"/>
    <x v="458"/>
    <s v="ulethbrigdo@hc360.com"/>
    <x v="0"/>
    <x v="1"/>
    <x v="0"/>
    <x v="3"/>
    <n v="4.125"/>
    <n v="4.125"/>
    <x v="1"/>
    <x v="0"/>
    <x v="0"/>
  </r>
  <r>
    <s v="FBI-35855-418"/>
    <x v="189"/>
    <x v="459"/>
    <s v="R-M-0.5"/>
    <n v="6"/>
    <x v="459"/>
    <s v="sfarnishdp@dmoz.org"/>
    <x v="2"/>
    <x v="0"/>
    <x v="0"/>
    <x v="1"/>
    <n v="5.97"/>
    <n v="35.82"/>
    <x v="0"/>
    <x v="0"/>
    <x v="1"/>
  </r>
  <r>
    <s v="TXB-80533-417"/>
    <x v="8"/>
    <x v="460"/>
    <s v="L-L-1"/>
    <n v="2"/>
    <x v="460"/>
    <s v="fjecockdq@unicef.org"/>
    <x v="0"/>
    <x v="3"/>
    <x v="1"/>
    <x v="0"/>
    <n v="15.85"/>
    <n v="31.7"/>
    <x v="3"/>
    <x v="1"/>
    <x v="1"/>
  </r>
  <r>
    <s v="MBM-00112-248"/>
    <x v="397"/>
    <x v="461"/>
    <s v="L-L-1"/>
    <n v="5"/>
    <x v="461"/>
    <s v=""/>
    <x v="0"/>
    <x v="3"/>
    <x v="1"/>
    <x v="0"/>
    <n v="15.85"/>
    <n v="79.25"/>
    <x v="3"/>
    <x v="1"/>
    <x v="0"/>
  </r>
  <r>
    <s v="EUO-69145-988"/>
    <x v="398"/>
    <x v="462"/>
    <s v="E-D-0.2"/>
    <n v="3"/>
    <x v="462"/>
    <s v="hpallisterds@ning.com"/>
    <x v="0"/>
    <x v="1"/>
    <x v="2"/>
    <x v="3"/>
    <n v="3.645"/>
    <n v="10.935"/>
    <x v="1"/>
    <x v="2"/>
    <x v="1"/>
  </r>
  <r>
    <s v="GYA-80327-368"/>
    <x v="399"/>
    <x v="463"/>
    <s v="A-D-1"/>
    <n v="4"/>
    <x v="463"/>
    <s v="cmershdt@drupal.org"/>
    <x v="1"/>
    <x v="2"/>
    <x v="2"/>
    <x v="0"/>
    <n v="9.9499999999999993"/>
    <n v="39.799999999999997"/>
    <x v="2"/>
    <x v="2"/>
    <x v="1"/>
  </r>
  <r>
    <s v="TNW-41601-420"/>
    <x v="400"/>
    <x v="464"/>
    <s v="R-M-1"/>
    <n v="5"/>
    <x v="464"/>
    <s v="murione5@alexa.com"/>
    <x v="1"/>
    <x v="0"/>
    <x v="0"/>
    <x v="0"/>
    <n v="9.9499999999999993"/>
    <n v="49.75"/>
    <x v="0"/>
    <x v="0"/>
    <x v="0"/>
  </r>
  <r>
    <s v="ALR-62963-723"/>
    <x v="401"/>
    <x v="465"/>
    <s v="R-D-0.2"/>
    <n v="3"/>
    <x v="465"/>
    <s v=""/>
    <x v="1"/>
    <x v="0"/>
    <x v="2"/>
    <x v="3"/>
    <n v="2.6849999999999996"/>
    <n v="8.0549999999999997"/>
    <x v="0"/>
    <x v="2"/>
    <x v="0"/>
  </r>
  <r>
    <s v="JIG-27636-870"/>
    <x v="402"/>
    <x v="466"/>
    <s v="R-L-1"/>
    <n v="4"/>
    <x v="466"/>
    <s v=""/>
    <x v="0"/>
    <x v="0"/>
    <x v="1"/>
    <x v="0"/>
    <n v="11.95"/>
    <n v="47.8"/>
    <x v="0"/>
    <x v="1"/>
    <x v="1"/>
  </r>
  <r>
    <s v="CTE-31437-326"/>
    <x v="6"/>
    <x v="467"/>
    <s v="R-M-0.2"/>
    <n v="4"/>
    <x v="467"/>
    <s v="gduckerdx@patch.com"/>
    <x v="2"/>
    <x v="0"/>
    <x v="0"/>
    <x v="3"/>
    <n v="2.9849999999999999"/>
    <n v="11.94"/>
    <x v="0"/>
    <x v="0"/>
    <x v="1"/>
  </r>
  <r>
    <s v="CTE-31437-326"/>
    <x v="6"/>
    <x v="467"/>
    <s v="E-M-0.2"/>
    <n v="4"/>
    <x v="467"/>
    <s v="gduckerdx@patch.com"/>
    <x v="2"/>
    <x v="1"/>
    <x v="0"/>
    <x v="3"/>
    <n v="4.125"/>
    <n v="16.5"/>
    <x v="1"/>
    <x v="0"/>
    <x v="1"/>
  </r>
  <r>
    <s v="CTE-31437-326"/>
    <x v="6"/>
    <x v="467"/>
    <s v="L-D-1"/>
    <n v="4"/>
    <x v="467"/>
    <s v="gduckerdx@patch.com"/>
    <x v="2"/>
    <x v="3"/>
    <x v="2"/>
    <x v="0"/>
    <n v="12.95"/>
    <n v="51.8"/>
    <x v="3"/>
    <x v="2"/>
    <x v="1"/>
  </r>
  <r>
    <s v="CTE-31437-326"/>
    <x v="6"/>
    <x v="467"/>
    <s v="L-L-0.2"/>
    <n v="3"/>
    <x v="467"/>
    <s v="gduckerdx@patch.com"/>
    <x v="2"/>
    <x v="3"/>
    <x v="1"/>
    <x v="3"/>
    <n v="4.7549999999999999"/>
    <n v="14.265000000000001"/>
    <x v="3"/>
    <x v="1"/>
    <x v="1"/>
  </r>
  <r>
    <s v="SLD-63003-334"/>
    <x v="403"/>
    <x v="468"/>
    <s v="L-M-0.2"/>
    <n v="6"/>
    <x v="468"/>
    <s v="wstearleye1@census.gov"/>
    <x v="0"/>
    <x v="3"/>
    <x v="0"/>
    <x v="3"/>
    <n v="4.3650000000000002"/>
    <n v="26.19"/>
    <x v="3"/>
    <x v="0"/>
    <x v="1"/>
  </r>
  <r>
    <s v="BXN-64230-789"/>
    <x v="404"/>
    <x v="469"/>
    <s v="A-L-1"/>
    <n v="2"/>
    <x v="469"/>
    <s v="dwincere2@marriott.com"/>
    <x v="0"/>
    <x v="2"/>
    <x v="1"/>
    <x v="0"/>
    <n v="12.95"/>
    <n v="25.9"/>
    <x v="2"/>
    <x v="1"/>
    <x v="0"/>
  </r>
  <r>
    <s v="XEE-37895-169"/>
    <x v="21"/>
    <x v="470"/>
    <s v="A-L-2.5"/>
    <n v="3"/>
    <x v="470"/>
    <s v="plyfielde3@baidu.com"/>
    <x v="0"/>
    <x v="2"/>
    <x v="1"/>
    <x v="2"/>
    <n v="29.784999999999997"/>
    <n v="89.35499999999999"/>
    <x v="2"/>
    <x v="1"/>
    <x v="0"/>
  </r>
  <r>
    <s v="ZTX-80764-911"/>
    <x v="239"/>
    <x v="471"/>
    <s v="L-D-0.5"/>
    <n v="6"/>
    <x v="471"/>
    <s v="hperrise4@studiopress.com"/>
    <x v="1"/>
    <x v="3"/>
    <x v="2"/>
    <x v="1"/>
    <n v="7.77"/>
    <n v="46.62"/>
    <x v="3"/>
    <x v="2"/>
    <x v="1"/>
  </r>
  <r>
    <s v="WVT-88135-549"/>
    <x v="405"/>
    <x v="464"/>
    <s v="A-D-1"/>
    <n v="3"/>
    <x v="464"/>
    <s v="murione5@alexa.com"/>
    <x v="1"/>
    <x v="2"/>
    <x v="2"/>
    <x v="0"/>
    <n v="9.9499999999999993"/>
    <n v="29.849999999999998"/>
    <x v="2"/>
    <x v="2"/>
    <x v="0"/>
  </r>
  <r>
    <s v="IPA-94170-889"/>
    <x v="292"/>
    <x v="472"/>
    <s v="R-L-0.2"/>
    <n v="3"/>
    <x v="472"/>
    <s v="ckide6@narod.ru"/>
    <x v="1"/>
    <x v="0"/>
    <x v="1"/>
    <x v="3"/>
    <n v="3.5849999999999995"/>
    <n v="10.754999999999999"/>
    <x v="0"/>
    <x v="1"/>
    <x v="0"/>
  </r>
  <r>
    <s v="YQL-63755-365"/>
    <x v="117"/>
    <x v="473"/>
    <s v="A-M-0.2"/>
    <n v="4"/>
    <x v="473"/>
    <s v="cbeinee7@xinhuanet.com"/>
    <x v="0"/>
    <x v="2"/>
    <x v="0"/>
    <x v="3"/>
    <n v="3.375"/>
    <n v="13.5"/>
    <x v="2"/>
    <x v="0"/>
    <x v="0"/>
  </r>
  <r>
    <s v="RKW-81145-984"/>
    <x v="406"/>
    <x v="474"/>
    <s v="L-L-1"/>
    <n v="3"/>
    <x v="474"/>
    <s v="cbakeupe8@globo.com"/>
    <x v="0"/>
    <x v="3"/>
    <x v="1"/>
    <x v="0"/>
    <n v="15.85"/>
    <n v="47.55"/>
    <x v="3"/>
    <x v="1"/>
    <x v="1"/>
  </r>
  <r>
    <s v="MBT-23379-866"/>
    <x v="407"/>
    <x v="475"/>
    <s v="L-L-1"/>
    <n v="5"/>
    <x v="475"/>
    <s v="nhelkine9@example.com"/>
    <x v="0"/>
    <x v="3"/>
    <x v="1"/>
    <x v="0"/>
    <n v="15.85"/>
    <n v="79.25"/>
    <x v="3"/>
    <x v="1"/>
    <x v="1"/>
  </r>
  <r>
    <s v="GEJ-39834-935"/>
    <x v="408"/>
    <x v="476"/>
    <s v="L-M-0.2"/>
    <n v="6"/>
    <x v="476"/>
    <s v="pwitheringtonea@networkadvertising.org"/>
    <x v="0"/>
    <x v="3"/>
    <x v="0"/>
    <x v="3"/>
    <n v="4.3650000000000002"/>
    <n v="26.19"/>
    <x v="3"/>
    <x v="0"/>
    <x v="0"/>
  </r>
  <r>
    <s v="KRW-91640-596"/>
    <x v="409"/>
    <x v="477"/>
    <s v="R-L-0.5"/>
    <n v="3"/>
    <x v="477"/>
    <s v="ttilzeyeb@hostgator.com"/>
    <x v="0"/>
    <x v="0"/>
    <x v="1"/>
    <x v="1"/>
    <n v="7.169999999999999"/>
    <n v="21.509999999999998"/>
    <x v="0"/>
    <x v="1"/>
    <x v="1"/>
  </r>
  <r>
    <s v="AOT-70449-651"/>
    <x v="410"/>
    <x v="478"/>
    <s v="R-D-2.5"/>
    <n v="5"/>
    <x v="478"/>
    <s v=""/>
    <x v="0"/>
    <x v="0"/>
    <x v="2"/>
    <x v="2"/>
    <n v="20.584999999999997"/>
    <n v="102.92499999999998"/>
    <x v="0"/>
    <x v="2"/>
    <x v="0"/>
  </r>
  <r>
    <s v="DGC-21813-731"/>
    <x v="127"/>
    <x v="479"/>
    <s v="L-D-0.2"/>
    <n v="2"/>
    <x v="479"/>
    <s v=""/>
    <x v="0"/>
    <x v="3"/>
    <x v="2"/>
    <x v="3"/>
    <n v="3.8849999999999998"/>
    <n v="7.77"/>
    <x v="3"/>
    <x v="2"/>
    <x v="1"/>
  </r>
  <r>
    <s v="JBE-92943-643"/>
    <x v="411"/>
    <x v="480"/>
    <s v="E-D-2.5"/>
    <n v="5"/>
    <x v="480"/>
    <s v="kimortsee@alexa.com"/>
    <x v="0"/>
    <x v="1"/>
    <x v="2"/>
    <x v="2"/>
    <n v="27.945"/>
    <n v="139.72499999999999"/>
    <x v="1"/>
    <x v="2"/>
    <x v="1"/>
  </r>
  <r>
    <s v="ZIL-34948-499"/>
    <x v="112"/>
    <x v="464"/>
    <s v="A-D-0.5"/>
    <n v="2"/>
    <x v="464"/>
    <s v="murione5@alexa.com"/>
    <x v="1"/>
    <x v="2"/>
    <x v="2"/>
    <x v="1"/>
    <n v="5.97"/>
    <n v="11.94"/>
    <x v="2"/>
    <x v="2"/>
    <x v="0"/>
  </r>
  <r>
    <s v="JSU-23781-256"/>
    <x v="412"/>
    <x v="481"/>
    <s v="L-D-0.2"/>
    <n v="1"/>
    <x v="481"/>
    <s v="marmisteadeg@blogtalkradio.com"/>
    <x v="0"/>
    <x v="3"/>
    <x v="2"/>
    <x v="3"/>
    <n v="3.8849999999999998"/>
    <n v="3.8849999999999998"/>
    <x v="3"/>
    <x v="2"/>
    <x v="1"/>
  </r>
  <r>
    <s v="JSU-23781-256"/>
    <x v="412"/>
    <x v="481"/>
    <s v="R-M-1"/>
    <n v="4"/>
    <x v="481"/>
    <s v="marmisteadeg@blogtalkradio.com"/>
    <x v="0"/>
    <x v="0"/>
    <x v="0"/>
    <x v="0"/>
    <n v="9.9499999999999993"/>
    <n v="39.799999999999997"/>
    <x v="0"/>
    <x v="0"/>
    <x v="1"/>
  </r>
  <r>
    <s v="VPX-44956-367"/>
    <x v="413"/>
    <x v="482"/>
    <s v="R-M-0.5"/>
    <n v="5"/>
    <x v="482"/>
    <s v="vupstoneei@google.pl"/>
    <x v="0"/>
    <x v="0"/>
    <x v="0"/>
    <x v="1"/>
    <n v="5.97"/>
    <n v="29.849999999999998"/>
    <x v="0"/>
    <x v="0"/>
    <x v="1"/>
  </r>
  <r>
    <s v="VTB-46451-959"/>
    <x v="414"/>
    <x v="483"/>
    <s v="L-D-2.5"/>
    <n v="1"/>
    <x v="483"/>
    <s v="bbeelbyej@rediff.com"/>
    <x v="1"/>
    <x v="3"/>
    <x v="2"/>
    <x v="2"/>
    <n v="29.784999999999997"/>
    <n v="29.784999999999997"/>
    <x v="3"/>
    <x v="2"/>
    <x v="1"/>
  </r>
  <r>
    <s v="DNZ-11665-950"/>
    <x v="415"/>
    <x v="484"/>
    <s v="L-L-2.5"/>
    <n v="2"/>
    <x v="484"/>
    <s v=""/>
    <x v="0"/>
    <x v="3"/>
    <x v="1"/>
    <x v="2"/>
    <n v="36.454999999999998"/>
    <n v="72.91"/>
    <x v="3"/>
    <x v="1"/>
    <x v="1"/>
  </r>
  <r>
    <s v="ITR-54735-364"/>
    <x v="416"/>
    <x v="485"/>
    <s v="R-D-0.2"/>
    <n v="5"/>
    <x v="485"/>
    <s v=""/>
    <x v="0"/>
    <x v="0"/>
    <x v="2"/>
    <x v="3"/>
    <n v="2.6849999999999996"/>
    <n v="13.424999999999997"/>
    <x v="0"/>
    <x v="2"/>
    <x v="0"/>
  </r>
  <r>
    <s v="YDS-02797-307"/>
    <x v="417"/>
    <x v="486"/>
    <s v="E-M-2.5"/>
    <n v="4"/>
    <x v="486"/>
    <s v="wspeechlyem@amazon.com"/>
    <x v="0"/>
    <x v="1"/>
    <x v="0"/>
    <x v="2"/>
    <n v="31.624999999999996"/>
    <n v="126.49999999999999"/>
    <x v="1"/>
    <x v="0"/>
    <x v="0"/>
  </r>
  <r>
    <s v="BPG-68988-842"/>
    <x v="418"/>
    <x v="487"/>
    <s v="E-M-0.5"/>
    <n v="5"/>
    <x v="487"/>
    <s v="iphillpoten@buzzfeed.com"/>
    <x v="2"/>
    <x v="1"/>
    <x v="0"/>
    <x v="1"/>
    <n v="8.25"/>
    <n v="41.25"/>
    <x v="1"/>
    <x v="0"/>
    <x v="1"/>
  </r>
  <r>
    <s v="XZG-51938-658"/>
    <x v="419"/>
    <x v="488"/>
    <s v="E-L-0.5"/>
    <n v="6"/>
    <x v="488"/>
    <s v="lpennaccieo@statcounter.com"/>
    <x v="0"/>
    <x v="1"/>
    <x v="1"/>
    <x v="1"/>
    <n v="8.91"/>
    <n v="53.46"/>
    <x v="1"/>
    <x v="1"/>
    <x v="1"/>
  </r>
  <r>
    <s v="KAR-24978-271"/>
    <x v="420"/>
    <x v="489"/>
    <s v="R-M-1"/>
    <n v="6"/>
    <x v="489"/>
    <s v="sarpinep@moonfruit.com"/>
    <x v="0"/>
    <x v="0"/>
    <x v="0"/>
    <x v="0"/>
    <n v="9.9499999999999993"/>
    <n v="59.699999999999996"/>
    <x v="0"/>
    <x v="0"/>
    <x v="1"/>
  </r>
  <r>
    <s v="FQK-28730-361"/>
    <x v="421"/>
    <x v="490"/>
    <s v="R-M-1"/>
    <n v="6"/>
    <x v="490"/>
    <s v="dfrieseq@cargocollective.com"/>
    <x v="0"/>
    <x v="0"/>
    <x v="0"/>
    <x v="0"/>
    <n v="9.9499999999999993"/>
    <n v="59.699999999999996"/>
    <x v="0"/>
    <x v="0"/>
    <x v="1"/>
  </r>
  <r>
    <s v="BGB-67996-089"/>
    <x v="422"/>
    <x v="491"/>
    <s v="R-D-1"/>
    <n v="5"/>
    <x v="491"/>
    <s v="rsharerer@flavors.me"/>
    <x v="0"/>
    <x v="0"/>
    <x v="2"/>
    <x v="0"/>
    <n v="8.9499999999999993"/>
    <n v="44.75"/>
    <x v="0"/>
    <x v="2"/>
    <x v="1"/>
  </r>
  <r>
    <s v="XMC-20620-809"/>
    <x v="423"/>
    <x v="492"/>
    <s v="E-M-0.5"/>
    <n v="2"/>
    <x v="492"/>
    <s v="nnasebyes@umich.edu"/>
    <x v="0"/>
    <x v="1"/>
    <x v="0"/>
    <x v="1"/>
    <n v="8.25"/>
    <n v="16.5"/>
    <x v="1"/>
    <x v="0"/>
    <x v="0"/>
  </r>
  <r>
    <s v="ZSO-58292-191"/>
    <x v="109"/>
    <x v="493"/>
    <s v="R-D-0.5"/>
    <n v="4"/>
    <x v="493"/>
    <s v=""/>
    <x v="0"/>
    <x v="0"/>
    <x v="2"/>
    <x v="1"/>
    <n v="5.3699999999999992"/>
    <n v="21.479999999999997"/>
    <x v="0"/>
    <x v="2"/>
    <x v="1"/>
  </r>
  <r>
    <s v="LWJ-06793-303"/>
    <x v="204"/>
    <x v="494"/>
    <s v="R-M-2.5"/>
    <n v="2"/>
    <x v="494"/>
    <s v="koculleneu@ca.gov"/>
    <x v="1"/>
    <x v="0"/>
    <x v="0"/>
    <x v="2"/>
    <n v="22.884999999999998"/>
    <n v="45.769999999999996"/>
    <x v="0"/>
    <x v="0"/>
    <x v="0"/>
  </r>
  <r>
    <s v="FLM-82229-989"/>
    <x v="424"/>
    <x v="495"/>
    <s v="L-L-0.2"/>
    <n v="2"/>
    <x v="495"/>
    <s v=""/>
    <x v="1"/>
    <x v="3"/>
    <x v="1"/>
    <x v="3"/>
    <n v="4.7549999999999999"/>
    <n v="9.51"/>
    <x v="3"/>
    <x v="1"/>
    <x v="1"/>
  </r>
  <r>
    <s v="CPV-90280-133"/>
    <x v="13"/>
    <x v="464"/>
    <s v="R-D-0.2"/>
    <n v="3"/>
    <x v="464"/>
    <s v="murione5@alexa.com"/>
    <x v="1"/>
    <x v="0"/>
    <x v="2"/>
    <x v="3"/>
    <n v="2.6849999999999996"/>
    <n v="8.0549999999999997"/>
    <x v="0"/>
    <x v="2"/>
    <x v="0"/>
  </r>
  <r>
    <s v="OGW-60685-912"/>
    <x v="224"/>
    <x v="496"/>
    <s v="E-D-2.5"/>
    <n v="4"/>
    <x v="496"/>
    <s v="hbranganex@woothemes.com"/>
    <x v="0"/>
    <x v="1"/>
    <x v="2"/>
    <x v="2"/>
    <n v="27.945"/>
    <n v="111.78"/>
    <x v="1"/>
    <x v="2"/>
    <x v="0"/>
  </r>
  <r>
    <s v="DEC-11160-362"/>
    <x v="220"/>
    <x v="497"/>
    <s v="R-D-0.2"/>
    <n v="4"/>
    <x v="497"/>
    <s v="agallyoney@engadget.com"/>
    <x v="0"/>
    <x v="0"/>
    <x v="2"/>
    <x v="3"/>
    <n v="2.6849999999999996"/>
    <n v="10.739999999999998"/>
    <x v="0"/>
    <x v="2"/>
    <x v="0"/>
  </r>
  <r>
    <s v="WCT-07869-499"/>
    <x v="91"/>
    <x v="498"/>
    <s v="R-D-0.5"/>
    <n v="5"/>
    <x v="498"/>
    <s v="bdomangeez@yahoo.co.jp"/>
    <x v="0"/>
    <x v="0"/>
    <x v="2"/>
    <x v="1"/>
    <n v="5.3699999999999992"/>
    <n v="26.849999999999994"/>
    <x v="0"/>
    <x v="2"/>
    <x v="1"/>
  </r>
  <r>
    <s v="FHD-89872-325"/>
    <x v="425"/>
    <x v="499"/>
    <s v="L-L-1"/>
    <n v="4"/>
    <x v="499"/>
    <s v="koslerf0@gmpg.org"/>
    <x v="0"/>
    <x v="3"/>
    <x v="1"/>
    <x v="0"/>
    <n v="15.85"/>
    <n v="63.4"/>
    <x v="3"/>
    <x v="1"/>
    <x v="0"/>
  </r>
  <r>
    <s v="AZF-45991-584"/>
    <x v="426"/>
    <x v="500"/>
    <s v="A-D-2.5"/>
    <n v="1"/>
    <x v="500"/>
    <s v=""/>
    <x v="1"/>
    <x v="2"/>
    <x v="2"/>
    <x v="2"/>
    <n v="22.884999999999998"/>
    <n v="22.884999999999998"/>
    <x v="2"/>
    <x v="2"/>
    <x v="0"/>
  </r>
  <r>
    <s v="MDG-14481-513"/>
    <x v="427"/>
    <x v="501"/>
    <s v="A-M-2.5"/>
    <n v="4"/>
    <x v="501"/>
    <s v="zpellettf2@dailymotion.com"/>
    <x v="0"/>
    <x v="2"/>
    <x v="0"/>
    <x v="2"/>
    <n v="25.874999999999996"/>
    <n v="103.49999999999999"/>
    <x v="2"/>
    <x v="0"/>
    <x v="1"/>
  </r>
  <r>
    <s v="OFN-49424-848"/>
    <x v="428"/>
    <x v="502"/>
    <s v="R-L-2.5"/>
    <n v="2"/>
    <x v="502"/>
    <s v="isprakesf3@spiegel.de"/>
    <x v="0"/>
    <x v="0"/>
    <x v="1"/>
    <x v="2"/>
    <n v="27.484999999999996"/>
    <n v="54.969999999999992"/>
    <x v="0"/>
    <x v="1"/>
    <x v="1"/>
  </r>
  <r>
    <s v="NFA-03411-746"/>
    <x v="383"/>
    <x v="503"/>
    <s v="A-L-0.5"/>
    <n v="2"/>
    <x v="503"/>
    <s v="hfromantf4@ucsd.edu"/>
    <x v="0"/>
    <x v="2"/>
    <x v="1"/>
    <x v="1"/>
    <n v="7.77"/>
    <n v="15.54"/>
    <x v="2"/>
    <x v="1"/>
    <x v="1"/>
  </r>
  <r>
    <s v="CYM-74988-450"/>
    <x v="156"/>
    <x v="504"/>
    <s v="L-D-0.2"/>
    <n v="4"/>
    <x v="504"/>
    <s v="rflearf5@artisteer.com"/>
    <x v="2"/>
    <x v="3"/>
    <x v="2"/>
    <x v="3"/>
    <n v="3.8849999999999998"/>
    <n v="15.54"/>
    <x v="3"/>
    <x v="2"/>
    <x v="1"/>
  </r>
  <r>
    <s v="WTV-24996-658"/>
    <x v="429"/>
    <x v="505"/>
    <s v="E-D-2.5"/>
    <n v="3"/>
    <x v="505"/>
    <s v=""/>
    <x v="1"/>
    <x v="1"/>
    <x v="2"/>
    <x v="2"/>
    <n v="27.945"/>
    <n v="83.835000000000008"/>
    <x v="1"/>
    <x v="2"/>
    <x v="1"/>
  </r>
  <r>
    <s v="DSL-69915-544"/>
    <x v="103"/>
    <x v="506"/>
    <s v="R-L-0.2"/>
    <n v="3"/>
    <x v="506"/>
    <s v="wlightollersf9@baidu.com"/>
    <x v="0"/>
    <x v="0"/>
    <x v="1"/>
    <x v="3"/>
    <n v="3.5849999999999995"/>
    <n v="10.754999999999999"/>
    <x v="0"/>
    <x v="1"/>
    <x v="0"/>
  </r>
  <r>
    <s v="NBT-35757-542"/>
    <x v="361"/>
    <x v="507"/>
    <s v="E-L-0.2"/>
    <n v="3"/>
    <x v="507"/>
    <s v="bmundenf8@elpais.com"/>
    <x v="0"/>
    <x v="1"/>
    <x v="1"/>
    <x v="3"/>
    <n v="4.4550000000000001"/>
    <n v="13.365"/>
    <x v="1"/>
    <x v="1"/>
    <x v="0"/>
  </r>
  <r>
    <s v="OYU-25085-528"/>
    <x v="120"/>
    <x v="506"/>
    <s v="E-L-0.2"/>
    <n v="4"/>
    <x v="506"/>
    <s v="wlightollersf9@baidu.com"/>
    <x v="0"/>
    <x v="1"/>
    <x v="1"/>
    <x v="3"/>
    <n v="4.4550000000000001"/>
    <n v="17.82"/>
    <x v="1"/>
    <x v="1"/>
    <x v="0"/>
  </r>
  <r>
    <s v="XCG-07109-195"/>
    <x v="430"/>
    <x v="508"/>
    <s v="L-D-0.2"/>
    <n v="6"/>
    <x v="508"/>
    <s v="nbrakespearfa@rediff.com"/>
    <x v="0"/>
    <x v="3"/>
    <x v="2"/>
    <x v="3"/>
    <n v="3.8849999999999998"/>
    <n v="23.31"/>
    <x v="3"/>
    <x v="2"/>
    <x v="0"/>
  </r>
  <r>
    <s v="YZA-25234-630"/>
    <x v="125"/>
    <x v="509"/>
    <s v="E-D-0.2"/>
    <n v="2"/>
    <x v="509"/>
    <s v="mglawsopfb@reverbnation.com"/>
    <x v="0"/>
    <x v="1"/>
    <x v="2"/>
    <x v="3"/>
    <n v="3.645"/>
    <n v="7.29"/>
    <x v="1"/>
    <x v="2"/>
    <x v="1"/>
  </r>
  <r>
    <s v="OKU-29966-417"/>
    <x v="431"/>
    <x v="510"/>
    <s v="E-L-0.2"/>
    <n v="4"/>
    <x v="510"/>
    <s v="galbertsfc@etsy.com"/>
    <x v="2"/>
    <x v="1"/>
    <x v="1"/>
    <x v="3"/>
    <n v="4.4550000000000001"/>
    <n v="17.82"/>
    <x v="1"/>
    <x v="1"/>
    <x v="0"/>
  </r>
  <r>
    <s v="MEX-29350-659"/>
    <x v="40"/>
    <x v="511"/>
    <s v="E-M-1"/>
    <n v="5"/>
    <x v="511"/>
    <s v="vpolglasefd@about.me"/>
    <x v="0"/>
    <x v="1"/>
    <x v="0"/>
    <x v="0"/>
    <n v="13.75"/>
    <n v="68.75"/>
    <x v="1"/>
    <x v="0"/>
    <x v="1"/>
  </r>
  <r>
    <s v="NOY-99738-977"/>
    <x v="432"/>
    <x v="512"/>
    <s v="R-L-2.5"/>
    <n v="2"/>
    <x v="512"/>
    <s v=""/>
    <x v="2"/>
    <x v="0"/>
    <x v="1"/>
    <x v="2"/>
    <n v="27.484999999999996"/>
    <n v="54.969999999999992"/>
    <x v="0"/>
    <x v="1"/>
    <x v="0"/>
  </r>
  <r>
    <s v="TCR-01064-030"/>
    <x v="254"/>
    <x v="513"/>
    <s v="E-M-1"/>
    <n v="6"/>
    <x v="513"/>
    <s v="sbuschff@so-net.ne.jp"/>
    <x v="1"/>
    <x v="1"/>
    <x v="0"/>
    <x v="0"/>
    <n v="13.75"/>
    <n v="82.5"/>
    <x v="1"/>
    <x v="0"/>
    <x v="1"/>
  </r>
  <r>
    <s v="YUL-42750-776"/>
    <x v="219"/>
    <x v="514"/>
    <s v="L-M-0.2"/>
    <n v="2"/>
    <x v="514"/>
    <s v="craisbeckfg@webnode.com"/>
    <x v="0"/>
    <x v="3"/>
    <x v="0"/>
    <x v="3"/>
    <n v="4.3650000000000002"/>
    <n v="8.73"/>
    <x v="3"/>
    <x v="0"/>
    <x v="0"/>
  </r>
  <r>
    <s v="XQJ-86887-506"/>
    <x v="433"/>
    <x v="464"/>
    <s v="E-L-1"/>
    <n v="4"/>
    <x v="464"/>
    <s v="murione5@alexa.com"/>
    <x v="1"/>
    <x v="1"/>
    <x v="1"/>
    <x v="0"/>
    <n v="14.85"/>
    <n v="59.4"/>
    <x v="1"/>
    <x v="1"/>
    <x v="0"/>
  </r>
  <r>
    <s v="CUN-90044-279"/>
    <x v="434"/>
    <x v="515"/>
    <s v="L-D-0.2"/>
    <n v="4"/>
    <x v="515"/>
    <s v=""/>
    <x v="0"/>
    <x v="3"/>
    <x v="2"/>
    <x v="3"/>
    <n v="3.8849999999999998"/>
    <n v="15.54"/>
    <x v="3"/>
    <x v="2"/>
    <x v="0"/>
  </r>
  <r>
    <s v="ICC-73030-502"/>
    <x v="435"/>
    <x v="516"/>
    <s v="A-L-1"/>
    <n v="3"/>
    <x v="516"/>
    <s v="raynoldfj@ustream.tv"/>
    <x v="0"/>
    <x v="2"/>
    <x v="1"/>
    <x v="0"/>
    <n v="12.95"/>
    <n v="38.849999999999994"/>
    <x v="2"/>
    <x v="1"/>
    <x v="0"/>
  </r>
  <r>
    <s v="ADP-04506-084"/>
    <x v="436"/>
    <x v="517"/>
    <s v="E-M-2.5"/>
    <n v="6"/>
    <x v="517"/>
    <s v=""/>
    <x v="0"/>
    <x v="1"/>
    <x v="0"/>
    <x v="2"/>
    <n v="31.624999999999996"/>
    <n v="189.74999999999997"/>
    <x v="1"/>
    <x v="0"/>
    <x v="0"/>
  </r>
  <r>
    <s v="PNU-22150-408"/>
    <x v="437"/>
    <x v="518"/>
    <s v="A-D-0.2"/>
    <n v="6"/>
    <x v="518"/>
    <s v=""/>
    <x v="1"/>
    <x v="2"/>
    <x v="2"/>
    <x v="3"/>
    <n v="2.9849999999999999"/>
    <n v="17.91"/>
    <x v="2"/>
    <x v="2"/>
    <x v="0"/>
  </r>
  <r>
    <s v="VSQ-07182-513"/>
    <x v="438"/>
    <x v="519"/>
    <s v="L-L-0.2"/>
    <n v="6"/>
    <x v="519"/>
    <s v="bgrecefm@naver.com"/>
    <x v="2"/>
    <x v="3"/>
    <x v="1"/>
    <x v="3"/>
    <n v="4.7549999999999999"/>
    <n v="28.53"/>
    <x v="3"/>
    <x v="1"/>
    <x v="1"/>
  </r>
  <r>
    <s v="SPF-31673-217"/>
    <x v="439"/>
    <x v="520"/>
    <s v="E-M-1"/>
    <n v="6"/>
    <x v="520"/>
    <s v="dflintiffg1@e-recht24.de"/>
    <x v="2"/>
    <x v="1"/>
    <x v="0"/>
    <x v="0"/>
    <n v="13.75"/>
    <n v="82.5"/>
    <x v="1"/>
    <x v="0"/>
    <x v="1"/>
  </r>
  <r>
    <s v="NEX-63825-598"/>
    <x v="175"/>
    <x v="521"/>
    <s v="R-L-0.5"/>
    <n v="2"/>
    <x v="521"/>
    <s v="athysfo@cdc.gov"/>
    <x v="0"/>
    <x v="0"/>
    <x v="1"/>
    <x v="1"/>
    <n v="7.169999999999999"/>
    <n v="14.339999999999998"/>
    <x v="0"/>
    <x v="1"/>
    <x v="1"/>
  </r>
  <r>
    <s v="XPG-66112-335"/>
    <x v="440"/>
    <x v="522"/>
    <s v="R-D-2.5"/>
    <n v="4"/>
    <x v="522"/>
    <s v="jchuggfp@about.me"/>
    <x v="0"/>
    <x v="0"/>
    <x v="2"/>
    <x v="2"/>
    <n v="20.584999999999997"/>
    <n v="82.339999999999989"/>
    <x v="0"/>
    <x v="2"/>
    <x v="1"/>
  </r>
  <r>
    <s v="NSQ-72210-345"/>
    <x v="441"/>
    <x v="523"/>
    <s v="A-M-0.2"/>
    <n v="6"/>
    <x v="523"/>
    <s v="akelstonfq@sakura.ne.jp"/>
    <x v="0"/>
    <x v="2"/>
    <x v="0"/>
    <x v="3"/>
    <n v="3.375"/>
    <n v="20.25"/>
    <x v="2"/>
    <x v="0"/>
    <x v="0"/>
  </r>
  <r>
    <s v="XRR-28376-277"/>
    <x v="442"/>
    <x v="524"/>
    <s v="R-L-2.5"/>
    <n v="6"/>
    <x v="524"/>
    <s v=""/>
    <x v="1"/>
    <x v="0"/>
    <x v="1"/>
    <x v="2"/>
    <n v="27.484999999999996"/>
    <n v="164.90999999999997"/>
    <x v="0"/>
    <x v="1"/>
    <x v="1"/>
  </r>
  <r>
    <s v="WHQ-25197-475"/>
    <x v="443"/>
    <x v="525"/>
    <s v="L-L-0.2"/>
    <n v="4"/>
    <x v="525"/>
    <s v="cmottramfs@harvard.edu"/>
    <x v="0"/>
    <x v="3"/>
    <x v="1"/>
    <x v="3"/>
    <n v="4.7549999999999999"/>
    <n v="19.02"/>
    <x v="3"/>
    <x v="1"/>
    <x v="0"/>
  </r>
  <r>
    <s v="HMB-30634-745"/>
    <x v="216"/>
    <x v="520"/>
    <s v="A-D-2.5"/>
    <n v="6"/>
    <x v="520"/>
    <s v="dflintiffg1@e-recht24.de"/>
    <x v="2"/>
    <x v="2"/>
    <x v="2"/>
    <x v="2"/>
    <n v="22.884999999999998"/>
    <n v="137.31"/>
    <x v="2"/>
    <x v="2"/>
    <x v="1"/>
  </r>
  <r>
    <s v="XTL-68000-371"/>
    <x v="444"/>
    <x v="526"/>
    <s v="A-M-0.5"/>
    <n v="4"/>
    <x v="526"/>
    <s v="dsangwinfu@weebly.com"/>
    <x v="0"/>
    <x v="2"/>
    <x v="0"/>
    <x v="1"/>
    <n v="6.75"/>
    <n v="27"/>
    <x v="2"/>
    <x v="0"/>
    <x v="1"/>
  </r>
  <r>
    <s v="YES-51109-625"/>
    <x v="37"/>
    <x v="527"/>
    <s v="E-L-0.5"/>
    <n v="4"/>
    <x v="527"/>
    <s v="eaizikowitzfv@virginia.edu"/>
    <x v="2"/>
    <x v="1"/>
    <x v="1"/>
    <x v="1"/>
    <n v="8.91"/>
    <n v="35.64"/>
    <x v="1"/>
    <x v="1"/>
    <x v="1"/>
  </r>
  <r>
    <s v="EAY-89850-211"/>
    <x v="445"/>
    <x v="528"/>
    <s v="A-D-0.2"/>
    <n v="2"/>
    <x v="528"/>
    <s v=""/>
    <x v="0"/>
    <x v="2"/>
    <x v="2"/>
    <x v="3"/>
    <n v="2.9849999999999999"/>
    <n v="5.97"/>
    <x v="2"/>
    <x v="2"/>
    <x v="0"/>
  </r>
  <r>
    <s v="IOQ-84840-827"/>
    <x v="446"/>
    <x v="529"/>
    <s v="A-M-1"/>
    <n v="6"/>
    <x v="529"/>
    <s v="cvenourfx@ask.com"/>
    <x v="0"/>
    <x v="2"/>
    <x v="0"/>
    <x v="0"/>
    <n v="11.25"/>
    <n v="67.5"/>
    <x v="2"/>
    <x v="0"/>
    <x v="1"/>
  </r>
  <r>
    <s v="FBD-56220-430"/>
    <x v="245"/>
    <x v="530"/>
    <s v="R-L-0.2"/>
    <n v="6"/>
    <x v="530"/>
    <s v="mharbyfy@163.com"/>
    <x v="0"/>
    <x v="0"/>
    <x v="1"/>
    <x v="3"/>
    <n v="3.5849999999999995"/>
    <n v="21.509999999999998"/>
    <x v="0"/>
    <x v="1"/>
    <x v="0"/>
  </r>
  <r>
    <s v="COV-52659-202"/>
    <x v="447"/>
    <x v="531"/>
    <s v="L-M-2.5"/>
    <n v="2"/>
    <x v="531"/>
    <s v="rthickpennyfz@cafepress.com"/>
    <x v="0"/>
    <x v="3"/>
    <x v="0"/>
    <x v="2"/>
    <n v="33.464999999999996"/>
    <n v="66.929999999999993"/>
    <x v="3"/>
    <x v="0"/>
    <x v="1"/>
  </r>
  <r>
    <s v="YUO-76652-814"/>
    <x v="448"/>
    <x v="532"/>
    <s v="A-D-0.2"/>
    <n v="6"/>
    <x v="532"/>
    <s v="pormerodg0@redcross.org"/>
    <x v="0"/>
    <x v="2"/>
    <x v="2"/>
    <x v="3"/>
    <n v="2.9849999999999999"/>
    <n v="17.91"/>
    <x v="2"/>
    <x v="2"/>
    <x v="1"/>
  </r>
  <r>
    <s v="PBT-36926-102"/>
    <x v="344"/>
    <x v="520"/>
    <s v="L-M-1"/>
    <n v="4"/>
    <x v="520"/>
    <s v="dflintiffg1@e-recht24.de"/>
    <x v="2"/>
    <x v="3"/>
    <x v="0"/>
    <x v="0"/>
    <n v="14.55"/>
    <n v="58.2"/>
    <x v="3"/>
    <x v="0"/>
    <x v="1"/>
  </r>
  <r>
    <s v="BLV-60087-454"/>
    <x v="152"/>
    <x v="533"/>
    <s v="E-L-0.2"/>
    <n v="3"/>
    <x v="533"/>
    <s v="tzanettig2@gravatar.com"/>
    <x v="1"/>
    <x v="1"/>
    <x v="1"/>
    <x v="3"/>
    <n v="4.4550000000000001"/>
    <n v="13.365"/>
    <x v="1"/>
    <x v="1"/>
    <x v="1"/>
  </r>
  <r>
    <s v="BLV-60087-454"/>
    <x v="152"/>
    <x v="533"/>
    <s v="A-M-0.5"/>
    <n v="5"/>
    <x v="533"/>
    <s v="tzanettig2@gravatar.com"/>
    <x v="1"/>
    <x v="2"/>
    <x v="0"/>
    <x v="1"/>
    <n v="6.75"/>
    <n v="33.75"/>
    <x v="2"/>
    <x v="0"/>
    <x v="1"/>
  </r>
  <r>
    <s v="QYC-63914-195"/>
    <x v="449"/>
    <x v="534"/>
    <s v="E-L-1"/>
    <n v="3"/>
    <x v="534"/>
    <s v="rkirtleyg4@hatena.ne.jp"/>
    <x v="0"/>
    <x v="1"/>
    <x v="1"/>
    <x v="0"/>
    <n v="14.85"/>
    <n v="44.55"/>
    <x v="1"/>
    <x v="1"/>
    <x v="0"/>
  </r>
  <r>
    <s v="OIB-77163-890"/>
    <x v="450"/>
    <x v="535"/>
    <s v="E-L-0.5"/>
    <n v="5"/>
    <x v="535"/>
    <s v="cclemencetg5@weather.com"/>
    <x v="2"/>
    <x v="1"/>
    <x v="1"/>
    <x v="1"/>
    <n v="8.91"/>
    <n v="44.55"/>
    <x v="1"/>
    <x v="1"/>
    <x v="0"/>
  </r>
  <r>
    <s v="SGS-87525-238"/>
    <x v="451"/>
    <x v="536"/>
    <s v="E-D-1"/>
    <n v="5"/>
    <x v="536"/>
    <s v="rdonetg6@oakley.com"/>
    <x v="0"/>
    <x v="1"/>
    <x v="2"/>
    <x v="0"/>
    <n v="12.15"/>
    <n v="60.75"/>
    <x v="1"/>
    <x v="2"/>
    <x v="1"/>
  </r>
  <r>
    <s v="GQR-12490-152"/>
    <x v="83"/>
    <x v="537"/>
    <s v="R-L-0.2"/>
    <n v="1"/>
    <x v="537"/>
    <s v="sgaweng7@creativecommons.org"/>
    <x v="0"/>
    <x v="0"/>
    <x v="1"/>
    <x v="3"/>
    <n v="3.5849999999999995"/>
    <n v="3.5849999999999995"/>
    <x v="0"/>
    <x v="1"/>
    <x v="0"/>
  </r>
  <r>
    <s v="UOJ-28238-299"/>
    <x v="452"/>
    <x v="538"/>
    <s v="R-L-0.2"/>
    <n v="6"/>
    <x v="538"/>
    <s v="rreadieg8@guardian.co.uk"/>
    <x v="0"/>
    <x v="0"/>
    <x v="1"/>
    <x v="3"/>
    <n v="3.5849999999999995"/>
    <n v="21.509999999999998"/>
    <x v="0"/>
    <x v="1"/>
    <x v="1"/>
  </r>
  <r>
    <s v="ETD-58130-674"/>
    <x v="453"/>
    <x v="539"/>
    <s v="E-M-0.5"/>
    <n v="2"/>
    <x v="539"/>
    <s v="cverissimogh@theglobeandmail.com"/>
    <x v="2"/>
    <x v="1"/>
    <x v="0"/>
    <x v="1"/>
    <n v="8.25"/>
    <n v="16.5"/>
    <x v="1"/>
    <x v="0"/>
    <x v="0"/>
  </r>
  <r>
    <s v="UPF-60123-025"/>
    <x v="454"/>
    <x v="540"/>
    <s v="R-L-2.5"/>
    <n v="3"/>
    <x v="540"/>
    <s v=""/>
    <x v="0"/>
    <x v="0"/>
    <x v="1"/>
    <x v="2"/>
    <n v="27.484999999999996"/>
    <n v="82.454999999999984"/>
    <x v="0"/>
    <x v="1"/>
    <x v="1"/>
  </r>
  <r>
    <s v="NQS-01613-687"/>
    <x v="455"/>
    <x v="541"/>
    <s v="L-D-0.5"/>
    <n v="1"/>
    <x v="541"/>
    <s v="bogb@elpais.com"/>
    <x v="0"/>
    <x v="3"/>
    <x v="2"/>
    <x v="1"/>
    <n v="7.77"/>
    <n v="7.77"/>
    <x v="3"/>
    <x v="2"/>
    <x v="0"/>
  </r>
  <r>
    <s v="MGH-36050-573"/>
    <x v="456"/>
    <x v="542"/>
    <s v="R-M-0.5"/>
    <n v="2"/>
    <x v="542"/>
    <s v="vstansburygc@unblog.fr"/>
    <x v="0"/>
    <x v="0"/>
    <x v="0"/>
    <x v="1"/>
    <n v="5.97"/>
    <n v="11.94"/>
    <x v="0"/>
    <x v="0"/>
    <x v="0"/>
  </r>
  <r>
    <s v="UVF-59322-459"/>
    <x v="373"/>
    <x v="543"/>
    <s v="E-L-2.5"/>
    <n v="6"/>
    <x v="543"/>
    <s v="dheinonengd@printfriendly.com"/>
    <x v="0"/>
    <x v="1"/>
    <x v="1"/>
    <x v="2"/>
    <n v="34.154999999999994"/>
    <n v="204.92999999999995"/>
    <x v="1"/>
    <x v="1"/>
    <x v="1"/>
  </r>
  <r>
    <s v="VET-41158-896"/>
    <x v="457"/>
    <x v="544"/>
    <s v="E-M-2.5"/>
    <n v="2"/>
    <x v="544"/>
    <s v="jshentonge@google.com.hk"/>
    <x v="0"/>
    <x v="1"/>
    <x v="0"/>
    <x v="2"/>
    <n v="31.624999999999996"/>
    <n v="63.249999999999993"/>
    <x v="1"/>
    <x v="0"/>
    <x v="0"/>
  </r>
  <r>
    <s v="XYL-52196-459"/>
    <x v="458"/>
    <x v="545"/>
    <s v="R-D-0.2"/>
    <n v="3"/>
    <x v="545"/>
    <s v="jwilkissongf@nba.com"/>
    <x v="0"/>
    <x v="0"/>
    <x v="2"/>
    <x v="3"/>
    <n v="2.6849999999999996"/>
    <n v="8.0549999999999997"/>
    <x v="0"/>
    <x v="2"/>
    <x v="0"/>
  </r>
  <r>
    <s v="BPZ-51283-916"/>
    <x v="264"/>
    <x v="546"/>
    <s v="A-M-2.5"/>
    <n v="2"/>
    <x v="546"/>
    <s v=""/>
    <x v="0"/>
    <x v="2"/>
    <x v="0"/>
    <x v="2"/>
    <n v="25.874999999999996"/>
    <n v="51.749999999999993"/>
    <x v="2"/>
    <x v="0"/>
    <x v="1"/>
  </r>
  <r>
    <s v="VQW-91903-926"/>
    <x v="459"/>
    <x v="539"/>
    <s v="E-D-2.5"/>
    <n v="1"/>
    <x v="539"/>
    <s v="cverissimogh@theglobeandmail.com"/>
    <x v="2"/>
    <x v="1"/>
    <x v="2"/>
    <x v="2"/>
    <n v="27.945"/>
    <n v="27.945"/>
    <x v="1"/>
    <x v="2"/>
    <x v="0"/>
  </r>
  <r>
    <s v="OLF-77983-457"/>
    <x v="460"/>
    <x v="547"/>
    <s v="A-L-2.5"/>
    <n v="2"/>
    <x v="547"/>
    <s v="gstarcksgi@abc.net.au"/>
    <x v="0"/>
    <x v="2"/>
    <x v="1"/>
    <x v="2"/>
    <n v="29.784999999999997"/>
    <n v="59.569999999999993"/>
    <x v="2"/>
    <x v="1"/>
    <x v="1"/>
  </r>
  <r>
    <s v="MVI-04946-827"/>
    <x v="461"/>
    <x v="548"/>
    <s v="E-L-1"/>
    <n v="1"/>
    <x v="548"/>
    <s v=""/>
    <x v="2"/>
    <x v="1"/>
    <x v="1"/>
    <x v="0"/>
    <n v="14.85"/>
    <n v="14.85"/>
    <x v="1"/>
    <x v="1"/>
    <x v="1"/>
  </r>
  <r>
    <s v="UOG-94188-104"/>
    <x v="219"/>
    <x v="549"/>
    <s v="A-M-0.5"/>
    <n v="5"/>
    <x v="549"/>
    <s v="kscholardgk@sbwire.com"/>
    <x v="0"/>
    <x v="2"/>
    <x v="0"/>
    <x v="1"/>
    <n v="6.75"/>
    <n v="33.75"/>
    <x v="2"/>
    <x v="0"/>
    <x v="1"/>
  </r>
  <r>
    <s v="DSN-15872-519"/>
    <x v="462"/>
    <x v="550"/>
    <s v="L-L-2.5"/>
    <n v="4"/>
    <x v="550"/>
    <s v="bkindleygl@wikimedia.org"/>
    <x v="0"/>
    <x v="3"/>
    <x v="1"/>
    <x v="2"/>
    <n v="36.454999999999998"/>
    <n v="145.82"/>
    <x v="3"/>
    <x v="1"/>
    <x v="0"/>
  </r>
  <r>
    <s v="OUQ-73954-002"/>
    <x v="463"/>
    <x v="551"/>
    <s v="R-M-0.2"/>
    <n v="4"/>
    <x v="551"/>
    <s v="khammettgm@dmoz.org"/>
    <x v="0"/>
    <x v="0"/>
    <x v="0"/>
    <x v="3"/>
    <n v="2.9849999999999999"/>
    <n v="11.94"/>
    <x v="0"/>
    <x v="0"/>
    <x v="0"/>
  </r>
  <r>
    <s v="LGL-16843-667"/>
    <x v="464"/>
    <x v="552"/>
    <s v="A-D-0.2"/>
    <n v="4"/>
    <x v="552"/>
    <s v="ahulburtgn@fda.gov"/>
    <x v="0"/>
    <x v="2"/>
    <x v="2"/>
    <x v="3"/>
    <n v="2.9849999999999999"/>
    <n v="11.94"/>
    <x v="2"/>
    <x v="2"/>
    <x v="0"/>
  </r>
  <r>
    <s v="TCC-89722-031"/>
    <x v="465"/>
    <x v="553"/>
    <s v="L-D-0.5"/>
    <n v="1"/>
    <x v="553"/>
    <s v="plauritzengo@photobucket.com"/>
    <x v="0"/>
    <x v="3"/>
    <x v="2"/>
    <x v="1"/>
    <n v="7.77"/>
    <n v="7.77"/>
    <x v="3"/>
    <x v="2"/>
    <x v="1"/>
  </r>
  <r>
    <s v="TRA-79507-007"/>
    <x v="466"/>
    <x v="554"/>
    <s v="R-L-2.5"/>
    <n v="4"/>
    <x v="554"/>
    <s v="aburgwingp@redcross.org"/>
    <x v="0"/>
    <x v="0"/>
    <x v="1"/>
    <x v="2"/>
    <n v="27.484999999999996"/>
    <n v="109.93999999999998"/>
    <x v="0"/>
    <x v="1"/>
    <x v="0"/>
  </r>
  <r>
    <s v="MZJ-77284-941"/>
    <x v="467"/>
    <x v="555"/>
    <s v="E-L-0.2"/>
    <n v="5"/>
    <x v="555"/>
    <s v="erolingq@google.fr"/>
    <x v="0"/>
    <x v="1"/>
    <x v="1"/>
    <x v="3"/>
    <n v="4.4550000000000001"/>
    <n v="22.274999999999999"/>
    <x v="1"/>
    <x v="1"/>
    <x v="0"/>
  </r>
  <r>
    <s v="AXN-57779-891"/>
    <x v="468"/>
    <x v="556"/>
    <s v="R-M-0.2"/>
    <n v="3"/>
    <x v="556"/>
    <s v="dfowlegr@epa.gov"/>
    <x v="0"/>
    <x v="0"/>
    <x v="0"/>
    <x v="3"/>
    <n v="2.9849999999999999"/>
    <n v="8.9550000000000001"/>
    <x v="0"/>
    <x v="0"/>
    <x v="1"/>
  </r>
  <r>
    <s v="PJB-15659-994"/>
    <x v="469"/>
    <x v="557"/>
    <s v="L-D-2.5"/>
    <n v="4"/>
    <x v="557"/>
    <s v=""/>
    <x v="1"/>
    <x v="3"/>
    <x v="2"/>
    <x v="2"/>
    <n v="29.784999999999997"/>
    <n v="119.13999999999999"/>
    <x v="3"/>
    <x v="2"/>
    <x v="1"/>
  </r>
  <r>
    <s v="LTS-03470-353"/>
    <x v="470"/>
    <x v="558"/>
    <s v="A-L-2.5"/>
    <n v="5"/>
    <x v="558"/>
    <s v="wpowleslandgt@soundcloud.com"/>
    <x v="0"/>
    <x v="2"/>
    <x v="1"/>
    <x v="2"/>
    <n v="29.784999999999997"/>
    <n v="148.92499999999998"/>
    <x v="2"/>
    <x v="1"/>
    <x v="0"/>
  </r>
  <r>
    <s v="UMM-28497-689"/>
    <x v="471"/>
    <x v="539"/>
    <s v="L-L-2.5"/>
    <n v="3"/>
    <x v="539"/>
    <s v="cverissimogh@theglobeandmail.com"/>
    <x v="2"/>
    <x v="3"/>
    <x v="1"/>
    <x v="2"/>
    <n v="36.454999999999998"/>
    <n v="109.36499999999999"/>
    <x v="3"/>
    <x v="1"/>
    <x v="0"/>
  </r>
  <r>
    <s v="MJZ-93232-402"/>
    <x v="472"/>
    <x v="559"/>
    <s v="E-D-0.2"/>
    <n v="1"/>
    <x v="559"/>
    <s v="lellinghamgv@sciencedaily.com"/>
    <x v="0"/>
    <x v="1"/>
    <x v="2"/>
    <x v="3"/>
    <n v="3.645"/>
    <n v="3.645"/>
    <x v="1"/>
    <x v="2"/>
    <x v="0"/>
  </r>
  <r>
    <s v="UHW-74617-126"/>
    <x v="173"/>
    <x v="560"/>
    <s v="E-D-2.5"/>
    <n v="2"/>
    <x v="560"/>
    <s v=""/>
    <x v="0"/>
    <x v="1"/>
    <x v="2"/>
    <x v="2"/>
    <n v="27.945"/>
    <n v="55.89"/>
    <x v="1"/>
    <x v="2"/>
    <x v="1"/>
  </r>
  <r>
    <s v="RIK-61730-794"/>
    <x v="473"/>
    <x v="561"/>
    <s v="L-M-0.2"/>
    <n v="6"/>
    <x v="561"/>
    <s v="afendtgx@forbes.com"/>
    <x v="0"/>
    <x v="3"/>
    <x v="0"/>
    <x v="3"/>
    <n v="4.3650000000000002"/>
    <n v="26.19"/>
    <x v="3"/>
    <x v="0"/>
    <x v="0"/>
  </r>
  <r>
    <s v="IDJ-55379-750"/>
    <x v="474"/>
    <x v="562"/>
    <s v="R-M-1"/>
    <n v="4"/>
    <x v="562"/>
    <s v="acleyburngy@lycos.com"/>
    <x v="0"/>
    <x v="0"/>
    <x v="0"/>
    <x v="0"/>
    <n v="9.9499999999999993"/>
    <n v="39.799999999999997"/>
    <x v="0"/>
    <x v="0"/>
    <x v="1"/>
  </r>
  <r>
    <s v="OHX-11953-965"/>
    <x v="475"/>
    <x v="563"/>
    <s v="E-L-2.5"/>
    <n v="2"/>
    <x v="563"/>
    <s v="tcastiglionegz@xing.com"/>
    <x v="0"/>
    <x v="1"/>
    <x v="1"/>
    <x v="2"/>
    <n v="34.154999999999994"/>
    <n v="68.309999999999988"/>
    <x v="1"/>
    <x v="1"/>
    <x v="1"/>
  </r>
  <r>
    <s v="TVV-42245-088"/>
    <x v="476"/>
    <x v="564"/>
    <s v="A-M-0.2"/>
    <n v="4"/>
    <x v="564"/>
    <s v=""/>
    <x v="1"/>
    <x v="2"/>
    <x v="0"/>
    <x v="3"/>
    <n v="3.375"/>
    <n v="13.5"/>
    <x v="2"/>
    <x v="0"/>
    <x v="1"/>
  </r>
  <r>
    <s v="DYP-74337-787"/>
    <x v="431"/>
    <x v="565"/>
    <s v="R-M-0.5"/>
    <n v="1"/>
    <x v="565"/>
    <s v=""/>
    <x v="0"/>
    <x v="0"/>
    <x v="0"/>
    <x v="1"/>
    <n v="5.97"/>
    <n v="5.97"/>
    <x v="0"/>
    <x v="0"/>
    <x v="1"/>
  </r>
  <r>
    <s v="OKA-93124-100"/>
    <x v="477"/>
    <x v="539"/>
    <s v="R-M-0.5"/>
    <n v="5"/>
    <x v="539"/>
    <s v="cverissimogh@theglobeandmail.com"/>
    <x v="2"/>
    <x v="0"/>
    <x v="0"/>
    <x v="1"/>
    <n v="5.97"/>
    <n v="29.849999999999998"/>
    <x v="0"/>
    <x v="0"/>
    <x v="0"/>
  </r>
  <r>
    <s v="IXW-20780-268"/>
    <x v="478"/>
    <x v="566"/>
    <s v="L-L-2.5"/>
    <n v="2"/>
    <x v="566"/>
    <s v="scouronneh3@mozilla.org"/>
    <x v="0"/>
    <x v="3"/>
    <x v="1"/>
    <x v="2"/>
    <n v="36.454999999999998"/>
    <n v="72.91"/>
    <x v="3"/>
    <x v="1"/>
    <x v="0"/>
  </r>
  <r>
    <s v="NGG-24006-937"/>
    <x v="45"/>
    <x v="567"/>
    <s v="E-M-2.5"/>
    <n v="4"/>
    <x v="567"/>
    <s v="lflippellih4@github.io"/>
    <x v="2"/>
    <x v="1"/>
    <x v="0"/>
    <x v="2"/>
    <n v="31.624999999999996"/>
    <n v="126.49999999999999"/>
    <x v="1"/>
    <x v="0"/>
    <x v="1"/>
  </r>
  <r>
    <s v="JZC-31180-557"/>
    <x v="444"/>
    <x v="568"/>
    <s v="L-M-2.5"/>
    <n v="1"/>
    <x v="568"/>
    <s v="relizabethh5@live.com"/>
    <x v="0"/>
    <x v="3"/>
    <x v="0"/>
    <x v="2"/>
    <n v="33.464999999999996"/>
    <n v="33.464999999999996"/>
    <x v="3"/>
    <x v="0"/>
    <x v="1"/>
  </r>
  <r>
    <s v="ZMU-63715-204"/>
    <x v="479"/>
    <x v="569"/>
    <s v="E-D-1"/>
    <n v="6"/>
    <x v="569"/>
    <s v="irenhardh6@i2i.jp"/>
    <x v="0"/>
    <x v="1"/>
    <x v="2"/>
    <x v="0"/>
    <n v="12.15"/>
    <n v="72.900000000000006"/>
    <x v="1"/>
    <x v="2"/>
    <x v="0"/>
  </r>
  <r>
    <s v="GND-08192-056"/>
    <x v="480"/>
    <x v="570"/>
    <s v="L-D-0.5"/>
    <n v="2"/>
    <x v="570"/>
    <s v="wrocheh7@xinhuanet.com"/>
    <x v="0"/>
    <x v="3"/>
    <x v="2"/>
    <x v="1"/>
    <n v="7.77"/>
    <n v="15.54"/>
    <x v="3"/>
    <x v="2"/>
    <x v="0"/>
  </r>
  <r>
    <s v="RYY-38961-093"/>
    <x v="481"/>
    <x v="571"/>
    <s v="A-M-0.2"/>
    <n v="6"/>
    <x v="571"/>
    <s v="lalawayhh@weather.com"/>
    <x v="0"/>
    <x v="2"/>
    <x v="0"/>
    <x v="3"/>
    <n v="3.375"/>
    <n v="20.25"/>
    <x v="2"/>
    <x v="0"/>
    <x v="1"/>
  </r>
  <r>
    <s v="CVA-64996-969"/>
    <x v="478"/>
    <x v="572"/>
    <s v="A-L-1"/>
    <n v="6"/>
    <x v="572"/>
    <s v="codgaardh9@nsw.gov.au"/>
    <x v="0"/>
    <x v="2"/>
    <x v="1"/>
    <x v="0"/>
    <n v="12.95"/>
    <n v="77.699999999999989"/>
    <x v="2"/>
    <x v="1"/>
    <x v="1"/>
  </r>
  <r>
    <s v="XTH-67276-442"/>
    <x v="482"/>
    <x v="573"/>
    <s v="L-M-2.5"/>
    <n v="4"/>
    <x v="573"/>
    <s v="bbyrdha@4shared.com"/>
    <x v="0"/>
    <x v="3"/>
    <x v="0"/>
    <x v="2"/>
    <n v="33.464999999999996"/>
    <n v="133.85999999999999"/>
    <x v="3"/>
    <x v="0"/>
    <x v="1"/>
  </r>
  <r>
    <s v="PVU-02950-470"/>
    <x v="353"/>
    <x v="574"/>
    <s v="E-D-1"/>
    <n v="1"/>
    <x v="574"/>
    <s v=""/>
    <x v="2"/>
    <x v="1"/>
    <x v="2"/>
    <x v="0"/>
    <n v="12.15"/>
    <n v="12.15"/>
    <x v="1"/>
    <x v="2"/>
    <x v="1"/>
  </r>
  <r>
    <s v="XSN-26809-910"/>
    <x v="199"/>
    <x v="575"/>
    <s v="E-M-2.5"/>
    <n v="2"/>
    <x v="575"/>
    <s v="dchardinhc@nhs.uk"/>
    <x v="1"/>
    <x v="1"/>
    <x v="0"/>
    <x v="2"/>
    <n v="31.624999999999996"/>
    <n v="63.249999999999993"/>
    <x v="1"/>
    <x v="0"/>
    <x v="0"/>
  </r>
  <r>
    <s v="UDN-88321-005"/>
    <x v="372"/>
    <x v="576"/>
    <s v="R-L-0.5"/>
    <n v="5"/>
    <x v="576"/>
    <s v="hradbonehd@newsvine.com"/>
    <x v="0"/>
    <x v="0"/>
    <x v="1"/>
    <x v="1"/>
    <n v="7.169999999999999"/>
    <n v="35.849999999999994"/>
    <x v="0"/>
    <x v="1"/>
    <x v="1"/>
  </r>
  <r>
    <s v="EXP-21628-670"/>
    <x v="267"/>
    <x v="577"/>
    <s v="A-M-2.5"/>
    <n v="3"/>
    <x v="577"/>
    <s v="wbernthhe@miitbeian.gov.cn"/>
    <x v="0"/>
    <x v="2"/>
    <x v="0"/>
    <x v="2"/>
    <n v="25.874999999999996"/>
    <n v="77.624999999999986"/>
    <x v="2"/>
    <x v="0"/>
    <x v="1"/>
  </r>
  <r>
    <s v="VGM-24161-361"/>
    <x v="480"/>
    <x v="578"/>
    <s v="E-M-2.5"/>
    <n v="2"/>
    <x v="578"/>
    <s v="bacarsonhf@cnn.com"/>
    <x v="0"/>
    <x v="1"/>
    <x v="0"/>
    <x v="2"/>
    <n v="31.624999999999996"/>
    <n v="63.249999999999993"/>
    <x v="1"/>
    <x v="0"/>
    <x v="0"/>
  </r>
  <r>
    <s v="PKN-19556-918"/>
    <x v="483"/>
    <x v="579"/>
    <s v="E-L-0.2"/>
    <n v="6"/>
    <x v="579"/>
    <s v="fbrighamhg@blog.com"/>
    <x v="1"/>
    <x v="1"/>
    <x v="1"/>
    <x v="3"/>
    <n v="4.4550000000000001"/>
    <n v="26.73"/>
    <x v="1"/>
    <x v="1"/>
    <x v="0"/>
  </r>
  <r>
    <s v="PKN-19556-918"/>
    <x v="483"/>
    <x v="579"/>
    <s v="L-D-0.5"/>
    <n v="4"/>
    <x v="579"/>
    <s v="fbrighamhg@blog.com"/>
    <x v="1"/>
    <x v="3"/>
    <x v="2"/>
    <x v="1"/>
    <n v="7.77"/>
    <n v="31.08"/>
    <x v="3"/>
    <x v="2"/>
    <x v="0"/>
  </r>
  <r>
    <s v="PKN-19556-918"/>
    <x v="483"/>
    <x v="579"/>
    <s v="A-D-0.2"/>
    <n v="1"/>
    <x v="579"/>
    <s v="fbrighamhg@blog.com"/>
    <x v="1"/>
    <x v="2"/>
    <x v="2"/>
    <x v="3"/>
    <n v="2.9849999999999999"/>
    <n v="2.9849999999999999"/>
    <x v="2"/>
    <x v="2"/>
    <x v="0"/>
  </r>
  <r>
    <s v="PKN-19556-918"/>
    <x v="483"/>
    <x v="579"/>
    <s v="R-D-2.5"/>
    <n v="5"/>
    <x v="579"/>
    <s v="fbrighamhg@blog.com"/>
    <x v="1"/>
    <x v="0"/>
    <x v="2"/>
    <x v="2"/>
    <n v="20.584999999999997"/>
    <n v="102.92499999999998"/>
    <x v="0"/>
    <x v="2"/>
    <x v="0"/>
  </r>
  <r>
    <s v="DXQ-44537-297"/>
    <x v="484"/>
    <x v="580"/>
    <s v="E-L-0.5"/>
    <n v="4"/>
    <x v="580"/>
    <s v="myoxenhk@google.com"/>
    <x v="0"/>
    <x v="1"/>
    <x v="1"/>
    <x v="1"/>
    <n v="8.91"/>
    <n v="35.64"/>
    <x v="1"/>
    <x v="1"/>
    <x v="1"/>
  </r>
  <r>
    <s v="BPC-54727-307"/>
    <x v="485"/>
    <x v="581"/>
    <s v="R-L-1"/>
    <n v="4"/>
    <x v="581"/>
    <s v="gmcgavinhl@histats.com"/>
    <x v="0"/>
    <x v="0"/>
    <x v="1"/>
    <x v="0"/>
    <n v="11.95"/>
    <n v="47.8"/>
    <x v="0"/>
    <x v="1"/>
    <x v="1"/>
  </r>
  <r>
    <s v="KSH-47717-456"/>
    <x v="486"/>
    <x v="582"/>
    <s v="L-M-1"/>
    <n v="3"/>
    <x v="582"/>
    <s v="luttermarehm@engadget.com"/>
    <x v="0"/>
    <x v="3"/>
    <x v="0"/>
    <x v="0"/>
    <n v="14.55"/>
    <n v="43.650000000000006"/>
    <x v="3"/>
    <x v="0"/>
    <x v="1"/>
  </r>
  <r>
    <s v="ANK-59436-446"/>
    <x v="487"/>
    <x v="583"/>
    <s v="E-L-0.5"/>
    <n v="4"/>
    <x v="583"/>
    <s v="edambrogiohn@techcrunch.com"/>
    <x v="0"/>
    <x v="1"/>
    <x v="1"/>
    <x v="1"/>
    <n v="8.91"/>
    <n v="35.64"/>
    <x v="1"/>
    <x v="1"/>
    <x v="0"/>
  </r>
  <r>
    <s v="AYY-83051-752"/>
    <x v="488"/>
    <x v="584"/>
    <s v="L-L-1"/>
    <n v="6"/>
    <x v="584"/>
    <s v="cwinchcombeho@jiathis.com"/>
    <x v="0"/>
    <x v="3"/>
    <x v="1"/>
    <x v="0"/>
    <n v="15.85"/>
    <n v="95.1"/>
    <x v="3"/>
    <x v="1"/>
    <x v="0"/>
  </r>
  <r>
    <s v="CSW-59644-267"/>
    <x v="489"/>
    <x v="585"/>
    <s v="E-M-2.5"/>
    <n v="1"/>
    <x v="585"/>
    <s v="bpaumierhp@umn.edu"/>
    <x v="1"/>
    <x v="1"/>
    <x v="0"/>
    <x v="2"/>
    <n v="31.624999999999996"/>
    <n v="31.624999999999996"/>
    <x v="1"/>
    <x v="0"/>
    <x v="0"/>
  </r>
  <r>
    <s v="ITY-92466-909"/>
    <x v="162"/>
    <x v="586"/>
    <s v="A-M-2.5"/>
    <n v="3"/>
    <x v="586"/>
    <s v=""/>
    <x v="1"/>
    <x v="2"/>
    <x v="0"/>
    <x v="2"/>
    <n v="25.874999999999996"/>
    <n v="77.624999999999986"/>
    <x v="2"/>
    <x v="0"/>
    <x v="0"/>
  </r>
  <r>
    <s v="IGW-04801-466"/>
    <x v="490"/>
    <x v="587"/>
    <s v="L-D-0.2"/>
    <n v="1"/>
    <x v="587"/>
    <s v="jcapeyhr@bravesites.com"/>
    <x v="0"/>
    <x v="3"/>
    <x v="2"/>
    <x v="3"/>
    <n v="3.8849999999999998"/>
    <n v="3.8849999999999998"/>
    <x v="3"/>
    <x v="2"/>
    <x v="0"/>
  </r>
  <r>
    <s v="LJN-34281-921"/>
    <x v="491"/>
    <x v="588"/>
    <s v="R-L-2.5"/>
    <n v="5"/>
    <x v="588"/>
    <s v="tmathonneti0@google.co.jp"/>
    <x v="0"/>
    <x v="0"/>
    <x v="1"/>
    <x v="2"/>
    <n v="27.484999999999996"/>
    <n v="137.42499999999998"/>
    <x v="0"/>
    <x v="1"/>
    <x v="1"/>
  </r>
  <r>
    <s v="BWZ-46364-547"/>
    <x v="301"/>
    <x v="589"/>
    <s v="R-L-1"/>
    <n v="3"/>
    <x v="589"/>
    <s v="ybasillht@theguardian.com"/>
    <x v="0"/>
    <x v="0"/>
    <x v="1"/>
    <x v="0"/>
    <n v="11.95"/>
    <n v="35.849999999999994"/>
    <x v="0"/>
    <x v="1"/>
    <x v="0"/>
  </r>
  <r>
    <s v="SBC-95710-706"/>
    <x v="194"/>
    <x v="590"/>
    <s v="E-M-0.2"/>
    <n v="2"/>
    <x v="590"/>
    <s v="mbaistowhu@i2i.jp"/>
    <x v="2"/>
    <x v="1"/>
    <x v="0"/>
    <x v="3"/>
    <n v="4.125"/>
    <n v="8.25"/>
    <x v="1"/>
    <x v="0"/>
    <x v="0"/>
  </r>
  <r>
    <s v="WRN-55114-031"/>
    <x v="26"/>
    <x v="591"/>
    <s v="E-L-2.5"/>
    <n v="3"/>
    <x v="591"/>
    <s v="cpallanthv@typepad.com"/>
    <x v="0"/>
    <x v="1"/>
    <x v="1"/>
    <x v="2"/>
    <n v="34.154999999999994"/>
    <n v="102.46499999999997"/>
    <x v="1"/>
    <x v="1"/>
    <x v="0"/>
  </r>
  <r>
    <s v="TZU-64255-831"/>
    <x v="125"/>
    <x v="592"/>
    <s v="R-D-2.5"/>
    <n v="2"/>
    <x v="592"/>
    <s v=""/>
    <x v="0"/>
    <x v="0"/>
    <x v="2"/>
    <x v="2"/>
    <n v="20.584999999999997"/>
    <n v="41.169999999999995"/>
    <x v="0"/>
    <x v="2"/>
    <x v="1"/>
  </r>
  <r>
    <s v="JVF-91003-729"/>
    <x v="492"/>
    <x v="593"/>
    <s v="A-D-2.5"/>
    <n v="3"/>
    <x v="593"/>
    <s v="dohx@redcross.org"/>
    <x v="0"/>
    <x v="2"/>
    <x v="2"/>
    <x v="2"/>
    <n v="22.884999999999998"/>
    <n v="68.655000000000001"/>
    <x v="2"/>
    <x v="2"/>
    <x v="0"/>
  </r>
  <r>
    <s v="MVB-22135-665"/>
    <x v="462"/>
    <x v="594"/>
    <s v="A-D-1"/>
    <n v="1"/>
    <x v="594"/>
    <s v="drallinhy@howstuffworks.com"/>
    <x v="0"/>
    <x v="2"/>
    <x v="2"/>
    <x v="0"/>
    <n v="9.9499999999999993"/>
    <n v="9.9499999999999993"/>
    <x v="2"/>
    <x v="2"/>
    <x v="0"/>
  </r>
  <r>
    <s v="CKS-47815-571"/>
    <x v="493"/>
    <x v="595"/>
    <s v="L-L-0.5"/>
    <n v="3"/>
    <x v="595"/>
    <s v="achillhz@epa.gov"/>
    <x v="2"/>
    <x v="3"/>
    <x v="1"/>
    <x v="1"/>
    <n v="9.51"/>
    <n v="28.53"/>
    <x v="3"/>
    <x v="1"/>
    <x v="0"/>
  </r>
  <r>
    <s v="OAW-17338-101"/>
    <x v="494"/>
    <x v="588"/>
    <s v="R-D-0.2"/>
    <n v="6"/>
    <x v="588"/>
    <s v="tmathonneti0@google.co.jp"/>
    <x v="0"/>
    <x v="0"/>
    <x v="2"/>
    <x v="3"/>
    <n v="2.6849999999999996"/>
    <n v="16.11"/>
    <x v="0"/>
    <x v="2"/>
    <x v="1"/>
  </r>
  <r>
    <s v="ALP-37623-536"/>
    <x v="495"/>
    <x v="596"/>
    <s v="L-L-1"/>
    <n v="6"/>
    <x v="596"/>
    <s v="cdenysi1@is.gd"/>
    <x v="2"/>
    <x v="3"/>
    <x v="1"/>
    <x v="0"/>
    <n v="15.85"/>
    <n v="95.1"/>
    <x v="3"/>
    <x v="1"/>
    <x v="1"/>
  </r>
  <r>
    <s v="WMU-87639-108"/>
    <x v="496"/>
    <x v="597"/>
    <s v="R-D-0.5"/>
    <n v="1"/>
    <x v="597"/>
    <s v="cstebbingsi2@drupal.org"/>
    <x v="0"/>
    <x v="0"/>
    <x v="2"/>
    <x v="1"/>
    <n v="5.3699999999999992"/>
    <n v="5.3699999999999992"/>
    <x v="0"/>
    <x v="2"/>
    <x v="0"/>
  </r>
  <r>
    <s v="USN-44968-231"/>
    <x v="497"/>
    <x v="598"/>
    <s v="R-L-1"/>
    <n v="4"/>
    <x v="598"/>
    <s v=""/>
    <x v="0"/>
    <x v="0"/>
    <x v="1"/>
    <x v="0"/>
    <n v="11.95"/>
    <n v="47.8"/>
    <x v="0"/>
    <x v="1"/>
    <x v="1"/>
  </r>
  <r>
    <s v="YZG-20575-451"/>
    <x v="498"/>
    <x v="599"/>
    <s v="L-L-1"/>
    <n v="4"/>
    <x v="599"/>
    <s v="rzywickii4@ifeng.com"/>
    <x v="1"/>
    <x v="3"/>
    <x v="1"/>
    <x v="0"/>
    <n v="15.85"/>
    <n v="63.4"/>
    <x v="3"/>
    <x v="1"/>
    <x v="1"/>
  </r>
  <r>
    <s v="HTH-52867-812"/>
    <x v="382"/>
    <x v="600"/>
    <s v="A-M-2.5"/>
    <n v="4"/>
    <x v="600"/>
    <s v="aburgetti5@moonfruit.com"/>
    <x v="0"/>
    <x v="2"/>
    <x v="0"/>
    <x v="2"/>
    <n v="25.874999999999996"/>
    <n v="103.49999999999999"/>
    <x v="2"/>
    <x v="0"/>
    <x v="1"/>
  </r>
  <r>
    <s v="FWU-44971-444"/>
    <x v="499"/>
    <x v="601"/>
    <s v="A-D-2.5"/>
    <n v="3"/>
    <x v="601"/>
    <s v="mmalloyi6@seattletimes.com"/>
    <x v="0"/>
    <x v="2"/>
    <x v="2"/>
    <x v="2"/>
    <n v="22.884999999999998"/>
    <n v="68.655000000000001"/>
    <x v="2"/>
    <x v="2"/>
    <x v="1"/>
  </r>
  <r>
    <s v="EQI-82205-066"/>
    <x v="500"/>
    <x v="602"/>
    <s v="R-M-2.5"/>
    <n v="2"/>
    <x v="602"/>
    <s v="mmcparlandi7@w3.org"/>
    <x v="0"/>
    <x v="0"/>
    <x v="0"/>
    <x v="2"/>
    <n v="22.884999999999998"/>
    <n v="45.769999999999996"/>
    <x v="0"/>
    <x v="0"/>
    <x v="0"/>
  </r>
  <r>
    <s v="NAR-00747-074"/>
    <x v="501"/>
    <x v="603"/>
    <s v="L-D-1"/>
    <n v="4"/>
    <x v="603"/>
    <s v="sjennaroyi8@purevolume.com"/>
    <x v="0"/>
    <x v="3"/>
    <x v="2"/>
    <x v="0"/>
    <n v="12.95"/>
    <n v="51.8"/>
    <x v="3"/>
    <x v="2"/>
    <x v="1"/>
  </r>
  <r>
    <s v="JYR-22052-185"/>
    <x v="502"/>
    <x v="604"/>
    <s v="A-M-0.5"/>
    <n v="2"/>
    <x v="604"/>
    <s v="wplacei9@wsj.com"/>
    <x v="0"/>
    <x v="2"/>
    <x v="0"/>
    <x v="1"/>
    <n v="6.75"/>
    <n v="13.5"/>
    <x v="2"/>
    <x v="0"/>
    <x v="0"/>
  </r>
  <r>
    <s v="XKO-54097-932"/>
    <x v="503"/>
    <x v="605"/>
    <s v="E-M-0.5"/>
    <n v="3"/>
    <x v="605"/>
    <s v="jmillettik@addtoany.com"/>
    <x v="0"/>
    <x v="1"/>
    <x v="0"/>
    <x v="1"/>
    <n v="8.25"/>
    <n v="24.75"/>
    <x v="1"/>
    <x v="0"/>
    <x v="0"/>
  </r>
  <r>
    <s v="HXA-72415-025"/>
    <x v="504"/>
    <x v="606"/>
    <s v="A-D-2.5"/>
    <n v="2"/>
    <x v="606"/>
    <s v="dgadsdenib@google.com.hk"/>
    <x v="1"/>
    <x v="2"/>
    <x v="2"/>
    <x v="2"/>
    <n v="22.884999999999998"/>
    <n v="45.769999999999996"/>
    <x v="2"/>
    <x v="2"/>
    <x v="0"/>
  </r>
  <r>
    <s v="MJF-20065-335"/>
    <x v="497"/>
    <x v="607"/>
    <s v="E-L-0.5"/>
    <n v="6"/>
    <x v="607"/>
    <s v="vwakelinic@unesco.org"/>
    <x v="0"/>
    <x v="1"/>
    <x v="1"/>
    <x v="1"/>
    <n v="8.91"/>
    <n v="53.46"/>
    <x v="1"/>
    <x v="1"/>
    <x v="1"/>
  </r>
  <r>
    <s v="GFI-83300-059"/>
    <x v="501"/>
    <x v="608"/>
    <s v="A-M-0.2"/>
    <n v="6"/>
    <x v="608"/>
    <s v="acampsallid@zimbio.com"/>
    <x v="0"/>
    <x v="2"/>
    <x v="0"/>
    <x v="3"/>
    <n v="3.375"/>
    <n v="20.25"/>
    <x v="2"/>
    <x v="0"/>
    <x v="0"/>
  </r>
  <r>
    <s v="WJR-51493-682"/>
    <x v="1"/>
    <x v="609"/>
    <s v="L-D-2.5"/>
    <n v="5"/>
    <x v="609"/>
    <s v="smosebyie@stanford.edu"/>
    <x v="0"/>
    <x v="3"/>
    <x v="2"/>
    <x v="2"/>
    <n v="29.784999999999997"/>
    <n v="148.92499999999998"/>
    <x v="3"/>
    <x v="2"/>
    <x v="1"/>
  </r>
  <r>
    <s v="SHP-55648-472"/>
    <x v="505"/>
    <x v="610"/>
    <s v="A-M-1"/>
    <n v="6"/>
    <x v="610"/>
    <s v="cwassif@prweb.com"/>
    <x v="0"/>
    <x v="2"/>
    <x v="0"/>
    <x v="0"/>
    <n v="11.25"/>
    <n v="67.5"/>
    <x v="2"/>
    <x v="0"/>
    <x v="1"/>
  </r>
  <r>
    <s v="HYR-03455-684"/>
    <x v="506"/>
    <x v="611"/>
    <s v="E-D-1"/>
    <n v="6"/>
    <x v="611"/>
    <s v="isjostromig@pbs.org"/>
    <x v="0"/>
    <x v="1"/>
    <x v="2"/>
    <x v="0"/>
    <n v="12.15"/>
    <n v="72.900000000000006"/>
    <x v="1"/>
    <x v="2"/>
    <x v="1"/>
  </r>
  <r>
    <s v="HYR-03455-684"/>
    <x v="506"/>
    <x v="611"/>
    <s v="L-D-0.2"/>
    <n v="2"/>
    <x v="611"/>
    <s v="isjostromig@pbs.org"/>
    <x v="0"/>
    <x v="3"/>
    <x v="2"/>
    <x v="3"/>
    <n v="3.8849999999999998"/>
    <n v="7.77"/>
    <x v="3"/>
    <x v="2"/>
    <x v="1"/>
  </r>
  <r>
    <s v="HUG-52766-375"/>
    <x v="507"/>
    <x v="612"/>
    <s v="A-D-2.5"/>
    <n v="4"/>
    <x v="612"/>
    <s v="jbranchettii@bravesites.com"/>
    <x v="0"/>
    <x v="2"/>
    <x v="2"/>
    <x v="2"/>
    <n v="22.884999999999998"/>
    <n v="91.539999999999992"/>
    <x v="2"/>
    <x v="2"/>
    <x v="1"/>
  </r>
  <r>
    <s v="DAH-46595-917"/>
    <x v="508"/>
    <x v="613"/>
    <s v="A-D-1"/>
    <n v="6"/>
    <x v="613"/>
    <s v="nrudlandij@blogs.com"/>
    <x v="1"/>
    <x v="2"/>
    <x v="2"/>
    <x v="0"/>
    <n v="9.9499999999999993"/>
    <n v="59.699999999999996"/>
    <x v="2"/>
    <x v="2"/>
    <x v="1"/>
  </r>
  <r>
    <s v="VEM-79839-466"/>
    <x v="509"/>
    <x v="605"/>
    <s v="R-L-2.5"/>
    <n v="5"/>
    <x v="605"/>
    <s v="jmillettik@addtoany.com"/>
    <x v="0"/>
    <x v="0"/>
    <x v="1"/>
    <x v="2"/>
    <n v="27.484999999999996"/>
    <n v="137.42499999999998"/>
    <x v="0"/>
    <x v="1"/>
    <x v="0"/>
  </r>
  <r>
    <s v="OWH-11126-533"/>
    <x v="131"/>
    <x v="614"/>
    <s v="L-M-2.5"/>
    <n v="2"/>
    <x v="614"/>
    <s v="ftourryil@google.de"/>
    <x v="0"/>
    <x v="3"/>
    <x v="0"/>
    <x v="2"/>
    <n v="33.464999999999996"/>
    <n v="66.929999999999993"/>
    <x v="3"/>
    <x v="0"/>
    <x v="1"/>
  </r>
  <r>
    <s v="UMT-26130-151"/>
    <x v="510"/>
    <x v="615"/>
    <s v="L-M-0.2"/>
    <n v="3"/>
    <x v="615"/>
    <s v="cweatherallim@toplist.cz"/>
    <x v="0"/>
    <x v="3"/>
    <x v="0"/>
    <x v="3"/>
    <n v="4.3650000000000002"/>
    <n v="13.095000000000001"/>
    <x v="3"/>
    <x v="0"/>
    <x v="0"/>
  </r>
  <r>
    <s v="JKA-27899-806"/>
    <x v="511"/>
    <x v="616"/>
    <s v="R-L-1"/>
    <n v="5"/>
    <x v="616"/>
    <s v="gheindrickin@usda.gov"/>
    <x v="0"/>
    <x v="0"/>
    <x v="1"/>
    <x v="0"/>
    <n v="11.95"/>
    <n v="59.75"/>
    <x v="0"/>
    <x v="1"/>
    <x v="1"/>
  </r>
  <r>
    <s v="ULU-07744-724"/>
    <x v="512"/>
    <x v="617"/>
    <s v="L-M-0.5"/>
    <n v="5"/>
    <x v="617"/>
    <s v="limasonio@discuz.net"/>
    <x v="0"/>
    <x v="3"/>
    <x v="0"/>
    <x v="1"/>
    <n v="8.73"/>
    <n v="43.650000000000006"/>
    <x v="3"/>
    <x v="0"/>
    <x v="0"/>
  </r>
  <r>
    <s v="NOM-56457-507"/>
    <x v="513"/>
    <x v="618"/>
    <s v="E-M-1"/>
    <n v="6"/>
    <x v="618"/>
    <s v="hsaillip@odnoklassniki.ru"/>
    <x v="0"/>
    <x v="1"/>
    <x v="0"/>
    <x v="0"/>
    <n v="13.75"/>
    <n v="82.5"/>
    <x v="1"/>
    <x v="0"/>
    <x v="0"/>
  </r>
  <r>
    <s v="NZN-71683-705"/>
    <x v="514"/>
    <x v="619"/>
    <s v="A-L-2.5"/>
    <n v="6"/>
    <x v="619"/>
    <s v="hlarvoriq@last.fm"/>
    <x v="0"/>
    <x v="2"/>
    <x v="1"/>
    <x v="2"/>
    <n v="29.784999999999997"/>
    <n v="178.70999999999998"/>
    <x v="2"/>
    <x v="1"/>
    <x v="0"/>
  </r>
  <r>
    <s v="WMA-34232-850"/>
    <x v="7"/>
    <x v="620"/>
    <s v="L-D-2.5"/>
    <n v="4"/>
    <x v="620"/>
    <s v=""/>
    <x v="0"/>
    <x v="3"/>
    <x v="2"/>
    <x v="2"/>
    <n v="29.784999999999997"/>
    <n v="119.13999999999999"/>
    <x v="3"/>
    <x v="2"/>
    <x v="0"/>
  </r>
  <r>
    <s v="EZL-27919-704"/>
    <x v="481"/>
    <x v="621"/>
    <s v="L-L-0.5"/>
    <n v="5"/>
    <x v="621"/>
    <s v=""/>
    <x v="0"/>
    <x v="3"/>
    <x v="1"/>
    <x v="1"/>
    <n v="9.51"/>
    <n v="47.55"/>
    <x v="3"/>
    <x v="1"/>
    <x v="1"/>
  </r>
  <r>
    <s v="ZYU-11345-774"/>
    <x v="515"/>
    <x v="622"/>
    <s v="L-M-0.5"/>
    <n v="5"/>
    <x v="622"/>
    <s v="cpenwardenit@mlb.com"/>
    <x v="1"/>
    <x v="3"/>
    <x v="0"/>
    <x v="1"/>
    <n v="8.73"/>
    <n v="43.650000000000006"/>
    <x v="3"/>
    <x v="0"/>
    <x v="1"/>
  </r>
  <r>
    <s v="CPW-34587-459"/>
    <x v="516"/>
    <x v="623"/>
    <s v="A-L-2.5"/>
    <n v="6"/>
    <x v="623"/>
    <s v="mmiddisiu@dmoz.org"/>
    <x v="0"/>
    <x v="2"/>
    <x v="1"/>
    <x v="2"/>
    <n v="29.784999999999997"/>
    <n v="178.70999999999998"/>
    <x v="2"/>
    <x v="1"/>
    <x v="0"/>
  </r>
  <r>
    <s v="NQZ-82067-394"/>
    <x v="517"/>
    <x v="624"/>
    <s v="R-L-2.5"/>
    <n v="1"/>
    <x v="624"/>
    <s v="avairowiv@studiopress.com"/>
    <x v="2"/>
    <x v="0"/>
    <x v="1"/>
    <x v="2"/>
    <n v="27.484999999999996"/>
    <n v="27.484999999999996"/>
    <x v="0"/>
    <x v="1"/>
    <x v="1"/>
  </r>
  <r>
    <s v="JBW-95055-851"/>
    <x v="518"/>
    <x v="625"/>
    <s v="A-M-1"/>
    <n v="5"/>
    <x v="625"/>
    <s v="agoldieiw@goo.gl"/>
    <x v="0"/>
    <x v="2"/>
    <x v="0"/>
    <x v="0"/>
    <n v="11.25"/>
    <n v="56.25"/>
    <x v="2"/>
    <x v="0"/>
    <x v="1"/>
  </r>
  <r>
    <s v="AHY-20324-088"/>
    <x v="519"/>
    <x v="626"/>
    <s v="L-L-0.2"/>
    <n v="2"/>
    <x v="626"/>
    <s v="nayrisix@t-online.de"/>
    <x v="2"/>
    <x v="3"/>
    <x v="1"/>
    <x v="3"/>
    <n v="4.7549999999999999"/>
    <n v="9.51"/>
    <x v="3"/>
    <x v="1"/>
    <x v="0"/>
  </r>
  <r>
    <s v="ZSL-66684-103"/>
    <x v="520"/>
    <x v="627"/>
    <s v="E-M-0.2"/>
    <n v="2"/>
    <x v="627"/>
    <s v="lbenediktovichiy@wunderground.com"/>
    <x v="0"/>
    <x v="1"/>
    <x v="0"/>
    <x v="3"/>
    <n v="4.125"/>
    <n v="8.25"/>
    <x v="1"/>
    <x v="0"/>
    <x v="0"/>
  </r>
  <r>
    <s v="WNE-73911-475"/>
    <x v="521"/>
    <x v="628"/>
    <s v="L-D-0.5"/>
    <n v="6"/>
    <x v="628"/>
    <s v="tjacobovitziz@cbc.ca"/>
    <x v="0"/>
    <x v="3"/>
    <x v="2"/>
    <x v="1"/>
    <n v="7.77"/>
    <n v="46.62"/>
    <x v="3"/>
    <x v="2"/>
    <x v="1"/>
  </r>
  <r>
    <s v="EZB-68383-559"/>
    <x v="418"/>
    <x v="629"/>
    <s v="R-L-1"/>
    <n v="6"/>
    <x v="629"/>
    <s v=""/>
    <x v="0"/>
    <x v="0"/>
    <x v="1"/>
    <x v="0"/>
    <n v="11.95"/>
    <n v="71.699999999999989"/>
    <x v="0"/>
    <x v="1"/>
    <x v="1"/>
  </r>
  <r>
    <s v="OVO-01283-090"/>
    <x v="122"/>
    <x v="630"/>
    <s v="L-L-2.5"/>
    <n v="2"/>
    <x v="630"/>
    <s v="jdruittj1@feedburner.com"/>
    <x v="0"/>
    <x v="3"/>
    <x v="1"/>
    <x v="2"/>
    <n v="36.454999999999998"/>
    <n v="72.91"/>
    <x v="3"/>
    <x v="1"/>
    <x v="0"/>
  </r>
  <r>
    <s v="TXH-78646-919"/>
    <x v="423"/>
    <x v="631"/>
    <s v="R-D-0.2"/>
    <n v="3"/>
    <x v="631"/>
    <s v="dshortallj2@wikipedia.org"/>
    <x v="0"/>
    <x v="0"/>
    <x v="2"/>
    <x v="3"/>
    <n v="2.6849999999999996"/>
    <n v="8.0549999999999997"/>
    <x v="0"/>
    <x v="2"/>
    <x v="0"/>
  </r>
  <r>
    <s v="CYZ-37122-164"/>
    <x v="463"/>
    <x v="632"/>
    <s v="E-M-0.5"/>
    <n v="2"/>
    <x v="632"/>
    <s v="wcottierj3@cafepress.com"/>
    <x v="0"/>
    <x v="1"/>
    <x v="0"/>
    <x v="1"/>
    <n v="8.25"/>
    <n v="16.5"/>
    <x v="1"/>
    <x v="0"/>
    <x v="1"/>
  </r>
  <r>
    <s v="AGQ-06534-750"/>
    <x v="273"/>
    <x v="633"/>
    <s v="A-L-1"/>
    <n v="5"/>
    <x v="633"/>
    <s v="kgrinstedj4@google.com.br"/>
    <x v="1"/>
    <x v="2"/>
    <x v="1"/>
    <x v="0"/>
    <n v="12.95"/>
    <n v="64.75"/>
    <x v="2"/>
    <x v="1"/>
    <x v="1"/>
  </r>
  <r>
    <s v="QVL-32245-818"/>
    <x v="522"/>
    <x v="634"/>
    <s v="A-M-0.5"/>
    <n v="5"/>
    <x v="634"/>
    <s v="dskynerj5@hubpages.com"/>
    <x v="0"/>
    <x v="2"/>
    <x v="0"/>
    <x v="1"/>
    <n v="6.75"/>
    <n v="33.75"/>
    <x v="2"/>
    <x v="0"/>
    <x v="1"/>
  </r>
  <r>
    <s v="LTD-96842-834"/>
    <x v="523"/>
    <x v="635"/>
    <s v="L-D-2.5"/>
    <n v="6"/>
    <x v="635"/>
    <s v=""/>
    <x v="0"/>
    <x v="3"/>
    <x v="2"/>
    <x v="2"/>
    <n v="29.784999999999997"/>
    <n v="178.70999999999998"/>
    <x v="3"/>
    <x v="2"/>
    <x v="1"/>
  </r>
  <r>
    <s v="SEC-91807-425"/>
    <x v="260"/>
    <x v="636"/>
    <s v="A-M-1"/>
    <n v="2"/>
    <x v="636"/>
    <s v="jdymokeje@prnewswire.com"/>
    <x v="1"/>
    <x v="2"/>
    <x v="0"/>
    <x v="0"/>
    <n v="11.25"/>
    <n v="22.5"/>
    <x v="2"/>
    <x v="0"/>
    <x v="1"/>
  </r>
  <r>
    <s v="MHM-44857-599"/>
    <x v="331"/>
    <x v="637"/>
    <s v="L-D-1"/>
    <n v="1"/>
    <x v="637"/>
    <s v="aweinmannj8@shinystat.com"/>
    <x v="0"/>
    <x v="3"/>
    <x v="2"/>
    <x v="0"/>
    <n v="12.95"/>
    <n v="12.95"/>
    <x v="3"/>
    <x v="2"/>
    <x v="1"/>
  </r>
  <r>
    <s v="KGC-95046-911"/>
    <x v="524"/>
    <x v="638"/>
    <s v="A-M-2.5"/>
    <n v="2"/>
    <x v="638"/>
    <s v="eandriessenj9@europa.eu"/>
    <x v="0"/>
    <x v="2"/>
    <x v="0"/>
    <x v="2"/>
    <n v="25.874999999999996"/>
    <n v="51.749999999999993"/>
    <x v="2"/>
    <x v="0"/>
    <x v="0"/>
  </r>
  <r>
    <s v="RZC-75150-413"/>
    <x v="525"/>
    <x v="639"/>
    <s v="E-D-0.5"/>
    <n v="5"/>
    <x v="639"/>
    <s v="rdeaconsonja@archive.org"/>
    <x v="0"/>
    <x v="1"/>
    <x v="2"/>
    <x v="1"/>
    <n v="7.29"/>
    <n v="36.450000000000003"/>
    <x v="1"/>
    <x v="2"/>
    <x v="1"/>
  </r>
  <r>
    <s v="EYH-88288-452"/>
    <x v="526"/>
    <x v="640"/>
    <s v="L-L-2.5"/>
    <n v="5"/>
    <x v="640"/>
    <s v="dcarojb@twitter.com"/>
    <x v="0"/>
    <x v="3"/>
    <x v="1"/>
    <x v="2"/>
    <n v="36.454999999999998"/>
    <n v="182.27499999999998"/>
    <x v="3"/>
    <x v="1"/>
    <x v="0"/>
  </r>
  <r>
    <s v="NYQ-24237-772"/>
    <x v="104"/>
    <x v="641"/>
    <s v="L-D-0.5"/>
    <n v="4"/>
    <x v="641"/>
    <s v="jbluckjc@imageshack.us"/>
    <x v="0"/>
    <x v="3"/>
    <x v="2"/>
    <x v="1"/>
    <n v="7.77"/>
    <n v="31.08"/>
    <x v="3"/>
    <x v="2"/>
    <x v="1"/>
  </r>
  <r>
    <s v="WKB-21680-566"/>
    <x v="491"/>
    <x v="642"/>
    <s v="A-M-0.5"/>
    <n v="3"/>
    <x v="642"/>
    <s v=""/>
    <x v="1"/>
    <x v="2"/>
    <x v="0"/>
    <x v="1"/>
    <n v="6.75"/>
    <n v="20.25"/>
    <x v="2"/>
    <x v="0"/>
    <x v="1"/>
  </r>
  <r>
    <s v="THE-61147-027"/>
    <x v="157"/>
    <x v="636"/>
    <s v="L-D-1"/>
    <n v="2"/>
    <x v="636"/>
    <s v="jdymokeje@prnewswire.com"/>
    <x v="1"/>
    <x v="3"/>
    <x v="2"/>
    <x v="0"/>
    <n v="12.95"/>
    <n v="25.9"/>
    <x v="3"/>
    <x v="2"/>
    <x v="1"/>
  </r>
  <r>
    <s v="PTY-86420-119"/>
    <x v="527"/>
    <x v="643"/>
    <s v="A-D-0.5"/>
    <n v="4"/>
    <x v="643"/>
    <s v="otadmanjf@ft.com"/>
    <x v="0"/>
    <x v="2"/>
    <x v="2"/>
    <x v="1"/>
    <n v="5.97"/>
    <n v="23.88"/>
    <x v="2"/>
    <x v="2"/>
    <x v="0"/>
  </r>
  <r>
    <s v="QHL-27188-431"/>
    <x v="528"/>
    <x v="644"/>
    <s v="L-L-0.5"/>
    <n v="2"/>
    <x v="644"/>
    <s v="bguddejg@dailymotion.com"/>
    <x v="0"/>
    <x v="3"/>
    <x v="1"/>
    <x v="1"/>
    <n v="9.51"/>
    <n v="19.02"/>
    <x v="3"/>
    <x v="1"/>
    <x v="1"/>
  </r>
  <r>
    <s v="MIS-54381-047"/>
    <x v="99"/>
    <x v="645"/>
    <s v="A-D-0.5"/>
    <n v="5"/>
    <x v="645"/>
    <s v="nsictornesjh@buzzfeed.com"/>
    <x v="1"/>
    <x v="2"/>
    <x v="2"/>
    <x v="1"/>
    <n v="5.97"/>
    <n v="29.849999999999998"/>
    <x v="2"/>
    <x v="2"/>
    <x v="0"/>
  </r>
  <r>
    <s v="TBB-29780-459"/>
    <x v="529"/>
    <x v="646"/>
    <s v="A-L-0.5"/>
    <n v="1"/>
    <x v="646"/>
    <s v="vdunningji@independent.co.uk"/>
    <x v="0"/>
    <x v="2"/>
    <x v="1"/>
    <x v="1"/>
    <n v="7.77"/>
    <n v="7.77"/>
    <x v="2"/>
    <x v="1"/>
    <x v="0"/>
  </r>
  <r>
    <s v="QLC-52637-305"/>
    <x v="530"/>
    <x v="647"/>
    <s v="L-D-2.5"/>
    <n v="4"/>
    <x v="647"/>
    <s v=""/>
    <x v="1"/>
    <x v="3"/>
    <x v="2"/>
    <x v="2"/>
    <n v="29.784999999999997"/>
    <n v="119.13999999999999"/>
    <x v="3"/>
    <x v="2"/>
    <x v="0"/>
  </r>
  <r>
    <s v="CWT-27056-328"/>
    <x v="531"/>
    <x v="648"/>
    <s v="E-D-0.2"/>
    <n v="6"/>
    <x v="648"/>
    <s v=""/>
    <x v="0"/>
    <x v="1"/>
    <x v="2"/>
    <x v="3"/>
    <n v="3.645"/>
    <n v="21.87"/>
    <x v="1"/>
    <x v="2"/>
    <x v="0"/>
  </r>
  <r>
    <s v="ASS-05878-128"/>
    <x v="210"/>
    <x v="649"/>
    <s v="E-L-0.5"/>
    <n v="2"/>
    <x v="649"/>
    <s v="sgehringjl@gnu.org"/>
    <x v="0"/>
    <x v="1"/>
    <x v="1"/>
    <x v="1"/>
    <n v="8.91"/>
    <n v="17.82"/>
    <x v="1"/>
    <x v="1"/>
    <x v="1"/>
  </r>
  <r>
    <s v="EGK-03027-418"/>
    <x v="532"/>
    <x v="650"/>
    <s v="E-M-0.2"/>
    <n v="3"/>
    <x v="650"/>
    <s v="bfallowesjm@purevolume.com"/>
    <x v="0"/>
    <x v="1"/>
    <x v="0"/>
    <x v="3"/>
    <n v="4.125"/>
    <n v="12.375"/>
    <x v="1"/>
    <x v="0"/>
    <x v="1"/>
  </r>
  <r>
    <s v="KCY-61732-849"/>
    <x v="533"/>
    <x v="651"/>
    <s v="L-D-1"/>
    <n v="2"/>
    <x v="651"/>
    <s v=""/>
    <x v="1"/>
    <x v="3"/>
    <x v="2"/>
    <x v="0"/>
    <n v="12.95"/>
    <n v="25.9"/>
    <x v="3"/>
    <x v="2"/>
    <x v="1"/>
  </r>
  <r>
    <s v="BLI-21697-702"/>
    <x v="534"/>
    <x v="652"/>
    <s v="A-M-0.5"/>
    <n v="2"/>
    <x v="652"/>
    <s v="sdejo@newsvine.com"/>
    <x v="0"/>
    <x v="2"/>
    <x v="0"/>
    <x v="1"/>
    <n v="6.75"/>
    <n v="13.5"/>
    <x v="2"/>
    <x v="0"/>
    <x v="0"/>
  </r>
  <r>
    <s v="KFJ-46568-890"/>
    <x v="535"/>
    <x v="653"/>
    <s v="E-L-0.5"/>
    <n v="2"/>
    <x v="653"/>
    <s v=""/>
    <x v="0"/>
    <x v="1"/>
    <x v="1"/>
    <x v="1"/>
    <n v="8.91"/>
    <n v="17.82"/>
    <x v="1"/>
    <x v="1"/>
    <x v="0"/>
  </r>
  <r>
    <s v="SOK-43535-680"/>
    <x v="536"/>
    <x v="654"/>
    <s v="E-M-0.5"/>
    <n v="3"/>
    <x v="654"/>
    <s v="scountjq@nba.com"/>
    <x v="0"/>
    <x v="1"/>
    <x v="0"/>
    <x v="1"/>
    <n v="8.25"/>
    <n v="24.75"/>
    <x v="1"/>
    <x v="0"/>
    <x v="1"/>
  </r>
  <r>
    <s v="XUE-87260-201"/>
    <x v="537"/>
    <x v="655"/>
    <s v="R-M-0.2"/>
    <n v="6"/>
    <x v="655"/>
    <s v="sraglesjr@blogtalkradio.com"/>
    <x v="0"/>
    <x v="0"/>
    <x v="0"/>
    <x v="3"/>
    <n v="2.9849999999999999"/>
    <n v="17.91"/>
    <x v="0"/>
    <x v="0"/>
    <x v="1"/>
  </r>
  <r>
    <s v="CZF-40873-691"/>
    <x v="61"/>
    <x v="656"/>
    <s v="E-M-0.5"/>
    <n v="2"/>
    <x v="656"/>
    <s v=""/>
    <x v="2"/>
    <x v="1"/>
    <x v="0"/>
    <x v="1"/>
    <n v="8.25"/>
    <n v="16.5"/>
    <x v="1"/>
    <x v="0"/>
    <x v="1"/>
  </r>
  <r>
    <s v="AIA-98989-755"/>
    <x v="242"/>
    <x v="657"/>
    <s v="R-M-0.2"/>
    <n v="1"/>
    <x v="657"/>
    <s v="sbruunjt@blogtalkradio.com"/>
    <x v="0"/>
    <x v="0"/>
    <x v="0"/>
    <x v="3"/>
    <n v="2.9849999999999999"/>
    <n v="2.9849999999999999"/>
    <x v="0"/>
    <x v="0"/>
    <x v="1"/>
  </r>
  <r>
    <s v="ITZ-21793-986"/>
    <x v="299"/>
    <x v="658"/>
    <s v="E-D-0.2"/>
    <n v="4"/>
    <x v="658"/>
    <s v="aplluju@dagondesign.com"/>
    <x v="1"/>
    <x v="1"/>
    <x v="2"/>
    <x v="3"/>
    <n v="3.645"/>
    <n v="14.58"/>
    <x v="1"/>
    <x v="2"/>
    <x v="0"/>
  </r>
  <r>
    <s v="YOK-93322-608"/>
    <x v="343"/>
    <x v="659"/>
    <s v="E-L-1"/>
    <n v="6"/>
    <x v="659"/>
    <s v="gcornierjv@techcrunch.com"/>
    <x v="0"/>
    <x v="1"/>
    <x v="1"/>
    <x v="0"/>
    <n v="14.85"/>
    <n v="89.1"/>
    <x v="1"/>
    <x v="1"/>
    <x v="1"/>
  </r>
  <r>
    <s v="LXK-00634-611"/>
    <x v="538"/>
    <x v="636"/>
    <s v="R-L-1"/>
    <n v="3"/>
    <x v="636"/>
    <s v="jdymokeje@prnewswire.com"/>
    <x v="1"/>
    <x v="0"/>
    <x v="1"/>
    <x v="0"/>
    <n v="11.95"/>
    <n v="35.849999999999994"/>
    <x v="0"/>
    <x v="1"/>
    <x v="1"/>
  </r>
  <r>
    <s v="CQW-37388-302"/>
    <x v="539"/>
    <x v="660"/>
    <s v="A-D-2.5"/>
    <n v="3"/>
    <x v="660"/>
    <s v="wharvisonjx@gizmodo.com"/>
    <x v="0"/>
    <x v="2"/>
    <x v="2"/>
    <x v="2"/>
    <n v="22.884999999999998"/>
    <n v="68.655000000000001"/>
    <x v="2"/>
    <x v="2"/>
    <x v="1"/>
  </r>
  <r>
    <s v="SPA-79365-334"/>
    <x v="27"/>
    <x v="661"/>
    <s v="L-D-1"/>
    <n v="3"/>
    <x v="661"/>
    <s v="dheafordjy@twitpic.com"/>
    <x v="0"/>
    <x v="3"/>
    <x v="2"/>
    <x v="0"/>
    <n v="12.95"/>
    <n v="38.849999999999994"/>
    <x v="3"/>
    <x v="2"/>
    <x v="1"/>
  </r>
  <r>
    <s v="VPX-08817-517"/>
    <x v="540"/>
    <x v="662"/>
    <s v="L-L-1"/>
    <n v="5"/>
    <x v="662"/>
    <s v="gfanthamjz@hexun.com"/>
    <x v="0"/>
    <x v="3"/>
    <x v="1"/>
    <x v="0"/>
    <n v="15.85"/>
    <n v="79.25"/>
    <x v="3"/>
    <x v="1"/>
    <x v="0"/>
  </r>
  <r>
    <s v="PBP-87115-410"/>
    <x v="541"/>
    <x v="663"/>
    <s v="E-D-0.5"/>
    <n v="5"/>
    <x v="663"/>
    <s v="rcrookshanksk0@unc.edu"/>
    <x v="0"/>
    <x v="1"/>
    <x v="2"/>
    <x v="1"/>
    <n v="7.29"/>
    <n v="36.450000000000003"/>
    <x v="1"/>
    <x v="2"/>
    <x v="0"/>
  </r>
  <r>
    <s v="SFB-93752-440"/>
    <x v="390"/>
    <x v="664"/>
    <s v="R-M-0.2"/>
    <n v="3"/>
    <x v="664"/>
    <s v="nleakek1@cmu.edu"/>
    <x v="0"/>
    <x v="0"/>
    <x v="0"/>
    <x v="3"/>
    <n v="2.9849999999999999"/>
    <n v="8.9550000000000001"/>
    <x v="0"/>
    <x v="0"/>
    <x v="0"/>
  </r>
  <r>
    <s v="TBU-65158-068"/>
    <x v="396"/>
    <x v="665"/>
    <s v="E-D-1"/>
    <n v="2"/>
    <x v="665"/>
    <s v=""/>
    <x v="0"/>
    <x v="1"/>
    <x v="2"/>
    <x v="0"/>
    <n v="12.15"/>
    <n v="24.3"/>
    <x v="1"/>
    <x v="2"/>
    <x v="1"/>
  </r>
  <r>
    <s v="TEH-08414-216"/>
    <x v="185"/>
    <x v="666"/>
    <s v="E-M-2.5"/>
    <n v="2"/>
    <x v="666"/>
    <s v="geilhersenk3@networksolutions.com"/>
    <x v="0"/>
    <x v="1"/>
    <x v="0"/>
    <x v="2"/>
    <n v="31.624999999999996"/>
    <n v="63.249999999999993"/>
    <x v="1"/>
    <x v="0"/>
    <x v="1"/>
  </r>
  <r>
    <s v="MAY-77231-536"/>
    <x v="542"/>
    <x v="667"/>
    <s v="A-M-0.2"/>
    <n v="2"/>
    <x v="667"/>
    <s v=""/>
    <x v="0"/>
    <x v="2"/>
    <x v="0"/>
    <x v="3"/>
    <n v="3.375"/>
    <n v="6.75"/>
    <x v="2"/>
    <x v="0"/>
    <x v="0"/>
  </r>
  <r>
    <s v="ATY-28980-884"/>
    <x v="117"/>
    <x v="668"/>
    <s v="A-L-0.2"/>
    <n v="6"/>
    <x v="668"/>
    <s v="caleixok5@globo.com"/>
    <x v="0"/>
    <x v="2"/>
    <x v="1"/>
    <x v="3"/>
    <n v="3.8849999999999998"/>
    <n v="23.31"/>
    <x v="2"/>
    <x v="1"/>
    <x v="1"/>
  </r>
  <r>
    <s v="SWP-88281-918"/>
    <x v="543"/>
    <x v="669"/>
    <s v="L-L-2.5"/>
    <n v="4"/>
    <x v="669"/>
    <s v=""/>
    <x v="0"/>
    <x v="3"/>
    <x v="1"/>
    <x v="2"/>
    <n v="36.454999999999998"/>
    <n v="145.82"/>
    <x v="3"/>
    <x v="1"/>
    <x v="1"/>
  </r>
  <r>
    <s v="VCE-56531-986"/>
    <x v="544"/>
    <x v="670"/>
    <s v="R-M-0.5"/>
    <n v="5"/>
    <x v="670"/>
    <s v="rtomkowiczk7@bravesites.com"/>
    <x v="1"/>
    <x v="0"/>
    <x v="0"/>
    <x v="1"/>
    <n v="5.97"/>
    <n v="29.849999999999998"/>
    <x v="0"/>
    <x v="0"/>
    <x v="0"/>
  </r>
  <r>
    <s v="FVV-75700-005"/>
    <x v="545"/>
    <x v="671"/>
    <s v="E-D-0.5"/>
    <n v="3"/>
    <x v="671"/>
    <s v="rhuscroftk8@jimdo.com"/>
    <x v="0"/>
    <x v="1"/>
    <x v="2"/>
    <x v="1"/>
    <n v="7.29"/>
    <n v="21.87"/>
    <x v="1"/>
    <x v="2"/>
    <x v="0"/>
  </r>
  <r>
    <s v="CFZ-53492-600"/>
    <x v="546"/>
    <x v="672"/>
    <s v="L-M-0.2"/>
    <n v="1"/>
    <x v="672"/>
    <s v="sscurrerk9@flavors.me"/>
    <x v="2"/>
    <x v="3"/>
    <x v="0"/>
    <x v="3"/>
    <n v="4.3650000000000002"/>
    <n v="4.3650000000000002"/>
    <x v="3"/>
    <x v="0"/>
    <x v="1"/>
  </r>
  <r>
    <s v="LDK-71031-121"/>
    <x v="420"/>
    <x v="673"/>
    <s v="L-L-2.5"/>
    <n v="1"/>
    <x v="673"/>
    <s v="arudramka@prnewswire.com"/>
    <x v="0"/>
    <x v="3"/>
    <x v="1"/>
    <x v="2"/>
    <n v="36.454999999999998"/>
    <n v="36.454999999999998"/>
    <x v="3"/>
    <x v="1"/>
    <x v="1"/>
  </r>
  <r>
    <s v="EBA-82404-343"/>
    <x v="547"/>
    <x v="674"/>
    <s v="L-D-0.2"/>
    <n v="4"/>
    <x v="674"/>
    <s v=""/>
    <x v="0"/>
    <x v="3"/>
    <x v="2"/>
    <x v="3"/>
    <n v="3.8849999999999998"/>
    <n v="15.54"/>
    <x v="3"/>
    <x v="2"/>
    <x v="0"/>
  </r>
  <r>
    <s v="USA-42811-560"/>
    <x v="548"/>
    <x v="675"/>
    <s v="E-L-0.2"/>
    <n v="2"/>
    <x v="675"/>
    <s v="jmahakc@cyberchimps.com"/>
    <x v="0"/>
    <x v="1"/>
    <x v="1"/>
    <x v="3"/>
    <n v="4.4550000000000001"/>
    <n v="8.91"/>
    <x v="1"/>
    <x v="1"/>
    <x v="1"/>
  </r>
  <r>
    <s v="SNL-83703-516"/>
    <x v="549"/>
    <x v="676"/>
    <s v="L-M-2.5"/>
    <n v="3"/>
    <x v="676"/>
    <s v="gclemonkd@networksolutions.com"/>
    <x v="0"/>
    <x v="3"/>
    <x v="0"/>
    <x v="2"/>
    <n v="33.464999999999996"/>
    <n v="100.39499999999998"/>
    <x v="3"/>
    <x v="0"/>
    <x v="0"/>
  </r>
  <r>
    <s v="SUZ-83036-175"/>
    <x v="550"/>
    <x v="677"/>
    <s v="R-D-0.2"/>
    <n v="5"/>
    <x v="677"/>
    <s v=""/>
    <x v="0"/>
    <x v="0"/>
    <x v="2"/>
    <x v="3"/>
    <n v="2.6849999999999996"/>
    <n v="13.424999999999997"/>
    <x v="0"/>
    <x v="2"/>
    <x v="1"/>
  </r>
  <r>
    <s v="RGM-01187-513"/>
    <x v="551"/>
    <x v="678"/>
    <s v="E-D-0.2"/>
    <n v="6"/>
    <x v="678"/>
    <s v="bpollinskf@shinystat.com"/>
    <x v="0"/>
    <x v="1"/>
    <x v="2"/>
    <x v="3"/>
    <n v="3.645"/>
    <n v="21.87"/>
    <x v="1"/>
    <x v="2"/>
    <x v="1"/>
  </r>
  <r>
    <s v="CZG-01299-952"/>
    <x v="552"/>
    <x v="679"/>
    <s v="L-D-1"/>
    <n v="2"/>
    <x v="679"/>
    <s v="jtoyekg@pinterest.com"/>
    <x v="1"/>
    <x v="3"/>
    <x v="2"/>
    <x v="0"/>
    <n v="12.95"/>
    <n v="25.9"/>
    <x v="3"/>
    <x v="2"/>
    <x v="0"/>
  </r>
  <r>
    <s v="KLD-88731-484"/>
    <x v="553"/>
    <x v="680"/>
    <s v="A-M-1"/>
    <n v="5"/>
    <x v="680"/>
    <s v="clinskillkh@sphinn.com"/>
    <x v="0"/>
    <x v="2"/>
    <x v="0"/>
    <x v="0"/>
    <n v="11.25"/>
    <n v="56.25"/>
    <x v="2"/>
    <x v="0"/>
    <x v="1"/>
  </r>
  <r>
    <s v="BQK-38412-229"/>
    <x v="554"/>
    <x v="681"/>
    <s v="R-L-0.2"/>
    <n v="3"/>
    <x v="681"/>
    <s v="nvigrasski@ezinearticles.com"/>
    <x v="2"/>
    <x v="0"/>
    <x v="1"/>
    <x v="3"/>
    <n v="3.5849999999999995"/>
    <n v="10.754999999999999"/>
    <x v="0"/>
    <x v="1"/>
    <x v="1"/>
  </r>
  <r>
    <s v="TCX-76953-071"/>
    <x v="555"/>
    <x v="636"/>
    <s v="E-D-0.2"/>
    <n v="5"/>
    <x v="636"/>
    <s v="jdymokeje@prnewswire.com"/>
    <x v="1"/>
    <x v="1"/>
    <x v="2"/>
    <x v="3"/>
    <n v="3.645"/>
    <n v="18.225000000000001"/>
    <x v="1"/>
    <x v="2"/>
    <x v="1"/>
  </r>
  <r>
    <s v="LIN-88046-551"/>
    <x v="150"/>
    <x v="682"/>
    <s v="R-L-0.5"/>
    <n v="4"/>
    <x v="682"/>
    <s v="kcragellkk@google.com"/>
    <x v="1"/>
    <x v="0"/>
    <x v="1"/>
    <x v="1"/>
    <n v="7.169999999999999"/>
    <n v="28.679999999999996"/>
    <x v="0"/>
    <x v="1"/>
    <x v="1"/>
  </r>
  <r>
    <s v="PMV-54491-220"/>
    <x v="556"/>
    <x v="683"/>
    <s v="L-M-0.2"/>
    <n v="2"/>
    <x v="683"/>
    <s v="libertkl@huffingtonpost.com"/>
    <x v="0"/>
    <x v="3"/>
    <x v="0"/>
    <x v="3"/>
    <n v="4.3650000000000002"/>
    <n v="8.73"/>
    <x v="3"/>
    <x v="0"/>
    <x v="1"/>
  </r>
  <r>
    <s v="SKA-73676-005"/>
    <x v="327"/>
    <x v="684"/>
    <s v="L-M-1"/>
    <n v="4"/>
    <x v="684"/>
    <s v="rlidgeykm@vimeo.com"/>
    <x v="0"/>
    <x v="3"/>
    <x v="0"/>
    <x v="0"/>
    <n v="14.55"/>
    <n v="58.2"/>
    <x v="3"/>
    <x v="0"/>
    <x v="1"/>
  </r>
  <r>
    <s v="TKH-62197-239"/>
    <x v="557"/>
    <x v="685"/>
    <s v="A-D-0.5"/>
    <n v="3"/>
    <x v="685"/>
    <s v="tcastagnekn@wikia.com"/>
    <x v="0"/>
    <x v="2"/>
    <x v="2"/>
    <x v="1"/>
    <n v="5.97"/>
    <n v="17.91"/>
    <x v="2"/>
    <x v="2"/>
    <x v="1"/>
  </r>
  <r>
    <s v="YXF-57218-272"/>
    <x v="333"/>
    <x v="686"/>
    <s v="R-M-0.2"/>
    <n v="6"/>
    <x v="686"/>
    <s v=""/>
    <x v="0"/>
    <x v="0"/>
    <x v="0"/>
    <x v="3"/>
    <n v="2.9849999999999999"/>
    <n v="17.91"/>
    <x v="0"/>
    <x v="0"/>
    <x v="0"/>
  </r>
  <r>
    <s v="PKJ-30083-501"/>
    <x v="558"/>
    <x v="687"/>
    <s v="E-D-0.5"/>
    <n v="2"/>
    <x v="687"/>
    <s v="jhaldenkp@comcast.net"/>
    <x v="1"/>
    <x v="1"/>
    <x v="2"/>
    <x v="1"/>
    <n v="7.29"/>
    <n v="14.58"/>
    <x v="1"/>
    <x v="2"/>
    <x v="1"/>
  </r>
  <r>
    <s v="WTT-91832-645"/>
    <x v="559"/>
    <x v="688"/>
    <s v="A-M-1"/>
    <n v="3"/>
    <x v="688"/>
    <s v="holliffkq@sciencedirect.com"/>
    <x v="1"/>
    <x v="2"/>
    <x v="0"/>
    <x v="0"/>
    <n v="11.25"/>
    <n v="33.75"/>
    <x v="2"/>
    <x v="0"/>
    <x v="1"/>
  </r>
  <r>
    <s v="TRZ-94735-865"/>
    <x v="310"/>
    <x v="689"/>
    <s v="L-M-0.5"/>
    <n v="4"/>
    <x v="689"/>
    <s v="tquadrikr@opensource.org"/>
    <x v="1"/>
    <x v="3"/>
    <x v="0"/>
    <x v="1"/>
    <n v="8.73"/>
    <n v="34.92"/>
    <x v="3"/>
    <x v="0"/>
    <x v="0"/>
  </r>
  <r>
    <s v="UDB-09651-780"/>
    <x v="560"/>
    <x v="690"/>
    <s v="E-D-0.5"/>
    <n v="2"/>
    <x v="690"/>
    <s v="feshmadeks@umn.edu"/>
    <x v="0"/>
    <x v="1"/>
    <x v="2"/>
    <x v="1"/>
    <n v="7.29"/>
    <n v="14.58"/>
    <x v="1"/>
    <x v="2"/>
    <x v="1"/>
  </r>
  <r>
    <s v="EHJ-82097-549"/>
    <x v="561"/>
    <x v="691"/>
    <s v="R-D-0.2"/>
    <n v="2"/>
    <x v="691"/>
    <s v="moilierkt@paginegialle.it"/>
    <x v="1"/>
    <x v="0"/>
    <x v="2"/>
    <x v="3"/>
    <n v="2.6849999999999996"/>
    <n v="5.3699999999999992"/>
    <x v="0"/>
    <x v="2"/>
    <x v="0"/>
  </r>
  <r>
    <s v="ZFR-79447-696"/>
    <x v="562"/>
    <x v="692"/>
    <s v="R-M-0.5"/>
    <n v="1"/>
    <x v="692"/>
    <s v=""/>
    <x v="0"/>
    <x v="0"/>
    <x v="0"/>
    <x v="1"/>
    <n v="5.97"/>
    <n v="5.97"/>
    <x v="0"/>
    <x v="0"/>
    <x v="0"/>
  </r>
  <r>
    <s v="NUU-03893-975"/>
    <x v="563"/>
    <x v="693"/>
    <s v="L-L-0.5"/>
    <n v="2"/>
    <x v="693"/>
    <s v="vshoebothamkv@redcross.org"/>
    <x v="0"/>
    <x v="3"/>
    <x v="1"/>
    <x v="1"/>
    <n v="9.51"/>
    <n v="19.02"/>
    <x v="3"/>
    <x v="1"/>
    <x v="1"/>
  </r>
  <r>
    <s v="GVG-59542-307"/>
    <x v="564"/>
    <x v="694"/>
    <s v="E-M-1"/>
    <n v="2"/>
    <x v="694"/>
    <s v="bsterkekw@biblegateway.com"/>
    <x v="0"/>
    <x v="1"/>
    <x v="0"/>
    <x v="0"/>
    <n v="13.75"/>
    <n v="27.5"/>
    <x v="1"/>
    <x v="0"/>
    <x v="0"/>
  </r>
  <r>
    <s v="YLY-35287-172"/>
    <x v="565"/>
    <x v="695"/>
    <s v="A-D-0.5"/>
    <n v="5"/>
    <x v="695"/>
    <s v="scaponkx@craigslist.org"/>
    <x v="0"/>
    <x v="2"/>
    <x v="2"/>
    <x v="1"/>
    <n v="5.97"/>
    <n v="29.849999999999998"/>
    <x v="2"/>
    <x v="2"/>
    <x v="1"/>
  </r>
  <r>
    <s v="DCI-96254-548"/>
    <x v="566"/>
    <x v="636"/>
    <s v="A-D-0.2"/>
    <n v="6"/>
    <x v="636"/>
    <s v="jdymokeje@prnewswire.com"/>
    <x v="1"/>
    <x v="2"/>
    <x v="2"/>
    <x v="3"/>
    <n v="2.9849999999999999"/>
    <n v="17.91"/>
    <x v="2"/>
    <x v="2"/>
    <x v="1"/>
  </r>
  <r>
    <s v="KHZ-26264-253"/>
    <x v="160"/>
    <x v="696"/>
    <s v="L-L-0.2"/>
    <n v="6"/>
    <x v="696"/>
    <s v="fconstancekz@ifeng.com"/>
    <x v="0"/>
    <x v="3"/>
    <x v="1"/>
    <x v="3"/>
    <n v="4.7549999999999999"/>
    <n v="28.53"/>
    <x v="3"/>
    <x v="1"/>
    <x v="1"/>
  </r>
  <r>
    <s v="AAQ-13644-699"/>
    <x v="567"/>
    <x v="697"/>
    <s v="R-D-1"/>
    <n v="4"/>
    <x v="697"/>
    <s v="fsulmanl0@washington.edu"/>
    <x v="0"/>
    <x v="0"/>
    <x v="2"/>
    <x v="0"/>
    <n v="8.9499999999999993"/>
    <n v="35.799999999999997"/>
    <x v="0"/>
    <x v="2"/>
    <x v="0"/>
  </r>
  <r>
    <s v="LWL-68108-794"/>
    <x v="568"/>
    <x v="698"/>
    <s v="A-D-0.5"/>
    <n v="3"/>
    <x v="698"/>
    <s v="dhollymanl1@ibm.com"/>
    <x v="0"/>
    <x v="2"/>
    <x v="2"/>
    <x v="1"/>
    <n v="5.97"/>
    <n v="17.91"/>
    <x v="2"/>
    <x v="2"/>
    <x v="0"/>
  </r>
  <r>
    <s v="JQT-14347-517"/>
    <x v="569"/>
    <x v="699"/>
    <s v="R-D-1"/>
    <n v="1"/>
    <x v="699"/>
    <s v="lnardonil2@hao123.com"/>
    <x v="0"/>
    <x v="0"/>
    <x v="2"/>
    <x v="0"/>
    <n v="8.9499999999999993"/>
    <n v="8.9499999999999993"/>
    <x v="0"/>
    <x v="2"/>
    <x v="1"/>
  </r>
  <r>
    <s v="BMM-86471-923"/>
    <x v="570"/>
    <x v="700"/>
    <s v="L-D-2.5"/>
    <n v="1"/>
    <x v="700"/>
    <s v="dyarhaml3@moonfruit.com"/>
    <x v="0"/>
    <x v="3"/>
    <x v="2"/>
    <x v="2"/>
    <n v="29.784999999999997"/>
    <n v="29.784999999999997"/>
    <x v="3"/>
    <x v="2"/>
    <x v="0"/>
  </r>
  <r>
    <s v="IXU-67272-326"/>
    <x v="571"/>
    <x v="701"/>
    <s v="E-L-0.5"/>
    <n v="5"/>
    <x v="701"/>
    <s v="aferreal4@wikia.com"/>
    <x v="0"/>
    <x v="1"/>
    <x v="1"/>
    <x v="1"/>
    <n v="8.91"/>
    <n v="44.55"/>
    <x v="1"/>
    <x v="1"/>
    <x v="1"/>
  </r>
  <r>
    <s v="ITE-28312-615"/>
    <x v="139"/>
    <x v="702"/>
    <s v="E-L-1"/>
    <n v="6"/>
    <x v="702"/>
    <s v="ckendrickl5@webnode.com"/>
    <x v="0"/>
    <x v="1"/>
    <x v="1"/>
    <x v="0"/>
    <n v="14.85"/>
    <n v="89.1"/>
    <x v="1"/>
    <x v="1"/>
    <x v="0"/>
  </r>
  <r>
    <s v="ZHQ-30471-635"/>
    <x v="303"/>
    <x v="703"/>
    <s v="L-M-0.5"/>
    <n v="5"/>
    <x v="703"/>
    <s v="sdanilchikl6@mit.edu"/>
    <x v="2"/>
    <x v="3"/>
    <x v="0"/>
    <x v="1"/>
    <n v="8.73"/>
    <n v="43.650000000000006"/>
    <x v="3"/>
    <x v="0"/>
    <x v="1"/>
  </r>
  <r>
    <s v="LTP-31133-134"/>
    <x v="572"/>
    <x v="704"/>
    <s v="A-L-0.5"/>
    <n v="3"/>
    <x v="704"/>
    <s v=""/>
    <x v="0"/>
    <x v="2"/>
    <x v="1"/>
    <x v="1"/>
    <n v="7.77"/>
    <n v="23.31"/>
    <x v="2"/>
    <x v="1"/>
    <x v="1"/>
  </r>
  <r>
    <s v="ZVQ-26122-859"/>
    <x v="573"/>
    <x v="705"/>
    <s v="A-L-2.5"/>
    <n v="6"/>
    <x v="705"/>
    <s v="bfolomkinl8@yolasite.com"/>
    <x v="0"/>
    <x v="2"/>
    <x v="1"/>
    <x v="2"/>
    <n v="29.784999999999997"/>
    <n v="178.70999999999998"/>
    <x v="2"/>
    <x v="1"/>
    <x v="0"/>
  </r>
  <r>
    <s v="MIU-01481-194"/>
    <x v="574"/>
    <x v="706"/>
    <s v="R-M-1"/>
    <n v="6"/>
    <x v="706"/>
    <s v="rpursglovel9@biblegateway.com"/>
    <x v="0"/>
    <x v="0"/>
    <x v="0"/>
    <x v="0"/>
    <n v="9.9499999999999993"/>
    <n v="59.699999999999996"/>
    <x v="0"/>
    <x v="0"/>
    <x v="0"/>
  </r>
  <r>
    <s v="MIU-01481-194"/>
    <x v="574"/>
    <x v="706"/>
    <s v="A-L-0.5"/>
    <n v="2"/>
    <x v="706"/>
    <s v="rpursglovel9@biblegateway.com"/>
    <x v="0"/>
    <x v="2"/>
    <x v="1"/>
    <x v="1"/>
    <n v="7.77"/>
    <n v="15.54"/>
    <x v="2"/>
    <x v="1"/>
    <x v="0"/>
  </r>
  <r>
    <s v="UEA-72681-629"/>
    <x v="455"/>
    <x v="696"/>
    <s v="A-L-2.5"/>
    <n v="3"/>
    <x v="696"/>
    <s v="fconstancekz@ifeng.com"/>
    <x v="0"/>
    <x v="2"/>
    <x v="1"/>
    <x v="2"/>
    <n v="29.784999999999997"/>
    <n v="89.35499999999999"/>
    <x v="2"/>
    <x v="1"/>
    <x v="1"/>
  </r>
  <r>
    <s v="CVE-15042-481"/>
    <x v="575"/>
    <x v="696"/>
    <s v="R-L-1"/>
    <n v="2"/>
    <x v="696"/>
    <s v="fconstancekz@ifeng.com"/>
    <x v="0"/>
    <x v="0"/>
    <x v="1"/>
    <x v="0"/>
    <n v="11.95"/>
    <n v="23.9"/>
    <x v="0"/>
    <x v="1"/>
    <x v="1"/>
  </r>
  <r>
    <s v="EJA-79176-833"/>
    <x v="576"/>
    <x v="707"/>
    <s v="R-M-2.5"/>
    <n v="6"/>
    <x v="707"/>
    <s v="deburahld@google.co.jp"/>
    <x v="2"/>
    <x v="0"/>
    <x v="0"/>
    <x v="2"/>
    <n v="22.884999999999998"/>
    <n v="137.31"/>
    <x v="0"/>
    <x v="0"/>
    <x v="1"/>
  </r>
  <r>
    <s v="AHQ-40440-522"/>
    <x v="577"/>
    <x v="708"/>
    <s v="A-D-1"/>
    <n v="1"/>
    <x v="708"/>
    <s v="mbrimilcombele@cnn.com"/>
    <x v="0"/>
    <x v="2"/>
    <x v="2"/>
    <x v="0"/>
    <n v="9.9499999999999993"/>
    <n v="9.9499999999999993"/>
    <x v="2"/>
    <x v="2"/>
    <x v="1"/>
  </r>
  <r>
    <s v="TID-21626-411"/>
    <x v="578"/>
    <x v="709"/>
    <s v="R-L-0.5"/>
    <n v="3"/>
    <x v="709"/>
    <s v="sbollamlf@list-manage.com"/>
    <x v="0"/>
    <x v="0"/>
    <x v="1"/>
    <x v="1"/>
    <n v="7.169999999999999"/>
    <n v="21.509999999999998"/>
    <x v="0"/>
    <x v="1"/>
    <x v="1"/>
  </r>
  <r>
    <s v="RSR-96390-187"/>
    <x v="579"/>
    <x v="710"/>
    <s v="E-M-1"/>
    <n v="6"/>
    <x v="710"/>
    <s v=""/>
    <x v="0"/>
    <x v="1"/>
    <x v="0"/>
    <x v="0"/>
    <n v="13.75"/>
    <n v="82.5"/>
    <x v="1"/>
    <x v="0"/>
    <x v="1"/>
  </r>
  <r>
    <s v="BZE-96093-118"/>
    <x v="91"/>
    <x v="711"/>
    <s v="L-M-0.2"/>
    <n v="2"/>
    <x v="711"/>
    <s v="afilipczaklh@ning.com"/>
    <x v="1"/>
    <x v="3"/>
    <x v="0"/>
    <x v="3"/>
    <n v="4.3650000000000002"/>
    <n v="8.73"/>
    <x v="3"/>
    <x v="0"/>
    <x v="1"/>
  </r>
  <r>
    <s v="LOU-41819-242"/>
    <x v="272"/>
    <x v="712"/>
    <s v="R-M-1"/>
    <n v="2"/>
    <x v="712"/>
    <s v=""/>
    <x v="0"/>
    <x v="0"/>
    <x v="0"/>
    <x v="0"/>
    <n v="9.9499999999999993"/>
    <n v="19.899999999999999"/>
    <x v="0"/>
    <x v="0"/>
    <x v="0"/>
  </r>
  <r>
    <s v="FND-99527-640"/>
    <x v="65"/>
    <x v="713"/>
    <s v="E-L-0.5"/>
    <n v="2"/>
    <x v="713"/>
    <s v="relnaughlj@comsenz.com"/>
    <x v="0"/>
    <x v="1"/>
    <x v="1"/>
    <x v="1"/>
    <n v="8.91"/>
    <n v="17.82"/>
    <x v="1"/>
    <x v="1"/>
    <x v="0"/>
  </r>
  <r>
    <s v="ASG-27179-958"/>
    <x v="580"/>
    <x v="714"/>
    <s v="A-M-0.5"/>
    <n v="3"/>
    <x v="714"/>
    <s v="jdeehanlk@about.me"/>
    <x v="0"/>
    <x v="2"/>
    <x v="0"/>
    <x v="1"/>
    <n v="6.75"/>
    <n v="20.25"/>
    <x v="2"/>
    <x v="0"/>
    <x v="1"/>
  </r>
  <r>
    <s v="YKX-23510-272"/>
    <x v="581"/>
    <x v="715"/>
    <s v="A-L-2.5"/>
    <n v="2"/>
    <x v="715"/>
    <s v="jedenll@e-recht24.de"/>
    <x v="0"/>
    <x v="2"/>
    <x v="1"/>
    <x v="2"/>
    <n v="29.784999999999997"/>
    <n v="59.569999999999993"/>
    <x v="2"/>
    <x v="1"/>
    <x v="1"/>
  </r>
  <r>
    <s v="FSA-98650-921"/>
    <x v="489"/>
    <x v="716"/>
    <s v="L-L-0.5"/>
    <n v="2"/>
    <x v="716"/>
    <s v="cjewsterlu@moonfruit.com"/>
    <x v="0"/>
    <x v="3"/>
    <x v="1"/>
    <x v="1"/>
    <n v="9.51"/>
    <n v="19.02"/>
    <x v="3"/>
    <x v="1"/>
    <x v="0"/>
  </r>
  <r>
    <s v="ZUR-55774-294"/>
    <x v="234"/>
    <x v="717"/>
    <s v="L-D-1"/>
    <n v="6"/>
    <x v="717"/>
    <s v="usoutherdenln@hao123.com"/>
    <x v="0"/>
    <x v="3"/>
    <x v="2"/>
    <x v="0"/>
    <n v="12.95"/>
    <n v="77.699999999999989"/>
    <x v="3"/>
    <x v="2"/>
    <x v="0"/>
  </r>
  <r>
    <s v="FUO-99821-974"/>
    <x v="175"/>
    <x v="718"/>
    <s v="E-M-1"/>
    <n v="3"/>
    <x v="718"/>
    <s v=""/>
    <x v="0"/>
    <x v="1"/>
    <x v="0"/>
    <x v="0"/>
    <n v="13.75"/>
    <n v="41.25"/>
    <x v="1"/>
    <x v="0"/>
    <x v="1"/>
  </r>
  <r>
    <s v="YVH-19865-819"/>
    <x v="582"/>
    <x v="719"/>
    <s v="L-L-2.5"/>
    <n v="4"/>
    <x v="719"/>
    <s v="lburtenshawlp@shinystat.com"/>
    <x v="0"/>
    <x v="3"/>
    <x v="1"/>
    <x v="2"/>
    <n v="36.454999999999998"/>
    <n v="145.82"/>
    <x v="3"/>
    <x v="1"/>
    <x v="1"/>
  </r>
  <r>
    <s v="NNF-47422-501"/>
    <x v="583"/>
    <x v="720"/>
    <s v="E-L-0.2"/>
    <n v="6"/>
    <x v="720"/>
    <s v="agregorattilq@vistaprint.com"/>
    <x v="1"/>
    <x v="1"/>
    <x v="1"/>
    <x v="3"/>
    <n v="4.4550000000000001"/>
    <n v="26.73"/>
    <x v="1"/>
    <x v="1"/>
    <x v="1"/>
  </r>
  <r>
    <s v="RJI-71409-490"/>
    <x v="548"/>
    <x v="721"/>
    <s v="L-M-0.5"/>
    <n v="5"/>
    <x v="721"/>
    <s v="ccrosterlr@gov.uk"/>
    <x v="0"/>
    <x v="3"/>
    <x v="0"/>
    <x v="1"/>
    <n v="8.73"/>
    <n v="43.650000000000006"/>
    <x v="3"/>
    <x v="0"/>
    <x v="0"/>
  </r>
  <r>
    <s v="UZL-46108-213"/>
    <x v="584"/>
    <x v="722"/>
    <s v="L-L-1"/>
    <n v="2"/>
    <x v="722"/>
    <s v="gwhiteheadls@hp.com"/>
    <x v="0"/>
    <x v="3"/>
    <x v="1"/>
    <x v="0"/>
    <n v="15.85"/>
    <n v="31.7"/>
    <x v="3"/>
    <x v="1"/>
    <x v="1"/>
  </r>
  <r>
    <s v="AOX-44467-109"/>
    <x v="64"/>
    <x v="723"/>
    <s v="A-D-2.5"/>
    <n v="1"/>
    <x v="723"/>
    <s v="hjodrellelt@samsung.com"/>
    <x v="0"/>
    <x v="2"/>
    <x v="2"/>
    <x v="2"/>
    <n v="22.884999999999998"/>
    <n v="22.884999999999998"/>
    <x v="2"/>
    <x v="2"/>
    <x v="1"/>
  </r>
  <r>
    <s v="TZD-67261-174"/>
    <x v="585"/>
    <x v="716"/>
    <s v="E-D-2.5"/>
    <n v="1"/>
    <x v="716"/>
    <s v="cjewsterlu@moonfruit.com"/>
    <x v="0"/>
    <x v="1"/>
    <x v="2"/>
    <x v="2"/>
    <n v="27.945"/>
    <n v="27.945"/>
    <x v="1"/>
    <x v="2"/>
    <x v="0"/>
  </r>
  <r>
    <s v="TBU-64277-625"/>
    <x v="32"/>
    <x v="724"/>
    <s v="E-M-1"/>
    <n v="6"/>
    <x v="724"/>
    <s v=""/>
    <x v="0"/>
    <x v="1"/>
    <x v="0"/>
    <x v="0"/>
    <n v="13.75"/>
    <n v="82.5"/>
    <x v="1"/>
    <x v="0"/>
    <x v="0"/>
  </r>
  <r>
    <s v="TYP-85767-944"/>
    <x v="586"/>
    <x v="725"/>
    <s v="R-M-2.5"/>
    <n v="2"/>
    <x v="725"/>
    <s v="knottramlw@odnoklassniki.ru"/>
    <x v="1"/>
    <x v="0"/>
    <x v="0"/>
    <x v="2"/>
    <n v="22.884999999999998"/>
    <n v="45.769999999999996"/>
    <x v="0"/>
    <x v="0"/>
    <x v="0"/>
  </r>
  <r>
    <s v="GTT-73214-334"/>
    <x v="535"/>
    <x v="726"/>
    <s v="A-L-1"/>
    <n v="6"/>
    <x v="726"/>
    <s v="nbuneylx@jugem.jp"/>
    <x v="0"/>
    <x v="2"/>
    <x v="1"/>
    <x v="0"/>
    <n v="12.95"/>
    <n v="77.699999999999989"/>
    <x v="2"/>
    <x v="1"/>
    <x v="1"/>
  </r>
  <r>
    <s v="WAI-89905-069"/>
    <x v="587"/>
    <x v="727"/>
    <s v="A-L-0.5"/>
    <n v="3"/>
    <x v="727"/>
    <s v="smcshealy@photobucket.com"/>
    <x v="0"/>
    <x v="2"/>
    <x v="1"/>
    <x v="1"/>
    <n v="7.77"/>
    <n v="23.31"/>
    <x v="2"/>
    <x v="1"/>
    <x v="1"/>
  </r>
  <r>
    <s v="OJL-96844-459"/>
    <x v="393"/>
    <x v="728"/>
    <s v="L-L-0.2"/>
    <n v="5"/>
    <x v="728"/>
    <s v="khuddartlz@about.com"/>
    <x v="0"/>
    <x v="3"/>
    <x v="1"/>
    <x v="3"/>
    <n v="4.7549999999999999"/>
    <n v="23.774999999999999"/>
    <x v="3"/>
    <x v="1"/>
    <x v="0"/>
  </r>
  <r>
    <s v="VGI-33205-360"/>
    <x v="588"/>
    <x v="729"/>
    <s v="L-M-0.5"/>
    <n v="6"/>
    <x v="729"/>
    <s v="jgippesm0@cloudflare.com"/>
    <x v="2"/>
    <x v="3"/>
    <x v="0"/>
    <x v="1"/>
    <n v="8.73"/>
    <n v="52.38"/>
    <x v="3"/>
    <x v="0"/>
    <x v="0"/>
  </r>
  <r>
    <s v="PCA-14081-576"/>
    <x v="15"/>
    <x v="730"/>
    <s v="R-L-0.2"/>
    <n v="5"/>
    <x v="730"/>
    <s v="lwhittleseem1@e-recht24.de"/>
    <x v="0"/>
    <x v="0"/>
    <x v="1"/>
    <x v="3"/>
    <n v="3.5849999999999995"/>
    <n v="17.924999999999997"/>
    <x v="0"/>
    <x v="1"/>
    <x v="1"/>
  </r>
  <r>
    <s v="SCS-67069-962"/>
    <x v="507"/>
    <x v="731"/>
    <s v="A-L-2.5"/>
    <n v="5"/>
    <x v="731"/>
    <s v="gtrengrovem2@elpais.com"/>
    <x v="0"/>
    <x v="2"/>
    <x v="1"/>
    <x v="2"/>
    <n v="29.784999999999997"/>
    <n v="148.92499999999998"/>
    <x v="2"/>
    <x v="1"/>
    <x v="1"/>
  </r>
  <r>
    <s v="BDM-03174-485"/>
    <x v="533"/>
    <x v="732"/>
    <s v="R-L-0.5"/>
    <n v="4"/>
    <x v="732"/>
    <s v="wcalderom3@stumbleupon.com"/>
    <x v="0"/>
    <x v="0"/>
    <x v="1"/>
    <x v="1"/>
    <n v="7.169999999999999"/>
    <n v="28.679999999999996"/>
    <x v="0"/>
    <x v="1"/>
    <x v="1"/>
  </r>
  <r>
    <s v="UJV-32333-364"/>
    <x v="589"/>
    <x v="733"/>
    <s v="L-L-0.5"/>
    <n v="1"/>
    <x v="733"/>
    <s v=""/>
    <x v="0"/>
    <x v="3"/>
    <x v="1"/>
    <x v="1"/>
    <n v="9.51"/>
    <n v="9.51"/>
    <x v="3"/>
    <x v="1"/>
    <x v="1"/>
  </r>
  <r>
    <s v="FLI-11493-954"/>
    <x v="590"/>
    <x v="734"/>
    <s v="A-L-0.5"/>
    <n v="4"/>
    <x v="734"/>
    <s v="jkennicottm5@yahoo.co.jp"/>
    <x v="0"/>
    <x v="2"/>
    <x v="1"/>
    <x v="1"/>
    <n v="7.77"/>
    <n v="31.08"/>
    <x v="2"/>
    <x v="1"/>
    <x v="1"/>
  </r>
  <r>
    <s v="IWL-13117-537"/>
    <x v="457"/>
    <x v="735"/>
    <s v="R-D-0.2"/>
    <n v="3"/>
    <x v="735"/>
    <s v="gruggenm6@nymag.com"/>
    <x v="0"/>
    <x v="0"/>
    <x v="2"/>
    <x v="3"/>
    <n v="2.6849999999999996"/>
    <n v="8.0549999999999997"/>
    <x v="0"/>
    <x v="2"/>
    <x v="0"/>
  </r>
  <r>
    <s v="OAM-76916-748"/>
    <x v="591"/>
    <x v="736"/>
    <s v="E-D-1"/>
    <n v="3"/>
    <x v="736"/>
    <s v=""/>
    <x v="0"/>
    <x v="1"/>
    <x v="2"/>
    <x v="0"/>
    <n v="12.15"/>
    <n v="36.450000000000003"/>
    <x v="1"/>
    <x v="2"/>
    <x v="0"/>
  </r>
  <r>
    <s v="UMB-11223-710"/>
    <x v="592"/>
    <x v="737"/>
    <s v="R-D-0.2"/>
    <n v="6"/>
    <x v="737"/>
    <s v="mfrightm8@harvard.edu"/>
    <x v="1"/>
    <x v="0"/>
    <x v="2"/>
    <x v="3"/>
    <n v="2.6849999999999996"/>
    <n v="16.11"/>
    <x v="0"/>
    <x v="2"/>
    <x v="1"/>
  </r>
  <r>
    <s v="LXR-09892-726"/>
    <x v="402"/>
    <x v="738"/>
    <s v="R-D-2.5"/>
    <n v="2"/>
    <x v="738"/>
    <s v="btartem9@aol.com"/>
    <x v="0"/>
    <x v="0"/>
    <x v="2"/>
    <x v="2"/>
    <n v="20.584999999999997"/>
    <n v="41.169999999999995"/>
    <x v="0"/>
    <x v="2"/>
    <x v="0"/>
  </r>
  <r>
    <s v="QXX-89943-393"/>
    <x v="593"/>
    <x v="739"/>
    <s v="R-D-0.2"/>
    <n v="4"/>
    <x v="739"/>
    <s v="ckrzysztofiakma@skyrock.com"/>
    <x v="0"/>
    <x v="0"/>
    <x v="2"/>
    <x v="3"/>
    <n v="2.6849999999999996"/>
    <n v="10.739999999999998"/>
    <x v="0"/>
    <x v="2"/>
    <x v="1"/>
  </r>
  <r>
    <s v="WVS-57822-366"/>
    <x v="594"/>
    <x v="740"/>
    <s v="E-M-2.5"/>
    <n v="4"/>
    <x v="740"/>
    <s v="dpenquetmb@diigo.com"/>
    <x v="0"/>
    <x v="1"/>
    <x v="0"/>
    <x v="2"/>
    <n v="31.624999999999996"/>
    <n v="126.49999999999999"/>
    <x v="1"/>
    <x v="0"/>
    <x v="1"/>
  </r>
  <r>
    <s v="CLJ-23403-689"/>
    <x v="77"/>
    <x v="741"/>
    <s v="R-L-1"/>
    <n v="2"/>
    <x v="741"/>
    <s v=""/>
    <x v="2"/>
    <x v="0"/>
    <x v="1"/>
    <x v="0"/>
    <n v="11.95"/>
    <n v="23.9"/>
    <x v="0"/>
    <x v="1"/>
    <x v="1"/>
  </r>
  <r>
    <s v="XNU-83276-288"/>
    <x v="595"/>
    <x v="742"/>
    <s v="R-M-0.5"/>
    <n v="1"/>
    <x v="742"/>
    <s v=""/>
    <x v="0"/>
    <x v="0"/>
    <x v="0"/>
    <x v="1"/>
    <n v="5.97"/>
    <n v="5.97"/>
    <x v="0"/>
    <x v="0"/>
    <x v="1"/>
  </r>
  <r>
    <s v="YOG-94666-679"/>
    <x v="596"/>
    <x v="743"/>
    <s v="L-D-0.2"/>
    <n v="2"/>
    <x v="743"/>
    <s v=""/>
    <x v="2"/>
    <x v="3"/>
    <x v="2"/>
    <x v="3"/>
    <n v="3.8849999999999998"/>
    <n v="7.77"/>
    <x v="3"/>
    <x v="2"/>
    <x v="0"/>
  </r>
  <r>
    <s v="KHG-33953-115"/>
    <x v="514"/>
    <x v="744"/>
    <s v="L-D-0.5"/>
    <n v="3"/>
    <x v="744"/>
    <s v="kferrettimf@huffingtonpost.com"/>
    <x v="1"/>
    <x v="3"/>
    <x v="2"/>
    <x v="1"/>
    <n v="7.77"/>
    <n v="23.31"/>
    <x v="3"/>
    <x v="2"/>
    <x v="1"/>
  </r>
  <r>
    <s v="MHD-95615-696"/>
    <x v="54"/>
    <x v="745"/>
    <s v="R-L-2.5"/>
    <n v="5"/>
    <x v="745"/>
    <s v=""/>
    <x v="0"/>
    <x v="0"/>
    <x v="1"/>
    <x v="2"/>
    <n v="27.484999999999996"/>
    <n v="137.42499999999998"/>
    <x v="0"/>
    <x v="1"/>
    <x v="1"/>
  </r>
  <r>
    <s v="HBH-64794-080"/>
    <x v="597"/>
    <x v="746"/>
    <s v="R-D-0.2"/>
    <n v="3"/>
    <x v="746"/>
    <s v=""/>
    <x v="0"/>
    <x v="0"/>
    <x v="2"/>
    <x v="3"/>
    <n v="2.6849999999999996"/>
    <n v="8.0549999999999997"/>
    <x v="0"/>
    <x v="2"/>
    <x v="0"/>
  </r>
  <r>
    <s v="CNJ-56058-223"/>
    <x v="105"/>
    <x v="747"/>
    <s v="L-L-0.5"/>
    <n v="3"/>
    <x v="747"/>
    <s v="abalsdonemi@toplist.cz"/>
    <x v="0"/>
    <x v="3"/>
    <x v="1"/>
    <x v="1"/>
    <n v="9.51"/>
    <n v="28.53"/>
    <x v="3"/>
    <x v="1"/>
    <x v="1"/>
  </r>
  <r>
    <s v="KHO-27106-786"/>
    <x v="210"/>
    <x v="748"/>
    <s v="A-M-1"/>
    <n v="6"/>
    <x v="748"/>
    <s v="bromeramj@list-manage.com"/>
    <x v="1"/>
    <x v="2"/>
    <x v="0"/>
    <x v="0"/>
    <n v="11.25"/>
    <n v="67.5"/>
    <x v="2"/>
    <x v="0"/>
    <x v="0"/>
  </r>
  <r>
    <s v="KHO-27106-786"/>
    <x v="210"/>
    <x v="748"/>
    <s v="L-D-2.5"/>
    <n v="6"/>
    <x v="748"/>
    <s v="bromeramj@list-manage.com"/>
    <x v="1"/>
    <x v="3"/>
    <x v="2"/>
    <x v="2"/>
    <n v="29.784999999999997"/>
    <n v="178.70999999999998"/>
    <x v="3"/>
    <x v="2"/>
    <x v="0"/>
  </r>
  <r>
    <s v="YAC-50329-982"/>
    <x v="598"/>
    <x v="749"/>
    <s v="E-M-2.5"/>
    <n v="1"/>
    <x v="749"/>
    <s v="cbrydeml@tuttocitta.it"/>
    <x v="0"/>
    <x v="1"/>
    <x v="0"/>
    <x v="2"/>
    <n v="31.624999999999996"/>
    <n v="31.624999999999996"/>
    <x v="1"/>
    <x v="0"/>
    <x v="0"/>
  </r>
  <r>
    <s v="VVL-95291-039"/>
    <x v="360"/>
    <x v="750"/>
    <s v="E-L-0.2"/>
    <n v="2"/>
    <x v="750"/>
    <s v="senefermm@blog.com"/>
    <x v="0"/>
    <x v="1"/>
    <x v="1"/>
    <x v="3"/>
    <n v="4.4550000000000001"/>
    <n v="8.91"/>
    <x v="1"/>
    <x v="1"/>
    <x v="1"/>
  </r>
  <r>
    <s v="VUT-20974-364"/>
    <x v="62"/>
    <x v="751"/>
    <s v="R-M-0.5"/>
    <n v="6"/>
    <x v="751"/>
    <s v="lhaggerstonemn@independent.co.uk"/>
    <x v="0"/>
    <x v="0"/>
    <x v="0"/>
    <x v="1"/>
    <n v="5.97"/>
    <n v="35.82"/>
    <x v="0"/>
    <x v="0"/>
    <x v="1"/>
  </r>
  <r>
    <s v="SFC-34054-213"/>
    <x v="599"/>
    <x v="752"/>
    <s v="L-L-0.5"/>
    <n v="4"/>
    <x v="752"/>
    <s v="mgundrymo@omniture.com"/>
    <x v="1"/>
    <x v="3"/>
    <x v="1"/>
    <x v="1"/>
    <n v="9.51"/>
    <n v="38.04"/>
    <x v="3"/>
    <x v="1"/>
    <x v="1"/>
  </r>
  <r>
    <s v="UDS-04807-593"/>
    <x v="600"/>
    <x v="753"/>
    <s v="L-D-0.5"/>
    <n v="2"/>
    <x v="753"/>
    <s v="bwellanmp@cafepress.com"/>
    <x v="0"/>
    <x v="3"/>
    <x v="2"/>
    <x v="1"/>
    <n v="7.77"/>
    <n v="15.54"/>
    <x v="3"/>
    <x v="2"/>
    <x v="1"/>
  </r>
  <r>
    <s v="FWE-98471-488"/>
    <x v="601"/>
    <x v="745"/>
    <s v="L-L-1"/>
    <n v="5"/>
    <x v="745"/>
    <s v=""/>
    <x v="0"/>
    <x v="3"/>
    <x v="1"/>
    <x v="0"/>
    <n v="15.85"/>
    <n v="79.25"/>
    <x v="3"/>
    <x v="1"/>
    <x v="1"/>
  </r>
  <r>
    <s v="RAU-17060-674"/>
    <x v="602"/>
    <x v="754"/>
    <s v="L-L-0.2"/>
    <n v="1"/>
    <x v="754"/>
    <s v="catchesonmr@xinhuanet.com"/>
    <x v="0"/>
    <x v="3"/>
    <x v="1"/>
    <x v="3"/>
    <n v="4.7549999999999999"/>
    <n v="4.7549999999999999"/>
    <x v="3"/>
    <x v="1"/>
    <x v="0"/>
  </r>
  <r>
    <s v="AOL-13866-711"/>
    <x v="603"/>
    <x v="755"/>
    <s v="E-M-1"/>
    <n v="4"/>
    <x v="755"/>
    <s v="estentonms@google.it"/>
    <x v="0"/>
    <x v="1"/>
    <x v="0"/>
    <x v="0"/>
    <n v="13.75"/>
    <n v="55"/>
    <x v="1"/>
    <x v="0"/>
    <x v="0"/>
  </r>
  <r>
    <s v="NOA-79645-377"/>
    <x v="604"/>
    <x v="756"/>
    <s v="R-D-0.5"/>
    <n v="5"/>
    <x v="756"/>
    <s v="etrippmt@wp.com"/>
    <x v="0"/>
    <x v="0"/>
    <x v="2"/>
    <x v="1"/>
    <n v="5.3699999999999992"/>
    <n v="26.849999999999994"/>
    <x v="0"/>
    <x v="2"/>
    <x v="1"/>
  </r>
  <r>
    <s v="KMS-49214-806"/>
    <x v="605"/>
    <x v="757"/>
    <s v="E-L-2.5"/>
    <n v="4"/>
    <x v="757"/>
    <s v="lmacmanusmu@imdb.com"/>
    <x v="0"/>
    <x v="1"/>
    <x v="1"/>
    <x v="2"/>
    <n v="34.154999999999994"/>
    <n v="136.61999999999998"/>
    <x v="1"/>
    <x v="1"/>
    <x v="1"/>
  </r>
  <r>
    <s v="ABK-08091-531"/>
    <x v="606"/>
    <x v="758"/>
    <s v="L-L-1"/>
    <n v="3"/>
    <x v="758"/>
    <s v="tbenediktovichmv@ebay.com"/>
    <x v="0"/>
    <x v="3"/>
    <x v="1"/>
    <x v="0"/>
    <n v="15.85"/>
    <n v="47.55"/>
    <x v="3"/>
    <x v="1"/>
    <x v="0"/>
  </r>
  <r>
    <s v="GPT-67705-953"/>
    <x v="446"/>
    <x v="759"/>
    <s v="A-M-0.2"/>
    <n v="5"/>
    <x v="759"/>
    <s v="cbournermw@chronoengine.com"/>
    <x v="0"/>
    <x v="2"/>
    <x v="0"/>
    <x v="3"/>
    <n v="3.375"/>
    <n v="16.875"/>
    <x v="2"/>
    <x v="0"/>
    <x v="0"/>
  </r>
  <r>
    <s v="JNA-21450-177"/>
    <x v="18"/>
    <x v="760"/>
    <s v="A-D-1"/>
    <n v="3"/>
    <x v="760"/>
    <s v="oskermen3@hatena.ne.jp"/>
    <x v="0"/>
    <x v="2"/>
    <x v="2"/>
    <x v="0"/>
    <n v="9.9499999999999993"/>
    <n v="29.849999999999998"/>
    <x v="2"/>
    <x v="2"/>
    <x v="0"/>
  </r>
  <r>
    <s v="MPQ-23421-608"/>
    <x v="180"/>
    <x v="761"/>
    <s v="E-M-0.5"/>
    <n v="5"/>
    <x v="761"/>
    <s v="kheddanmy@icq.com"/>
    <x v="0"/>
    <x v="1"/>
    <x v="0"/>
    <x v="1"/>
    <n v="8.25"/>
    <n v="41.25"/>
    <x v="1"/>
    <x v="0"/>
    <x v="0"/>
  </r>
  <r>
    <s v="NLI-63891-565"/>
    <x v="580"/>
    <x v="762"/>
    <s v="E-M-0.2"/>
    <n v="5"/>
    <x v="762"/>
    <s v="ichartersmz@abc.net.au"/>
    <x v="0"/>
    <x v="1"/>
    <x v="0"/>
    <x v="3"/>
    <n v="4.125"/>
    <n v="20.625"/>
    <x v="1"/>
    <x v="0"/>
    <x v="1"/>
  </r>
  <r>
    <s v="HHF-36647-854"/>
    <x v="453"/>
    <x v="763"/>
    <s v="A-D-2.5"/>
    <n v="6"/>
    <x v="763"/>
    <s v="aroubertn0@tmall.com"/>
    <x v="0"/>
    <x v="2"/>
    <x v="2"/>
    <x v="2"/>
    <n v="22.884999999999998"/>
    <n v="137.31"/>
    <x v="2"/>
    <x v="2"/>
    <x v="0"/>
  </r>
  <r>
    <s v="SBN-16537-046"/>
    <x v="259"/>
    <x v="764"/>
    <s v="A-D-0.2"/>
    <n v="1"/>
    <x v="764"/>
    <s v="hmairsn1@so-net.ne.jp"/>
    <x v="0"/>
    <x v="2"/>
    <x v="2"/>
    <x v="3"/>
    <n v="2.9849999999999999"/>
    <n v="2.9849999999999999"/>
    <x v="2"/>
    <x v="2"/>
    <x v="1"/>
  </r>
  <r>
    <s v="XZD-44484-632"/>
    <x v="607"/>
    <x v="765"/>
    <s v="E-M-1"/>
    <n v="2"/>
    <x v="765"/>
    <s v="hrainforthn2@blog.com"/>
    <x v="0"/>
    <x v="1"/>
    <x v="0"/>
    <x v="0"/>
    <n v="13.75"/>
    <n v="27.5"/>
    <x v="1"/>
    <x v="0"/>
    <x v="1"/>
  </r>
  <r>
    <s v="XZD-44484-632"/>
    <x v="607"/>
    <x v="765"/>
    <s v="A-D-0.2"/>
    <n v="2"/>
    <x v="765"/>
    <s v="hrainforthn2@blog.com"/>
    <x v="0"/>
    <x v="2"/>
    <x v="2"/>
    <x v="3"/>
    <n v="2.9849999999999999"/>
    <n v="5.97"/>
    <x v="2"/>
    <x v="2"/>
    <x v="1"/>
  </r>
  <r>
    <s v="IKQ-39946-768"/>
    <x v="385"/>
    <x v="766"/>
    <s v="R-M-1"/>
    <n v="6"/>
    <x v="766"/>
    <s v="ijespern4@theglobeandmail.com"/>
    <x v="0"/>
    <x v="0"/>
    <x v="0"/>
    <x v="0"/>
    <n v="9.9499999999999993"/>
    <n v="59.699999999999996"/>
    <x v="0"/>
    <x v="0"/>
    <x v="1"/>
  </r>
  <r>
    <s v="KMB-95211-174"/>
    <x v="608"/>
    <x v="767"/>
    <s v="R-D-2.5"/>
    <n v="4"/>
    <x v="767"/>
    <s v="ldwerryhousen5@gravatar.com"/>
    <x v="0"/>
    <x v="0"/>
    <x v="2"/>
    <x v="2"/>
    <n v="20.584999999999997"/>
    <n v="82.339999999999989"/>
    <x v="0"/>
    <x v="2"/>
    <x v="0"/>
  </r>
  <r>
    <s v="QWY-99467-368"/>
    <x v="609"/>
    <x v="768"/>
    <s v="A-D-2.5"/>
    <n v="1"/>
    <x v="768"/>
    <s v="nbroomern6@examiner.com"/>
    <x v="0"/>
    <x v="2"/>
    <x v="2"/>
    <x v="2"/>
    <n v="22.884999999999998"/>
    <n v="22.884999999999998"/>
    <x v="2"/>
    <x v="2"/>
    <x v="1"/>
  </r>
  <r>
    <s v="SRG-76791-614"/>
    <x v="147"/>
    <x v="769"/>
    <s v="E-L-0.5"/>
    <n v="1"/>
    <x v="769"/>
    <s v="kthoumassonn7@bloglovin.com"/>
    <x v="0"/>
    <x v="1"/>
    <x v="1"/>
    <x v="1"/>
    <n v="8.91"/>
    <n v="8.91"/>
    <x v="1"/>
    <x v="1"/>
    <x v="0"/>
  </r>
  <r>
    <s v="VSN-94485-621"/>
    <x v="172"/>
    <x v="770"/>
    <s v="A-D-0.2"/>
    <n v="4"/>
    <x v="770"/>
    <s v="fhabberghamn8@discovery.com"/>
    <x v="0"/>
    <x v="2"/>
    <x v="2"/>
    <x v="3"/>
    <n v="2.9849999999999999"/>
    <n v="11.94"/>
    <x v="2"/>
    <x v="2"/>
    <x v="1"/>
  </r>
  <r>
    <s v="UFZ-24348-219"/>
    <x v="610"/>
    <x v="745"/>
    <s v="L-M-2.5"/>
    <n v="3"/>
    <x v="745"/>
    <s v=""/>
    <x v="0"/>
    <x v="3"/>
    <x v="0"/>
    <x v="2"/>
    <n v="33.464999999999996"/>
    <n v="100.39499999999998"/>
    <x v="3"/>
    <x v="0"/>
    <x v="1"/>
  </r>
  <r>
    <s v="UKS-93055-397"/>
    <x v="611"/>
    <x v="771"/>
    <s v="A-D-2.5"/>
    <n v="5"/>
    <x v="771"/>
    <s v="ravrashinna@tamu.edu"/>
    <x v="0"/>
    <x v="2"/>
    <x v="2"/>
    <x v="2"/>
    <n v="22.884999999999998"/>
    <n v="114.42499999999998"/>
    <x v="2"/>
    <x v="2"/>
    <x v="1"/>
  </r>
  <r>
    <s v="AVH-56062-335"/>
    <x v="612"/>
    <x v="772"/>
    <s v="E-M-0.5"/>
    <n v="5"/>
    <x v="772"/>
    <s v="mdoidgenb@etsy.com"/>
    <x v="0"/>
    <x v="1"/>
    <x v="0"/>
    <x v="1"/>
    <n v="8.25"/>
    <n v="41.25"/>
    <x v="1"/>
    <x v="0"/>
    <x v="1"/>
  </r>
  <r>
    <s v="HGE-19842-613"/>
    <x v="613"/>
    <x v="773"/>
    <s v="R-L-0.5"/>
    <n v="4"/>
    <x v="773"/>
    <s v="jedinboronc@reverbnation.com"/>
    <x v="0"/>
    <x v="0"/>
    <x v="1"/>
    <x v="1"/>
    <n v="7.169999999999999"/>
    <n v="28.679999999999996"/>
    <x v="0"/>
    <x v="1"/>
    <x v="0"/>
  </r>
  <r>
    <s v="WBA-85905-175"/>
    <x v="611"/>
    <x v="774"/>
    <s v="L-M-0.2"/>
    <n v="1"/>
    <x v="774"/>
    <s v="ttewelsonnd@cdbaby.com"/>
    <x v="0"/>
    <x v="3"/>
    <x v="0"/>
    <x v="3"/>
    <n v="4.3650000000000002"/>
    <n v="4.3650000000000002"/>
    <x v="3"/>
    <x v="0"/>
    <x v="1"/>
  </r>
  <r>
    <s v="DZI-35365-596"/>
    <x v="493"/>
    <x v="760"/>
    <s v="E-M-0.2"/>
    <n v="2"/>
    <x v="760"/>
    <s v="oskermen3@hatena.ne.jp"/>
    <x v="0"/>
    <x v="1"/>
    <x v="0"/>
    <x v="3"/>
    <n v="4.125"/>
    <n v="8.25"/>
    <x v="1"/>
    <x v="0"/>
    <x v="0"/>
  </r>
  <r>
    <s v="XIR-88982-743"/>
    <x v="614"/>
    <x v="775"/>
    <s v="E-M-0.2"/>
    <n v="2"/>
    <x v="775"/>
    <s v="ddrewittnf@mapquest.com"/>
    <x v="0"/>
    <x v="1"/>
    <x v="0"/>
    <x v="3"/>
    <n v="4.125"/>
    <n v="8.25"/>
    <x v="1"/>
    <x v="0"/>
    <x v="0"/>
  </r>
  <r>
    <s v="VUC-72395-865"/>
    <x v="151"/>
    <x v="776"/>
    <s v="A-D-0.5"/>
    <n v="6"/>
    <x v="776"/>
    <s v="agladhillng@stanford.edu"/>
    <x v="0"/>
    <x v="2"/>
    <x v="2"/>
    <x v="1"/>
    <n v="5.97"/>
    <n v="35.82"/>
    <x v="2"/>
    <x v="2"/>
    <x v="0"/>
  </r>
  <r>
    <s v="BQJ-44755-910"/>
    <x v="489"/>
    <x v="777"/>
    <s v="E-D-2.5"/>
    <n v="6"/>
    <x v="777"/>
    <s v="mlorineznh@whitehouse.gov"/>
    <x v="0"/>
    <x v="1"/>
    <x v="2"/>
    <x v="2"/>
    <n v="27.945"/>
    <n v="167.67000000000002"/>
    <x v="1"/>
    <x v="2"/>
    <x v="1"/>
  </r>
  <r>
    <s v="JKC-64636-831"/>
    <x v="615"/>
    <x v="778"/>
    <s v="A-M-2.5"/>
    <n v="2"/>
    <x v="778"/>
    <s v=""/>
    <x v="0"/>
    <x v="2"/>
    <x v="0"/>
    <x v="2"/>
    <n v="25.874999999999996"/>
    <n v="51.749999999999993"/>
    <x v="2"/>
    <x v="0"/>
    <x v="0"/>
  </r>
  <r>
    <s v="ZKI-78561-066"/>
    <x v="616"/>
    <x v="779"/>
    <s v="A-D-0.2"/>
    <n v="3"/>
    <x v="779"/>
    <s v="mvannj@wikipedia.org"/>
    <x v="0"/>
    <x v="2"/>
    <x v="2"/>
    <x v="3"/>
    <n v="2.9849999999999999"/>
    <n v="8.9550000000000001"/>
    <x v="2"/>
    <x v="2"/>
    <x v="0"/>
  </r>
  <r>
    <s v="IMP-12563-728"/>
    <x v="578"/>
    <x v="780"/>
    <s v="E-L-0.5"/>
    <n v="6"/>
    <x v="780"/>
    <s v=""/>
    <x v="0"/>
    <x v="1"/>
    <x v="1"/>
    <x v="1"/>
    <n v="8.91"/>
    <n v="53.46"/>
    <x v="1"/>
    <x v="1"/>
    <x v="1"/>
  </r>
  <r>
    <s v="MZL-81126-390"/>
    <x v="617"/>
    <x v="781"/>
    <s v="A-L-0.2"/>
    <n v="6"/>
    <x v="781"/>
    <s v="jethelstonnl@creativecommons.org"/>
    <x v="0"/>
    <x v="2"/>
    <x v="1"/>
    <x v="3"/>
    <n v="3.8849999999999998"/>
    <n v="23.31"/>
    <x v="2"/>
    <x v="1"/>
    <x v="0"/>
  </r>
  <r>
    <s v="MZL-81126-390"/>
    <x v="617"/>
    <x v="781"/>
    <s v="A-M-0.2"/>
    <n v="2"/>
    <x v="781"/>
    <s v="jethelstonnl@creativecommons.org"/>
    <x v="0"/>
    <x v="2"/>
    <x v="0"/>
    <x v="3"/>
    <n v="3.375"/>
    <n v="6.75"/>
    <x v="2"/>
    <x v="0"/>
    <x v="0"/>
  </r>
  <r>
    <s v="TVF-57766-608"/>
    <x v="155"/>
    <x v="782"/>
    <s v="L-D-0.5"/>
    <n v="1"/>
    <x v="782"/>
    <s v="peberznn@woothemes.com"/>
    <x v="0"/>
    <x v="3"/>
    <x v="2"/>
    <x v="1"/>
    <n v="7.77"/>
    <n v="7.77"/>
    <x v="3"/>
    <x v="2"/>
    <x v="0"/>
  </r>
  <r>
    <s v="RUX-37995-892"/>
    <x v="461"/>
    <x v="783"/>
    <s v="L-D-2.5"/>
    <n v="4"/>
    <x v="783"/>
    <s v="bgaishno@altervista.org"/>
    <x v="0"/>
    <x v="3"/>
    <x v="2"/>
    <x v="2"/>
    <n v="29.784999999999997"/>
    <n v="119.13999999999999"/>
    <x v="3"/>
    <x v="2"/>
    <x v="0"/>
  </r>
  <r>
    <s v="AVK-76526-953"/>
    <x v="87"/>
    <x v="784"/>
    <s v="A-D-1"/>
    <n v="2"/>
    <x v="784"/>
    <s v="ldantonnp@miitbeian.gov.cn"/>
    <x v="0"/>
    <x v="2"/>
    <x v="2"/>
    <x v="0"/>
    <n v="9.9499999999999993"/>
    <n v="19.899999999999999"/>
    <x v="2"/>
    <x v="2"/>
    <x v="1"/>
  </r>
  <r>
    <s v="RIU-02231-623"/>
    <x v="618"/>
    <x v="785"/>
    <s v="R-L-0.5"/>
    <n v="5"/>
    <x v="785"/>
    <s v="smorrallnq@answers.com"/>
    <x v="0"/>
    <x v="0"/>
    <x v="1"/>
    <x v="1"/>
    <n v="7.169999999999999"/>
    <n v="35.849999999999994"/>
    <x v="0"/>
    <x v="1"/>
    <x v="0"/>
  </r>
  <r>
    <s v="WFK-99317-827"/>
    <x v="619"/>
    <x v="786"/>
    <s v="L-D-2.5"/>
    <n v="3"/>
    <x v="786"/>
    <s v="dcrownshawnr@photobucket.com"/>
    <x v="0"/>
    <x v="3"/>
    <x v="2"/>
    <x v="2"/>
    <n v="29.784999999999997"/>
    <n v="89.35499999999999"/>
    <x v="3"/>
    <x v="2"/>
    <x v="1"/>
  </r>
  <r>
    <s v="SFD-00372-284"/>
    <x v="440"/>
    <x v="760"/>
    <s v="L-M-0.2"/>
    <n v="2"/>
    <x v="760"/>
    <s v="oskermen3@hatena.ne.jp"/>
    <x v="0"/>
    <x v="3"/>
    <x v="0"/>
    <x v="3"/>
    <n v="4.3650000000000002"/>
    <n v="8.73"/>
    <x v="3"/>
    <x v="0"/>
    <x v="0"/>
  </r>
  <r>
    <s v="SXC-62166-515"/>
    <x v="489"/>
    <x v="787"/>
    <s v="R-L-2.5"/>
    <n v="5"/>
    <x v="787"/>
    <s v="jreddochnt@sun.com"/>
    <x v="0"/>
    <x v="0"/>
    <x v="1"/>
    <x v="2"/>
    <n v="27.484999999999996"/>
    <n v="137.42499999999998"/>
    <x v="0"/>
    <x v="1"/>
    <x v="1"/>
  </r>
  <r>
    <s v="YIE-87008-621"/>
    <x v="620"/>
    <x v="788"/>
    <s v="L-M-0.5"/>
    <n v="4"/>
    <x v="788"/>
    <s v="stitleynu@whitehouse.gov"/>
    <x v="0"/>
    <x v="3"/>
    <x v="0"/>
    <x v="1"/>
    <n v="8.73"/>
    <n v="34.92"/>
    <x v="3"/>
    <x v="0"/>
    <x v="1"/>
  </r>
  <r>
    <s v="HRM-94548-288"/>
    <x v="621"/>
    <x v="789"/>
    <s v="A-L-2.5"/>
    <n v="6"/>
    <x v="789"/>
    <s v="rsimaonv@simplemachines.org"/>
    <x v="0"/>
    <x v="2"/>
    <x v="1"/>
    <x v="2"/>
    <n v="29.784999999999997"/>
    <n v="178.70999999999998"/>
    <x v="2"/>
    <x v="1"/>
    <x v="1"/>
  </r>
  <r>
    <s v="UJG-34731-295"/>
    <x v="374"/>
    <x v="790"/>
    <s v="A-M-2.5"/>
    <n v="1"/>
    <x v="790"/>
    <s v=""/>
    <x v="0"/>
    <x v="2"/>
    <x v="0"/>
    <x v="2"/>
    <n v="25.874999999999996"/>
    <n v="25.874999999999996"/>
    <x v="2"/>
    <x v="0"/>
    <x v="1"/>
  </r>
  <r>
    <s v="TWD-70988-853"/>
    <x v="345"/>
    <x v="791"/>
    <s v="L-D-1"/>
    <n v="6"/>
    <x v="791"/>
    <s v="nchisholmnx@example.com"/>
    <x v="0"/>
    <x v="3"/>
    <x v="2"/>
    <x v="0"/>
    <n v="12.95"/>
    <n v="77.699999999999989"/>
    <x v="3"/>
    <x v="2"/>
    <x v="0"/>
  </r>
  <r>
    <s v="CIX-22904-641"/>
    <x v="622"/>
    <x v="792"/>
    <s v="R-M-1"/>
    <n v="1"/>
    <x v="792"/>
    <s v="goatsny@live.com"/>
    <x v="0"/>
    <x v="0"/>
    <x v="0"/>
    <x v="0"/>
    <n v="9.9499999999999993"/>
    <n v="9.9499999999999993"/>
    <x v="0"/>
    <x v="0"/>
    <x v="0"/>
  </r>
  <r>
    <s v="DLV-65840-759"/>
    <x v="623"/>
    <x v="793"/>
    <s v="L-M-1"/>
    <n v="2"/>
    <x v="793"/>
    <s v="mbirkinnz@java.com"/>
    <x v="0"/>
    <x v="3"/>
    <x v="0"/>
    <x v="0"/>
    <n v="14.55"/>
    <n v="29.1"/>
    <x v="3"/>
    <x v="0"/>
    <x v="0"/>
  </r>
  <r>
    <s v="RXN-55491-201"/>
    <x v="354"/>
    <x v="794"/>
    <s v="R-L-0.2"/>
    <n v="6"/>
    <x v="794"/>
    <s v="rpysono0@constantcontact.com"/>
    <x v="1"/>
    <x v="0"/>
    <x v="1"/>
    <x v="3"/>
    <n v="3.5849999999999995"/>
    <n v="21.509999999999998"/>
    <x v="0"/>
    <x v="1"/>
    <x v="1"/>
  </r>
  <r>
    <s v="UHK-63283-868"/>
    <x v="624"/>
    <x v="795"/>
    <s v="A-M-0.5"/>
    <n v="1"/>
    <x v="795"/>
    <s v="mmacconnechieo9@reuters.com"/>
    <x v="0"/>
    <x v="2"/>
    <x v="0"/>
    <x v="1"/>
    <n v="6.75"/>
    <n v="6.75"/>
    <x v="2"/>
    <x v="0"/>
    <x v="0"/>
  </r>
  <r>
    <s v="PJC-31401-893"/>
    <x v="561"/>
    <x v="796"/>
    <s v="A-D-0.5"/>
    <n v="3"/>
    <x v="796"/>
    <s v="rtreachero2@usa.gov"/>
    <x v="1"/>
    <x v="2"/>
    <x v="2"/>
    <x v="1"/>
    <n v="5.97"/>
    <n v="17.91"/>
    <x v="2"/>
    <x v="2"/>
    <x v="1"/>
  </r>
  <r>
    <s v="HHO-79903-185"/>
    <x v="42"/>
    <x v="797"/>
    <s v="A-L-2.5"/>
    <n v="1"/>
    <x v="797"/>
    <s v="bfattorinio3@quantcast.com"/>
    <x v="1"/>
    <x v="2"/>
    <x v="1"/>
    <x v="2"/>
    <n v="29.784999999999997"/>
    <n v="29.784999999999997"/>
    <x v="2"/>
    <x v="1"/>
    <x v="0"/>
  </r>
  <r>
    <s v="YWM-07310-594"/>
    <x v="267"/>
    <x v="798"/>
    <s v="E-M-0.5"/>
    <n v="5"/>
    <x v="798"/>
    <s v="mpalleskeo4@nyu.edu"/>
    <x v="0"/>
    <x v="1"/>
    <x v="0"/>
    <x v="1"/>
    <n v="8.25"/>
    <n v="41.25"/>
    <x v="1"/>
    <x v="0"/>
    <x v="0"/>
  </r>
  <r>
    <s v="FHD-94983-982"/>
    <x v="625"/>
    <x v="799"/>
    <s v="R-M-0.5"/>
    <n v="3"/>
    <x v="799"/>
    <s v=""/>
    <x v="0"/>
    <x v="0"/>
    <x v="0"/>
    <x v="1"/>
    <n v="5.97"/>
    <n v="17.91"/>
    <x v="0"/>
    <x v="0"/>
    <x v="0"/>
  </r>
  <r>
    <s v="WQK-10857-119"/>
    <x v="616"/>
    <x v="800"/>
    <s v="E-D-0.5"/>
    <n v="1"/>
    <x v="800"/>
    <s v="fantcliffeo6@amazon.co.jp"/>
    <x v="1"/>
    <x v="1"/>
    <x v="2"/>
    <x v="1"/>
    <n v="7.29"/>
    <n v="7.29"/>
    <x v="1"/>
    <x v="2"/>
    <x v="0"/>
  </r>
  <r>
    <s v="DXA-50313-073"/>
    <x v="626"/>
    <x v="801"/>
    <s v="E-L-1"/>
    <n v="2"/>
    <x v="801"/>
    <s v="pmatignono7@harvard.edu"/>
    <x v="2"/>
    <x v="1"/>
    <x v="1"/>
    <x v="0"/>
    <n v="14.85"/>
    <n v="29.7"/>
    <x v="1"/>
    <x v="1"/>
    <x v="0"/>
  </r>
  <r>
    <s v="ONW-00560-570"/>
    <x v="52"/>
    <x v="802"/>
    <s v="A-M-1"/>
    <n v="2"/>
    <x v="802"/>
    <s v="cweondo8@theglobeandmail.com"/>
    <x v="0"/>
    <x v="2"/>
    <x v="0"/>
    <x v="0"/>
    <n v="11.25"/>
    <n v="22.5"/>
    <x v="2"/>
    <x v="0"/>
    <x v="1"/>
  </r>
  <r>
    <s v="BRJ-19414-277"/>
    <x v="622"/>
    <x v="795"/>
    <s v="R-M-0.2"/>
    <n v="4"/>
    <x v="795"/>
    <s v="mmacconnechieo9@reuters.com"/>
    <x v="0"/>
    <x v="0"/>
    <x v="0"/>
    <x v="3"/>
    <n v="2.9849999999999999"/>
    <n v="11.94"/>
    <x v="0"/>
    <x v="0"/>
    <x v="0"/>
  </r>
  <r>
    <s v="MIQ-16322-908"/>
    <x v="627"/>
    <x v="803"/>
    <s v="A-L-1"/>
    <n v="2"/>
    <x v="803"/>
    <s v="jskentelberyoa@paypal.com"/>
    <x v="0"/>
    <x v="2"/>
    <x v="1"/>
    <x v="0"/>
    <n v="12.95"/>
    <n v="25.9"/>
    <x v="2"/>
    <x v="1"/>
    <x v="1"/>
  </r>
  <r>
    <s v="MVO-39328-830"/>
    <x v="628"/>
    <x v="804"/>
    <s v="L-M-0.5"/>
    <n v="5"/>
    <x v="804"/>
    <s v="ocomberob@goo.gl"/>
    <x v="1"/>
    <x v="3"/>
    <x v="0"/>
    <x v="1"/>
    <n v="8.73"/>
    <n v="43.650000000000006"/>
    <x v="3"/>
    <x v="0"/>
    <x v="1"/>
  </r>
  <r>
    <s v="MVO-39328-830"/>
    <x v="628"/>
    <x v="804"/>
    <s v="A-L-0.5"/>
    <n v="6"/>
    <x v="804"/>
    <s v="ocomberob@goo.gl"/>
    <x v="1"/>
    <x v="2"/>
    <x v="1"/>
    <x v="1"/>
    <n v="7.77"/>
    <n v="46.62"/>
    <x v="2"/>
    <x v="1"/>
    <x v="1"/>
  </r>
  <r>
    <s v="NTJ-88319-746"/>
    <x v="629"/>
    <x v="805"/>
    <s v="L-L-0.5"/>
    <n v="3"/>
    <x v="805"/>
    <s v="ztramelod@netlog.com"/>
    <x v="0"/>
    <x v="3"/>
    <x v="1"/>
    <x v="1"/>
    <n v="9.51"/>
    <n v="28.53"/>
    <x v="3"/>
    <x v="1"/>
    <x v="1"/>
  </r>
  <r>
    <s v="LCY-24377-948"/>
    <x v="630"/>
    <x v="806"/>
    <s v="R-L-2.5"/>
    <n v="1"/>
    <x v="806"/>
    <s v=""/>
    <x v="0"/>
    <x v="0"/>
    <x v="1"/>
    <x v="2"/>
    <n v="27.484999999999996"/>
    <n v="27.484999999999996"/>
    <x v="0"/>
    <x v="1"/>
    <x v="0"/>
  </r>
  <r>
    <s v="FWD-85967-769"/>
    <x v="631"/>
    <x v="807"/>
    <s v="E-D-0.2"/>
    <n v="3"/>
    <x v="807"/>
    <s v=""/>
    <x v="0"/>
    <x v="1"/>
    <x v="2"/>
    <x v="3"/>
    <n v="3.645"/>
    <n v="10.935"/>
    <x v="1"/>
    <x v="2"/>
    <x v="1"/>
  </r>
  <r>
    <s v="KTO-53793-109"/>
    <x v="229"/>
    <x v="808"/>
    <s v="R-L-0.2"/>
    <n v="2"/>
    <x v="808"/>
    <s v="chatfullog@ebay.com"/>
    <x v="0"/>
    <x v="0"/>
    <x v="1"/>
    <x v="3"/>
    <n v="3.5849999999999995"/>
    <n v="7.169999999999999"/>
    <x v="0"/>
    <x v="1"/>
    <x v="1"/>
  </r>
  <r>
    <s v="OCK-89033-348"/>
    <x v="632"/>
    <x v="809"/>
    <s v="A-L-0.2"/>
    <n v="6"/>
    <x v="809"/>
    <s v=""/>
    <x v="0"/>
    <x v="2"/>
    <x v="1"/>
    <x v="3"/>
    <n v="3.8849999999999998"/>
    <n v="23.31"/>
    <x v="2"/>
    <x v="1"/>
    <x v="0"/>
  </r>
  <r>
    <s v="GPZ-36017-366"/>
    <x v="633"/>
    <x v="810"/>
    <s v="A-D-2.5"/>
    <n v="5"/>
    <x v="810"/>
    <s v="kmarrisonoq@dropbox.com"/>
    <x v="0"/>
    <x v="2"/>
    <x v="2"/>
    <x v="2"/>
    <n v="22.884999999999998"/>
    <n v="114.42499999999998"/>
    <x v="2"/>
    <x v="2"/>
    <x v="0"/>
  </r>
  <r>
    <s v="BZP-33213-637"/>
    <x v="95"/>
    <x v="811"/>
    <s v="A-M-2.5"/>
    <n v="3"/>
    <x v="811"/>
    <s v="lagnolooj@pinterest.com"/>
    <x v="0"/>
    <x v="2"/>
    <x v="0"/>
    <x v="2"/>
    <n v="25.874999999999996"/>
    <n v="77.624999999999986"/>
    <x v="2"/>
    <x v="0"/>
    <x v="0"/>
  </r>
  <r>
    <s v="WFH-21507-708"/>
    <x v="521"/>
    <x v="812"/>
    <s v="R-D-0.5"/>
    <n v="1"/>
    <x v="812"/>
    <s v="dkiddyok@fda.gov"/>
    <x v="0"/>
    <x v="0"/>
    <x v="2"/>
    <x v="1"/>
    <n v="5.3699999999999992"/>
    <n v="5.3699999999999992"/>
    <x v="0"/>
    <x v="2"/>
    <x v="0"/>
  </r>
  <r>
    <s v="HST-96923-073"/>
    <x v="76"/>
    <x v="813"/>
    <s v="R-D-2.5"/>
    <n v="6"/>
    <x v="813"/>
    <s v="hpetroulisol@state.tx.us"/>
    <x v="1"/>
    <x v="0"/>
    <x v="2"/>
    <x v="2"/>
    <n v="20.584999999999997"/>
    <n v="123.50999999999999"/>
    <x v="0"/>
    <x v="2"/>
    <x v="1"/>
  </r>
  <r>
    <s v="ENN-79947-323"/>
    <x v="634"/>
    <x v="814"/>
    <s v="L-M-0.5"/>
    <n v="2"/>
    <x v="814"/>
    <s v="mschollom@taobao.com"/>
    <x v="0"/>
    <x v="3"/>
    <x v="0"/>
    <x v="1"/>
    <n v="8.73"/>
    <n v="17.46"/>
    <x v="3"/>
    <x v="0"/>
    <x v="1"/>
  </r>
  <r>
    <s v="BHA-47429-889"/>
    <x v="635"/>
    <x v="815"/>
    <s v="E-L-0.2"/>
    <n v="3"/>
    <x v="815"/>
    <s v="kfersonon@g.co"/>
    <x v="0"/>
    <x v="1"/>
    <x v="1"/>
    <x v="3"/>
    <n v="4.4550000000000001"/>
    <n v="13.365"/>
    <x v="1"/>
    <x v="1"/>
    <x v="1"/>
  </r>
  <r>
    <s v="SZY-63017-318"/>
    <x v="636"/>
    <x v="816"/>
    <s v="A-L-0.2"/>
    <n v="2"/>
    <x v="816"/>
    <s v="bkellowayoo@omniture.com"/>
    <x v="0"/>
    <x v="2"/>
    <x v="1"/>
    <x v="3"/>
    <n v="3.8849999999999998"/>
    <n v="7.77"/>
    <x v="2"/>
    <x v="1"/>
    <x v="0"/>
  </r>
  <r>
    <s v="LCU-93317-340"/>
    <x v="637"/>
    <x v="817"/>
    <s v="R-D-0.2"/>
    <n v="1"/>
    <x v="817"/>
    <s v="soliffeop@yellowbook.com"/>
    <x v="0"/>
    <x v="0"/>
    <x v="2"/>
    <x v="3"/>
    <n v="2.6849999999999996"/>
    <n v="2.6849999999999996"/>
    <x v="0"/>
    <x v="2"/>
    <x v="0"/>
  </r>
  <r>
    <s v="UOM-71431-481"/>
    <x v="182"/>
    <x v="810"/>
    <s v="R-D-2.5"/>
    <n v="1"/>
    <x v="810"/>
    <s v="kmarrisonoq@dropbox.com"/>
    <x v="0"/>
    <x v="0"/>
    <x v="2"/>
    <x v="2"/>
    <n v="20.584999999999997"/>
    <n v="20.584999999999997"/>
    <x v="0"/>
    <x v="2"/>
    <x v="0"/>
  </r>
  <r>
    <s v="PJH-42618-877"/>
    <x v="479"/>
    <x v="818"/>
    <s v="A-D-2.5"/>
    <n v="5"/>
    <x v="818"/>
    <s v="cdolohuntyor@dailymail.co.uk"/>
    <x v="0"/>
    <x v="2"/>
    <x v="2"/>
    <x v="2"/>
    <n v="22.884999999999998"/>
    <n v="114.42499999999998"/>
    <x v="2"/>
    <x v="2"/>
    <x v="0"/>
  </r>
  <r>
    <s v="XED-90333-402"/>
    <x v="638"/>
    <x v="819"/>
    <s v="E-M-0.2"/>
    <n v="5"/>
    <x v="819"/>
    <s v="pvasilenkoos@addtoany.com"/>
    <x v="2"/>
    <x v="1"/>
    <x v="0"/>
    <x v="3"/>
    <n v="4.125"/>
    <n v="20.625"/>
    <x v="1"/>
    <x v="0"/>
    <x v="1"/>
  </r>
  <r>
    <s v="IKK-62234-199"/>
    <x v="639"/>
    <x v="820"/>
    <s v="L-L-0.5"/>
    <n v="6"/>
    <x v="820"/>
    <s v="rschankelborgot@ameblo.jp"/>
    <x v="0"/>
    <x v="3"/>
    <x v="1"/>
    <x v="1"/>
    <n v="9.51"/>
    <n v="57.06"/>
    <x v="3"/>
    <x v="1"/>
    <x v="0"/>
  </r>
  <r>
    <s v="KAW-95195-329"/>
    <x v="640"/>
    <x v="821"/>
    <s v="R-D-2.5"/>
    <n v="4"/>
    <x v="821"/>
    <s v=""/>
    <x v="1"/>
    <x v="0"/>
    <x v="2"/>
    <x v="2"/>
    <n v="20.584999999999997"/>
    <n v="82.339999999999989"/>
    <x v="0"/>
    <x v="2"/>
    <x v="0"/>
  </r>
  <r>
    <s v="QDO-57268-842"/>
    <x v="612"/>
    <x v="822"/>
    <s v="E-M-2.5"/>
    <n v="5"/>
    <x v="822"/>
    <s v=""/>
    <x v="0"/>
    <x v="1"/>
    <x v="0"/>
    <x v="2"/>
    <n v="31.624999999999996"/>
    <n v="158.12499999999997"/>
    <x v="1"/>
    <x v="0"/>
    <x v="1"/>
  </r>
  <r>
    <s v="IIZ-24416-212"/>
    <x v="641"/>
    <x v="823"/>
    <s v="R-D-0.5"/>
    <n v="6"/>
    <x v="823"/>
    <s v="bcargenow@geocities.jp"/>
    <x v="0"/>
    <x v="0"/>
    <x v="2"/>
    <x v="1"/>
    <n v="5.3699999999999992"/>
    <n v="32.22"/>
    <x v="0"/>
    <x v="2"/>
    <x v="0"/>
  </r>
  <r>
    <s v="AWP-11469-510"/>
    <x v="36"/>
    <x v="824"/>
    <s v="E-D-1"/>
    <n v="2"/>
    <x v="824"/>
    <s v="rsticklerox@printfriendly.com"/>
    <x v="2"/>
    <x v="1"/>
    <x v="2"/>
    <x v="0"/>
    <n v="12.15"/>
    <n v="24.3"/>
    <x v="1"/>
    <x v="2"/>
    <x v="1"/>
  </r>
  <r>
    <s v="KXA-27983-918"/>
    <x v="642"/>
    <x v="825"/>
    <s v="R-L-0.5"/>
    <n v="5"/>
    <x v="825"/>
    <s v=""/>
    <x v="0"/>
    <x v="0"/>
    <x v="1"/>
    <x v="1"/>
    <n v="7.169999999999999"/>
    <n v="35.849999999999994"/>
    <x v="0"/>
    <x v="1"/>
    <x v="1"/>
  </r>
  <r>
    <s v="VKQ-39009-292"/>
    <x v="219"/>
    <x v="822"/>
    <s v="L-M-1"/>
    <n v="5"/>
    <x v="822"/>
    <s v=""/>
    <x v="0"/>
    <x v="3"/>
    <x v="0"/>
    <x v="0"/>
    <n v="14.55"/>
    <n v="72.75"/>
    <x v="3"/>
    <x v="0"/>
    <x v="1"/>
  </r>
  <r>
    <s v="PDB-98743-282"/>
    <x v="643"/>
    <x v="826"/>
    <s v="L-L-1"/>
    <n v="3"/>
    <x v="826"/>
    <s v=""/>
    <x v="1"/>
    <x v="3"/>
    <x v="1"/>
    <x v="0"/>
    <n v="15.85"/>
    <n v="47.55"/>
    <x v="3"/>
    <x v="1"/>
    <x v="1"/>
  </r>
  <r>
    <s v="SXW-34014-556"/>
    <x v="644"/>
    <x v="827"/>
    <s v="R-L-0.2"/>
    <n v="1"/>
    <x v="827"/>
    <s v="djevonp1@ibm.com"/>
    <x v="0"/>
    <x v="0"/>
    <x v="1"/>
    <x v="3"/>
    <n v="3.5849999999999995"/>
    <n v="3.5849999999999995"/>
    <x v="0"/>
    <x v="1"/>
    <x v="0"/>
  </r>
  <r>
    <s v="QOJ-38788-727"/>
    <x v="136"/>
    <x v="828"/>
    <s v="E-M-2.5"/>
    <n v="5"/>
    <x v="828"/>
    <s v="hrannerp2@omniture.com"/>
    <x v="0"/>
    <x v="1"/>
    <x v="0"/>
    <x v="2"/>
    <n v="31.624999999999996"/>
    <n v="158.12499999999997"/>
    <x v="1"/>
    <x v="0"/>
    <x v="1"/>
  </r>
  <r>
    <s v="TGF-38649-658"/>
    <x v="645"/>
    <x v="829"/>
    <s v="L-M-0.5"/>
    <n v="2"/>
    <x v="829"/>
    <s v="bimriep3@addtoany.com"/>
    <x v="0"/>
    <x v="3"/>
    <x v="0"/>
    <x v="1"/>
    <n v="8.73"/>
    <n v="17.46"/>
    <x v="3"/>
    <x v="0"/>
    <x v="1"/>
  </r>
  <r>
    <s v="EAI-25194-209"/>
    <x v="646"/>
    <x v="830"/>
    <s v="A-L-2.5"/>
    <n v="5"/>
    <x v="830"/>
    <s v="dsopperp4@eventbrite.com"/>
    <x v="0"/>
    <x v="2"/>
    <x v="1"/>
    <x v="2"/>
    <n v="29.784999999999997"/>
    <n v="148.92499999999998"/>
    <x v="2"/>
    <x v="1"/>
    <x v="1"/>
  </r>
  <r>
    <s v="IJK-34441-720"/>
    <x v="647"/>
    <x v="831"/>
    <s v="A-M-0.5"/>
    <n v="6"/>
    <x v="831"/>
    <s v=""/>
    <x v="0"/>
    <x v="2"/>
    <x v="0"/>
    <x v="1"/>
    <n v="6.75"/>
    <n v="40.5"/>
    <x v="2"/>
    <x v="0"/>
    <x v="0"/>
  </r>
  <r>
    <s v="ZMC-00336-619"/>
    <x v="591"/>
    <x v="832"/>
    <s v="A-M-0.5"/>
    <n v="4"/>
    <x v="832"/>
    <s v="lledgleyp6@de.vu"/>
    <x v="0"/>
    <x v="2"/>
    <x v="0"/>
    <x v="1"/>
    <n v="6.75"/>
    <n v="27"/>
    <x v="2"/>
    <x v="0"/>
    <x v="0"/>
  </r>
  <r>
    <s v="UPX-54529-618"/>
    <x v="648"/>
    <x v="833"/>
    <s v="L-D-1"/>
    <n v="3"/>
    <x v="833"/>
    <s v="tmenaryp7@phoca.cz"/>
    <x v="0"/>
    <x v="3"/>
    <x v="2"/>
    <x v="0"/>
    <n v="12.95"/>
    <n v="38.849999999999994"/>
    <x v="3"/>
    <x v="2"/>
    <x v="1"/>
  </r>
  <r>
    <s v="DLX-01059-899"/>
    <x v="191"/>
    <x v="834"/>
    <s v="R-L-1"/>
    <n v="5"/>
    <x v="834"/>
    <s v="gciccottip8@so-net.ne.jp"/>
    <x v="0"/>
    <x v="0"/>
    <x v="1"/>
    <x v="0"/>
    <n v="11.95"/>
    <n v="59.75"/>
    <x v="0"/>
    <x v="1"/>
    <x v="1"/>
  </r>
  <r>
    <s v="MEK-85120-243"/>
    <x v="649"/>
    <x v="835"/>
    <s v="R-L-0.2"/>
    <n v="3"/>
    <x v="835"/>
    <s v=""/>
    <x v="0"/>
    <x v="0"/>
    <x v="1"/>
    <x v="3"/>
    <n v="3.5849999999999995"/>
    <n v="10.754999999999999"/>
    <x v="0"/>
    <x v="1"/>
    <x v="1"/>
  </r>
  <r>
    <s v="NFI-37188-246"/>
    <x v="553"/>
    <x v="836"/>
    <s v="A-D-2.5"/>
    <n v="4"/>
    <x v="836"/>
    <s v="wjallinpa@pcworld.com"/>
    <x v="0"/>
    <x v="2"/>
    <x v="2"/>
    <x v="2"/>
    <n v="22.884999999999998"/>
    <n v="91.539999999999992"/>
    <x v="2"/>
    <x v="2"/>
    <x v="1"/>
  </r>
  <r>
    <s v="BXH-62195-013"/>
    <x v="584"/>
    <x v="837"/>
    <s v="A-M-1"/>
    <n v="4"/>
    <x v="837"/>
    <s v="mbogeypb@thetimes.co.uk"/>
    <x v="0"/>
    <x v="2"/>
    <x v="0"/>
    <x v="0"/>
    <n v="11.25"/>
    <n v="45"/>
    <x v="2"/>
    <x v="0"/>
    <x v="0"/>
  </r>
  <r>
    <s v="YLK-78851-470"/>
    <x v="650"/>
    <x v="838"/>
    <s v="R-M-2.5"/>
    <n v="6"/>
    <x v="838"/>
    <s v=""/>
    <x v="0"/>
    <x v="0"/>
    <x v="0"/>
    <x v="2"/>
    <n v="22.884999999999998"/>
    <n v="137.31"/>
    <x v="0"/>
    <x v="0"/>
    <x v="0"/>
  </r>
  <r>
    <s v="DXY-76225-633"/>
    <x v="121"/>
    <x v="839"/>
    <s v="A-M-0.5"/>
    <n v="1"/>
    <x v="839"/>
    <s v="mcobbledickpd@ucsd.edu"/>
    <x v="0"/>
    <x v="2"/>
    <x v="0"/>
    <x v="1"/>
    <n v="6.75"/>
    <n v="6.75"/>
    <x v="2"/>
    <x v="0"/>
    <x v="1"/>
  </r>
  <r>
    <s v="UHP-24614-199"/>
    <x v="472"/>
    <x v="840"/>
    <s v="A-M-1"/>
    <n v="4"/>
    <x v="840"/>
    <s v="alewrype@whitehouse.gov"/>
    <x v="0"/>
    <x v="2"/>
    <x v="0"/>
    <x v="0"/>
    <n v="11.25"/>
    <n v="45"/>
    <x v="2"/>
    <x v="0"/>
    <x v="1"/>
  </r>
  <r>
    <s v="HBY-35655-049"/>
    <x v="594"/>
    <x v="841"/>
    <s v="E-D-2.5"/>
    <n v="3"/>
    <x v="841"/>
    <s v="ihesselpf@ox.ac.uk"/>
    <x v="0"/>
    <x v="1"/>
    <x v="2"/>
    <x v="2"/>
    <n v="27.945"/>
    <n v="83.835000000000008"/>
    <x v="1"/>
    <x v="2"/>
    <x v="0"/>
  </r>
  <r>
    <s v="DCE-22886-861"/>
    <x v="89"/>
    <x v="842"/>
    <s v="E-D-0.2"/>
    <n v="1"/>
    <x v="842"/>
    <s v=""/>
    <x v="1"/>
    <x v="1"/>
    <x v="2"/>
    <x v="3"/>
    <n v="3.645"/>
    <n v="3.645"/>
    <x v="1"/>
    <x v="2"/>
    <x v="0"/>
  </r>
  <r>
    <s v="QTG-93823-843"/>
    <x v="651"/>
    <x v="843"/>
    <s v="A-M-0.5"/>
    <n v="1"/>
    <x v="843"/>
    <s v="csorrellph@amazon.com"/>
    <x v="2"/>
    <x v="2"/>
    <x v="0"/>
    <x v="1"/>
    <n v="6.75"/>
    <n v="6.75"/>
    <x v="2"/>
    <x v="0"/>
    <x v="1"/>
  </r>
  <r>
    <s v="QTG-93823-843"/>
    <x v="651"/>
    <x v="843"/>
    <s v="E-D-0.5"/>
    <n v="3"/>
    <x v="843"/>
    <s v="csorrellph@amazon.com"/>
    <x v="2"/>
    <x v="1"/>
    <x v="2"/>
    <x v="1"/>
    <n v="7.29"/>
    <n v="21.87"/>
    <x v="1"/>
    <x v="2"/>
    <x v="1"/>
  </r>
  <r>
    <s v="WFT-16178-396"/>
    <x v="249"/>
    <x v="844"/>
    <s v="R-D-0.2"/>
    <n v="5"/>
    <x v="844"/>
    <s v="qheavysidepj@unc.edu"/>
    <x v="0"/>
    <x v="0"/>
    <x v="2"/>
    <x v="3"/>
    <n v="2.6849999999999996"/>
    <n v="13.424999999999997"/>
    <x v="0"/>
    <x v="2"/>
    <x v="0"/>
  </r>
  <r>
    <s v="ERC-54560-934"/>
    <x v="652"/>
    <x v="845"/>
    <s v="R-D-2.5"/>
    <n v="6"/>
    <x v="845"/>
    <s v="hreuvenpk@whitehouse.gov"/>
    <x v="0"/>
    <x v="0"/>
    <x v="2"/>
    <x v="2"/>
    <n v="20.584999999999997"/>
    <n v="123.50999999999999"/>
    <x v="0"/>
    <x v="2"/>
    <x v="1"/>
  </r>
  <r>
    <s v="RUK-78200-416"/>
    <x v="653"/>
    <x v="846"/>
    <s v="L-D-0.2"/>
    <n v="2"/>
    <x v="846"/>
    <s v="mattwoolpl@nba.com"/>
    <x v="0"/>
    <x v="3"/>
    <x v="2"/>
    <x v="3"/>
    <n v="3.8849999999999998"/>
    <n v="7.77"/>
    <x v="3"/>
    <x v="2"/>
    <x v="1"/>
  </r>
  <r>
    <s v="KHK-13105-388"/>
    <x v="177"/>
    <x v="847"/>
    <s v="A-M-1"/>
    <n v="6"/>
    <x v="847"/>
    <s v=""/>
    <x v="0"/>
    <x v="2"/>
    <x v="0"/>
    <x v="0"/>
    <n v="11.25"/>
    <n v="67.5"/>
    <x v="2"/>
    <x v="0"/>
    <x v="0"/>
  </r>
  <r>
    <s v="NJR-03699-189"/>
    <x v="22"/>
    <x v="848"/>
    <s v="E-D-2.5"/>
    <n v="1"/>
    <x v="848"/>
    <s v="gwynespn@dagondesign.com"/>
    <x v="0"/>
    <x v="1"/>
    <x v="2"/>
    <x v="2"/>
    <n v="27.945"/>
    <n v="27.945"/>
    <x v="1"/>
    <x v="2"/>
    <x v="1"/>
  </r>
  <r>
    <s v="PJV-20427-019"/>
    <x v="508"/>
    <x v="849"/>
    <s v="A-L-2.5"/>
    <n v="3"/>
    <x v="849"/>
    <s v="cmaccourtpo@amazon.com"/>
    <x v="0"/>
    <x v="2"/>
    <x v="1"/>
    <x v="2"/>
    <n v="29.784999999999997"/>
    <n v="89.35499999999999"/>
    <x v="2"/>
    <x v="1"/>
    <x v="1"/>
  </r>
  <r>
    <s v="UGK-07613-982"/>
    <x v="654"/>
    <x v="822"/>
    <s v="A-M-0.5"/>
    <n v="3"/>
    <x v="822"/>
    <s v=""/>
    <x v="0"/>
    <x v="2"/>
    <x v="0"/>
    <x v="1"/>
    <n v="6.75"/>
    <n v="20.25"/>
    <x v="2"/>
    <x v="0"/>
    <x v="1"/>
  </r>
  <r>
    <s v="OLA-68289-577"/>
    <x v="524"/>
    <x v="850"/>
    <s v="A-M-0.5"/>
    <n v="5"/>
    <x v="850"/>
    <s v="ewilsonepq@eepurl.com"/>
    <x v="0"/>
    <x v="2"/>
    <x v="0"/>
    <x v="1"/>
    <n v="6.75"/>
    <n v="33.75"/>
    <x v="2"/>
    <x v="0"/>
    <x v="0"/>
  </r>
  <r>
    <s v="TNR-84447-052"/>
    <x v="655"/>
    <x v="851"/>
    <s v="E-D-2.5"/>
    <n v="4"/>
    <x v="851"/>
    <s v="dduffiepr@time.com"/>
    <x v="0"/>
    <x v="1"/>
    <x v="2"/>
    <x v="2"/>
    <n v="27.945"/>
    <n v="111.78"/>
    <x v="1"/>
    <x v="2"/>
    <x v="1"/>
  </r>
  <r>
    <s v="FBZ-64200-586"/>
    <x v="523"/>
    <x v="852"/>
    <s v="E-M-2.5"/>
    <n v="2"/>
    <x v="852"/>
    <s v="mmatiasekps@ucoz.ru"/>
    <x v="0"/>
    <x v="1"/>
    <x v="0"/>
    <x v="2"/>
    <n v="31.624999999999996"/>
    <n v="63.249999999999993"/>
    <x v="1"/>
    <x v="0"/>
    <x v="0"/>
  </r>
  <r>
    <s v="OBN-66334-505"/>
    <x v="656"/>
    <x v="853"/>
    <s v="E-L-0.2"/>
    <n v="2"/>
    <x v="853"/>
    <s v="jcamillopt@shinystat.com"/>
    <x v="0"/>
    <x v="1"/>
    <x v="1"/>
    <x v="3"/>
    <n v="4.4550000000000001"/>
    <n v="8.91"/>
    <x v="1"/>
    <x v="1"/>
    <x v="0"/>
  </r>
  <r>
    <s v="NXM-89323-646"/>
    <x v="657"/>
    <x v="854"/>
    <s v="E-D-1"/>
    <n v="1"/>
    <x v="854"/>
    <s v="kphilbrickpu@cdc.gov"/>
    <x v="0"/>
    <x v="1"/>
    <x v="2"/>
    <x v="0"/>
    <n v="12.15"/>
    <n v="12.15"/>
    <x v="1"/>
    <x v="2"/>
    <x v="0"/>
  </r>
  <r>
    <s v="NHI-23264-055"/>
    <x v="658"/>
    <x v="855"/>
    <s v="A-D-0.5"/>
    <n v="4"/>
    <x v="855"/>
    <s v=""/>
    <x v="0"/>
    <x v="2"/>
    <x v="2"/>
    <x v="1"/>
    <n v="5.97"/>
    <n v="23.88"/>
    <x v="2"/>
    <x v="2"/>
    <x v="0"/>
  </r>
  <r>
    <s v="EQH-53569-934"/>
    <x v="659"/>
    <x v="856"/>
    <s v="E-M-1"/>
    <n v="4"/>
    <x v="856"/>
    <s v="bsillispw@istockphoto.com"/>
    <x v="0"/>
    <x v="1"/>
    <x v="0"/>
    <x v="0"/>
    <n v="13.75"/>
    <n v="55"/>
    <x v="1"/>
    <x v="0"/>
    <x v="1"/>
  </r>
  <r>
    <s v="XKK-06692-189"/>
    <x v="558"/>
    <x v="857"/>
    <s v="R-D-1"/>
    <n v="3"/>
    <x v="857"/>
    <s v=""/>
    <x v="0"/>
    <x v="0"/>
    <x v="2"/>
    <x v="0"/>
    <n v="8.9499999999999993"/>
    <n v="26.849999999999998"/>
    <x v="0"/>
    <x v="2"/>
    <x v="0"/>
  </r>
  <r>
    <s v="BYP-16005-016"/>
    <x v="660"/>
    <x v="858"/>
    <s v="R-M-2.5"/>
    <n v="5"/>
    <x v="858"/>
    <s v="rcuttspy@techcrunch.com"/>
    <x v="0"/>
    <x v="0"/>
    <x v="0"/>
    <x v="2"/>
    <n v="22.884999999999998"/>
    <n v="114.42499999999998"/>
    <x v="0"/>
    <x v="0"/>
    <x v="1"/>
  </r>
  <r>
    <s v="LWS-13938-905"/>
    <x v="661"/>
    <x v="859"/>
    <s v="A-M-2.5"/>
    <n v="6"/>
    <x v="859"/>
    <s v="mdelvespz@nature.com"/>
    <x v="0"/>
    <x v="2"/>
    <x v="0"/>
    <x v="2"/>
    <n v="25.874999999999996"/>
    <n v="155.24999999999997"/>
    <x v="2"/>
    <x v="0"/>
    <x v="0"/>
  </r>
  <r>
    <s v="OLH-95722-362"/>
    <x v="662"/>
    <x v="860"/>
    <s v="L-D-0.5"/>
    <n v="3"/>
    <x v="860"/>
    <s v="dgrittonq0@nydailynews.com"/>
    <x v="0"/>
    <x v="3"/>
    <x v="2"/>
    <x v="1"/>
    <n v="7.77"/>
    <n v="23.31"/>
    <x v="3"/>
    <x v="2"/>
    <x v="0"/>
  </r>
  <r>
    <s v="OLH-95722-362"/>
    <x v="662"/>
    <x v="860"/>
    <s v="R-M-2.5"/>
    <n v="4"/>
    <x v="860"/>
    <s v="dgrittonq0@nydailynews.com"/>
    <x v="0"/>
    <x v="0"/>
    <x v="0"/>
    <x v="2"/>
    <n v="22.884999999999998"/>
    <n v="91.539999999999992"/>
    <x v="0"/>
    <x v="0"/>
    <x v="0"/>
  </r>
  <r>
    <s v="KCW-50949-318"/>
    <x v="184"/>
    <x v="861"/>
    <s v="E-L-1"/>
    <n v="5"/>
    <x v="861"/>
    <s v="dgutq2@umich.edu"/>
    <x v="0"/>
    <x v="1"/>
    <x v="1"/>
    <x v="0"/>
    <n v="14.85"/>
    <n v="74.25"/>
    <x v="1"/>
    <x v="1"/>
    <x v="0"/>
  </r>
  <r>
    <s v="JGZ-16947-591"/>
    <x v="663"/>
    <x v="862"/>
    <s v="L-L-0.2"/>
    <n v="6"/>
    <x v="862"/>
    <s v="wpummeryq3@topsy.com"/>
    <x v="0"/>
    <x v="3"/>
    <x v="1"/>
    <x v="3"/>
    <n v="4.7549999999999999"/>
    <n v="28.53"/>
    <x v="3"/>
    <x v="1"/>
    <x v="1"/>
  </r>
  <r>
    <s v="LXS-63326-144"/>
    <x v="334"/>
    <x v="863"/>
    <s v="R-L-0.5"/>
    <n v="2"/>
    <x v="863"/>
    <s v="gsiudaq4@nytimes.com"/>
    <x v="0"/>
    <x v="0"/>
    <x v="1"/>
    <x v="1"/>
    <n v="7.169999999999999"/>
    <n v="14.339999999999998"/>
    <x v="0"/>
    <x v="1"/>
    <x v="0"/>
  </r>
  <r>
    <s v="CZG-86544-655"/>
    <x v="664"/>
    <x v="864"/>
    <s v="A-L-0.5"/>
    <n v="2"/>
    <x v="864"/>
    <s v="hcrowneq5@wufoo.com"/>
    <x v="1"/>
    <x v="2"/>
    <x v="1"/>
    <x v="1"/>
    <n v="7.77"/>
    <n v="15.54"/>
    <x v="2"/>
    <x v="1"/>
    <x v="0"/>
  </r>
  <r>
    <s v="WFV-88138-247"/>
    <x v="24"/>
    <x v="865"/>
    <s v="R-L-1"/>
    <n v="3"/>
    <x v="865"/>
    <s v="vpawseyq6@tiny.cc"/>
    <x v="0"/>
    <x v="0"/>
    <x v="1"/>
    <x v="0"/>
    <n v="11.95"/>
    <n v="35.849999999999994"/>
    <x v="0"/>
    <x v="1"/>
    <x v="1"/>
  </r>
  <r>
    <s v="RFG-28227-288"/>
    <x v="12"/>
    <x v="866"/>
    <s v="A-L-0.5"/>
    <n v="6"/>
    <x v="866"/>
    <s v="awaterhouseq7@istockphoto.com"/>
    <x v="0"/>
    <x v="2"/>
    <x v="1"/>
    <x v="1"/>
    <n v="7.77"/>
    <n v="46.62"/>
    <x v="2"/>
    <x v="1"/>
    <x v="1"/>
  </r>
  <r>
    <s v="QAK-77286-758"/>
    <x v="105"/>
    <x v="867"/>
    <s v="R-L-0.5"/>
    <n v="5"/>
    <x v="867"/>
    <s v="fhaughianq8@1688.com"/>
    <x v="0"/>
    <x v="0"/>
    <x v="1"/>
    <x v="1"/>
    <n v="7.169999999999999"/>
    <n v="35.849999999999994"/>
    <x v="0"/>
    <x v="1"/>
    <x v="1"/>
  </r>
  <r>
    <s v="CZD-56716-840"/>
    <x v="665"/>
    <x v="868"/>
    <s v="L-D-2.5"/>
    <n v="4"/>
    <x v="868"/>
    <s v=""/>
    <x v="0"/>
    <x v="3"/>
    <x v="2"/>
    <x v="2"/>
    <n v="29.784999999999997"/>
    <n v="119.13999999999999"/>
    <x v="3"/>
    <x v="2"/>
    <x v="1"/>
  </r>
  <r>
    <s v="UBI-59229-277"/>
    <x v="44"/>
    <x v="869"/>
    <s v="L-D-0.5"/>
    <n v="3"/>
    <x v="869"/>
    <s v=""/>
    <x v="0"/>
    <x v="3"/>
    <x v="2"/>
    <x v="1"/>
    <n v="7.77"/>
    <n v="23.31"/>
    <x v="3"/>
    <x v="2"/>
    <x v="1"/>
  </r>
  <r>
    <s v="WJJ-37489-898"/>
    <x v="171"/>
    <x v="870"/>
    <s v="A-M-1"/>
    <n v="1"/>
    <x v="870"/>
    <s v="rfaltinqb@topsy.com"/>
    <x v="1"/>
    <x v="2"/>
    <x v="0"/>
    <x v="0"/>
    <n v="11.25"/>
    <n v="11.25"/>
    <x v="2"/>
    <x v="0"/>
    <x v="1"/>
  </r>
  <r>
    <s v="ORX-57454-917"/>
    <x v="328"/>
    <x v="871"/>
    <s v="E-D-2.5"/>
    <n v="3"/>
    <x v="871"/>
    <s v="gcheekeqc@sitemeter.com"/>
    <x v="2"/>
    <x v="1"/>
    <x v="2"/>
    <x v="2"/>
    <n v="27.945"/>
    <n v="83.835000000000008"/>
    <x v="1"/>
    <x v="2"/>
    <x v="0"/>
  </r>
  <r>
    <s v="GRB-68838-629"/>
    <x v="648"/>
    <x v="872"/>
    <s v="R-L-2.5"/>
    <n v="4"/>
    <x v="872"/>
    <s v="grattqd@phpbb.com"/>
    <x v="1"/>
    <x v="0"/>
    <x v="1"/>
    <x v="2"/>
    <n v="27.484999999999996"/>
    <n v="109.93999999999998"/>
    <x v="0"/>
    <x v="1"/>
    <x v="1"/>
  </r>
  <r>
    <s v="SHT-04865-419"/>
    <x v="666"/>
    <x v="873"/>
    <s v="R-L-0.2"/>
    <n v="4"/>
    <x v="873"/>
    <s v=""/>
    <x v="0"/>
    <x v="0"/>
    <x v="1"/>
    <x v="3"/>
    <n v="3.5849999999999995"/>
    <n v="14.339999999999998"/>
    <x v="0"/>
    <x v="1"/>
    <x v="0"/>
  </r>
  <r>
    <s v="UQI-28177-865"/>
    <x v="577"/>
    <x v="874"/>
    <s v="R-L-0.2"/>
    <n v="6"/>
    <x v="874"/>
    <s v="ieberleinqf@hc360.com"/>
    <x v="0"/>
    <x v="0"/>
    <x v="1"/>
    <x v="3"/>
    <n v="3.5849999999999995"/>
    <n v="21.509999999999998"/>
    <x v="0"/>
    <x v="1"/>
    <x v="1"/>
  </r>
  <r>
    <s v="OIB-13664-879"/>
    <x v="114"/>
    <x v="875"/>
    <s v="A-M-1"/>
    <n v="2"/>
    <x v="875"/>
    <s v="jdrengqg@uiuc.edu"/>
    <x v="1"/>
    <x v="2"/>
    <x v="0"/>
    <x v="0"/>
    <n v="11.25"/>
    <n v="22.5"/>
    <x v="2"/>
    <x v="0"/>
    <x v="0"/>
  </r>
  <r>
    <s v="PJS-30996-485"/>
    <x v="4"/>
    <x v="857"/>
    <s v="A-L-0.2"/>
    <n v="1"/>
    <x v="857"/>
    <s v=""/>
    <x v="0"/>
    <x v="2"/>
    <x v="1"/>
    <x v="3"/>
    <n v="3.8849999999999998"/>
    <n v="3.8849999999999998"/>
    <x v="2"/>
    <x v="1"/>
    <x v="0"/>
  </r>
  <r>
    <s v="HEL-86709-449"/>
    <x v="667"/>
    <x v="857"/>
    <s v="E-D-2.5"/>
    <n v="1"/>
    <x v="857"/>
    <s v=""/>
    <x v="0"/>
    <x v="1"/>
    <x v="2"/>
    <x v="2"/>
    <n v="27.945"/>
    <n v="27.945"/>
    <x v="1"/>
    <x v="2"/>
    <x v="0"/>
  </r>
  <r>
    <s v="NCH-55389-562"/>
    <x v="110"/>
    <x v="857"/>
    <s v="E-L-2.5"/>
    <n v="5"/>
    <x v="857"/>
    <s v=""/>
    <x v="0"/>
    <x v="1"/>
    <x v="1"/>
    <x v="2"/>
    <n v="34.154999999999994"/>
    <n v="170.77499999999998"/>
    <x v="1"/>
    <x v="1"/>
    <x v="0"/>
  </r>
  <r>
    <s v="NCH-55389-562"/>
    <x v="110"/>
    <x v="857"/>
    <s v="R-L-2.5"/>
    <n v="2"/>
    <x v="857"/>
    <s v=""/>
    <x v="0"/>
    <x v="0"/>
    <x v="1"/>
    <x v="2"/>
    <n v="27.484999999999996"/>
    <n v="54.969999999999992"/>
    <x v="0"/>
    <x v="1"/>
    <x v="0"/>
  </r>
  <r>
    <s v="NCH-55389-562"/>
    <x v="110"/>
    <x v="857"/>
    <s v="E-L-1"/>
    <n v="1"/>
    <x v="857"/>
    <s v=""/>
    <x v="0"/>
    <x v="1"/>
    <x v="1"/>
    <x v="0"/>
    <n v="14.85"/>
    <n v="14.85"/>
    <x v="1"/>
    <x v="1"/>
    <x v="0"/>
  </r>
  <r>
    <s v="NCH-55389-562"/>
    <x v="110"/>
    <x v="857"/>
    <s v="A-L-0.2"/>
    <n v="2"/>
    <x v="857"/>
    <s v=""/>
    <x v="0"/>
    <x v="2"/>
    <x v="1"/>
    <x v="3"/>
    <n v="3.8849999999999998"/>
    <n v="7.77"/>
    <x v="2"/>
    <x v="1"/>
    <x v="0"/>
  </r>
  <r>
    <s v="GUG-45603-775"/>
    <x v="668"/>
    <x v="876"/>
    <s v="L-L-0.2"/>
    <n v="5"/>
    <x v="876"/>
    <s v="rstrathernqn@devhub.com"/>
    <x v="0"/>
    <x v="3"/>
    <x v="1"/>
    <x v="3"/>
    <n v="4.7549999999999999"/>
    <n v="23.774999999999999"/>
    <x v="3"/>
    <x v="1"/>
    <x v="0"/>
  </r>
  <r>
    <s v="KJB-98240-098"/>
    <x v="422"/>
    <x v="877"/>
    <s v="L-L-1"/>
    <n v="5"/>
    <x v="877"/>
    <s v="cmiguelqo@exblog.jp"/>
    <x v="0"/>
    <x v="3"/>
    <x v="1"/>
    <x v="0"/>
    <n v="15.85"/>
    <n v="79.25"/>
    <x v="3"/>
    <x v="1"/>
    <x v="0"/>
  </r>
  <r>
    <s v="JMS-48374-462"/>
    <x v="669"/>
    <x v="878"/>
    <s v="A-D-2.5"/>
    <n v="2"/>
    <x v="878"/>
    <s v=""/>
    <x v="0"/>
    <x v="2"/>
    <x v="2"/>
    <x v="2"/>
    <n v="22.884999999999998"/>
    <n v="45.769999999999996"/>
    <x v="2"/>
    <x v="2"/>
    <x v="0"/>
  </r>
  <r>
    <s v="YIT-15877-117"/>
    <x v="670"/>
    <x v="879"/>
    <s v="R-D-1"/>
    <n v="1"/>
    <x v="879"/>
    <s v="mrocksqq@exblog.jp"/>
    <x v="1"/>
    <x v="0"/>
    <x v="2"/>
    <x v="0"/>
    <n v="8.9499999999999993"/>
    <n v="8.9499999999999993"/>
    <x v="0"/>
    <x v="2"/>
    <x v="0"/>
  </r>
  <r>
    <s v="YVK-82679-655"/>
    <x v="341"/>
    <x v="880"/>
    <s v="R-M-0.5"/>
    <n v="4"/>
    <x v="880"/>
    <s v="yburrellsqr@vinaora.com"/>
    <x v="0"/>
    <x v="0"/>
    <x v="0"/>
    <x v="1"/>
    <n v="5.97"/>
    <n v="23.88"/>
    <x v="0"/>
    <x v="0"/>
    <x v="0"/>
  </r>
  <r>
    <s v="TYH-81940-054"/>
    <x v="671"/>
    <x v="881"/>
    <s v="E-L-0.2"/>
    <n v="5"/>
    <x v="881"/>
    <s v="cgoodrumqs@goodreads.com"/>
    <x v="0"/>
    <x v="1"/>
    <x v="1"/>
    <x v="3"/>
    <n v="4.4550000000000001"/>
    <n v="22.274999999999999"/>
    <x v="1"/>
    <x v="1"/>
    <x v="1"/>
  </r>
  <r>
    <s v="HTY-30660-254"/>
    <x v="672"/>
    <x v="882"/>
    <s v="R-M-1"/>
    <n v="3"/>
    <x v="882"/>
    <s v="jjefferysqt@blog.com"/>
    <x v="0"/>
    <x v="0"/>
    <x v="0"/>
    <x v="0"/>
    <n v="9.9499999999999993"/>
    <n v="29.849999999999998"/>
    <x v="0"/>
    <x v="0"/>
    <x v="0"/>
  </r>
  <r>
    <s v="GPW-43956-761"/>
    <x v="673"/>
    <x v="883"/>
    <s v="E-L-0.5"/>
    <n v="6"/>
    <x v="883"/>
    <s v="bwardellqu@adobe.com"/>
    <x v="0"/>
    <x v="1"/>
    <x v="1"/>
    <x v="1"/>
    <n v="8.91"/>
    <n v="53.46"/>
    <x v="1"/>
    <x v="1"/>
    <x v="0"/>
  </r>
  <r>
    <s v="DWY-56352-412"/>
    <x v="674"/>
    <x v="884"/>
    <s v="R-D-0.2"/>
    <n v="1"/>
    <x v="884"/>
    <s v="zwalisiakqv@ucsd.edu"/>
    <x v="1"/>
    <x v="0"/>
    <x v="2"/>
    <x v="3"/>
    <n v="2.6849999999999996"/>
    <n v="2.6849999999999996"/>
    <x v="0"/>
    <x v="2"/>
    <x v="0"/>
  </r>
  <r>
    <s v="PUH-55647-976"/>
    <x v="675"/>
    <x v="885"/>
    <s v="R-M-0.2"/>
    <n v="2"/>
    <x v="885"/>
    <s v="wleopoldqw@blogspot.com"/>
    <x v="0"/>
    <x v="0"/>
    <x v="0"/>
    <x v="3"/>
    <n v="2.9849999999999999"/>
    <n v="5.97"/>
    <x v="0"/>
    <x v="0"/>
    <x v="1"/>
  </r>
  <r>
    <s v="DTB-71371-705"/>
    <x v="539"/>
    <x v="886"/>
    <s v="L-D-1"/>
    <n v="1"/>
    <x v="886"/>
    <s v="cshaldersqx@cisco.com"/>
    <x v="0"/>
    <x v="3"/>
    <x v="2"/>
    <x v="0"/>
    <n v="12.95"/>
    <n v="12.95"/>
    <x v="3"/>
    <x v="2"/>
    <x v="0"/>
  </r>
  <r>
    <s v="ZDC-64769-740"/>
    <x v="676"/>
    <x v="887"/>
    <s v="E-M-0.5"/>
    <n v="1"/>
    <x v="887"/>
    <s v=""/>
    <x v="0"/>
    <x v="1"/>
    <x v="0"/>
    <x v="1"/>
    <n v="8.25"/>
    <n v="8.25"/>
    <x v="1"/>
    <x v="0"/>
    <x v="1"/>
  </r>
  <r>
    <s v="TED-81959-419"/>
    <x v="677"/>
    <x v="888"/>
    <s v="A-L-2.5"/>
    <n v="5"/>
    <x v="888"/>
    <s v="nfurberqz@jugem.jp"/>
    <x v="0"/>
    <x v="2"/>
    <x v="1"/>
    <x v="2"/>
    <n v="29.784999999999997"/>
    <n v="148.92499999999998"/>
    <x v="2"/>
    <x v="1"/>
    <x v="1"/>
  </r>
  <r>
    <s v="FDO-25756-141"/>
    <x v="629"/>
    <x v="889"/>
    <s v="A-L-2.5"/>
    <n v="3"/>
    <x v="889"/>
    <s v=""/>
    <x v="1"/>
    <x v="2"/>
    <x v="1"/>
    <x v="2"/>
    <n v="29.784999999999997"/>
    <n v="89.35499999999999"/>
    <x v="2"/>
    <x v="1"/>
    <x v="0"/>
  </r>
  <r>
    <s v="HKN-31467-517"/>
    <x v="662"/>
    <x v="890"/>
    <s v="L-M-1"/>
    <n v="6"/>
    <x v="890"/>
    <s v="ckeaver1@ucoz.com"/>
    <x v="0"/>
    <x v="3"/>
    <x v="0"/>
    <x v="0"/>
    <n v="14.55"/>
    <n v="87.300000000000011"/>
    <x v="3"/>
    <x v="0"/>
    <x v="1"/>
  </r>
  <r>
    <s v="POF-29666-012"/>
    <x v="102"/>
    <x v="891"/>
    <s v="R-D-0.5"/>
    <n v="1"/>
    <x v="891"/>
    <s v="sroseboroughr2@virginia.edu"/>
    <x v="0"/>
    <x v="0"/>
    <x v="2"/>
    <x v="1"/>
    <n v="5.3699999999999992"/>
    <n v="5.3699999999999992"/>
    <x v="0"/>
    <x v="2"/>
    <x v="0"/>
  </r>
  <r>
    <s v="IRX-59256-644"/>
    <x v="678"/>
    <x v="892"/>
    <s v="A-D-0.2"/>
    <n v="3"/>
    <x v="892"/>
    <s v="ckingwellr3@squarespace.com"/>
    <x v="1"/>
    <x v="2"/>
    <x v="2"/>
    <x v="3"/>
    <n v="2.9849999999999999"/>
    <n v="8.9550000000000001"/>
    <x v="2"/>
    <x v="2"/>
    <x v="0"/>
  </r>
  <r>
    <s v="LTN-89139-350"/>
    <x v="679"/>
    <x v="893"/>
    <s v="R-L-2.5"/>
    <n v="5"/>
    <x v="893"/>
    <s v="kcantor4@gmpg.org"/>
    <x v="0"/>
    <x v="0"/>
    <x v="1"/>
    <x v="2"/>
    <n v="27.484999999999996"/>
    <n v="137.42499999999998"/>
    <x v="0"/>
    <x v="1"/>
    <x v="0"/>
  </r>
  <r>
    <s v="TXF-79780-017"/>
    <x v="112"/>
    <x v="894"/>
    <s v="R-L-1"/>
    <n v="5"/>
    <x v="894"/>
    <s v="mblakemorer5@nsw.gov.au"/>
    <x v="0"/>
    <x v="0"/>
    <x v="1"/>
    <x v="0"/>
    <n v="11.95"/>
    <n v="59.75"/>
    <x v="0"/>
    <x v="1"/>
    <x v="1"/>
  </r>
  <r>
    <s v="ALM-80762-974"/>
    <x v="55"/>
    <x v="890"/>
    <s v="A-L-0.5"/>
    <n v="3"/>
    <x v="890"/>
    <s v="ckeaver1@ucoz.com"/>
    <x v="0"/>
    <x v="2"/>
    <x v="1"/>
    <x v="1"/>
    <n v="7.77"/>
    <n v="23.31"/>
    <x v="2"/>
    <x v="1"/>
    <x v="1"/>
  </r>
  <r>
    <s v="NXF-15738-707"/>
    <x v="680"/>
    <x v="895"/>
    <s v="R-D-0.5"/>
    <n v="2"/>
    <x v="895"/>
    <s v=""/>
    <x v="0"/>
    <x v="0"/>
    <x v="2"/>
    <x v="1"/>
    <n v="5.3699999999999992"/>
    <n v="10.739999999999998"/>
    <x v="0"/>
    <x v="2"/>
    <x v="1"/>
  </r>
  <r>
    <s v="MVV-19034-198"/>
    <x v="94"/>
    <x v="896"/>
    <s v="E-D-2.5"/>
    <n v="6"/>
    <x v="896"/>
    <s v=""/>
    <x v="0"/>
    <x v="1"/>
    <x v="2"/>
    <x v="2"/>
    <n v="27.945"/>
    <n v="167.67000000000002"/>
    <x v="1"/>
    <x v="2"/>
    <x v="0"/>
  </r>
  <r>
    <s v="KUX-19632-830"/>
    <x v="160"/>
    <x v="897"/>
    <s v="E-D-0.2"/>
    <n v="6"/>
    <x v="897"/>
    <s v="cbernardotr9@wix.com"/>
    <x v="0"/>
    <x v="1"/>
    <x v="2"/>
    <x v="3"/>
    <n v="3.645"/>
    <n v="21.87"/>
    <x v="1"/>
    <x v="2"/>
    <x v="0"/>
  </r>
  <r>
    <s v="SNZ-44595-152"/>
    <x v="681"/>
    <x v="898"/>
    <s v="R-L-1"/>
    <n v="2"/>
    <x v="898"/>
    <s v="kkemeryra@t.co"/>
    <x v="0"/>
    <x v="0"/>
    <x v="1"/>
    <x v="0"/>
    <n v="11.95"/>
    <n v="23.9"/>
    <x v="0"/>
    <x v="1"/>
    <x v="0"/>
  </r>
  <r>
    <s v="GQA-37241-629"/>
    <x v="502"/>
    <x v="899"/>
    <s v="A-M-0.2"/>
    <n v="2"/>
    <x v="899"/>
    <s v="fparlotrb@forbes.com"/>
    <x v="0"/>
    <x v="2"/>
    <x v="0"/>
    <x v="3"/>
    <n v="3.375"/>
    <n v="6.75"/>
    <x v="2"/>
    <x v="0"/>
    <x v="0"/>
  </r>
  <r>
    <s v="WVV-79948-067"/>
    <x v="682"/>
    <x v="900"/>
    <s v="E-M-2.5"/>
    <n v="1"/>
    <x v="900"/>
    <s v="rcheakrc@tripadvisor.com"/>
    <x v="1"/>
    <x v="1"/>
    <x v="0"/>
    <x v="2"/>
    <n v="31.624999999999996"/>
    <n v="31.624999999999996"/>
    <x v="1"/>
    <x v="0"/>
    <x v="0"/>
  </r>
  <r>
    <s v="LHX-81117-166"/>
    <x v="683"/>
    <x v="901"/>
    <s v="R-L-1"/>
    <n v="4"/>
    <x v="901"/>
    <s v="kogeneayrd@utexas.edu"/>
    <x v="0"/>
    <x v="0"/>
    <x v="1"/>
    <x v="0"/>
    <n v="11.95"/>
    <n v="47.8"/>
    <x v="0"/>
    <x v="1"/>
    <x v="1"/>
  </r>
  <r>
    <s v="GCD-75444-320"/>
    <x v="594"/>
    <x v="902"/>
    <s v="L-M-2.5"/>
    <n v="1"/>
    <x v="902"/>
    <s v="cayrere@symantec.com"/>
    <x v="0"/>
    <x v="3"/>
    <x v="0"/>
    <x v="2"/>
    <n v="33.464999999999996"/>
    <n v="33.464999999999996"/>
    <x v="3"/>
    <x v="0"/>
    <x v="1"/>
  </r>
  <r>
    <s v="SGA-30059-217"/>
    <x v="389"/>
    <x v="903"/>
    <s v="A-D-0.5"/>
    <n v="5"/>
    <x v="903"/>
    <s v="lkynetonrf@macromedia.com"/>
    <x v="2"/>
    <x v="2"/>
    <x v="2"/>
    <x v="1"/>
    <n v="5.97"/>
    <n v="29.849999999999998"/>
    <x v="2"/>
    <x v="2"/>
    <x v="0"/>
  </r>
  <r>
    <s v="GNL-98714-885"/>
    <x v="583"/>
    <x v="904"/>
    <s v="R-M-1"/>
    <n v="3"/>
    <x v="904"/>
    <s v=""/>
    <x v="2"/>
    <x v="0"/>
    <x v="0"/>
    <x v="0"/>
    <n v="9.9499999999999993"/>
    <n v="29.849999999999998"/>
    <x v="0"/>
    <x v="0"/>
    <x v="0"/>
  </r>
  <r>
    <s v="OQA-93249-841"/>
    <x v="647"/>
    <x v="905"/>
    <s v="A-M-2.5"/>
    <n v="6"/>
    <x v="905"/>
    <s v=""/>
    <x v="0"/>
    <x v="2"/>
    <x v="0"/>
    <x v="2"/>
    <n v="25.874999999999996"/>
    <n v="155.24999999999997"/>
    <x v="2"/>
    <x v="0"/>
    <x v="0"/>
  </r>
  <r>
    <s v="DUV-12075-132"/>
    <x v="366"/>
    <x v="906"/>
    <s v="E-D-0.2"/>
    <n v="5"/>
    <x v="906"/>
    <s v=""/>
    <x v="0"/>
    <x v="1"/>
    <x v="2"/>
    <x v="3"/>
    <n v="3.645"/>
    <n v="18.225000000000001"/>
    <x v="1"/>
    <x v="2"/>
    <x v="1"/>
  </r>
  <r>
    <s v="DUV-12075-132"/>
    <x v="366"/>
    <x v="906"/>
    <s v="L-D-0.5"/>
    <n v="2"/>
    <x v="906"/>
    <s v=""/>
    <x v="0"/>
    <x v="3"/>
    <x v="2"/>
    <x v="1"/>
    <n v="7.77"/>
    <n v="15.54"/>
    <x v="3"/>
    <x v="2"/>
    <x v="1"/>
  </r>
  <r>
    <s v="KPO-24942-184"/>
    <x v="684"/>
    <x v="907"/>
    <s v="L-L-2.5"/>
    <n v="3"/>
    <x v="907"/>
    <s v=""/>
    <x v="1"/>
    <x v="3"/>
    <x v="1"/>
    <x v="2"/>
    <n v="36.454999999999998"/>
    <n v="109.36499999999999"/>
    <x v="3"/>
    <x v="1"/>
    <x v="1"/>
  </r>
  <r>
    <s v="SRJ-79353-838"/>
    <x v="506"/>
    <x v="908"/>
    <s v="A-L-1"/>
    <n v="6"/>
    <x v="908"/>
    <s v=""/>
    <x v="0"/>
    <x v="2"/>
    <x v="1"/>
    <x v="0"/>
    <n v="12.95"/>
    <n v="77.699999999999989"/>
    <x v="2"/>
    <x v="1"/>
    <x v="1"/>
  </r>
  <r>
    <s v="XBV-40336-071"/>
    <x v="685"/>
    <x v="909"/>
    <s v="A-D-0.2"/>
    <n v="3"/>
    <x v="909"/>
    <s v=""/>
    <x v="1"/>
    <x v="2"/>
    <x v="2"/>
    <x v="3"/>
    <n v="2.9849999999999999"/>
    <n v="8.9550000000000001"/>
    <x v="2"/>
    <x v="2"/>
    <x v="1"/>
  </r>
  <r>
    <s v="RLM-96511-467"/>
    <x v="191"/>
    <x v="910"/>
    <s v="R-L-2.5"/>
    <n v="1"/>
    <x v="910"/>
    <s v="jtewelsonrn@samsung.com"/>
    <x v="0"/>
    <x v="0"/>
    <x v="1"/>
    <x v="2"/>
    <n v="27.484999999999996"/>
    <n v="27.484999999999996"/>
    <x v="0"/>
    <x v="1"/>
    <x v="1"/>
  </r>
  <r>
    <s v="AEZ-13242-456"/>
    <x v="686"/>
    <x v="906"/>
    <s v="R-M-0.5"/>
    <n v="5"/>
    <x v="906"/>
    <s v=""/>
    <x v="0"/>
    <x v="0"/>
    <x v="0"/>
    <x v="1"/>
    <n v="5.97"/>
    <n v="29.849999999999998"/>
    <x v="0"/>
    <x v="0"/>
    <x v="1"/>
  </r>
  <r>
    <s v="UME-75640-698"/>
    <x v="687"/>
    <x v="906"/>
    <s v="A-M-0.5"/>
    <n v="4"/>
    <x v="906"/>
    <s v=""/>
    <x v="0"/>
    <x v="2"/>
    <x v="0"/>
    <x v="1"/>
    <n v="6.75"/>
    <n v="27"/>
    <x v="2"/>
    <x v="0"/>
    <x v="1"/>
  </r>
  <r>
    <s v="GJC-66474-557"/>
    <x v="629"/>
    <x v="911"/>
    <s v="A-D-1"/>
    <n v="1"/>
    <x v="911"/>
    <s v="njennyrq@bigcartel.com"/>
    <x v="0"/>
    <x v="2"/>
    <x v="2"/>
    <x v="0"/>
    <n v="9.9499999999999993"/>
    <n v="9.9499999999999993"/>
    <x v="2"/>
    <x v="2"/>
    <x v="1"/>
  </r>
  <r>
    <s v="IRV-20769-219"/>
    <x v="688"/>
    <x v="912"/>
    <s v="E-M-0.2"/>
    <n v="3"/>
    <x v="912"/>
    <s v=""/>
    <x v="2"/>
    <x v="1"/>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5DE2AA-4485-094F-B4D6-C2C442610DEF}" name="PivotTable2"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outline="0" showAll="0"/>
    <pivotField dataField="1" compact="0"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formats count="18">
    <format dxfId="35">
      <pivotArea outline="0" collapsedLevelsAreSubtotals="1" fieldPosition="0"/>
    </format>
    <format dxfId="34">
      <pivotArea type="all" dataOnly="0" outline="0" fieldPosition="0"/>
    </format>
    <format dxfId="33">
      <pivotArea outline="0" collapsedLevelsAreSubtotals="1" fieldPosition="0"/>
    </format>
    <format dxfId="32">
      <pivotArea type="origin" dataOnly="0" labelOnly="1" outline="0" fieldPosition="0"/>
    </format>
    <format dxfId="31">
      <pivotArea field="13" type="button" dataOnly="0" labelOnly="1" outline="0" axis="axisCol" fieldPosition="0"/>
    </format>
    <format dxfId="30">
      <pivotArea type="topRight" dataOnly="0" labelOnly="1" outline="0" fieldPosition="0"/>
    </format>
    <format dxfId="29">
      <pivotArea field="17" type="button" dataOnly="0" labelOnly="1" outline="0" axis="axisRow" fieldPosition="0"/>
    </format>
    <format dxfId="28">
      <pivotArea field="16" type="button" dataOnly="0" labelOnly="1" outline="0" axis="axisRow" fieldPosition="1"/>
    </format>
    <format dxfId="27">
      <pivotArea dataOnly="0" labelOnly="1" outline="0" fieldPosition="0">
        <references count="1">
          <reference field="17" count="4">
            <x v="1"/>
            <x v="2"/>
            <x v="3"/>
            <x v="4"/>
          </reference>
        </references>
      </pivotArea>
    </format>
    <format dxfId="26">
      <pivotArea dataOnly="0" labelOnly="1" outline="0" fieldPosition="0">
        <references count="1">
          <reference field="17" count="4" defaultSubtotal="1">
            <x v="1"/>
            <x v="2"/>
            <x v="3"/>
            <x v="4"/>
          </reference>
        </references>
      </pivotArea>
    </format>
    <format dxfId="25">
      <pivotArea dataOnly="0" labelOnly="1" grandRow="1" outline="0" fieldPosition="0"/>
    </format>
    <format dxfId="24">
      <pivotArea dataOnly="0" labelOnly="1" outline="0" fieldPosition="0">
        <references count="2">
          <reference field="16" count="12">
            <x v="1"/>
            <x v="2"/>
            <x v="3"/>
            <x v="4"/>
            <x v="5"/>
            <x v="6"/>
            <x v="7"/>
            <x v="8"/>
            <x v="9"/>
            <x v="10"/>
            <x v="11"/>
            <x v="12"/>
          </reference>
          <reference field="17" count="1" selected="0">
            <x v="1"/>
          </reference>
        </references>
      </pivotArea>
    </format>
    <format dxfId="23">
      <pivotArea dataOnly="0" labelOnly="1" outline="0" fieldPosition="0">
        <references count="2">
          <reference field="16" count="12">
            <x v="1"/>
            <x v="2"/>
            <x v="3"/>
            <x v="4"/>
            <x v="5"/>
            <x v="6"/>
            <x v="7"/>
            <x v="8"/>
            <x v="9"/>
            <x v="10"/>
            <x v="11"/>
            <x v="12"/>
          </reference>
          <reference field="17" count="1" selected="0">
            <x v="2"/>
          </reference>
        </references>
      </pivotArea>
    </format>
    <format dxfId="22">
      <pivotArea dataOnly="0" labelOnly="1" outline="0" fieldPosition="0">
        <references count="2">
          <reference field="16" count="12">
            <x v="1"/>
            <x v="2"/>
            <x v="3"/>
            <x v="4"/>
            <x v="5"/>
            <x v="6"/>
            <x v="7"/>
            <x v="8"/>
            <x v="9"/>
            <x v="10"/>
            <x v="11"/>
            <x v="12"/>
          </reference>
          <reference field="17" count="1" selected="0">
            <x v="3"/>
          </reference>
        </references>
      </pivotArea>
    </format>
    <format dxfId="21">
      <pivotArea dataOnly="0" labelOnly="1" outline="0" fieldPosition="0">
        <references count="2">
          <reference field="16" count="8">
            <x v="1"/>
            <x v="2"/>
            <x v="3"/>
            <x v="4"/>
            <x v="5"/>
            <x v="6"/>
            <x v="7"/>
            <x v="8"/>
          </reference>
          <reference field="17" count="1" selected="0">
            <x v="4"/>
          </reference>
        </references>
      </pivotArea>
    </format>
    <format dxfId="20">
      <pivotArea dataOnly="0" labelOnly="1" outline="0" fieldPosition="0">
        <references count="1">
          <reference field="13" count="0"/>
        </references>
      </pivotArea>
    </format>
    <format dxfId="19">
      <pivotArea dataOnly="0" labelOnly="1" grandCol="1" outline="0" fieldPosition="0"/>
    </format>
    <format dxfId="18">
      <pivotArea outline="0" collapsedLevelsAreSubtotals="1" fieldPosition="0"/>
    </format>
  </format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83F194-01D6-0644-B2FD-1138C44AB9BD}"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5">
  <location ref="C4:D7"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showAll="0"/>
    <pivotField dataField="1"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7"/>
  </dataFields>
  <formats count="1">
    <format dxfId="17">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2"/>
          </reference>
        </references>
      </pivotArea>
    </chartFormat>
    <chartFormat chart="0" format="2">
      <pivotArea type="data" outline="0" fieldPosition="0">
        <references count="2">
          <reference field="4294967294" count="1" selected="0">
            <x v="0"/>
          </reference>
          <reference field="7" count="1" selected="0">
            <x v="0"/>
          </reference>
        </references>
      </pivotArea>
    </chartFormat>
    <chartFormat chart="0" format="3">
      <pivotArea type="data" outline="0" fieldPosition="0">
        <references count="2">
          <reference field="4294967294" count="1" selected="0">
            <x v="0"/>
          </reference>
          <reference field="7"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7" count="1" selected="0">
            <x v="1"/>
          </reference>
        </references>
      </pivotArea>
    </chartFormat>
    <chartFormat chart="2" format="10">
      <pivotArea type="data" outline="0" fieldPosition="0">
        <references count="2">
          <reference field="4294967294" count="1" selected="0">
            <x v="0"/>
          </reference>
          <reference field="7" count="1" selected="0">
            <x v="0"/>
          </reference>
        </references>
      </pivotArea>
    </chartFormat>
    <chartFormat chart="2" format="11">
      <pivotArea type="data" outline="0" fieldPosition="0">
        <references count="2">
          <reference field="4294967294" count="1" selected="0">
            <x v="0"/>
          </reference>
          <reference field="7" count="1" selected="0">
            <x v="2"/>
          </reference>
        </references>
      </pivotArea>
    </chartFormat>
    <chartFormat chart="4"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67BAA1-DB07-1A42-8B4E-94F8D50142D4}" name="PivotTable2"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A3:B8"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showAll="0"/>
    <pivotField dataField="1"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
  </dataFields>
  <formats count="2">
    <format dxfId="16">
      <pivotArea collapsedLevelsAreSubtotals="1" fieldPosition="0">
        <references count="1">
          <reference field="5" count="5">
            <x v="28"/>
            <x v="125"/>
            <x v="255"/>
            <x v="646"/>
            <x v="831"/>
          </reference>
        </references>
      </pivotArea>
    </format>
    <format dxfId="15">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A27007-AEB2-4D4C-9B45-F5E90FB86078}" name="PivotTable2" cacheId="1" dataOnRows="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1">
  <location ref="A3:B7"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showAll="0"/>
    <pivotField showAll="0"/>
    <pivotField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1"/>
        <item x="0"/>
        <item t="default"/>
      </items>
    </pivotField>
    <pivotField axis="axisRow" numFmtId="166" showAll="0">
      <items count="5">
        <item x="3"/>
        <item x="1"/>
        <item x="0"/>
        <item x="2"/>
        <item t="default"/>
      </items>
    </pivotField>
    <pivotField showAll="0"/>
    <pivotField dataField="1"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10"/>
  </rowFields>
  <rowItems count="4">
    <i>
      <x/>
    </i>
    <i>
      <x v="1"/>
    </i>
    <i>
      <x v="2"/>
    </i>
    <i>
      <x v="3"/>
    </i>
  </rowItems>
  <colItems count="1">
    <i/>
  </colItems>
  <dataFields count="1">
    <dataField name="Sum of Sales" fld="12" baseField="0" baseItem="0" numFmtId="1"/>
  </dataFields>
  <formats count="1">
    <format dxfId="14">
      <pivotArea outline="0" collapsedLevelsAreSubtotals="1" fieldPosition="0"/>
    </format>
  </formats>
  <chartFormats count="31">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6" format="6" series="1">
      <pivotArea type="data" outline="0" fieldPosition="0">
        <references count="1">
          <reference field="4294967294" count="1" selected="0">
            <x v="0"/>
          </reference>
        </references>
      </pivotArea>
    </chartFormat>
    <chartFormat chart="26" format="7">
      <pivotArea type="data" outline="0" fieldPosition="0">
        <references count="2">
          <reference field="4294967294" count="1" selected="0">
            <x v="0"/>
          </reference>
          <reference field="10" count="1" selected="0">
            <x v="0"/>
          </reference>
        </references>
      </pivotArea>
    </chartFormat>
    <chartFormat chart="26" format="8">
      <pivotArea type="data" outline="0" fieldPosition="0">
        <references count="2">
          <reference field="4294967294" count="1" selected="0">
            <x v="0"/>
          </reference>
          <reference field="10" count="1" selected="0">
            <x v="1"/>
          </reference>
        </references>
      </pivotArea>
    </chartFormat>
    <chartFormat chart="26" format="9">
      <pivotArea type="data" outline="0" fieldPosition="0">
        <references count="2">
          <reference field="4294967294" count="1" selected="0">
            <x v="0"/>
          </reference>
          <reference field="10" count="1" selected="0">
            <x v="2"/>
          </reference>
        </references>
      </pivotArea>
    </chartFormat>
    <chartFormat chart="26" format="10">
      <pivotArea type="data" outline="0" fieldPosition="0">
        <references count="2">
          <reference field="4294967294" count="1" selected="0">
            <x v="0"/>
          </reference>
          <reference field="10" count="1" selected="0">
            <x v="3"/>
          </reference>
        </references>
      </pivotArea>
    </chartFormat>
    <chartFormat chart="29" format="8" series="1">
      <pivotArea type="data" outline="0" fieldPosition="0">
        <references count="1">
          <reference field="4294967294" count="1" selected="0">
            <x v="0"/>
          </reference>
        </references>
      </pivotArea>
    </chartFormat>
    <chartFormat chart="29" format="9">
      <pivotArea type="data" outline="0" fieldPosition="0">
        <references count="2">
          <reference field="4294967294" count="1" selected="0">
            <x v="0"/>
          </reference>
          <reference field="10" count="1" selected="0">
            <x v="0"/>
          </reference>
        </references>
      </pivotArea>
    </chartFormat>
    <chartFormat chart="29" format="10">
      <pivotArea type="data" outline="0" fieldPosition="0">
        <references count="2">
          <reference field="4294967294" count="1" selected="0">
            <x v="0"/>
          </reference>
          <reference field="10" count="1" selected="0">
            <x v="1"/>
          </reference>
        </references>
      </pivotArea>
    </chartFormat>
    <chartFormat chart="29" format="11">
      <pivotArea type="data" outline="0" fieldPosition="0">
        <references count="2">
          <reference field="4294967294" count="1" selected="0">
            <x v="0"/>
          </reference>
          <reference field="10" count="1" selected="0">
            <x v="2"/>
          </reference>
        </references>
      </pivotArea>
    </chartFormat>
    <chartFormat chart="29" format="12">
      <pivotArea type="data" outline="0" fieldPosition="0">
        <references count="2">
          <reference field="4294967294" count="1" selected="0">
            <x v="0"/>
          </reference>
          <reference field="10" count="1" selected="0">
            <x v="3"/>
          </reference>
        </references>
      </pivotArea>
    </chartFormat>
    <chartFormat chart="30" format="6" series="1">
      <pivotArea type="data" outline="0" fieldPosition="0">
        <references count="1">
          <reference field="4294967294" count="1" selected="0">
            <x v="0"/>
          </reference>
        </references>
      </pivotArea>
    </chartFormat>
    <chartFormat chart="30" format="7">
      <pivotArea type="data" outline="0" fieldPosition="0">
        <references count="2">
          <reference field="4294967294" count="1" selected="0">
            <x v="0"/>
          </reference>
          <reference field="10" count="1" selected="0">
            <x v="0"/>
          </reference>
        </references>
      </pivotArea>
    </chartFormat>
    <chartFormat chart="30" format="8">
      <pivotArea type="data" outline="0" fieldPosition="0">
        <references count="2">
          <reference field="4294967294" count="1" selected="0">
            <x v="0"/>
          </reference>
          <reference field="10" count="1" selected="0">
            <x v="1"/>
          </reference>
        </references>
      </pivotArea>
    </chartFormat>
    <chartFormat chart="30" format="9">
      <pivotArea type="data" outline="0" fieldPosition="0">
        <references count="2">
          <reference field="4294967294" count="1" selected="0">
            <x v="0"/>
          </reference>
          <reference field="10" count="1" selected="0">
            <x v="2"/>
          </reference>
        </references>
      </pivotArea>
    </chartFormat>
    <chartFormat chart="30" format="10">
      <pivotArea type="data" outline="0" fieldPosition="0">
        <references count="2">
          <reference field="4294967294" count="1" selected="0">
            <x v="0"/>
          </reference>
          <reference field="10" count="1" selected="0">
            <x v="3"/>
          </reference>
        </references>
      </pivotArea>
    </chartFormat>
    <chartFormat chart="19" format="1">
      <pivotArea type="data" outline="0" fieldPosition="0">
        <references count="2">
          <reference field="4294967294" count="1" selected="0">
            <x v="0"/>
          </reference>
          <reference field="10" count="1" selected="0">
            <x v="0"/>
          </reference>
        </references>
      </pivotArea>
    </chartFormat>
    <chartFormat chart="19" format="2">
      <pivotArea type="data" outline="0" fieldPosition="0">
        <references count="2">
          <reference field="4294967294" count="1" selected="0">
            <x v="0"/>
          </reference>
          <reference field="10" count="1" selected="0">
            <x v="1"/>
          </reference>
        </references>
      </pivotArea>
    </chartFormat>
    <chartFormat chart="19" format="3">
      <pivotArea type="data" outline="0" fieldPosition="0">
        <references count="2">
          <reference field="4294967294" count="1" selected="0">
            <x v="0"/>
          </reference>
          <reference field="10" count="1" selected="0">
            <x v="2"/>
          </reference>
        </references>
      </pivotArea>
    </chartFormat>
    <chartFormat chart="19" format="4">
      <pivotArea type="data" outline="0" fieldPosition="0">
        <references count="2">
          <reference field="4294967294" count="1" selected="0">
            <x v="0"/>
          </reference>
          <reference field="10" count="1" selected="0">
            <x v="3"/>
          </reference>
        </references>
      </pivotArea>
    </chartFormat>
    <chartFormat chart="6" format="3">
      <pivotArea type="data" outline="0" fieldPosition="0">
        <references count="2">
          <reference field="4294967294" count="1" selected="0">
            <x v="0"/>
          </reference>
          <reference field="10" count="1" selected="0">
            <x v="0"/>
          </reference>
        </references>
      </pivotArea>
    </chartFormat>
    <chartFormat chart="6" format="4">
      <pivotArea type="data" outline="0" fieldPosition="0">
        <references count="2">
          <reference field="4294967294" count="1" selected="0">
            <x v="0"/>
          </reference>
          <reference field="10" count="1" selected="0">
            <x v="1"/>
          </reference>
        </references>
      </pivotArea>
    </chartFormat>
    <chartFormat chart="6" format="5">
      <pivotArea type="data" outline="0" fieldPosition="0">
        <references count="2">
          <reference field="4294967294" count="1" selected="0">
            <x v="0"/>
          </reference>
          <reference field="10" count="1" selected="0">
            <x v="2"/>
          </reference>
        </references>
      </pivotArea>
    </chartFormat>
    <chartFormat chart="6" format="6">
      <pivotArea type="data" outline="0" fieldPosition="0">
        <references count="2">
          <reference field="4294967294" count="1" selected="0">
            <x v="0"/>
          </reference>
          <reference field="10" count="1" selected="0">
            <x v="3"/>
          </reference>
        </references>
      </pivotArea>
    </chartFormat>
    <chartFormat chart="19" format="5">
      <pivotArea type="data" outline="0" fieldPosition="0">
        <references count="1">
          <reference field="4294967294" count="1" selected="0">
            <x v="0"/>
          </reference>
        </references>
      </pivotArea>
    </chartFormat>
    <chartFormat chart="6" format="7">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20D465-698D-334D-81ED-8CC5AB2770C8}" name="PivotTable15" cacheId="1" dataOnRows="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3">
  <location ref="A14:A15" firstHeaderRow="1" firstDataRow="1" firstDataCol="0"/>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items count="5">
        <item x="3"/>
        <item x="1"/>
        <item x="0"/>
        <item x="2"/>
        <item t="default"/>
      </items>
    </pivotField>
    <pivotField showAll="0"/>
    <pivotField showAll="0"/>
    <pivotField showAll="0"/>
    <pivotField showAll="0">
      <items count="4">
        <item x="2"/>
        <item x="1"/>
        <item x="0"/>
        <item t="default"/>
      </items>
    </pivotField>
    <pivotField dataField="1" showAll="0">
      <items count="3">
        <item x="1"/>
        <item x="0"/>
        <item t="default"/>
      </items>
    </pivotField>
    <pivotField showAll="0" defaultSubtotal="0"/>
    <pivotField showAll="0" defaultSubtotal="0">
      <items count="6">
        <item x="0"/>
        <item x="1"/>
        <item x="2"/>
        <item x="3"/>
        <item x="4"/>
        <item x="5"/>
      </items>
    </pivotField>
  </pivotFields>
  <rowItems count="1">
    <i/>
  </rowItems>
  <colItems count="1">
    <i/>
  </colItems>
  <dataFields count="1">
    <dataField name="Count of Loyalty Card" fld="15" subtotal="count" baseField="0" baseItem="0"/>
  </dataFields>
  <chartFormats count="7">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9" format="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E084A9B-F414-6E49-A8D6-F9988441E662}" name="PivotTable14" cacheId="1" dataOnRows="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9">
  <location ref="A8:B11"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items count="5">
        <item x="3"/>
        <item x="1"/>
        <item x="0"/>
        <item x="2"/>
        <item t="default"/>
      </items>
    </pivotField>
    <pivotField showAll="0"/>
    <pivotField showAll="0"/>
    <pivotField showAll="0"/>
    <pivotField showAll="0">
      <items count="4">
        <item x="2"/>
        <item x="1"/>
        <item x="0"/>
        <item t="default"/>
      </items>
    </pivotField>
    <pivotField axis="axisRow" dataField="1" showAll="0">
      <items count="3">
        <item x="1"/>
        <item x="0"/>
        <item t="default"/>
      </items>
    </pivotField>
    <pivotField showAll="0" defaultSubtotal="0"/>
    <pivotField showAll="0" defaultSubtotal="0">
      <items count="6">
        <item x="0"/>
        <item x="1"/>
        <item x="2"/>
        <item x="3"/>
        <item x="4"/>
        <item x="5"/>
      </items>
    </pivotField>
  </pivotFields>
  <rowFields count="1">
    <field x="15"/>
  </rowFields>
  <rowItems count="3">
    <i>
      <x/>
    </i>
    <i>
      <x v="1"/>
    </i>
    <i t="grand">
      <x/>
    </i>
  </rowItems>
  <colItems count="1">
    <i/>
  </colItems>
  <dataFields count="1">
    <dataField name="Count of Loyalty Card" fld="15" subtotal="count" baseField="0" baseItem="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5" count="1" selected="0">
            <x v="1"/>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15" count="1" selected="0">
            <x v="0"/>
          </reference>
        </references>
      </pivotArea>
    </chartFormat>
    <chartFormat chart="7" format="7">
      <pivotArea type="data" outline="0" fieldPosition="0">
        <references count="2">
          <reference field="4294967294" count="1" selected="0">
            <x v="0"/>
          </reference>
          <reference field="15" count="1" selected="0">
            <x v="1"/>
          </reference>
        </references>
      </pivotArea>
    </chartFormat>
    <chartFormat chart="2" format="2">
      <pivotArea type="data" outline="0" fieldPosition="0">
        <references count="2">
          <reference field="4294967294" count="1" selected="0">
            <x v="0"/>
          </reference>
          <reference field="15"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B371FE-EB92-9741-894C-84C06076FD73}" name="PivotTable13" cacheId="1"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3:B5"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items count="5">
        <item x="3"/>
        <item x="1"/>
        <item x="0"/>
        <item x="2"/>
        <item t="default"/>
      </items>
    </pivotField>
    <pivotField showAll="0"/>
    <pivotField dataField="1" showAll="0"/>
    <pivotField showAll="0"/>
    <pivotField showAll="0">
      <items count="4">
        <item x="2"/>
        <item x="1"/>
        <item x="0"/>
        <item t="default"/>
      </items>
    </pivotField>
    <pivotField axis="axisRow" showAll="0">
      <items count="3">
        <item x="1"/>
        <item x="0"/>
        <item t="default"/>
      </items>
    </pivotField>
    <pivotField showAll="0" defaultSubtotal="0"/>
    <pivotField showAll="0" defaultSubtotal="0">
      <items count="6">
        <item x="0"/>
        <item x="1"/>
        <item x="2"/>
        <item x="3"/>
        <item x="4"/>
        <item x="5"/>
      </items>
    </pivotField>
  </pivotFields>
  <rowFields count="1">
    <field x="15"/>
  </rowFields>
  <rowItems count="2">
    <i>
      <x/>
    </i>
    <i>
      <x v="1"/>
    </i>
  </rowItems>
  <colItems count="1">
    <i/>
  </colItems>
  <dataFields count="1">
    <dataField name="Total Sales" fld="12"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0"/>
          </reference>
        </references>
      </pivotArea>
    </chartFormat>
    <chartFormat chart="0" format="2">
      <pivotArea type="data" outline="0" fieldPosition="0">
        <references count="2">
          <reference field="4294967294" count="1" selected="0">
            <x v="0"/>
          </reference>
          <reference field="15"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0E67000-E24B-3847-A6AA-81FC00199FEB}" name="PivotTable2" cacheId="1" dataOnRows="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3">
  <location ref="A3:B6"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items count="914">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 t="default"/>
      </items>
    </pivotField>
    <pivotField showAll="0"/>
    <pivotField showAll="0"/>
    <pivotField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1"/>
        <item x="0"/>
        <item t="default"/>
      </items>
    </pivotField>
    <pivotField numFmtId="166" showAll="0">
      <items count="5">
        <item x="3"/>
        <item x="1"/>
        <item x="0"/>
        <item x="2"/>
        <item t="default"/>
      </items>
    </pivotField>
    <pivotField showAll="0"/>
    <pivotField dataField="1" showAll="0"/>
    <pivotField showAll="0">
      <items count="5">
        <item x="2"/>
        <item x="1"/>
        <item x="3"/>
        <item x="0"/>
        <item t="default"/>
      </items>
    </pivotField>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14"/>
  </rowFields>
  <rowItems count="3">
    <i>
      <x/>
    </i>
    <i>
      <x v="2"/>
    </i>
    <i>
      <x v="1"/>
    </i>
  </rowItems>
  <colItems count="1">
    <i/>
  </colItems>
  <dataFields count="1">
    <dataField name="Sum of Sales" fld="12" baseField="0" baseItem="0" numFmtId="167"/>
  </dataFields>
  <formats count="1">
    <format dxfId="13">
      <pivotArea outline="0" collapsedLevelsAreSubtotals="1" fieldPosition="0"/>
    </format>
  </formats>
  <chartFormats count="1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4" format="13"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6" series="1">
      <pivotArea type="data" outline="0" fieldPosition="0">
        <references count="1">
          <reference field="4294967294" count="1" selected="0">
            <x v="0"/>
          </reference>
        </references>
      </pivotArea>
    </chartFormat>
    <chartFormat chart="29" format="8" series="1">
      <pivotArea type="data" outline="0" fieldPosition="0">
        <references count="1">
          <reference field="4294967294" count="1" selected="0">
            <x v="0"/>
          </reference>
        </references>
      </pivotArea>
    </chartFormat>
    <chartFormat chart="30" format="6" series="1">
      <pivotArea type="data" outline="0" fieldPosition="0">
        <references count="1">
          <reference field="4294967294" count="1" selected="0">
            <x v="0"/>
          </reference>
        </references>
      </pivotArea>
    </chartFormat>
    <chartFormat chart="40" format="16" series="1">
      <pivotArea type="data" outline="0" fieldPosition="0">
        <references count="1">
          <reference field="4294967294" count="1" selected="0">
            <x v="0"/>
          </reference>
        </references>
      </pivotArea>
    </chartFormat>
    <chartFormat chart="42" format="18" series="1">
      <pivotArea type="data" outline="0" fieldPosition="0">
        <references count="1">
          <reference field="4294967294" count="1" selected="0">
            <x v="0"/>
          </reference>
        </references>
      </pivotArea>
    </chartFormat>
    <chartFormat chart="40" format="17">
      <pivotArea type="data" outline="0" fieldPosition="0">
        <references count="2">
          <reference field="4294967294" count="1" selected="0">
            <x v="0"/>
          </reference>
          <reference field="14" count="1" selected="0">
            <x v="1"/>
          </reference>
        </references>
      </pivotArea>
    </chartFormat>
    <chartFormat chart="30" format="11">
      <pivotArea type="data" outline="0" fieldPosition="0">
        <references count="2">
          <reference field="4294967294" count="1" selected="0">
            <x v="0"/>
          </reference>
          <reference field="14" count="1" selected="0">
            <x v="2"/>
          </reference>
        </references>
      </pivotArea>
    </chartFormat>
    <chartFormat chart="30" format="12">
      <pivotArea type="data" outline="0" fieldPosition="0">
        <references count="2">
          <reference field="4294967294" count="1" selected="0">
            <x v="0"/>
          </reference>
          <reference field="14" count="1" selected="0">
            <x v="0"/>
          </reference>
        </references>
      </pivotArea>
    </chartFormat>
    <chartFormat chart="30" format="13">
      <pivotArea type="data" outline="0" fieldPosition="0">
        <references count="2">
          <reference field="4294967294" count="1" selected="0">
            <x v="0"/>
          </reference>
          <reference field="14" count="1" selected="0">
            <x v="1"/>
          </reference>
        </references>
      </pivotArea>
    </chartFormat>
  </chartFormats>
  <pivotTableStyleInfo name="PivotStyleMedium9" showRowHeaders="1" showColHeaders="1" showRowStripes="0" showColStripes="0" showLastColumn="1"/>
  <filters count="1">
    <filter fld="5" type="count" evalOrder="-1" id="2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573CA38-21A3-6843-9D67-FE1F7B6165ED}" name="PivotTable7" cacheId="1" dataOnRows="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location ref="A3:C6" firstHeaderRow="1" firstDataRow="2" firstDataCol="1"/>
  <pivotFields count="18">
    <pivotField subtotalTop="0" showAll="0"/>
    <pivotField numFmtId="165" subtotalTop="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numFmtId="166" subtotalTop="0" showAll="0">
      <items count="5">
        <item x="3"/>
        <item x="1"/>
        <item x="0"/>
        <item x="2"/>
        <item t="default"/>
      </items>
    </pivotField>
    <pivotField subtotalTop="0" showAll="0"/>
    <pivotField dataField="1" subtotalTop="0" showAll="0"/>
    <pivotField subtotalTop="0" showAll="0"/>
    <pivotField subtotalTop="0" showAll="0">
      <items count="4">
        <item x="2"/>
        <item x="1"/>
        <item x="0"/>
        <item t="default"/>
      </items>
    </pivotField>
    <pivotField axis="axisCol" dataField="1" subtotalTop="0" showAll="0">
      <items count="3">
        <item n="Regular Customer" x="1"/>
        <item n="Loyal Customer" x="0"/>
        <item t="default"/>
      </items>
    </pivotField>
    <pivotField subtotalTop="0" showAll="0">
      <items count="15">
        <item x="0"/>
        <item x="1"/>
        <item x="2"/>
        <item x="3"/>
        <item x="4"/>
        <item x="5"/>
        <item x="6"/>
        <item x="7"/>
        <item x="8"/>
        <item x="9"/>
        <item x="10"/>
        <item x="11"/>
        <item x="12"/>
        <item x="13"/>
        <item t="default"/>
      </items>
    </pivotField>
    <pivotField subtotalTop="0" showAll="0">
      <items count="7">
        <item x="0"/>
        <item x="1"/>
        <item x="2"/>
        <item x="3"/>
        <item x="4"/>
        <item x="5"/>
        <item t="default"/>
      </items>
    </pivotField>
  </pivotFields>
  <rowFields count="1">
    <field x="-2"/>
  </rowFields>
  <rowItems count="2">
    <i>
      <x/>
    </i>
    <i i="1">
      <x v="1"/>
    </i>
  </rowItems>
  <colFields count="1">
    <field x="15"/>
  </colFields>
  <colItems count="2">
    <i>
      <x/>
    </i>
    <i>
      <x v="1"/>
    </i>
  </colItems>
  <dataFields count="2">
    <dataField name="Total Sales" fld="12" baseField="0" baseItem="0"/>
    <dataField name="Count of Loyalty Card" fld="15" subtotal="count" baseField="0" baseItem="0"/>
  </dataFields>
  <formats count="2">
    <format dxfId="11">
      <pivotArea outline="0" collapsedLevelsAreSubtotals="1" fieldPosition="0"/>
    </format>
    <format dxfId="10">
      <pivotArea collapsedLevelsAreSubtotals="1" fieldPosition="0">
        <references count="1">
          <reference field="4294967294" count="1">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F4CD568-9ED2-5E44-AA1D-F3344E6935E8}" sourceName="Roast Type Name">
  <pivotTables>
    <pivotTable tabId="19" name="PivotTable2"/>
    <pivotTable tabId="25" name="PivotTable1"/>
    <pivotTable tabId="26" name="PivotTable2"/>
    <pivotTable tabId="29" name="PivotTable2"/>
    <pivotTable tabId="31" name="PivotTable2"/>
    <pivotTable tabId="33" name="PivotTable7"/>
    <pivotTable tabId="38" name="PivotTable13"/>
    <pivotTable tabId="38" name="PivotTable14"/>
    <pivotTable tabId="38" name="PivotTable15"/>
  </pivotTables>
  <data>
    <tabular pivotCacheId="180937598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41F6296-98D6-8043-AC31-6D1FE413C3D8}" sourceName="Size">
  <pivotTables>
    <pivotTable tabId="19" name="PivotTable2"/>
    <pivotTable tabId="25" name="PivotTable1"/>
    <pivotTable tabId="26" name="PivotTable2"/>
    <pivotTable tabId="29" name="PivotTable2"/>
    <pivotTable tabId="31" name="PivotTable2"/>
    <pivotTable tabId="38" name="PivotTable13"/>
    <pivotTable tabId="38" name="PivotTable14"/>
    <pivotTable tabId="38" name="PivotTable15"/>
    <pivotTable tabId="33" name="PivotTable7"/>
  </pivotTables>
  <data>
    <tabular pivotCacheId="1809375987">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1DF38AFA-D659-8D42-AF42-924B49C6EDBA}" sourceName="Loyalty Card">
  <pivotTables>
    <pivotTable tabId="19" name="PivotTable2"/>
    <pivotTable tabId="25" name="PivotTable1"/>
    <pivotTable tabId="26" name="PivotTable2"/>
    <pivotTable tabId="29" name="PivotTable2"/>
    <pivotTable tabId="31" name="PivotTable2"/>
    <pivotTable tabId="38" name="PivotTable13"/>
    <pivotTable tabId="38" name="PivotTable14"/>
    <pivotTable tabId="38" name="PivotTable15"/>
    <pivotTable tabId="33" name="PivotTable7"/>
  </pivotTables>
  <data>
    <tabular pivotCacheId="180937598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1" xr10:uid="{73419C9B-8113-9641-A8C2-2CF328CF93FB}" cache="Slicer_Roast_Type_Name" caption="Roast Type Name" columnCount="3" style="SlicerStyleDark1" rowHeight="230716"/>
  <slicer name="Size 1" xr10:uid="{0319E4CA-FF0B-E74F-8B2C-A018BE7C6972}" cache="Slicer_Size" caption="Size" columnCount="2" style="SlicerStyleDark1" rowHeight="230716"/>
  <slicer name="Loyalty Card 1" xr10:uid="{0C507592-883B-A649-8356-3C14AB28463F}" cache="Slicer_Loyalty_Card" caption="Loyalty Card" style="SlicerStyleDark1"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C16DB3F6-6E80-9945-A3D7-6E1E9F52C4BA}" cache="Slicer_Roast_Type_Name" caption="Roast Type Name" rowHeight="230716"/>
  <slicer name="Size" xr10:uid="{A34776DC-CD77-C84F-A629-F342C77248FA}" cache="Slicer_Size" caption="Size" columnCount="2" style="SlicerStyleDark1" rowHeight="230716"/>
  <slicer name="Loyalty Card" xr10:uid="{67FDF5EC-7F80-6B43-AF21-8759EC43FDA6}" cache="Slicer_Loyalty_Card" caption="L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D5F4DE-8B70-5A4F-939A-D29E9B4F6484}" name="Table2" displayName="Table2" ref="D3:E7" totalsRowShown="0">
  <autoFilter ref="D3:E7" xr:uid="{DBD5F4DE-8B70-5A4F-939A-D29E9B4F6484}"/>
  <tableColumns count="2">
    <tableColumn id="1" xr3:uid="{AD74B95B-8232-3A43-8E3D-522A7E04E9E0}" name="Row Labels"/>
    <tableColumn id="2" xr3:uid="{CBF8640B-D993-D24C-9223-966ACAF19A56}" name="Sum of Sales" dataDxfId="12"/>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CADE14-3E4A-0346-988E-6C5D9365E621}" name="Table1" displayName="Table1" ref="A1:P1001" totalsRowShown="0" headerRowDxfId="9">
  <autoFilter ref="A1:P1001" xr:uid="{8FCADE14-3E4A-0346-988E-6C5D9365E621}"/>
  <tableColumns count="16">
    <tableColumn id="1" xr3:uid="{26211887-23AD-BE48-B181-631CE8189841}" name="Order ID" dataDxfId="8"/>
    <tableColumn id="2" xr3:uid="{237FF32F-FE95-ED4C-AF8B-D9E64AB13BE6}" name="Order Date" dataDxfId="7"/>
    <tableColumn id="3" xr3:uid="{34992576-556E-6A47-89F3-F93F4A2C7BE8}" name="Customer ID" dataDxfId="6"/>
    <tableColumn id="4" xr3:uid="{1009E97B-8CCE-D84A-9CCC-5EC83D04329F}" name="Product ID"/>
    <tableColumn id="5" xr3:uid="{3C8536F7-31D4-A04B-87BB-0494C1360BC7}" name="Quantity" dataDxfId="5"/>
    <tableColumn id="6" xr3:uid="{EA2B898A-A127-E547-B82E-E6D2F07BBC20}" name="Customer Name" dataDxfId="4">
      <calculatedColumnFormula>_xlfn.XLOOKUP(Data_orders!C2,Data_customers!$A$1:$A$1001,Data_customers!$B$1:$B$1001,,0)</calculatedColumnFormula>
    </tableColumn>
    <tableColumn id="7" xr3:uid="{54D9FA4D-92BE-E144-A7DE-E98B08C19A42}" name="Email" dataDxfId="3">
      <calculatedColumnFormula>IF(_xlfn.XLOOKUP(C2,Data_customers!$A$1:$A$1001,Data_customers!$C$1:$C$1001,,0)=0,"",_xlfn.XLOOKUP(C2,Data_customers!$A$1:$A$1001,Data_customers!$C$1:$C$1001,,0))</calculatedColumnFormula>
    </tableColumn>
    <tableColumn id="8" xr3:uid="{B7D4BE8C-68A4-9245-8F52-EBADE7477AC3}" name="Country" dataDxfId="2">
      <calculatedColumnFormula>_xlfn.XLOOKUP(C2,Data_customers!$A$1:$A$1001,Data_customers!$G$1:$G$1001,"",0)</calculatedColumnFormula>
    </tableColumn>
    <tableColumn id="9" xr3:uid="{5C6D5627-FC9A-2C49-9C39-BC0A63A3E97A}" name="Coffee Type">
      <calculatedColumnFormula>INDEX(Data_products!$A$1:$G$49, MATCH(Data_orders!$D2,Data_products!$A$1:$A$49,0), MATCH(Data_orders!I$1,Data_products!$A$1:$G$1,0))</calculatedColumnFormula>
    </tableColumn>
    <tableColumn id="10" xr3:uid="{427CEF3D-7A33-E046-88DD-8E87EDF5FFE9}" name="Roast Type">
      <calculatedColumnFormula>INDEX(Data_products!$A$1:$G$49, MATCH(Data_orders!$D2,Data_products!$A$1:$A$49,0), MATCH(Data_orders!J$1,Data_products!$A$1:$G$1,0))</calculatedColumnFormula>
    </tableColumn>
    <tableColumn id="11" xr3:uid="{8C47593C-A709-A445-8875-E633C50DB374}" name="Size" dataDxfId="1">
      <calculatedColumnFormula>INDEX(Data_products!$A$1:$G$49, MATCH(Data_orders!$D2,Data_products!$A$1:$A$49,0), MATCH(Data_orders!K$1,Data_products!$A$1:$G$1,0))</calculatedColumnFormula>
    </tableColumn>
    <tableColumn id="12" xr3:uid="{04D8B042-76B8-E542-82E4-8C96ADDC34A4}" name="Unit Price">
      <calculatedColumnFormula>INDEX(Data_products!$A$1:$G$49, MATCH(Data_orders!$D2,Data_products!$A$1:$A$49,0), MATCH(Data_orders!L$1,Data_products!$A$1:$G$1,0))</calculatedColumnFormula>
    </tableColumn>
    <tableColumn id="13" xr3:uid="{B8986A43-D73D-F141-8578-D10570054371}" name="Sales">
      <calculatedColumnFormula>L2*E2</calculatedColumnFormula>
    </tableColumn>
    <tableColumn id="14" xr3:uid="{28A194C1-9A5E-514F-83D7-F10EB7DA9834}" name="Coffee Type Name">
      <calculatedColumnFormula array="1">_xlfn.IFS(I2 = "Rob", "Robusta", I2 = "Exc", "Excelsa", I2 = "Ara", "Arabica", I2 = "Lib", "Liberica")</calculatedColumnFormula>
    </tableColumn>
    <tableColumn id="15" xr3:uid="{97579ED1-6382-C045-81E3-F16CD6E380A8}" name="Roast Type Name">
      <calculatedColumnFormula>IF(J2 = "M", "Medium", IF(J2 =  "L", "Light", IF(J2 = "D", "Dark", "")))</calculatedColumnFormula>
    </tableColumn>
    <tableColumn id="16" xr3:uid="{0EA3792C-B9C9-1E45-B8BE-D37F535FDBFC}" name="Loyalty Card" dataDxfId="0">
      <calculatedColumnFormula>_xlfn.XLOOKUP(Table1[[#This Row],[Customer ID]],Data_customers!$A$2:$A$1001,Data_customers!$I$2:$I$1001,,0)</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ADFE80E-D38B-DE43-B104-5FD3AB1E3E4B}" sourceName="Order Date">
  <pivotTables>
    <pivotTable tabId="19" name="PivotTable2"/>
    <pivotTable tabId="25" name="PivotTable1"/>
    <pivotTable tabId="26" name="PivotTable2"/>
    <pivotTable tabId="29" name="PivotTable2"/>
    <pivotTable tabId="31" name="PivotTable2"/>
    <pivotTable tabId="33" name="PivotTable7"/>
  </pivotTables>
  <state minimalRefreshVersion="6" lastRefreshVersion="6" pivotCacheId="180937598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3402E3DE-878F-A448-80FB-4704E66CCB86}" cache="NativeTimeline_Order_Date" caption="Order Date" level="2" selectionLevel="2" scrollPosition="2020-07-10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00795E4-AEC3-FA4A-9F18-E54CC5F301B7}" cache="NativeTimeline_Order_Date" caption="Order Date" level="2" selectionLevel="2" scrollPosition="2019-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F6B59-4768-1248-9945-B40202D6E731}">
  <sheetPr>
    <tabColor theme="4"/>
  </sheetPr>
  <dimension ref="AB1:AB41"/>
  <sheetViews>
    <sheetView showGridLines="0" tabSelected="1" topLeftCell="A2" zoomScale="91" zoomScaleNormal="86" workbookViewId="0">
      <selection activeCell="AB25" sqref="AB25"/>
    </sheetView>
  </sheetViews>
  <sheetFormatPr baseColWidth="10" defaultRowHeight="15" x14ac:dyDescent="0.2"/>
  <cols>
    <col min="1" max="1" width="1.83203125" customWidth="1"/>
    <col min="8" max="8" width="1.83203125" customWidth="1"/>
    <col min="16" max="16" width="1.83203125" customWidth="1"/>
    <col min="19" max="19" width="1.83203125" customWidth="1"/>
    <col min="23" max="23" width="1.83203125" customWidth="1"/>
  </cols>
  <sheetData>
    <row r="1" spans="28:28" ht="5" customHeight="1" x14ac:dyDescent="0.2"/>
    <row r="6" spans="28:28" ht="5" customHeight="1" x14ac:dyDescent="0.2"/>
    <row r="11" spans="28:28" ht="5" customHeight="1" x14ac:dyDescent="0.2"/>
    <row r="16" spans="28:28" x14ac:dyDescent="0.2">
      <c r="AB16" t="s">
        <v>6234</v>
      </c>
    </row>
    <row r="17" ht="5" customHeight="1" x14ac:dyDescent="0.2"/>
    <row r="30" ht="9" customHeight="1" x14ac:dyDescent="0.2"/>
    <row r="4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D2A63-2A1A-544C-A17D-63423905319C}">
  <sheetPr>
    <tabColor theme="0"/>
  </sheetPr>
  <dimension ref="A3:F48"/>
  <sheetViews>
    <sheetView topLeftCell="A11" zoomScale="109" workbookViewId="0">
      <selection activeCell="C65" sqref="C65"/>
    </sheetView>
  </sheetViews>
  <sheetFormatPr baseColWidth="10" defaultRowHeight="15" x14ac:dyDescent="0.2"/>
  <cols>
    <col min="1" max="1" width="12.1640625" style="6" bestFit="1" customWidth="1"/>
    <col min="2" max="2" width="19.6640625" style="6" bestFit="1" customWidth="1"/>
    <col min="3" max="3" width="17.5" style="6" bestFit="1" customWidth="1"/>
    <col min="4" max="4" width="6.6640625" style="6" bestFit="1" customWidth="1"/>
    <col min="5" max="6" width="7.33203125" style="6" bestFit="1" customWidth="1"/>
    <col min="7" max="7" width="10.1640625" style="6" bestFit="1" customWidth="1"/>
    <col min="8" max="16384" width="10.83203125" style="6"/>
  </cols>
  <sheetData>
    <row r="3" spans="1:6" x14ac:dyDescent="0.2">
      <c r="A3" s="5" t="s">
        <v>6199</v>
      </c>
      <c r="C3" s="5" t="s">
        <v>6196</v>
      </c>
    </row>
    <row r="4" spans="1:6" x14ac:dyDescent="0.2">
      <c r="A4" s="5" t="s">
        <v>6212</v>
      </c>
      <c r="B4" s="5" t="s">
        <v>6213</v>
      </c>
      <c r="C4" s="6" t="s">
        <v>6214</v>
      </c>
      <c r="D4" s="6" t="s">
        <v>6215</v>
      </c>
      <c r="E4" s="6" t="s">
        <v>6216</v>
      </c>
      <c r="F4" s="6" t="s">
        <v>6217</v>
      </c>
    </row>
    <row r="5" spans="1:6" x14ac:dyDescent="0.2">
      <c r="A5" s="6" t="s">
        <v>6198</v>
      </c>
      <c r="B5" s="6" t="s">
        <v>6200</v>
      </c>
      <c r="C5" s="7">
        <v>186.85499999999999</v>
      </c>
      <c r="D5" s="7">
        <v>305.97000000000003</v>
      </c>
      <c r="E5" s="7">
        <v>213.15999999999997</v>
      </c>
      <c r="F5" s="7">
        <v>123</v>
      </c>
    </row>
    <row r="6" spans="1:6" x14ac:dyDescent="0.2">
      <c r="B6" s="6" t="s">
        <v>6201</v>
      </c>
      <c r="C6" s="7">
        <v>251.96499999999997</v>
      </c>
      <c r="D6" s="7">
        <v>129.46</v>
      </c>
      <c r="E6" s="7">
        <v>434.03999999999996</v>
      </c>
      <c r="F6" s="7">
        <v>171.93999999999997</v>
      </c>
    </row>
    <row r="7" spans="1:6" x14ac:dyDescent="0.2">
      <c r="B7" s="6" t="s">
        <v>6202</v>
      </c>
      <c r="C7" s="7">
        <v>224.94499999999999</v>
      </c>
      <c r="D7" s="7">
        <v>349.12</v>
      </c>
      <c r="E7" s="7">
        <v>321.04000000000002</v>
      </c>
      <c r="F7" s="7">
        <v>126.035</v>
      </c>
    </row>
    <row r="8" spans="1:6" x14ac:dyDescent="0.2">
      <c r="B8" s="6" t="s">
        <v>6203</v>
      </c>
      <c r="C8" s="7">
        <v>307.12</v>
      </c>
      <c r="D8" s="7">
        <v>681.07499999999993</v>
      </c>
      <c r="E8" s="7">
        <v>533.70499999999993</v>
      </c>
      <c r="F8" s="7">
        <v>158.85</v>
      </c>
    </row>
    <row r="9" spans="1:6" x14ac:dyDescent="0.2">
      <c r="B9" s="6" t="s">
        <v>6204</v>
      </c>
      <c r="C9" s="7">
        <v>53.664999999999992</v>
      </c>
      <c r="D9" s="7">
        <v>83.025000000000006</v>
      </c>
      <c r="E9" s="7">
        <v>193.83499999999998</v>
      </c>
      <c r="F9" s="7">
        <v>68.039999999999992</v>
      </c>
    </row>
    <row r="10" spans="1:6" x14ac:dyDescent="0.2">
      <c r="B10" s="6" t="s">
        <v>6205</v>
      </c>
      <c r="C10" s="7">
        <v>163.01999999999998</v>
      </c>
      <c r="D10" s="7">
        <v>678.3599999999999</v>
      </c>
      <c r="E10" s="7">
        <v>171.04500000000002</v>
      </c>
      <c r="F10" s="7">
        <v>372.255</v>
      </c>
    </row>
    <row r="11" spans="1:6" x14ac:dyDescent="0.2">
      <c r="B11" s="6" t="s">
        <v>6206</v>
      </c>
      <c r="C11" s="7">
        <v>345.02</v>
      </c>
      <c r="D11" s="7">
        <v>273.86999999999995</v>
      </c>
      <c r="E11" s="7">
        <v>184.12999999999997</v>
      </c>
      <c r="F11" s="7">
        <v>201.11499999999998</v>
      </c>
    </row>
    <row r="12" spans="1:6" x14ac:dyDescent="0.2">
      <c r="B12" s="6" t="s">
        <v>6207</v>
      </c>
      <c r="C12" s="7">
        <v>334.89</v>
      </c>
      <c r="D12" s="7">
        <v>70.95</v>
      </c>
      <c r="E12" s="7">
        <v>134.23000000000002</v>
      </c>
      <c r="F12" s="7">
        <v>166.27499999999998</v>
      </c>
    </row>
    <row r="13" spans="1:6" x14ac:dyDescent="0.2">
      <c r="B13" s="6" t="s">
        <v>6208</v>
      </c>
      <c r="C13" s="7">
        <v>178.70999999999998</v>
      </c>
      <c r="D13" s="7">
        <v>166.1</v>
      </c>
      <c r="E13" s="7">
        <v>439.30999999999995</v>
      </c>
      <c r="F13" s="7">
        <v>492.9</v>
      </c>
    </row>
    <row r="14" spans="1:6" x14ac:dyDescent="0.2">
      <c r="B14" s="6" t="s">
        <v>6209</v>
      </c>
      <c r="C14" s="7">
        <v>301.98500000000001</v>
      </c>
      <c r="D14" s="7">
        <v>153.76499999999999</v>
      </c>
      <c r="E14" s="7">
        <v>215.55499999999998</v>
      </c>
      <c r="F14" s="7">
        <v>213.66499999999999</v>
      </c>
    </row>
    <row r="15" spans="1:6" x14ac:dyDescent="0.2">
      <c r="B15" s="6" t="s">
        <v>6210</v>
      </c>
      <c r="C15" s="7">
        <v>312.83499999999998</v>
      </c>
      <c r="D15" s="7">
        <v>63.249999999999993</v>
      </c>
      <c r="E15" s="7">
        <v>350.89500000000004</v>
      </c>
      <c r="F15" s="7">
        <v>96.405000000000001</v>
      </c>
    </row>
    <row r="16" spans="1:6" x14ac:dyDescent="0.2">
      <c r="B16" s="6" t="s">
        <v>6211</v>
      </c>
      <c r="C16" s="7">
        <v>265.62</v>
      </c>
      <c r="D16" s="7">
        <v>526.51499999999987</v>
      </c>
      <c r="E16" s="7">
        <v>187.06</v>
      </c>
      <c r="F16" s="7">
        <v>210.58999999999997</v>
      </c>
    </row>
    <row r="17" spans="1:6" x14ac:dyDescent="0.2">
      <c r="A17" s="6" t="s">
        <v>6232</v>
      </c>
      <c r="B17" s="6" t="s">
        <v>6200</v>
      </c>
      <c r="C17" s="7">
        <v>47.25</v>
      </c>
      <c r="D17" s="7">
        <v>65.805000000000007</v>
      </c>
      <c r="E17" s="7">
        <v>274.67500000000001</v>
      </c>
      <c r="F17" s="7">
        <v>179.22</v>
      </c>
    </row>
    <row r="18" spans="1:6" x14ac:dyDescent="0.2">
      <c r="B18" s="6" t="s">
        <v>6201</v>
      </c>
      <c r="C18" s="7">
        <v>745.44999999999993</v>
      </c>
      <c r="D18" s="7">
        <v>428.88499999999999</v>
      </c>
      <c r="E18" s="7">
        <v>194.17499999999998</v>
      </c>
      <c r="F18" s="7">
        <v>429.82999999999993</v>
      </c>
    </row>
    <row r="19" spans="1:6" x14ac:dyDescent="0.2">
      <c r="B19" s="6" t="s">
        <v>6202</v>
      </c>
      <c r="C19" s="7">
        <v>130.47</v>
      </c>
      <c r="D19" s="7">
        <v>271.48500000000001</v>
      </c>
      <c r="E19" s="7">
        <v>281.20499999999998</v>
      </c>
      <c r="F19" s="7">
        <v>231.63000000000002</v>
      </c>
    </row>
    <row r="20" spans="1:6" x14ac:dyDescent="0.2">
      <c r="B20" s="6" t="s">
        <v>6203</v>
      </c>
      <c r="C20" s="7">
        <v>27</v>
      </c>
      <c r="D20" s="7">
        <v>347.26</v>
      </c>
      <c r="E20" s="7">
        <v>147.51</v>
      </c>
      <c r="F20" s="7">
        <v>240.04</v>
      </c>
    </row>
    <row r="21" spans="1:6" x14ac:dyDescent="0.2">
      <c r="B21" s="6" t="s">
        <v>6204</v>
      </c>
      <c r="C21" s="7">
        <v>255.11499999999995</v>
      </c>
      <c r="D21" s="7">
        <v>541.73</v>
      </c>
      <c r="E21" s="7">
        <v>83.43</v>
      </c>
      <c r="F21" s="7">
        <v>59.079999999999991</v>
      </c>
    </row>
    <row r="22" spans="1:6" x14ac:dyDescent="0.2">
      <c r="B22" s="6" t="s">
        <v>6205</v>
      </c>
      <c r="C22" s="7">
        <v>584.78999999999985</v>
      </c>
      <c r="D22" s="7">
        <v>357.42999999999995</v>
      </c>
      <c r="E22" s="7">
        <v>355.34</v>
      </c>
      <c r="F22" s="7">
        <v>140.88</v>
      </c>
    </row>
    <row r="23" spans="1:6" x14ac:dyDescent="0.2">
      <c r="B23" s="6" t="s">
        <v>6206</v>
      </c>
      <c r="C23" s="7">
        <v>430.62</v>
      </c>
      <c r="D23" s="7">
        <v>227.42500000000001</v>
      </c>
      <c r="E23" s="7">
        <v>236.315</v>
      </c>
      <c r="F23" s="7">
        <v>414.58499999999992</v>
      </c>
    </row>
    <row r="24" spans="1:6" x14ac:dyDescent="0.2">
      <c r="B24" s="6" t="s">
        <v>6207</v>
      </c>
      <c r="C24" s="7">
        <v>22.5</v>
      </c>
      <c r="D24" s="7">
        <v>77.72</v>
      </c>
      <c r="E24" s="7">
        <v>60.5</v>
      </c>
      <c r="F24" s="7">
        <v>139.67999999999998</v>
      </c>
    </row>
    <row r="25" spans="1:6" x14ac:dyDescent="0.2">
      <c r="B25" s="6" t="s">
        <v>6208</v>
      </c>
      <c r="C25" s="7">
        <v>126.14999999999999</v>
      </c>
      <c r="D25" s="7">
        <v>195.11</v>
      </c>
      <c r="E25" s="7">
        <v>89.13</v>
      </c>
      <c r="F25" s="7">
        <v>302.65999999999997</v>
      </c>
    </row>
    <row r="26" spans="1:6" x14ac:dyDescent="0.2">
      <c r="B26" s="6" t="s">
        <v>6209</v>
      </c>
      <c r="C26" s="7">
        <v>376.03</v>
      </c>
      <c r="D26" s="7">
        <v>523.24</v>
      </c>
      <c r="E26" s="7">
        <v>440.96499999999997</v>
      </c>
      <c r="F26" s="7">
        <v>174.46999999999997</v>
      </c>
    </row>
    <row r="27" spans="1:6" x14ac:dyDescent="0.2">
      <c r="B27" s="6" t="s">
        <v>6210</v>
      </c>
      <c r="C27" s="7">
        <v>515.17999999999995</v>
      </c>
      <c r="D27" s="7">
        <v>142.56</v>
      </c>
      <c r="E27" s="7">
        <v>347.03999999999996</v>
      </c>
      <c r="F27" s="7">
        <v>104.08499999999999</v>
      </c>
    </row>
    <row r="28" spans="1:6" x14ac:dyDescent="0.2">
      <c r="B28" s="6" t="s">
        <v>6211</v>
      </c>
      <c r="C28" s="7">
        <v>95.859999999999985</v>
      </c>
      <c r="D28" s="7">
        <v>484.76</v>
      </c>
      <c r="E28" s="7">
        <v>94.17</v>
      </c>
      <c r="F28" s="7">
        <v>77.10499999999999</v>
      </c>
    </row>
    <row r="29" spans="1:6" x14ac:dyDescent="0.2">
      <c r="A29" s="6" t="s">
        <v>6231</v>
      </c>
      <c r="B29" s="6" t="s">
        <v>6200</v>
      </c>
      <c r="C29" s="7">
        <v>258.34500000000003</v>
      </c>
      <c r="D29" s="7">
        <v>139.625</v>
      </c>
      <c r="E29" s="7">
        <v>279.52000000000004</v>
      </c>
      <c r="F29" s="7">
        <v>160.19499999999999</v>
      </c>
    </row>
    <row r="30" spans="1:6" x14ac:dyDescent="0.2">
      <c r="B30" s="6" t="s">
        <v>6201</v>
      </c>
      <c r="C30" s="7">
        <v>342.2</v>
      </c>
      <c r="D30" s="7">
        <v>284.24999999999994</v>
      </c>
      <c r="E30" s="7">
        <v>251.83</v>
      </c>
      <c r="F30" s="7">
        <v>80.550000000000011</v>
      </c>
    </row>
    <row r="31" spans="1:6" x14ac:dyDescent="0.2">
      <c r="B31" s="6" t="s">
        <v>6202</v>
      </c>
      <c r="C31" s="7">
        <v>418.30499999999989</v>
      </c>
      <c r="D31" s="7">
        <v>468.125</v>
      </c>
      <c r="E31" s="7">
        <v>405.05500000000006</v>
      </c>
      <c r="F31" s="7">
        <v>253.15499999999997</v>
      </c>
    </row>
    <row r="32" spans="1:6" x14ac:dyDescent="0.2">
      <c r="B32" s="6" t="s">
        <v>6203</v>
      </c>
      <c r="C32" s="7">
        <v>102.32999999999998</v>
      </c>
      <c r="D32" s="7">
        <v>242.14000000000001</v>
      </c>
      <c r="E32" s="7">
        <v>554.875</v>
      </c>
      <c r="F32" s="7">
        <v>106.23999999999998</v>
      </c>
    </row>
    <row r="33" spans="1:6" x14ac:dyDescent="0.2">
      <c r="B33" s="6" t="s">
        <v>6204</v>
      </c>
      <c r="C33" s="7">
        <v>234.71999999999997</v>
      </c>
      <c r="D33" s="7">
        <v>133.08000000000001</v>
      </c>
      <c r="E33" s="7">
        <v>267.2</v>
      </c>
      <c r="F33" s="7">
        <v>272.68999999999994</v>
      </c>
    </row>
    <row r="34" spans="1:6" x14ac:dyDescent="0.2">
      <c r="B34" s="6" t="s">
        <v>6205</v>
      </c>
      <c r="C34" s="7">
        <v>430.39</v>
      </c>
      <c r="D34" s="7">
        <v>136.20500000000001</v>
      </c>
      <c r="E34" s="7">
        <v>209.6</v>
      </c>
      <c r="F34" s="7">
        <v>88.334999999999994</v>
      </c>
    </row>
    <row r="35" spans="1:6" x14ac:dyDescent="0.2">
      <c r="B35" s="6" t="s">
        <v>6206</v>
      </c>
      <c r="C35" s="7">
        <v>109.005</v>
      </c>
      <c r="D35" s="7">
        <v>393.57499999999999</v>
      </c>
      <c r="E35" s="7">
        <v>61.034999999999997</v>
      </c>
      <c r="F35" s="7">
        <v>199.48999999999998</v>
      </c>
    </row>
    <row r="36" spans="1:6" x14ac:dyDescent="0.2">
      <c r="B36" s="6" t="s">
        <v>6207</v>
      </c>
      <c r="C36" s="7">
        <v>287.52499999999998</v>
      </c>
      <c r="D36" s="7">
        <v>288.67</v>
      </c>
      <c r="E36" s="7">
        <v>125.58</v>
      </c>
      <c r="F36" s="7">
        <v>374.13499999999999</v>
      </c>
    </row>
    <row r="37" spans="1:6" x14ac:dyDescent="0.2">
      <c r="B37" s="6" t="s">
        <v>6208</v>
      </c>
      <c r="C37" s="7">
        <v>840.92999999999984</v>
      </c>
      <c r="D37" s="7">
        <v>409.875</v>
      </c>
      <c r="E37" s="7">
        <v>171.32999999999998</v>
      </c>
      <c r="F37" s="7">
        <v>221.43999999999997</v>
      </c>
    </row>
    <row r="38" spans="1:6" x14ac:dyDescent="0.2">
      <c r="B38" s="6" t="s">
        <v>6209</v>
      </c>
      <c r="C38" s="7">
        <v>299.07</v>
      </c>
      <c r="D38" s="7">
        <v>260.32499999999999</v>
      </c>
      <c r="E38" s="7">
        <v>584.64</v>
      </c>
      <c r="F38" s="7">
        <v>256.36500000000001</v>
      </c>
    </row>
    <row r="39" spans="1:6" x14ac:dyDescent="0.2">
      <c r="B39" s="6" t="s">
        <v>6210</v>
      </c>
      <c r="C39" s="7">
        <v>323.32499999999999</v>
      </c>
      <c r="D39" s="7">
        <v>565.57000000000005</v>
      </c>
      <c r="E39" s="7">
        <v>537.80999999999995</v>
      </c>
      <c r="F39" s="7">
        <v>189.47499999999999</v>
      </c>
    </row>
    <row r="40" spans="1:6" x14ac:dyDescent="0.2">
      <c r="B40" s="6" t="s">
        <v>6211</v>
      </c>
      <c r="C40" s="7">
        <v>399.48499999999996</v>
      </c>
      <c r="D40" s="7">
        <v>148.19999999999999</v>
      </c>
      <c r="E40" s="7">
        <v>388.21999999999997</v>
      </c>
      <c r="F40" s="7">
        <v>212.07499999999999</v>
      </c>
    </row>
    <row r="41" spans="1:6" x14ac:dyDescent="0.2">
      <c r="A41" s="6" t="s">
        <v>6233</v>
      </c>
      <c r="B41" s="6" t="s">
        <v>6200</v>
      </c>
      <c r="C41" s="7">
        <v>112.69499999999999</v>
      </c>
      <c r="D41" s="7">
        <v>166.32</v>
      </c>
      <c r="E41" s="7">
        <v>843.71499999999992</v>
      </c>
      <c r="F41" s="7">
        <v>146.685</v>
      </c>
    </row>
    <row r="42" spans="1:6" x14ac:dyDescent="0.2">
      <c r="B42" s="6" t="s">
        <v>6201</v>
      </c>
      <c r="C42" s="7">
        <v>114.87999999999998</v>
      </c>
      <c r="D42" s="7">
        <v>133.815</v>
      </c>
      <c r="E42" s="7">
        <v>91.175000000000011</v>
      </c>
      <c r="F42" s="7">
        <v>53.759999999999991</v>
      </c>
    </row>
    <row r="43" spans="1:6" x14ac:dyDescent="0.2">
      <c r="B43" s="6" t="s">
        <v>6202</v>
      </c>
      <c r="C43" s="7">
        <v>277.76</v>
      </c>
      <c r="D43" s="7">
        <v>175.41</v>
      </c>
      <c r="E43" s="7">
        <v>462.50999999999993</v>
      </c>
      <c r="F43" s="7">
        <v>399.52499999999998</v>
      </c>
    </row>
    <row r="44" spans="1:6" x14ac:dyDescent="0.2">
      <c r="B44" s="6" t="s">
        <v>6203</v>
      </c>
      <c r="C44" s="7">
        <v>197.89499999999998</v>
      </c>
      <c r="D44" s="7">
        <v>289.755</v>
      </c>
      <c r="E44" s="7">
        <v>88.545000000000002</v>
      </c>
      <c r="F44" s="7">
        <v>200.25499999999997</v>
      </c>
    </row>
    <row r="45" spans="1:6" x14ac:dyDescent="0.2">
      <c r="B45" s="6" t="s">
        <v>6204</v>
      </c>
      <c r="C45" s="7">
        <v>193.11499999999998</v>
      </c>
      <c r="D45" s="7">
        <v>212.49499999999998</v>
      </c>
      <c r="E45" s="7">
        <v>292.29000000000002</v>
      </c>
      <c r="F45" s="7">
        <v>304.46999999999997</v>
      </c>
    </row>
    <row r="46" spans="1:6" x14ac:dyDescent="0.2">
      <c r="B46" s="6" t="s">
        <v>6205</v>
      </c>
      <c r="C46" s="7">
        <v>179.79</v>
      </c>
      <c r="D46" s="7">
        <v>426.2</v>
      </c>
      <c r="E46" s="7">
        <v>170.08999999999997</v>
      </c>
      <c r="F46" s="7">
        <v>379.31</v>
      </c>
    </row>
    <row r="47" spans="1:6" x14ac:dyDescent="0.2">
      <c r="B47" s="6" t="s">
        <v>6206</v>
      </c>
      <c r="C47" s="7">
        <v>247.28999999999996</v>
      </c>
      <c r="D47" s="7">
        <v>246.685</v>
      </c>
      <c r="E47" s="7">
        <v>271.05499999999995</v>
      </c>
      <c r="F47" s="7">
        <v>141.69999999999999</v>
      </c>
    </row>
    <row r="48" spans="1:6" x14ac:dyDescent="0.2">
      <c r="B48" s="6" t="s">
        <v>6207</v>
      </c>
      <c r="C48" s="7">
        <v>116.39499999999998</v>
      </c>
      <c r="D48" s="7">
        <v>41.25</v>
      </c>
      <c r="E48" s="7">
        <v>15.54</v>
      </c>
      <c r="F48"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E00B0-4E1A-474B-81DA-7F921BBB2586}">
  <sheetPr>
    <tabColor theme="0"/>
  </sheetPr>
  <dimension ref="C4:D14"/>
  <sheetViews>
    <sheetView showGridLines="0" zoomScaleNormal="221" workbookViewId="0">
      <selection activeCell="I35" sqref="A1:XFD1048576"/>
    </sheetView>
  </sheetViews>
  <sheetFormatPr baseColWidth="10" defaultRowHeight="15" x14ac:dyDescent="0.2"/>
  <cols>
    <col min="1" max="1" width="13.5" bestFit="1" customWidth="1"/>
    <col min="2" max="2" width="10.5" bestFit="1" customWidth="1"/>
    <col min="3" max="3" width="13.5" bestFit="1" customWidth="1"/>
    <col min="4" max="4" width="10.5" bestFit="1" customWidth="1"/>
  </cols>
  <sheetData>
    <row r="4" spans="3:4" x14ac:dyDescent="0.2">
      <c r="C4" s="8" t="s">
        <v>6218</v>
      </c>
      <c r="D4" t="s">
        <v>6199</v>
      </c>
    </row>
    <row r="5" spans="3:4" x14ac:dyDescent="0.2">
      <c r="C5" s="9" t="s">
        <v>28</v>
      </c>
      <c r="D5" s="10">
        <v>2798.5050000000001</v>
      </c>
    </row>
    <row r="6" spans="3:4" x14ac:dyDescent="0.2">
      <c r="C6" s="9" t="s">
        <v>318</v>
      </c>
      <c r="D6" s="10">
        <v>6696.8649999999989</v>
      </c>
    </row>
    <row r="7" spans="3:4" x14ac:dyDescent="0.2">
      <c r="C7" s="9" t="s">
        <v>19</v>
      </c>
      <c r="D7" s="10">
        <v>35638.88499999998</v>
      </c>
    </row>
    <row r="10" spans="3:4" x14ac:dyDescent="0.2">
      <c r="C10" t="s">
        <v>7</v>
      </c>
      <c r="D10" t="s">
        <v>15</v>
      </c>
    </row>
    <row r="11" spans="3:4" x14ac:dyDescent="0.2">
      <c r="C11" t="str">
        <f>C5</f>
        <v>United Kingdom</v>
      </c>
      <c r="D11" s="14">
        <f>GETPIVOTDATA("Sales",$C$4,"Country","United Kingdom")</f>
        <v>2798.5050000000001</v>
      </c>
    </row>
    <row r="12" spans="3:4" x14ac:dyDescent="0.2">
      <c r="C12" t="str">
        <f t="shared" ref="C12:C13" si="0">C6</f>
        <v>Ireland</v>
      </c>
      <c r="D12" s="14">
        <f>GETPIVOTDATA("Sales",$C$4,"Country","Ireland")</f>
        <v>6696.8649999999989</v>
      </c>
    </row>
    <row r="13" spans="3:4" x14ac:dyDescent="0.2">
      <c r="C13" t="str">
        <f t="shared" si="0"/>
        <v>United States</v>
      </c>
      <c r="D13" s="14">
        <f>GETPIVOTDATA("Sales",$C$4,"Country","United States")</f>
        <v>35638.88499999998</v>
      </c>
    </row>
    <row r="14" spans="3:4" x14ac:dyDescent="0.2">
      <c r="D14"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BA45-E570-DC41-9342-2E60592A573E}">
  <sheetPr>
    <tabColor theme="0"/>
  </sheetPr>
  <dimension ref="A3:B12"/>
  <sheetViews>
    <sheetView showGridLines="0" zoomScale="143" workbookViewId="0">
      <selection activeCell="F25" sqref="A1:XFD1048576"/>
    </sheetView>
  </sheetViews>
  <sheetFormatPr baseColWidth="10" defaultRowHeight="15" x14ac:dyDescent="0.2"/>
  <cols>
    <col min="1" max="1" width="14.33203125" bestFit="1" customWidth="1"/>
    <col min="2" max="2" width="10.5" bestFit="1" customWidth="1"/>
    <col min="3" max="3" width="9" bestFit="1" customWidth="1"/>
    <col min="4" max="4" width="14.6640625" bestFit="1" customWidth="1"/>
    <col min="5" max="5" width="15.33203125" bestFit="1" customWidth="1"/>
    <col min="6" max="6" width="14" bestFit="1" customWidth="1"/>
    <col min="7" max="7" width="14.1640625" bestFit="1" customWidth="1"/>
    <col min="8" max="8" width="14.6640625" bestFit="1" customWidth="1"/>
    <col min="9" max="9" width="12.5" bestFit="1" customWidth="1"/>
    <col min="10" max="10" width="15.6640625" bestFit="1" customWidth="1"/>
    <col min="11" max="11" width="15.33203125" bestFit="1" customWidth="1"/>
    <col min="12" max="12" width="12.5" bestFit="1" customWidth="1"/>
    <col min="13" max="13" width="15.33203125" bestFit="1" customWidth="1"/>
    <col min="14" max="14" width="12.1640625" bestFit="1" customWidth="1"/>
    <col min="15" max="15" width="13" bestFit="1" customWidth="1"/>
    <col min="16" max="16" width="14.1640625" bestFit="1" customWidth="1"/>
    <col min="17" max="17" width="13.83203125" bestFit="1" customWidth="1"/>
    <col min="18" max="18" width="13" bestFit="1" customWidth="1"/>
    <col min="19" max="19" width="9.6640625" bestFit="1" customWidth="1"/>
    <col min="20" max="20" width="14.33203125" bestFit="1" customWidth="1"/>
    <col min="21" max="21" width="16.5" bestFit="1" customWidth="1"/>
    <col min="22" max="22" width="9.6640625" bestFit="1" customWidth="1"/>
    <col min="23" max="23" width="13.1640625" bestFit="1" customWidth="1"/>
    <col min="24" max="24" width="11.6640625" bestFit="1" customWidth="1"/>
    <col min="25" max="25" width="12" bestFit="1" customWidth="1"/>
    <col min="26" max="26" width="8" bestFit="1" customWidth="1"/>
    <col min="27" max="28" width="12.1640625" bestFit="1" customWidth="1"/>
    <col min="29" max="29" width="12.6640625" bestFit="1" customWidth="1"/>
    <col min="30" max="30" width="11.6640625" bestFit="1" customWidth="1"/>
    <col min="31" max="31" width="13.5" bestFit="1" customWidth="1"/>
    <col min="32" max="32" width="11.5" bestFit="1" customWidth="1"/>
    <col min="33" max="33" width="8.1640625" bestFit="1" customWidth="1"/>
    <col min="34" max="34" width="9.5" bestFit="1" customWidth="1"/>
    <col min="35" max="35" width="11.33203125" bestFit="1" customWidth="1"/>
    <col min="36" max="36" width="9.33203125" bestFit="1" customWidth="1"/>
    <col min="37" max="37" width="17.6640625" bestFit="1" customWidth="1"/>
    <col min="38" max="38" width="13" bestFit="1" customWidth="1"/>
    <col min="39" max="39" width="9.83203125" bestFit="1" customWidth="1"/>
    <col min="40" max="40" width="11" bestFit="1" customWidth="1"/>
    <col min="41" max="41" width="11.33203125" bestFit="1" customWidth="1"/>
    <col min="42" max="42" width="15.83203125" bestFit="1" customWidth="1"/>
    <col min="43" max="43" width="11" bestFit="1" customWidth="1"/>
    <col min="44" max="44" width="12.1640625" bestFit="1" customWidth="1"/>
    <col min="45" max="45" width="11.83203125" bestFit="1" customWidth="1"/>
    <col min="46" max="46" width="14.33203125" bestFit="1" customWidth="1"/>
    <col min="47" max="47" width="14.1640625" bestFit="1" customWidth="1"/>
    <col min="48" max="48" width="11.6640625" bestFit="1" customWidth="1"/>
    <col min="49" max="49" width="14.5" bestFit="1" customWidth="1"/>
    <col min="50" max="50" width="12.6640625" bestFit="1" customWidth="1"/>
    <col min="51" max="51" width="14.83203125" bestFit="1" customWidth="1"/>
    <col min="52" max="52" width="14.33203125" bestFit="1" customWidth="1"/>
    <col min="53" max="53" width="15" bestFit="1" customWidth="1"/>
    <col min="54" max="54" width="13" bestFit="1" customWidth="1"/>
    <col min="55" max="55" width="13.33203125" bestFit="1" customWidth="1"/>
    <col min="56" max="56" width="15.1640625" bestFit="1" customWidth="1"/>
    <col min="57" max="57" width="12" bestFit="1" customWidth="1"/>
    <col min="58" max="59" width="13.1640625" bestFit="1" customWidth="1"/>
    <col min="60" max="60" width="16.83203125" bestFit="1" customWidth="1"/>
    <col min="61" max="61" width="13.1640625" bestFit="1" customWidth="1"/>
    <col min="62" max="62" width="16.83203125" bestFit="1" customWidth="1"/>
    <col min="63" max="63" width="10.1640625" bestFit="1" customWidth="1"/>
    <col min="64" max="64" width="10" bestFit="1" customWidth="1"/>
    <col min="65" max="65" width="11" bestFit="1" customWidth="1"/>
    <col min="66" max="66" width="11.5" bestFit="1" customWidth="1"/>
    <col min="67" max="67" width="14.1640625" bestFit="1" customWidth="1"/>
    <col min="68" max="68" width="17.1640625" bestFit="1" customWidth="1"/>
    <col min="69" max="69" width="15.6640625" bestFit="1" customWidth="1"/>
    <col min="71" max="72" width="12" bestFit="1" customWidth="1"/>
    <col min="73" max="73" width="18" bestFit="1" customWidth="1"/>
    <col min="74" max="74" width="13.83203125" bestFit="1" customWidth="1"/>
    <col min="75" max="75" width="13.5" bestFit="1" customWidth="1"/>
    <col min="76" max="76" width="11.83203125" bestFit="1" customWidth="1"/>
    <col min="77" max="77" width="14.33203125" bestFit="1" customWidth="1"/>
    <col min="78" max="78" width="10.5" bestFit="1" customWidth="1"/>
    <col min="79" max="79" width="12.33203125" bestFit="1" customWidth="1"/>
    <col min="81" max="81" width="13" bestFit="1" customWidth="1"/>
    <col min="82" max="82" width="12.1640625" bestFit="1" customWidth="1"/>
    <col min="83" max="83" width="12.83203125" bestFit="1" customWidth="1"/>
    <col min="84" max="84" width="17" bestFit="1" customWidth="1"/>
    <col min="85" max="85" width="15" bestFit="1" customWidth="1"/>
    <col min="86" max="86" width="10.33203125" bestFit="1" customWidth="1"/>
    <col min="87" max="87" width="12.1640625" bestFit="1" customWidth="1"/>
    <col min="88" max="88" width="9.1640625" bestFit="1" customWidth="1"/>
    <col min="89" max="89" width="14.6640625" bestFit="1" customWidth="1"/>
    <col min="90" max="91" width="12.33203125" bestFit="1" customWidth="1"/>
    <col min="92" max="92" width="11.1640625" bestFit="1" customWidth="1"/>
    <col min="93" max="93" width="14" bestFit="1" customWidth="1"/>
    <col min="94" max="94" width="13.33203125" bestFit="1" customWidth="1"/>
    <col min="95" max="95" width="13.1640625" bestFit="1" customWidth="1"/>
    <col min="96" max="96" width="15.6640625" bestFit="1" customWidth="1"/>
    <col min="97" max="97" width="15.83203125" bestFit="1" customWidth="1"/>
    <col min="98" max="98" width="10.6640625" bestFit="1" customWidth="1"/>
    <col min="99" max="99" width="10.5" bestFit="1" customWidth="1"/>
    <col min="101" max="102" width="11" bestFit="1" customWidth="1"/>
    <col min="103" max="103" width="12" bestFit="1" customWidth="1"/>
    <col min="104" max="104" width="12.83203125" bestFit="1" customWidth="1"/>
    <col min="105" max="105" width="15.83203125" bestFit="1" customWidth="1"/>
    <col min="106" max="106" width="10.1640625" bestFit="1" customWidth="1"/>
    <col min="107" max="107" width="11.83203125" bestFit="1" customWidth="1"/>
    <col min="108" max="108" width="12.33203125" bestFit="1" customWidth="1"/>
    <col min="109" max="109" width="14.6640625" bestFit="1" customWidth="1"/>
    <col min="111" max="111" width="13" bestFit="1" customWidth="1"/>
    <col min="112" max="112" width="12.6640625" bestFit="1" customWidth="1"/>
    <col min="113" max="113" width="14.83203125" bestFit="1" customWidth="1"/>
    <col min="114" max="114" width="9.33203125" bestFit="1" customWidth="1"/>
    <col min="115" max="115" width="11.6640625" bestFit="1" customWidth="1"/>
    <col min="116" max="116" width="15" bestFit="1" customWidth="1"/>
    <col min="117" max="117" width="12" bestFit="1" customWidth="1"/>
    <col min="118" max="118" width="12.1640625" bestFit="1" customWidth="1"/>
    <col min="119" max="119" width="13.5" bestFit="1" customWidth="1"/>
    <col min="120" max="120" width="17.33203125" bestFit="1" customWidth="1"/>
    <col min="121" max="121" width="9" bestFit="1" customWidth="1"/>
    <col min="122" max="122" width="10.1640625" bestFit="1" customWidth="1"/>
    <col min="123" max="123" width="8.6640625" bestFit="1" customWidth="1"/>
    <col min="124" max="124" width="9.83203125" bestFit="1" customWidth="1"/>
    <col min="125" max="125" width="10" bestFit="1" customWidth="1"/>
    <col min="126" max="126" width="12.6640625" bestFit="1" customWidth="1"/>
    <col min="127" max="127" width="14.83203125" bestFit="1" customWidth="1"/>
    <col min="128" max="128" width="11.5" bestFit="1" customWidth="1"/>
    <col min="129" max="129" width="15" bestFit="1" customWidth="1"/>
    <col min="130" max="130" width="16" bestFit="1" customWidth="1"/>
    <col min="131" max="131" width="10.5" bestFit="1" customWidth="1"/>
    <col min="132" max="132" width="11" bestFit="1" customWidth="1"/>
    <col min="133" max="133" width="14.83203125" bestFit="1" customWidth="1"/>
    <col min="134" max="134" width="12.5" bestFit="1" customWidth="1"/>
    <col min="135" max="135" width="12.1640625" bestFit="1" customWidth="1"/>
    <col min="136" max="136" width="14.6640625" bestFit="1" customWidth="1"/>
    <col min="137" max="137" width="16.33203125" bestFit="1" customWidth="1"/>
    <col min="139" max="139" width="10.6640625" bestFit="1" customWidth="1"/>
    <col min="140" max="140" width="10.5" bestFit="1" customWidth="1"/>
    <col min="141" max="141" width="11.33203125" bestFit="1" customWidth="1"/>
    <col min="142" max="142" width="14.83203125" bestFit="1" customWidth="1"/>
    <col min="143" max="143" width="14.6640625" bestFit="1" customWidth="1"/>
    <col min="144" max="144" width="15.33203125" bestFit="1" customWidth="1"/>
    <col min="145" max="145" width="12.83203125" bestFit="1" customWidth="1"/>
    <col min="146" max="146" width="18" bestFit="1" customWidth="1"/>
    <col min="147" max="147" width="11.83203125" bestFit="1" customWidth="1"/>
    <col min="148" max="148" width="13.83203125" bestFit="1" customWidth="1"/>
    <col min="149" max="149" width="12" bestFit="1" customWidth="1"/>
    <col min="150" max="150" width="14.83203125" bestFit="1" customWidth="1"/>
    <col min="151" max="151" width="9.33203125" bestFit="1" customWidth="1"/>
    <col min="152" max="152" width="14" bestFit="1" customWidth="1"/>
    <col min="153" max="153" width="13.6640625" bestFit="1" customWidth="1"/>
    <col min="154" max="154" width="15.83203125" bestFit="1" customWidth="1"/>
    <col min="155" max="155" width="11" bestFit="1" customWidth="1"/>
    <col min="156" max="156" width="13.1640625" bestFit="1" customWidth="1"/>
    <col min="158" max="158" width="13.33203125" bestFit="1" customWidth="1"/>
    <col min="159" max="159" width="14.83203125" bestFit="1" customWidth="1"/>
    <col min="160" max="160" width="12.83203125" bestFit="1" customWidth="1"/>
    <col min="161" max="161" width="12.33203125" bestFit="1" customWidth="1"/>
    <col min="162" max="162" width="15.83203125" bestFit="1" customWidth="1"/>
    <col min="163" max="163" width="15.33203125" bestFit="1" customWidth="1"/>
    <col min="164" max="164" width="11.6640625" bestFit="1" customWidth="1"/>
    <col min="165" max="165" width="13" bestFit="1" customWidth="1"/>
    <col min="166" max="167" width="14" bestFit="1" customWidth="1"/>
    <col min="168" max="168" width="13.5" bestFit="1" customWidth="1"/>
    <col min="169" max="169" width="12.6640625" bestFit="1" customWidth="1"/>
    <col min="170" max="170" width="16.33203125" bestFit="1" customWidth="1"/>
    <col min="171" max="171" width="12" bestFit="1" customWidth="1"/>
    <col min="172" max="172" width="11" bestFit="1" customWidth="1"/>
    <col min="173" max="173" width="12" bestFit="1" customWidth="1"/>
    <col min="174" max="174" width="15.33203125" bestFit="1" customWidth="1"/>
    <col min="175" max="175" width="18.6640625" bestFit="1" customWidth="1"/>
    <col min="176" max="176" width="11.6640625" bestFit="1" customWidth="1"/>
    <col min="177" max="177" width="13" bestFit="1" customWidth="1"/>
    <col min="178" max="178" width="12" bestFit="1" customWidth="1"/>
    <col min="179" max="179" width="13.5" bestFit="1" customWidth="1"/>
    <col min="180" max="180" width="12.6640625" bestFit="1" customWidth="1"/>
    <col min="181" max="181" width="16" bestFit="1" customWidth="1"/>
    <col min="182" max="182" width="11.5" bestFit="1" customWidth="1"/>
    <col min="183" max="183" width="13.6640625" bestFit="1" customWidth="1"/>
    <col min="184" max="184" width="13" bestFit="1" customWidth="1"/>
    <col min="185" max="185" width="14" bestFit="1" customWidth="1"/>
    <col min="186" max="186" width="14.1640625" bestFit="1" customWidth="1"/>
    <col min="187" max="187" width="16.5" bestFit="1" customWidth="1"/>
    <col min="188" max="188" width="14.83203125" bestFit="1" customWidth="1"/>
    <col min="189" max="189" width="13.6640625" bestFit="1" customWidth="1"/>
    <col min="190" max="190" width="13.83203125" bestFit="1" customWidth="1"/>
    <col min="191" max="191" width="10.33203125" bestFit="1" customWidth="1"/>
    <col min="192" max="192" width="13" bestFit="1" customWidth="1"/>
    <col min="193" max="193" width="11" bestFit="1" customWidth="1"/>
    <col min="194" max="194" width="12.83203125" bestFit="1" customWidth="1"/>
    <col min="195" max="195" width="14.6640625" bestFit="1" customWidth="1"/>
    <col min="196" max="196" width="13" bestFit="1" customWidth="1"/>
    <col min="197" max="197" width="16" bestFit="1" customWidth="1"/>
    <col min="198" max="198" width="14.33203125" bestFit="1" customWidth="1"/>
    <col min="199" max="199" width="11.33203125" bestFit="1" customWidth="1"/>
    <col min="200" max="200" width="12.33203125" bestFit="1" customWidth="1"/>
    <col min="201" max="201" width="13.1640625" bestFit="1" customWidth="1"/>
    <col min="202" max="202" width="16" bestFit="1" customWidth="1"/>
    <col min="203" max="203" width="12.1640625" bestFit="1" customWidth="1"/>
    <col min="204" max="204" width="12.5" bestFit="1" customWidth="1"/>
    <col min="205" max="205" width="13" bestFit="1" customWidth="1"/>
    <col min="206" max="206" width="15.6640625" bestFit="1" customWidth="1"/>
    <col min="207" max="207" width="10.1640625" bestFit="1" customWidth="1"/>
    <col min="208" max="208" width="16" bestFit="1" customWidth="1"/>
    <col min="209" max="209" width="8" bestFit="1" customWidth="1"/>
    <col min="210" max="210" width="14" bestFit="1" customWidth="1"/>
    <col min="211" max="211" width="9.1640625" bestFit="1" customWidth="1"/>
    <col min="212" max="212" width="12.33203125" bestFit="1" customWidth="1"/>
    <col min="213" max="213" width="10.5" bestFit="1" customWidth="1"/>
    <col min="214" max="214" width="15.6640625" bestFit="1" customWidth="1"/>
    <col min="215" max="215" width="12.5" bestFit="1" customWidth="1"/>
    <col min="216" max="216" width="12.6640625" bestFit="1" customWidth="1"/>
    <col min="217" max="217" width="11.33203125" bestFit="1" customWidth="1"/>
    <col min="218" max="218" width="10.6640625" bestFit="1" customWidth="1"/>
    <col min="219" max="219" width="11.83203125" bestFit="1" customWidth="1"/>
    <col min="220" max="220" width="14.1640625" bestFit="1" customWidth="1"/>
    <col min="221" max="221" width="12.83203125" bestFit="1" customWidth="1"/>
    <col min="222" max="222" width="12" bestFit="1" customWidth="1"/>
    <col min="223" max="223" width="12.6640625" bestFit="1" customWidth="1"/>
    <col min="224" max="224" width="11.83203125" bestFit="1" customWidth="1"/>
    <col min="226" max="226" width="11.33203125" bestFit="1" customWidth="1"/>
    <col min="227" max="227" width="11" bestFit="1" customWidth="1"/>
    <col min="228" max="228" width="10.1640625" bestFit="1" customWidth="1"/>
    <col min="229" max="229" width="9.6640625" bestFit="1" customWidth="1"/>
    <col min="231" max="231" width="12.6640625" bestFit="1" customWidth="1"/>
    <col min="232" max="232" width="12.5" bestFit="1" customWidth="1"/>
    <col min="233" max="233" width="7.5" bestFit="1" customWidth="1"/>
    <col min="234" max="234" width="13.1640625" bestFit="1" customWidth="1"/>
    <col min="235" max="235" width="14.6640625" bestFit="1" customWidth="1"/>
    <col min="236" max="236" width="13.33203125" bestFit="1" customWidth="1"/>
    <col min="237" max="237" width="15.1640625" bestFit="1" customWidth="1"/>
    <col min="238" max="238" width="13.6640625" bestFit="1" customWidth="1"/>
    <col min="239" max="239" width="10.6640625" bestFit="1" customWidth="1"/>
    <col min="240" max="240" width="13" bestFit="1" customWidth="1"/>
    <col min="241" max="241" width="13.33203125" bestFit="1" customWidth="1"/>
    <col min="242" max="242" width="15.1640625" bestFit="1" customWidth="1"/>
    <col min="243" max="243" width="13.5" bestFit="1" customWidth="1"/>
    <col min="244" max="244" width="14" bestFit="1" customWidth="1"/>
    <col min="245" max="245" width="12.33203125" bestFit="1" customWidth="1"/>
    <col min="246" max="246" width="16.83203125" bestFit="1" customWidth="1"/>
    <col min="247" max="247" width="13" bestFit="1" customWidth="1"/>
    <col min="249" max="249" width="15.6640625" bestFit="1" customWidth="1"/>
    <col min="250" max="250" width="12.83203125" bestFit="1" customWidth="1"/>
    <col min="251" max="251" width="12.33203125" bestFit="1" customWidth="1"/>
    <col min="252" max="252" width="13.6640625" bestFit="1" customWidth="1"/>
    <col min="253" max="253" width="12.83203125" bestFit="1" customWidth="1"/>
    <col min="254" max="254" width="12.1640625" bestFit="1" customWidth="1"/>
    <col min="255" max="255" width="10.6640625" bestFit="1" customWidth="1"/>
    <col min="256" max="256" width="13.33203125" bestFit="1" customWidth="1"/>
    <col min="257" max="257" width="9.6640625" bestFit="1" customWidth="1"/>
    <col min="258" max="259" width="13" bestFit="1" customWidth="1"/>
    <col min="260" max="260" width="14.33203125" bestFit="1" customWidth="1"/>
    <col min="261" max="261" width="14.6640625" bestFit="1" customWidth="1"/>
    <col min="262" max="262" width="16.33203125" bestFit="1" customWidth="1"/>
    <col min="263" max="263" width="10.1640625" bestFit="1" customWidth="1"/>
    <col min="264" max="264" width="12.1640625" bestFit="1" customWidth="1"/>
    <col min="265" max="265" width="10.6640625" bestFit="1" customWidth="1"/>
    <col min="266" max="266" width="15.5" bestFit="1" customWidth="1"/>
    <col min="267" max="267" width="11.6640625" bestFit="1" customWidth="1"/>
    <col min="268" max="268" width="10.6640625" bestFit="1" customWidth="1"/>
    <col min="269" max="269" width="17.5" bestFit="1" customWidth="1"/>
    <col min="270" max="270" width="15.1640625" bestFit="1" customWidth="1"/>
    <col min="272" max="272" width="9" bestFit="1" customWidth="1"/>
    <col min="273" max="273" width="10.5" bestFit="1" customWidth="1"/>
    <col min="274" max="274" width="14" bestFit="1" customWidth="1"/>
    <col min="275" max="275" width="14.5" bestFit="1" customWidth="1"/>
    <col min="276" max="276" width="13" bestFit="1" customWidth="1"/>
    <col min="277" max="277" width="13.1640625" bestFit="1" customWidth="1"/>
    <col min="278" max="278" width="12" bestFit="1" customWidth="1"/>
    <col min="279" max="279" width="10" bestFit="1" customWidth="1"/>
    <col min="280" max="280" width="12.5" bestFit="1" customWidth="1"/>
    <col min="281" max="281" width="10.1640625" bestFit="1" customWidth="1"/>
    <col min="282" max="282" width="14.5" bestFit="1" customWidth="1"/>
    <col min="283" max="283" width="15.33203125" bestFit="1" customWidth="1"/>
    <col min="284" max="284" width="11.6640625" bestFit="1" customWidth="1"/>
    <col min="285" max="285" width="8.6640625" bestFit="1" customWidth="1"/>
    <col min="286" max="286" width="14.6640625" bestFit="1" customWidth="1"/>
    <col min="287" max="287" width="12.1640625" bestFit="1" customWidth="1"/>
    <col min="288" max="288" width="16.33203125" bestFit="1" customWidth="1"/>
    <col min="289" max="289" width="12.6640625" bestFit="1" customWidth="1"/>
    <col min="290" max="290" width="10.5" bestFit="1" customWidth="1"/>
    <col min="291" max="291" width="11.5" bestFit="1" customWidth="1"/>
    <col min="292" max="292" width="11.1640625" bestFit="1" customWidth="1"/>
    <col min="293" max="293" width="12.5" bestFit="1" customWidth="1"/>
    <col min="294" max="294" width="12.6640625" bestFit="1" customWidth="1"/>
    <col min="295" max="295" width="14.1640625" bestFit="1" customWidth="1"/>
    <col min="296" max="296" width="12" bestFit="1" customWidth="1"/>
    <col min="297" max="297" width="13.5" bestFit="1" customWidth="1"/>
    <col min="298" max="298" width="14.83203125" bestFit="1" customWidth="1"/>
    <col min="299" max="299" width="12" bestFit="1" customWidth="1"/>
    <col min="300" max="300" width="10" bestFit="1" customWidth="1"/>
    <col min="301" max="301" width="11.5" bestFit="1" customWidth="1"/>
    <col min="302" max="302" width="11" bestFit="1" customWidth="1"/>
    <col min="303" max="303" width="9.5" bestFit="1" customWidth="1"/>
    <col min="304" max="304" width="13.83203125" bestFit="1" customWidth="1"/>
    <col min="305" max="305" width="13.5" bestFit="1" customWidth="1"/>
    <col min="306" max="306" width="13.1640625" bestFit="1" customWidth="1"/>
    <col min="307" max="307" width="11.5" bestFit="1" customWidth="1"/>
    <col min="308" max="308" width="10.33203125" bestFit="1" customWidth="1"/>
    <col min="309" max="309" width="10.5" bestFit="1" customWidth="1"/>
    <col min="311" max="311" width="14" bestFit="1" customWidth="1"/>
    <col min="312" max="312" width="15.1640625" bestFit="1" customWidth="1"/>
    <col min="313" max="313" width="12.6640625" bestFit="1" customWidth="1"/>
    <col min="314" max="314" width="13" bestFit="1" customWidth="1"/>
    <col min="315" max="315" width="13.6640625" bestFit="1" customWidth="1"/>
    <col min="316" max="316" width="10.33203125" bestFit="1" customWidth="1"/>
    <col min="317" max="317" width="11.6640625" bestFit="1" customWidth="1"/>
    <col min="318" max="318" width="11.33203125" bestFit="1" customWidth="1"/>
    <col min="319" max="319" width="11.6640625" bestFit="1" customWidth="1"/>
    <col min="320" max="320" width="12.6640625" bestFit="1" customWidth="1"/>
    <col min="321" max="321" width="11.5" bestFit="1" customWidth="1"/>
    <col min="322" max="322" width="14.5" bestFit="1" customWidth="1"/>
    <col min="323" max="323" width="11.83203125" bestFit="1" customWidth="1"/>
    <col min="324" max="324" width="13.33203125" bestFit="1" customWidth="1"/>
    <col min="325" max="325" width="11.5" bestFit="1" customWidth="1"/>
    <col min="326" max="326" width="10.33203125" bestFit="1" customWidth="1"/>
    <col min="327" max="327" width="17" bestFit="1" customWidth="1"/>
    <col min="328" max="328" width="11.5" bestFit="1" customWidth="1"/>
    <col min="329" max="329" width="11.33203125" bestFit="1" customWidth="1"/>
    <col min="330" max="330" width="14.33203125" bestFit="1" customWidth="1"/>
    <col min="331" max="331" width="14.83203125" bestFit="1" customWidth="1"/>
    <col min="332" max="332" width="13.1640625" bestFit="1" customWidth="1"/>
    <col min="333" max="333" width="15.33203125" bestFit="1" customWidth="1"/>
    <col min="334" max="334" width="15" bestFit="1" customWidth="1"/>
    <col min="335" max="335" width="12" bestFit="1" customWidth="1"/>
    <col min="336" max="336" width="17" bestFit="1" customWidth="1"/>
    <col min="337" max="337" width="16.33203125" bestFit="1" customWidth="1"/>
    <col min="338" max="338" width="11" bestFit="1" customWidth="1"/>
    <col min="339" max="339" width="11.1640625" bestFit="1" customWidth="1"/>
    <col min="340" max="340" width="12.5" bestFit="1" customWidth="1"/>
    <col min="342" max="343" width="12.5" bestFit="1" customWidth="1"/>
    <col min="344" max="344" width="13.6640625" bestFit="1" customWidth="1"/>
    <col min="345" max="346" width="13.5" bestFit="1" customWidth="1"/>
    <col min="347" max="347" width="11.5" bestFit="1" customWidth="1"/>
    <col min="348" max="348" width="10.1640625" bestFit="1" customWidth="1"/>
    <col min="349" max="349" width="14" bestFit="1" customWidth="1"/>
    <col min="350" max="350" width="12.33203125" bestFit="1" customWidth="1"/>
    <col min="351" max="351" width="15.83203125" bestFit="1" customWidth="1"/>
    <col min="353" max="353" width="15.5" bestFit="1" customWidth="1"/>
    <col min="354" max="355" width="13.33203125" bestFit="1" customWidth="1"/>
    <col min="356" max="356" width="13.83203125" bestFit="1" customWidth="1"/>
    <col min="357" max="357" width="15.33203125" bestFit="1" customWidth="1"/>
    <col min="358" max="358" width="11" bestFit="1" customWidth="1"/>
    <col min="359" max="359" width="11.6640625" bestFit="1" customWidth="1"/>
    <col min="360" max="360" width="11" bestFit="1" customWidth="1"/>
    <col min="361" max="361" width="13.1640625" bestFit="1" customWidth="1"/>
    <col min="362" max="362" width="11.83203125" bestFit="1" customWidth="1"/>
    <col min="363" max="363" width="13.5" bestFit="1" customWidth="1"/>
    <col min="364" max="364" width="14.33203125" bestFit="1" customWidth="1"/>
    <col min="365" max="365" width="16.5" bestFit="1" customWidth="1"/>
    <col min="366" max="366" width="9.83203125" bestFit="1" customWidth="1"/>
    <col min="367" max="367" width="14.33203125" bestFit="1" customWidth="1"/>
    <col min="368" max="368" width="17.33203125" bestFit="1" customWidth="1"/>
    <col min="369" max="369" width="14.1640625" bestFit="1" customWidth="1"/>
    <col min="370" max="370" width="9.5" bestFit="1" customWidth="1"/>
    <col min="371" max="371" width="13.6640625" bestFit="1" customWidth="1"/>
    <col min="372" max="372" width="17.6640625" bestFit="1" customWidth="1"/>
    <col min="373" max="373" width="17" bestFit="1" customWidth="1"/>
    <col min="374" max="374" width="12.33203125" bestFit="1" customWidth="1"/>
    <col min="375" max="375" width="15.83203125" bestFit="1" customWidth="1"/>
    <col min="376" max="376" width="11.5" bestFit="1" customWidth="1"/>
    <col min="377" max="377" width="13.83203125" bestFit="1" customWidth="1"/>
    <col min="378" max="378" width="12.33203125" bestFit="1" customWidth="1"/>
    <col min="379" max="379" width="14.1640625" bestFit="1" customWidth="1"/>
    <col min="380" max="380" width="10.6640625" bestFit="1" customWidth="1"/>
    <col min="381" max="381" width="12.6640625" bestFit="1" customWidth="1"/>
    <col min="382" max="382" width="13.33203125" bestFit="1" customWidth="1"/>
    <col min="383" max="383" width="10" bestFit="1" customWidth="1"/>
    <col min="384" max="384" width="9.83203125" bestFit="1" customWidth="1"/>
    <col min="385" max="385" width="15.5" bestFit="1" customWidth="1"/>
    <col min="386" max="386" width="12.6640625" bestFit="1" customWidth="1"/>
    <col min="387" max="387" width="13.83203125" bestFit="1" customWidth="1"/>
    <col min="388" max="388" width="15.1640625" bestFit="1" customWidth="1"/>
    <col min="389" max="389" width="13.5" bestFit="1" customWidth="1"/>
    <col min="390" max="390" width="12.6640625" bestFit="1" customWidth="1"/>
    <col min="391" max="391" width="13.33203125" bestFit="1" customWidth="1"/>
    <col min="392" max="392" width="14" bestFit="1" customWidth="1"/>
    <col min="393" max="393" width="14.1640625" bestFit="1" customWidth="1"/>
    <col min="394" max="394" width="11.83203125" bestFit="1" customWidth="1"/>
    <col min="395" max="395" width="8.83203125" bestFit="1" customWidth="1"/>
    <col min="396" max="396" width="10" bestFit="1" customWidth="1"/>
    <col min="397" max="397" width="12" bestFit="1" customWidth="1"/>
    <col min="398" max="398" width="14.5" bestFit="1" customWidth="1"/>
    <col min="399" max="399" width="12.1640625" bestFit="1" customWidth="1"/>
    <col min="400" max="400" width="10.5" bestFit="1" customWidth="1"/>
    <col min="401" max="401" width="16" bestFit="1" customWidth="1"/>
    <col min="402" max="402" width="13.33203125" bestFit="1" customWidth="1"/>
    <col min="403" max="403" width="13.5" bestFit="1" customWidth="1"/>
    <col min="404" max="404" width="10.33203125" bestFit="1" customWidth="1"/>
    <col min="405" max="405" width="13" bestFit="1" customWidth="1"/>
    <col min="406" max="406" width="11.1640625" bestFit="1" customWidth="1"/>
    <col min="407" max="407" width="12" bestFit="1" customWidth="1"/>
    <col min="408" max="408" width="16.33203125" bestFit="1" customWidth="1"/>
    <col min="409" max="409" width="10" bestFit="1" customWidth="1"/>
    <col min="410" max="410" width="12.1640625" bestFit="1" customWidth="1"/>
    <col min="411" max="411" width="11.1640625" bestFit="1" customWidth="1"/>
    <col min="412" max="412" width="9.5" bestFit="1" customWidth="1"/>
    <col min="413" max="414" width="11.33203125" bestFit="1" customWidth="1"/>
    <col min="415" max="415" width="10" bestFit="1" customWidth="1"/>
    <col min="416" max="416" width="11.83203125" bestFit="1" customWidth="1"/>
    <col min="417" max="417" width="14.1640625" bestFit="1" customWidth="1"/>
    <col min="418" max="418" width="15.1640625" bestFit="1" customWidth="1"/>
    <col min="419" max="419" width="15.6640625" bestFit="1" customWidth="1"/>
    <col min="420" max="420" width="12" bestFit="1" customWidth="1"/>
    <col min="421" max="421" width="11.6640625" bestFit="1" customWidth="1"/>
    <col min="422" max="422" width="11.83203125" bestFit="1" customWidth="1"/>
    <col min="423" max="423" width="10.33203125" bestFit="1" customWidth="1"/>
    <col min="424" max="424" width="6.33203125" bestFit="1" customWidth="1"/>
    <col min="425" max="425" width="12.1640625" bestFit="1" customWidth="1"/>
    <col min="427" max="427" width="9.33203125" bestFit="1" customWidth="1"/>
    <col min="428" max="428" width="13.5" bestFit="1" customWidth="1"/>
    <col min="429" max="429" width="12.1640625" bestFit="1" customWidth="1"/>
    <col min="430" max="430" width="8.83203125" bestFit="1" customWidth="1"/>
    <col min="431" max="431" width="8.5" bestFit="1" customWidth="1"/>
    <col min="432" max="432" width="11.1640625" bestFit="1" customWidth="1"/>
    <col min="433" max="433" width="10.5" bestFit="1" customWidth="1"/>
    <col min="434" max="434" width="14" bestFit="1" customWidth="1"/>
    <col min="435" max="435" width="14.33203125" bestFit="1" customWidth="1"/>
    <col min="436" max="436" width="13.5" bestFit="1" customWidth="1"/>
    <col min="437" max="437" width="9.83203125" bestFit="1" customWidth="1"/>
    <col min="438" max="438" width="12.1640625" bestFit="1" customWidth="1"/>
    <col min="439" max="439" width="11.83203125" bestFit="1" customWidth="1"/>
    <col min="440" max="440" width="10.6640625" bestFit="1" customWidth="1"/>
    <col min="441" max="441" width="12.33203125" bestFit="1" customWidth="1"/>
    <col min="442" max="442" width="13.6640625" bestFit="1" customWidth="1"/>
    <col min="443" max="443" width="11" bestFit="1" customWidth="1"/>
    <col min="444" max="444" width="12.6640625" bestFit="1" customWidth="1"/>
    <col min="445" max="445" width="19.83203125" bestFit="1" customWidth="1"/>
    <col min="446" max="446" width="12.1640625" bestFit="1" customWidth="1"/>
    <col min="447" max="447" width="9.6640625" bestFit="1" customWidth="1"/>
    <col min="448" max="448" width="12.6640625" bestFit="1" customWidth="1"/>
    <col min="449" max="449" width="12.83203125" bestFit="1" customWidth="1"/>
    <col min="451" max="451" width="11.83203125" bestFit="1" customWidth="1"/>
    <col min="452" max="452" width="12.33203125" bestFit="1" customWidth="1"/>
    <col min="453" max="453" width="15.83203125" bestFit="1" customWidth="1"/>
    <col min="454" max="454" width="14.6640625" bestFit="1" customWidth="1"/>
    <col min="455" max="455" width="13.33203125" bestFit="1" customWidth="1"/>
    <col min="456" max="456" width="15.1640625" bestFit="1" customWidth="1"/>
    <col min="457" max="458" width="9.83203125" bestFit="1" customWidth="1"/>
    <col min="459" max="459" width="12.6640625" bestFit="1" customWidth="1"/>
    <col min="460" max="460" width="16.5" bestFit="1" customWidth="1"/>
    <col min="461" max="461" width="12.6640625" bestFit="1" customWidth="1"/>
    <col min="462" max="462" width="14" bestFit="1" customWidth="1"/>
    <col min="463" max="463" width="9.1640625" bestFit="1" customWidth="1"/>
    <col min="464" max="464" width="12.83203125" bestFit="1" customWidth="1"/>
    <col min="465" max="465" width="14.83203125" bestFit="1" customWidth="1"/>
    <col min="466" max="466" width="9.1640625" bestFit="1" customWidth="1"/>
    <col min="467" max="467" width="13.1640625" bestFit="1" customWidth="1"/>
    <col min="469" max="469" width="10.1640625" bestFit="1" customWidth="1"/>
    <col min="470" max="470" width="17.6640625" bestFit="1" customWidth="1"/>
    <col min="471" max="471" width="13" bestFit="1" customWidth="1"/>
    <col min="472" max="472" width="12.1640625" bestFit="1" customWidth="1"/>
    <col min="473" max="473" width="12.83203125" bestFit="1" customWidth="1"/>
    <col min="474" max="474" width="12.6640625" bestFit="1" customWidth="1"/>
    <col min="475" max="475" width="11.33203125" bestFit="1" customWidth="1"/>
    <col min="476" max="476" width="10.6640625" bestFit="1" customWidth="1"/>
    <col min="477" max="477" width="12.6640625" bestFit="1" customWidth="1"/>
    <col min="478" max="478" width="12" bestFit="1" customWidth="1"/>
    <col min="479" max="479" width="9.5" bestFit="1" customWidth="1"/>
    <col min="480" max="480" width="12.1640625" bestFit="1" customWidth="1"/>
    <col min="481" max="481" width="10" bestFit="1" customWidth="1"/>
    <col min="482" max="482" width="14.5" bestFit="1" customWidth="1"/>
    <col min="483" max="483" width="13.33203125" bestFit="1" customWidth="1"/>
    <col min="484" max="484" width="12.1640625" bestFit="1" customWidth="1"/>
    <col min="485" max="485" width="9.6640625" bestFit="1" customWidth="1"/>
    <col min="486" max="486" width="9.5" bestFit="1" customWidth="1"/>
    <col min="487" max="487" width="10.6640625" bestFit="1" customWidth="1"/>
    <col min="488" max="488" width="12" bestFit="1" customWidth="1"/>
    <col min="489" max="490" width="13.1640625" bestFit="1" customWidth="1"/>
    <col min="491" max="491" width="13.5" bestFit="1" customWidth="1"/>
    <col min="492" max="492" width="10.33203125" bestFit="1" customWidth="1"/>
    <col min="493" max="493" width="12" bestFit="1" customWidth="1"/>
    <col min="494" max="494" width="14.1640625" bestFit="1" customWidth="1"/>
    <col min="495" max="495" width="11.83203125" bestFit="1" customWidth="1"/>
    <col min="496" max="496" width="15.33203125" bestFit="1" customWidth="1"/>
    <col min="497" max="497" width="9.5" bestFit="1" customWidth="1"/>
    <col min="498" max="498" width="14.6640625" bestFit="1" customWidth="1"/>
    <col min="499" max="499" width="12.83203125" bestFit="1" customWidth="1"/>
    <col min="500" max="500" width="12" bestFit="1" customWidth="1"/>
    <col min="501" max="501" width="13.5" bestFit="1" customWidth="1"/>
    <col min="502" max="502" width="10.33203125" bestFit="1" customWidth="1"/>
    <col min="503" max="503" width="10.5" bestFit="1" customWidth="1"/>
    <col min="504" max="504" width="15.5" bestFit="1" customWidth="1"/>
    <col min="505" max="505" width="11.33203125" bestFit="1" customWidth="1"/>
    <col min="506" max="506" width="13.5" bestFit="1" customWidth="1"/>
    <col min="507" max="507" width="11.5" bestFit="1" customWidth="1"/>
    <col min="508" max="508" width="12.33203125" bestFit="1" customWidth="1"/>
    <col min="509" max="509" width="15" bestFit="1" customWidth="1"/>
    <col min="510" max="510" width="20.5" bestFit="1" customWidth="1"/>
    <col min="511" max="511" width="11.6640625" bestFit="1" customWidth="1"/>
    <col min="512" max="512" width="12.1640625" bestFit="1" customWidth="1"/>
    <col min="513" max="513" width="14.83203125" bestFit="1" customWidth="1"/>
    <col min="514" max="514" width="11" bestFit="1" customWidth="1"/>
    <col min="515" max="515" width="13.83203125" bestFit="1" customWidth="1"/>
    <col min="516" max="516" width="12.83203125" bestFit="1" customWidth="1"/>
    <col min="518" max="518" width="12.1640625" bestFit="1" customWidth="1"/>
    <col min="519" max="519" width="15.1640625" bestFit="1" customWidth="1"/>
    <col min="520" max="520" width="9.83203125" bestFit="1" customWidth="1"/>
    <col min="521" max="521" width="15.6640625" bestFit="1" customWidth="1"/>
    <col min="522" max="522" width="18.1640625" bestFit="1" customWidth="1"/>
    <col min="523" max="523" width="16.33203125" bestFit="1" customWidth="1"/>
    <col min="524" max="524" width="12.6640625" bestFit="1" customWidth="1"/>
    <col min="525" max="525" width="12.83203125" bestFit="1" customWidth="1"/>
    <col min="526" max="526" width="11.5" bestFit="1" customWidth="1"/>
    <col min="527" max="527" width="12.1640625" bestFit="1" customWidth="1"/>
    <col min="528" max="528" width="10.1640625" bestFit="1" customWidth="1"/>
    <col min="529" max="529" width="11.83203125" bestFit="1" customWidth="1"/>
    <col min="530" max="530" width="13.1640625" bestFit="1" customWidth="1"/>
    <col min="531" max="531" width="15.33203125" bestFit="1" customWidth="1"/>
    <col min="532" max="532" width="18.1640625" bestFit="1" customWidth="1"/>
    <col min="533" max="533" width="12.83203125" bestFit="1" customWidth="1"/>
    <col min="534" max="534" width="16.33203125" bestFit="1" customWidth="1"/>
    <col min="535" max="535" width="13.6640625" bestFit="1" customWidth="1"/>
    <col min="536" max="536" width="15.1640625" bestFit="1" customWidth="1"/>
    <col min="537" max="537" width="14.5" bestFit="1" customWidth="1"/>
    <col min="538" max="538" width="14" bestFit="1" customWidth="1"/>
    <col min="539" max="541" width="11" bestFit="1" customWidth="1"/>
    <col min="542" max="542" width="12.33203125" bestFit="1" customWidth="1"/>
    <col min="543" max="543" width="13.83203125" bestFit="1" customWidth="1"/>
    <col min="544" max="544" width="10.33203125" bestFit="1" customWidth="1"/>
    <col min="545" max="545" width="11.83203125" bestFit="1" customWidth="1"/>
    <col min="546" max="546" width="11" bestFit="1" customWidth="1"/>
    <col min="548" max="548" width="14.33203125" bestFit="1" customWidth="1"/>
    <col min="549" max="549" width="9.5" bestFit="1" customWidth="1"/>
    <col min="550" max="550" width="13.1640625" bestFit="1" customWidth="1"/>
    <col min="551" max="551" width="14" bestFit="1" customWidth="1"/>
    <col min="552" max="552" width="14.83203125" bestFit="1" customWidth="1"/>
    <col min="553" max="553" width="12.6640625" bestFit="1" customWidth="1"/>
    <col min="554" max="554" width="12" bestFit="1" customWidth="1"/>
    <col min="555" max="555" width="16.33203125" bestFit="1" customWidth="1"/>
    <col min="556" max="556" width="12.6640625" bestFit="1" customWidth="1"/>
    <col min="557" max="557" width="14.1640625" bestFit="1" customWidth="1"/>
    <col min="558" max="558" width="14.33203125" bestFit="1" customWidth="1"/>
    <col min="559" max="559" width="10.33203125" bestFit="1" customWidth="1"/>
    <col min="560" max="560" width="11.33203125" bestFit="1" customWidth="1"/>
    <col min="561" max="561" width="16.33203125" bestFit="1" customWidth="1"/>
    <col min="562" max="562" width="13.83203125" bestFit="1" customWidth="1"/>
    <col min="563" max="563" width="12.6640625" bestFit="1" customWidth="1"/>
    <col min="564" max="564" width="9" bestFit="1" customWidth="1"/>
    <col min="565" max="565" width="13.33203125" bestFit="1" customWidth="1"/>
    <col min="566" max="566" width="16.5" bestFit="1" customWidth="1"/>
    <col min="567" max="567" width="13.6640625" bestFit="1" customWidth="1"/>
    <col min="568" max="568" width="12.83203125" bestFit="1" customWidth="1"/>
    <col min="569" max="569" width="12.5" bestFit="1" customWidth="1"/>
    <col min="570" max="570" width="11" bestFit="1" customWidth="1"/>
    <col min="571" max="571" width="13.33203125" bestFit="1" customWidth="1"/>
    <col min="572" max="572" width="11.33203125" bestFit="1" customWidth="1"/>
    <col min="573" max="573" width="12.5" bestFit="1" customWidth="1"/>
    <col min="574" max="574" width="15.83203125" bestFit="1" customWidth="1"/>
    <col min="575" max="576" width="14.6640625" bestFit="1" customWidth="1"/>
    <col min="577" max="577" width="9.5" bestFit="1" customWidth="1"/>
    <col min="578" max="578" width="14.1640625" bestFit="1" customWidth="1"/>
    <col min="579" max="579" width="10.1640625" bestFit="1" customWidth="1"/>
    <col min="580" max="580" width="17" bestFit="1" customWidth="1"/>
    <col min="581" max="581" width="13.33203125" bestFit="1" customWidth="1"/>
    <col min="582" max="582" width="15.5" bestFit="1" customWidth="1"/>
    <col min="583" max="583" width="16.33203125" bestFit="1" customWidth="1"/>
    <col min="584" max="584" width="19.33203125" bestFit="1" customWidth="1"/>
    <col min="585" max="585" width="10.33203125" bestFit="1" customWidth="1"/>
    <col min="586" max="586" width="13.1640625" bestFit="1" customWidth="1"/>
    <col min="587" max="587" width="15.1640625" bestFit="1" customWidth="1"/>
    <col min="588" max="588" width="12.5" bestFit="1" customWidth="1"/>
    <col min="589" max="589" width="10.5" bestFit="1" customWidth="1"/>
    <col min="590" max="590" width="17" bestFit="1" customWidth="1"/>
    <col min="591" max="591" width="13" bestFit="1" customWidth="1"/>
    <col min="593" max="593" width="12.6640625" bestFit="1" customWidth="1"/>
    <col min="594" max="594" width="12.33203125" bestFit="1" customWidth="1"/>
    <col min="595" max="595" width="14" bestFit="1" customWidth="1"/>
    <col min="596" max="596" width="15.5" bestFit="1" customWidth="1"/>
    <col min="597" max="597" width="11.83203125" bestFit="1" customWidth="1"/>
    <col min="598" max="598" width="15.1640625" bestFit="1" customWidth="1"/>
    <col min="599" max="599" width="11.5" bestFit="1" customWidth="1"/>
    <col min="600" max="600" width="13.1640625" bestFit="1" customWidth="1"/>
    <col min="601" max="601" width="13" bestFit="1" customWidth="1"/>
    <col min="602" max="603" width="12.5" bestFit="1" customWidth="1"/>
    <col min="604" max="605" width="12.6640625" bestFit="1" customWidth="1"/>
    <col min="606" max="606" width="13.6640625" bestFit="1" customWidth="1"/>
    <col min="607" max="607" width="12.1640625" bestFit="1" customWidth="1"/>
    <col min="608" max="608" width="13.5" bestFit="1" customWidth="1"/>
    <col min="609" max="609" width="16.33203125" bestFit="1" customWidth="1"/>
    <col min="610" max="610" width="13" bestFit="1" customWidth="1"/>
    <col min="611" max="611" width="9.33203125" bestFit="1" customWidth="1"/>
    <col min="612" max="612" width="11" bestFit="1" customWidth="1"/>
    <col min="613" max="614" width="11.1640625" bestFit="1" customWidth="1"/>
    <col min="615" max="615" width="12.83203125" bestFit="1" customWidth="1"/>
    <col min="616" max="616" width="15.1640625" bestFit="1" customWidth="1"/>
    <col min="617" max="617" width="13.5" bestFit="1" customWidth="1"/>
    <col min="618" max="618" width="17.83203125" bestFit="1" customWidth="1"/>
    <col min="619" max="619" width="11.6640625" bestFit="1" customWidth="1"/>
    <col min="620" max="620" width="12.5" bestFit="1" customWidth="1"/>
    <col min="621" max="621" width="20.1640625" bestFit="1" customWidth="1"/>
    <col min="622" max="622" width="15.6640625" bestFit="1" customWidth="1"/>
    <col min="623" max="623" width="12.6640625" bestFit="1" customWidth="1"/>
    <col min="624" max="624" width="13" bestFit="1" customWidth="1"/>
    <col min="625" max="625" width="11.33203125" bestFit="1" customWidth="1"/>
    <col min="626" max="626" width="17.1640625" bestFit="1" customWidth="1"/>
    <col min="627" max="627" width="12.1640625" bestFit="1" customWidth="1"/>
    <col min="628" max="628" width="10.5" bestFit="1" customWidth="1"/>
    <col min="629" max="629" width="12.33203125" bestFit="1" customWidth="1"/>
    <col min="630" max="630" width="13.33203125" bestFit="1" customWidth="1"/>
    <col min="631" max="631" width="11.5" bestFit="1" customWidth="1"/>
    <col min="632" max="632" width="13" bestFit="1" customWidth="1"/>
    <col min="633" max="633" width="14" bestFit="1" customWidth="1"/>
    <col min="634" max="634" width="13.83203125" bestFit="1" customWidth="1"/>
    <col min="635" max="635" width="12.83203125" bestFit="1" customWidth="1"/>
    <col min="636" max="636" width="14.33203125" bestFit="1" customWidth="1"/>
    <col min="637" max="637" width="12.1640625" bestFit="1" customWidth="1"/>
    <col min="638" max="638" width="14.5" bestFit="1" customWidth="1"/>
    <col min="639" max="639" width="12.5" bestFit="1" customWidth="1"/>
    <col min="640" max="640" width="12" bestFit="1" customWidth="1"/>
    <col min="641" max="641" width="9.83203125" bestFit="1" customWidth="1"/>
    <col min="642" max="642" width="10.33203125" bestFit="1" customWidth="1"/>
    <col min="644" max="644" width="13" bestFit="1" customWidth="1"/>
    <col min="645" max="645" width="14.1640625" bestFit="1" customWidth="1"/>
    <col min="646" max="646" width="15.6640625" bestFit="1" customWidth="1"/>
    <col min="647" max="647" width="12.83203125" bestFit="1" customWidth="1"/>
    <col min="648" max="648" width="13.1640625" bestFit="1" customWidth="1"/>
    <col min="649" max="649" width="15.33203125" bestFit="1" customWidth="1"/>
    <col min="650" max="650" width="12" bestFit="1" customWidth="1"/>
    <col min="651" max="651" width="13.33203125" bestFit="1" customWidth="1"/>
    <col min="652" max="652" width="11.6640625" bestFit="1" customWidth="1"/>
    <col min="653" max="653" width="13" bestFit="1" customWidth="1"/>
    <col min="654" max="654" width="10.5" bestFit="1" customWidth="1"/>
    <col min="655" max="655" width="13.33203125" bestFit="1" customWidth="1"/>
    <col min="656" max="656" width="14.1640625" bestFit="1" customWidth="1"/>
    <col min="657" max="657" width="11.83203125" bestFit="1" customWidth="1"/>
    <col min="658" max="658" width="10.1640625" bestFit="1" customWidth="1"/>
    <col min="659" max="659" width="9.5" bestFit="1" customWidth="1"/>
    <col min="660" max="660" width="10.5" bestFit="1" customWidth="1"/>
    <col min="661" max="661" width="11.33203125" bestFit="1" customWidth="1"/>
    <col min="662" max="662" width="12.33203125" bestFit="1" customWidth="1"/>
    <col min="663" max="663" width="9.83203125" bestFit="1" customWidth="1"/>
    <col min="664" max="664" width="12.33203125" bestFit="1" customWidth="1"/>
    <col min="665" max="665" width="10.1640625" bestFit="1" customWidth="1"/>
    <col min="666" max="666" width="13.1640625" bestFit="1" customWidth="1"/>
    <col min="667" max="667" width="10.5" bestFit="1" customWidth="1"/>
    <col min="668" max="669" width="12.33203125" bestFit="1" customWidth="1"/>
    <col min="670" max="670" width="10.33203125" bestFit="1" customWidth="1"/>
    <col min="671" max="671" width="15" bestFit="1" customWidth="1"/>
    <col min="672" max="672" width="12.33203125" bestFit="1" customWidth="1"/>
    <col min="673" max="673" width="11.83203125" bestFit="1" customWidth="1"/>
    <col min="674" max="675" width="11.33203125" bestFit="1" customWidth="1"/>
    <col min="676" max="677" width="12.5" bestFit="1" customWidth="1"/>
    <col min="678" max="678" width="10.1640625" bestFit="1" customWidth="1"/>
    <col min="679" max="679" width="12.6640625" bestFit="1" customWidth="1"/>
    <col min="680" max="680" width="9.83203125" bestFit="1" customWidth="1"/>
    <col min="681" max="681" width="11.83203125" bestFit="1" customWidth="1"/>
    <col min="682" max="682" width="18.33203125" bestFit="1" customWidth="1"/>
    <col min="683" max="683" width="14" bestFit="1" customWidth="1"/>
    <col min="684" max="684" width="10.5" bestFit="1" customWidth="1"/>
    <col min="685" max="685" width="13.6640625" bestFit="1" customWidth="1"/>
    <col min="686" max="686" width="11.1640625" bestFit="1" customWidth="1"/>
    <col min="688" max="688" width="13.1640625" bestFit="1" customWidth="1"/>
    <col min="689" max="689" width="11.5" bestFit="1" customWidth="1"/>
    <col min="690" max="690" width="13" bestFit="1" customWidth="1"/>
    <col min="691" max="691" width="10" bestFit="1" customWidth="1"/>
    <col min="692" max="692" width="12.83203125" bestFit="1" customWidth="1"/>
    <col min="693" max="693" width="8.6640625" bestFit="1" customWidth="1"/>
    <col min="694" max="694" width="8" bestFit="1" customWidth="1"/>
    <col min="695" max="695" width="10.6640625" bestFit="1" customWidth="1"/>
    <col min="696" max="696" width="12.6640625" bestFit="1" customWidth="1"/>
    <col min="698" max="698" width="13.5" bestFit="1" customWidth="1"/>
    <col min="699" max="699" width="13.83203125" bestFit="1" customWidth="1"/>
    <col min="700" max="700" width="14.1640625" bestFit="1" customWidth="1"/>
    <col min="701" max="701" width="16.6640625" bestFit="1" customWidth="1"/>
    <col min="702" max="702" width="13.83203125" bestFit="1" customWidth="1"/>
    <col min="703" max="703" width="16.6640625" bestFit="1" customWidth="1"/>
    <col min="704" max="704" width="12.33203125" bestFit="1" customWidth="1"/>
    <col min="705" max="705" width="8.5" bestFit="1" customWidth="1"/>
    <col min="706" max="706" width="9.83203125" bestFit="1" customWidth="1"/>
    <col min="707" max="707" width="12" bestFit="1" customWidth="1"/>
    <col min="708" max="708" width="12.1640625" bestFit="1" customWidth="1"/>
    <col min="709" max="709" width="16.33203125" bestFit="1" customWidth="1"/>
    <col min="710" max="710" width="15.5" bestFit="1" customWidth="1"/>
    <col min="711" max="711" width="15.1640625" bestFit="1" customWidth="1"/>
    <col min="712" max="712" width="13.83203125" bestFit="1" customWidth="1"/>
    <col min="713" max="713" width="15" bestFit="1" customWidth="1"/>
    <col min="714" max="714" width="12.6640625" bestFit="1" customWidth="1"/>
    <col min="715" max="715" width="11.5" bestFit="1" customWidth="1"/>
    <col min="716" max="716" width="10.1640625" bestFit="1" customWidth="1"/>
    <col min="717" max="717" width="13.83203125" bestFit="1" customWidth="1"/>
    <col min="718" max="718" width="12.33203125" bestFit="1" customWidth="1"/>
    <col min="719" max="719" width="19" bestFit="1" customWidth="1"/>
    <col min="720" max="721" width="14.6640625" bestFit="1" customWidth="1"/>
    <col min="722" max="722" width="8.5" bestFit="1" customWidth="1"/>
    <col min="723" max="723" width="9.33203125" bestFit="1" customWidth="1"/>
    <col min="724" max="724" width="14.33203125" bestFit="1" customWidth="1"/>
    <col min="725" max="725" width="11.33203125" bestFit="1" customWidth="1"/>
    <col min="726" max="726" width="10.1640625" bestFit="1" customWidth="1"/>
    <col min="727" max="727" width="11.1640625" bestFit="1" customWidth="1"/>
    <col min="728" max="728" width="15.5" bestFit="1" customWidth="1"/>
    <col min="729" max="729" width="10.5" bestFit="1" customWidth="1"/>
    <col min="730" max="730" width="14.1640625" bestFit="1" customWidth="1"/>
    <col min="732" max="732" width="12" bestFit="1" customWidth="1"/>
    <col min="733" max="733" width="18.1640625" bestFit="1" customWidth="1"/>
    <col min="734" max="734" width="12.6640625" bestFit="1" customWidth="1"/>
    <col min="735" max="735" width="12.33203125" bestFit="1" customWidth="1"/>
    <col min="736" max="736" width="13.33203125" bestFit="1" customWidth="1"/>
    <col min="737" max="737" width="14.33203125" bestFit="1" customWidth="1"/>
    <col min="738" max="738" width="13" bestFit="1" customWidth="1"/>
    <col min="739" max="739" width="11.83203125" bestFit="1" customWidth="1"/>
    <col min="740" max="740" width="10.5" bestFit="1" customWidth="1"/>
    <col min="741" max="741" width="13.6640625" bestFit="1" customWidth="1"/>
    <col min="742" max="742" width="12" bestFit="1" customWidth="1"/>
    <col min="743" max="743" width="15.1640625" bestFit="1" customWidth="1"/>
    <col min="744" max="744" width="10.5" bestFit="1" customWidth="1"/>
    <col min="745" max="745" width="11.6640625" bestFit="1" customWidth="1"/>
    <col min="746" max="746" width="14.6640625" bestFit="1" customWidth="1"/>
    <col min="747" max="747" width="14" bestFit="1" customWidth="1"/>
    <col min="749" max="749" width="14.1640625" bestFit="1" customWidth="1"/>
    <col min="750" max="750" width="13.1640625" bestFit="1" customWidth="1"/>
    <col min="751" max="751" width="14.33203125" bestFit="1" customWidth="1"/>
    <col min="752" max="752" width="12.33203125" bestFit="1" customWidth="1"/>
    <col min="753" max="753" width="11.83203125" bestFit="1" customWidth="1"/>
    <col min="754" max="754" width="18.83203125" bestFit="1" customWidth="1"/>
    <col min="755" max="755" width="14.83203125" bestFit="1" customWidth="1"/>
    <col min="756" max="756" width="9.5" bestFit="1" customWidth="1"/>
    <col min="757" max="757" width="11.6640625" bestFit="1" customWidth="1"/>
    <col min="758" max="758" width="13.33203125" bestFit="1" customWidth="1"/>
    <col min="759" max="759" width="12.6640625" bestFit="1" customWidth="1"/>
    <col min="760" max="760" width="12" bestFit="1" customWidth="1"/>
    <col min="761" max="761" width="10.5" bestFit="1" customWidth="1"/>
    <col min="762" max="762" width="15.1640625" bestFit="1" customWidth="1"/>
    <col min="763" max="763" width="15.5" bestFit="1" customWidth="1"/>
    <col min="764" max="764" width="12.5" bestFit="1" customWidth="1"/>
    <col min="765" max="765" width="15.5" bestFit="1" customWidth="1"/>
    <col min="766" max="766" width="13" bestFit="1" customWidth="1"/>
    <col min="767" max="767" width="14" bestFit="1" customWidth="1"/>
    <col min="768" max="768" width="13.1640625" bestFit="1" customWidth="1"/>
    <col min="769" max="769" width="12.6640625" bestFit="1" customWidth="1"/>
    <col min="770" max="770" width="11.6640625" bestFit="1" customWidth="1"/>
    <col min="771" max="771" width="13.1640625" bestFit="1" customWidth="1"/>
    <col min="772" max="772" width="11.6640625" bestFit="1" customWidth="1"/>
    <col min="773" max="773" width="10" bestFit="1" customWidth="1"/>
    <col min="774" max="774" width="11" bestFit="1" customWidth="1"/>
    <col min="775" max="775" width="14.1640625" bestFit="1" customWidth="1"/>
    <col min="776" max="776" width="11.5" bestFit="1" customWidth="1"/>
    <col min="778" max="778" width="13.33203125" bestFit="1" customWidth="1"/>
    <col min="779" max="779" width="13" bestFit="1" customWidth="1"/>
    <col min="780" max="780" width="14.83203125" bestFit="1" customWidth="1"/>
    <col min="781" max="781" width="16" bestFit="1" customWidth="1"/>
    <col min="782" max="782" width="12.6640625" bestFit="1" customWidth="1"/>
    <col min="783" max="783" width="12.1640625" bestFit="1" customWidth="1"/>
    <col min="784" max="784" width="13.33203125" bestFit="1" customWidth="1"/>
    <col min="785" max="785" width="11.5" bestFit="1" customWidth="1"/>
    <col min="786" max="786" width="13" bestFit="1" customWidth="1"/>
    <col min="787" max="787" width="10.6640625" bestFit="1" customWidth="1"/>
    <col min="788" max="788" width="12.6640625" bestFit="1" customWidth="1"/>
    <col min="789" max="789" width="15.1640625" bestFit="1" customWidth="1"/>
    <col min="790" max="790" width="13.5" bestFit="1" customWidth="1"/>
    <col min="791" max="791" width="12.83203125" bestFit="1" customWidth="1"/>
    <col min="792" max="792" width="17.1640625" bestFit="1" customWidth="1"/>
    <col min="793" max="793" width="15.83203125" bestFit="1" customWidth="1"/>
    <col min="794" max="794" width="12" bestFit="1" customWidth="1"/>
    <col min="797" max="797" width="12.1640625" bestFit="1" customWidth="1"/>
    <col min="798" max="798" width="14.5" bestFit="1" customWidth="1"/>
    <col min="799" max="799" width="12.6640625" bestFit="1" customWidth="1"/>
    <col min="800" max="800" width="10.1640625" bestFit="1" customWidth="1"/>
    <col min="801" max="801" width="10.33203125" bestFit="1" customWidth="1"/>
    <col min="802" max="802" width="12.6640625" bestFit="1" customWidth="1"/>
    <col min="803" max="804" width="12.1640625" bestFit="1" customWidth="1"/>
    <col min="805" max="805" width="14.1640625" bestFit="1" customWidth="1"/>
    <col min="806" max="806" width="13.1640625" bestFit="1" customWidth="1"/>
    <col min="807" max="807" width="9.5" bestFit="1" customWidth="1"/>
    <col min="808" max="808" width="11.83203125" bestFit="1" customWidth="1"/>
    <col min="809" max="809" width="10.5" bestFit="1" customWidth="1"/>
    <col min="810" max="810" width="13.6640625" bestFit="1" customWidth="1"/>
    <col min="811" max="811" width="13.33203125" bestFit="1" customWidth="1"/>
    <col min="813" max="813" width="13" bestFit="1" customWidth="1"/>
    <col min="814" max="814" width="13.6640625" bestFit="1" customWidth="1"/>
    <col min="815" max="815" width="14.33203125" bestFit="1" customWidth="1"/>
    <col min="816" max="816" width="10.5" bestFit="1" customWidth="1"/>
    <col min="817" max="817" width="9.5" bestFit="1" customWidth="1"/>
    <col min="818" max="818" width="12.1640625" bestFit="1" customWidth="1"/>
    <col min="819" max="819" width="15.5" bestFit="1" customWidth="1"/>
    <col min="820" max="820" width="13" bestFit="1" customWidth="1"/>
    <col min="821" max="821" width="12.1640625" bestFit="1" customWidth="1"/>
    <col min="822" max="822" width="9.1640625" bestFit="1" customWidth="1"/>
    <col min="823" max="823" width="11.5" bestFit="1" customWidth="1"/>
    <col min="824" max="824" width="13.1640625" bestFit="1" customWidth="1"/>
    <col min="825" max="825" width="11.83203125" bestFit="1" customWidth="1"/>
    <col min="826" max="826" width="10.33203125" bestFit="1" customWidth="1"/>
    <col min="827" max="827" width="13.1640625" bestFit="1" customWidth="1"/>
    <col min="828" max="828" width="12.5" bestFit="1" customWidth="1"/>
    <col min="829" max="829" width="11.1640625" bestFit="1" customWidth="1"/>
    <col min="830" max="830" width="15.83203125" bestFit="1" customWidth="1"/>
    <col min="831" max="831" width="14.83203125" bestFit="1" customWidth="1"/>
    <col min="832" max="832" width="15.83203125" bestFit="1" customWidth="1"/>
    <col min="833" max="833" width="9" bestFit="1" customWidth="1"/>
    <col min="834" max="834" width="10" bestFit="1" customWidth="1"/>
    <col min="836" max="836" width="13.83203125" bestFit="1" customWidth="1"/>
    <col min="837" max="837" width="15.83203125" bestFit="1" customWidth="1"/>
    <col min="838" max="838" width="11.83203125" bestFit="1" customWidth="1"/>
    <col min="839" max="839" width="11.6640625" bestFit="1" customWidth="1"/>
    <col min="840" max="840" width="10.6640625" bestFit="1" customWidth="1"/>
    <col min="841" max="841" width="13.33203125" bestFit="1" customWidth="1"/>
    <col min="842" max="842" width="15.6640625" bestFit="1" customWidth="1"/>
    <col min="843" max="843" width="15" bestFit="1" customWidth="1"/>
    <col min="844" max="844" width="10.1640625" bestFit="1" customWidth="1"/>
    <col min="845" max="845" width="16" bestFit="1" customWidth="1"/>
    <col min="846" max="846" width="13.6640625" bestFit="1" customWidth="1"/>
    <col min="847" max="847" width="10.33203125" bestFit="1" customWidth="1"/>
    <col min="848" max="848" width="15.5" bestFit="1" customWidth="1"/>
    <col min="849" max="849" width="12.6640625" bestFit="1" customWidth="1"/>
    <col min="850" max="850" width="9.33203125" bestFit="1" customWidth="1"/>
    <col min="851" max="851" width="17.83203125" bestFit="1" customWidth="1"/>
    <col min="852" max="852" width="10.5" bestFit="1" customWidth="1"/>
    <col min="853" max="853" width="16.33203125" bestFit="1" customWidth="1"/>
    <col min="854" max="854" width="15.33203125" bestFit="1" customWidth="1"/>
    <col min="855" max="855" width="12.1640625" bestFit="1" customWidth="1"/>
    <col min="856" max="856" width="13.6640625" bestFit="1" customWidth="1"/>
    <col min="857" max="857" width="11.83203125" bestFit="1" customWidth="1"/>
    <col min="858" max="858" width="12.1640625" bestFit="1" customWidth="1"/>
    <col min="859" max="859" width="10.33203125" bestFit="1" customWidth="1"/>
    <col min="860" max="860" width="15.1640625" bestFit="1" customWidth="1"/>
    <col min="861" max="861" width="10.6640625" bestFit="1" customWidth="1"/>
    <col min="862" max="862" width="14" bestFit="1" customWidth="1"/>
    <col min="863" max="863" width="11.5" bestFit="1" customWidth="1"/>
    <col min="864" max="864" width="12.1640625" bestFit="1" customWidth="1"/>
    <col min="865" max="865" width="12.33203125" bestFit="1" customWidth="1"/>
    <col min="866" max="866" width="14.33203125" bestFit="1" customWidth="1"/>
    <col min="867" max="867" width="12.6640625" bestFit="1" customWidth="1"/>
    <col min="868" max="868" width="11" bestFit="1" customWidth="1"/>
    <col min="869" max="869" width="14.6640625" bestFit="1" customWidth="1"/>
    <col min="870" max="870" width="15.83203125" bestFit="1" customWidth="1"/>
    <col min="871" max="871" width="14.6640625" bestFit="1" customWidth="1"/>
    <col min="872" max="872" width="15.33203125" bestFit="1" customWidth="1"/>
    <col min="873" max="873" width="14" bestFit="1" customWidth="1"/>
    <col min="874" max="874" width="11.5" bestFit="1" customWidth="1"/>
    <col min="875" max="875" width="11" bestFit="1" customWidth="1"/>
    <col min="876" max="876" width="13.1640625" bestFit="1" customWidth="1"/>
    <col min="877" max="877" width="13" bestFit="1" customWidth="1"/>
    <col min="878" max="878" width="11.83203125" bestFit="1" customWidth="1"/>
    <col min="879" max="879" width="11.5" bestFit="1" customWidth="1"/>
    <col min="880" max="880" width="17.5" bestFit="1" customWidth="1"/>
    <col min="881" max="881" width="14.6640625" bestFit="1" customWidth="1"/>
    <col min="882" max="882" width="13.6640625" bestFit="1" customWidth="1"/>
    <col min="883" max="883" width="13.83203125" bestFit="1" customWidth="1"/>
    <col min="884" max="884" width="15.6640625" bestFit="1" customWidth="1"/>
    <col min="885" max="885" width="13.1640625" bestFit="1" customWidth="1"/>
    <col min="886" max="886" width="14.33203125" bestFit="1" customWidth="1"/>
    <col min="887" max="887" width="14.1640625" bestFit="1" customWidth="1"/>
    <col min="888" max="888" width="12.33203125" bestFit="1" customWidth="1"/>
    <col min="890" max="890" width="16.6640625" bestFit="1" customWidth="1"/>
    <col min="891" max="891" width="16" bestFit="1" customWidth="1"/>
    <col min="892" max="892" width="11.83203125" bestFit="1" customWidth="1"/>
    <col min="893" max="893" width="13" bestFit="1" customWidth="1"/>
    <col min="894" max="894" width="12.33203125" bestFit="1" customWidth="1"/>
    <col min="896" max="896" width="10.1640625" bestFit="1" customWidth="1"/>
    <col min="897" max="897" width="11.5" bestFit="1" customWidth="1"/>
    <col min="898" max="898" width="11.33203125" bestFit="1" customWidth="1"/>
    <col min="899" max="899" width="10" bestFit="1" customWidth="1"/>
    <col min="900" max="900" width="12.83203125" bestFit="1" customWidth="1"/>
    <col min="901" max="901" width="15.83203125" bestFit="1" customWidth="1"/>
    <col min="902" max="902" width="12.5" bestFit="1" customWidth="1"/>
    <col min="903" max="903" width="11.33203125" bestFit="1" customWidth="1"/>
    <col min="904" max="904" width="13.6640625" bestFit="1" customWidth="1"/>
    <col min="905" max="905" width="11.5" bestFit="1" customWidth="1"/>
    <col min="906" max="906" width="10.6640625" bestFit="1" customWidth="1"/>
    <col min="907" max="907" width="16.6640625" bestFit="1" customWidth="1"/>
    <col min="908" max="908" width="14.5" bestFit="1" customWidth="1"/>
    <col min="909" max="909" width="12" bestFit="1" customWidth="1"/>
    <col min="910" max="910" width="12.6640625" bestFit="1" customWidth="1"/>
    <col min="911" max="911" width="10.1640625" bestFit="1" customWidth="1"/>
    <col min="912" max="912" width="11.5" bestFit="1" customWidth="1"/>
    <col min="913" max="913" width="10.6640625" bestFit="1" customWidth="1"/>
    <col min="914" max="914" width="12.33203125" bestFit="1" customWidth="1"/>
    <col min="915" max="915" width="10.1640625" bestFit="1" customWidth="1"/>
  </cols>
  <sheetData>
    <row r="3" spans="1:2" x14ac:dyDescent="0.2">
      <c r="A3" s="8" t="s">
        <v>6218</v>
      </c>
      <c r="B3" t="s">
        <v>6199</v>
      </c>
    </row>
    <row r="4" spans="1:2" x14ac:dyDescent="0.2">
      <c r="A4" s="9" t="s">
        <v>3753</v>
      </c>
      <c r="B4" s="11">
        <v>278.01</v>
      </c>
    </row>
    <row r="5" spans="1:2" x14ac:dyDescent="0.2">
      <c r="A5" s="9" t="s">
        <v>1598</v>
      </c>
      <c r="B5" s="11">
        <v>281.67499999999995</v>
      </c>
    </row>
    <row r="6" spans="1:2" x14ac:dyDescent="0.2">
      <c r="A6" s="9" t="s">
        <v>2587</v>
      </c>
      <c r="B6" s="11">
        <v>289.11</v>
      </c>
    </row>
    <row r="7" spans="1:2" x14ac:dyDescent="0.2">
      <c r="A7" s="9" t="s">
        <v>5765</v>
      </c>
      <c r="B7" s="11">
        <v>307.04499999999996</v>
      </c>
    </row>
    <row r="8" spans="1:2" x14ac:dyDescent="0.2">
      <c r="A8" s="9" t="s">
        <v>5114</v>
      </c>
      <c r="B8" s="11">
        <v>317.06999999999994</v>
      </c>
    </row>
    <row r="12" spans="1:2" ht="16" customHeight="1" x14ac:dyDescent="0.2"/>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D699A-AD65-A644-A066-2ED902D10B82}">
  <sheetPr>
    <tabColor theme="0"/>
  </sheetPr>
  <dimension ref="A3:B12"/>
  <sheetViews>
    <sheetView showGridLines="0" zoomScale="135" workbookViewId="0">
      <selection activeCell="H6" sqref="A1:XFD1048576"/>
    </sheetView>
  </sheetViews>
  <sheetFormatPr baseColWidth="10" defaultRowHeight="15" x14ac:dyDescent="0.2"/>
  <cols>
    <col min="1" max="1" width="12.1640625" bestFit="1" customWidth="1"/>
    <col min="2" max="3" width="10.5" bestFit="1" customWidth="1"/>
    <col min="4" max="4" width="14.6640625" bestFit="1" customWidth="1"/>
    <col min="5" max="5" width="15.33203125" bestFit="1" customWidth="1"/>
    <col min="6" max="6" width="14" bestFit="1" customWidth="1"/>
    <col min="7" max="7" width="14.1640625" bestFit="1" customWidth="1"/>
    <col min="8" max="8" width="14.6640625" bestFit="1" customWidth="1"/>
    <col min="9" max="9" width="12.5" bestFit="1" customWidth="1"/>
    <col min="10" max="10" width="15.6640625" bestFit="1" customWidth="1"/>
    <col min="11" max="11" width="15.33203125" bestFit="1" customWidth="1"/>
    <col min="12" max="12" width="12.5" bestFit="1" customWidth="1"/>
    <col min="13" max="13" width="15.33203125" bestFit="1" customWidth="1"/>
    <col min="14" max="14" width="12.1640625" bestFit="1" customWidth="1"/>
    <col min="15" max="15" width="13" bestFit="1" customWidth="1"/>
    <col min="16" max="16" width="14.1640625" bestFit="1" customWidth="1"/>
    <col min="17" max="17" width="13.83203125" bestFit="1" customWidth="1"/>
    <col min="18" max="18" width="13" bestFit="1" customWidth="1"/>
    <col min="19" max="19" width="9.6640625" bestFit="1" customWidth="1"/>
    <col min="20" max="20" width="14.33203125" bestFit="1" customWidth="1"/>
    <col min="21" max="21" width="16.5" bestFit="1" customWidth="1"/>
    <col min="22" max="22" width="9.6640625" bestFit="1" customWidth="1"/>
    <col min="23" max="23" width="13.1640625" bestFit="1" customWidth="1"/>
    <col min="24" max="24" width="11.6640625" bestFit="1" customWidth="1"/>
    <col min="25" max="25" width="12" bestFit="1" customWidth="1"/>
    <col min="26" max="26" width="8" bestFit="1" customWidth="1"/>
    <col min="27" max="28" width="12.1640625" bestFit="1" customWidth="1"/>
    <col min="29" max="29" width="12.6640625" bestFit="1" customWidth="1"/>
    <col min="30" max="30" width="11.6640625" bestFit="1" customWidth="1"/>
    <col min="31" max="31" width="13.5" bestFit="1" customWidth="1"/>
    <col min="32" max="32" width="11.5" bestFit="1" customWidth="1"/>
    <col min="33" max="33" width="8.1640625" bestFit="1" customWidth="1"/>
    <col min="34" max="34" width="9.5" bestFit="1" customWidth="1"/>
    <col min="35" max="35" width="11.33203125" bestFit="1" customWidth="1"/>
    <col min="36" max="36" width="9.33203125" bestFit="1" customWidth="1"/>
    <col min="37" max="37" width="17.6640625" bestFit="1" customWidth="1"/>
    <col min="38" max="38" width="13" bestFit="1" customWidth="1"/>
    <col min="39" max="39" width="9.83203125" bestFit="1" customWidth="1"/>
    <col min="40" max="40" width="11" bestFit="1" customWidth="1"/>
    <col min="41" max="41" width="11.33203125" bestFit="1" customWidth="1"/>
    <col min="42" max="42" width="15.83203125" bestFit="1" customWidth="1"/>
    <col min="43" max="43" width="11" bestFit="1" customWidth="1"/>
    <col min="44" max="44" width="12.1640625" bestFit="1" customWidth="1"/>
    <col min="45" max="45" width="11.83203125" bestFit="1" customWidth="1"/>
    <col min="46" max="46" width="14.33203125" bestFit="1" customWidth="1"/>
    <col min="47" max="47" width="14.1640625" bestFit="1" customWidth="1"/>
    <col min="48" max="48" width="11.6640625" bestFit="1" customWidth="1"/>
    <col min="49" max="49" width="14.5" bestFit="1" customWidth="1"/>
    <col min="50" max="50" width="12.6640625" bestFit="1" customWidth="1"/>
    <col min="51" max="51" width="14.83203125" bestFit="1" customWidth="1"/>
    <col min="52" max="52" width="14.33203125" bestFit="1" customWidth="1"/>
    <col min="53" max="53" width="15" bestFit="1" customWidth="1"/>
    <col min="54" max="54" width="13" bestFit="1" customWidth="1"/>
    <col min="55" max="55" width="13.33203125" bestFit="1" customWidth="1"/>
    <col min="56" max="56" width="15.1640625" bestFit="1" customWidth="1"/>
    <col min="57" max="57" width="12" bestFit="1" customWidth="1"/>
    <col min="58" max="59" width="13.1640625" bestFit="1" customWidth="1"/>
    <col min="60" max="60" width="16.83203125" bestFit="1" customWidth="1"/>
    <col min="61" max="61" width="13.1640625" bestFit="1" customWidth="1"/>
    <col min="62" max="62" width="16.83203125" bestFit="1" customWidth="1"/>
    <col min="63" max="63" width="10.1640625" bestFit="1" customWidth="1"/>
    <col min="64" max="64" width="10" bestFit="1" customWidth="1"/>
    <col min="65" max="65" width="11" bestFit="1" customWidth="1"/>
    <col min="66" max="66" width="11.5" bestFit="1" customWidth="1"/>
    <col min="67" max="67" width="14.1640625" bestFit="1" customWidth="1"/>
    <col min="68" max="68" width="17.1640625" bestFit="1" customWidth="1"/>
    <col min="69" max="69" width="15.6640625" bestFit="1" customWidth="1"/>
    <col min="71" max="72" width="12" bestFit="1" customWidth="1"/>
    <col min="73" max="73" width="18" bestFit="1" customWidth="1"/>
    <col min="74" max="74" width="13.83203125" bestFit="1" customWidth="1"/>
    <col min="75" max="75" width="13.5" bestFit="1" customWidth="1"/>
    <col min="76" max="76" width="11.83203125" bestFit="1" customWidth="1"/>
    <col min="77" max="77" width="14.33203125" bestFit="1" customWidth="1"/>
    <col min="78" max="78" width="10.5" bestFit="1" customWidth="1"/>
    <col min="79" max="79" width="12.33203125" bestFit="1" customWidth="1"/>
    <col min="81" max="81" width="13" bestFit="1" customWidth="1"/>
    <col min="82" max="82" width="12.1640625" bestFit="1" customWidth="1"/>
    <col min="83" max="83" width="12.83203125" bestFit="1" customWidth="1"/>
    <col min="84" max="84" width="17" bestFit="1" customWidth="1"/>
    <col min="85" max="85" width="15" bestFit="1" customWidth="1"/>
    <col min="86" max="86" width="10.33203125" bestFit="1" customWidth="1"/>
    <col min="87" max="87" width="12.1640625" bestFit="1" customWidth="1"/>
    <col min="88" max="88" width="9.1640625" bestFit="1" customWidth="1"/>
    <col min="89" max="89" width="14.6640625" bestFit="1" customWidth="1"/>
    <col min="90" max="91" width="12.33203125" bestFit="1" customWidth="1"/>
    <col min="92" max="92" width="11.1640625" bestFit="1" customWidth="1"/>
    <col min="93" max="93" width="14" bestFit="1" customWidth="1"/>
    <col min="94" max="94" width="13.33203125" bestFit="1" customWidth="1"/>
    <col min="95" max="95" width="13.1640625" bestFit="1" customWidth="1"/>
    <col min="96" max="96" width="15.6640625" bestFit="1" customWidth="1"/>
    <col min="97" max="97" width="15.83203125" bestFit="1" customWidth="1"/>
    <col min="98" max="98" width="10.6640625" bestFit="1" customWidth="1"/>
    <col min="99" max="99" width="10.5" bestFit="1" customWidth="1"/>
    <col min="101" max="102" width="11" bestFit="1" customWidth="1"/>
    <col min="103" max="103" width="12" bestFit="1" customWidth="1"/>
    <col min="104" max="104" width="12.83203125" bestFit="1" customWidth="1"/>
    <col min="105" max="105" width="15.83203125" bestFit="1" customWidth="1"/>
    <col min="106" max="106" width="10.1640625" bestFit="1" customWidth="1"/>
    <col min="107" max="107" width="11.83203125" bestFit="1" customWidth="1"/>
    <col min="108" max="108" width="12.33203125" bestFit="1" customWidth="1"/>
    <col min="109" max="109" width="14.6640625" bestFit="1" customWidth="1"/>
    <col min="111" max="111" width="13" bestFit="1" customWidth="1"/>
    <col min="112" max="112" width="12.6640625" bestFit="1" customWidth="1"/>
    <col min="113" max="113" width="14.83203125" bestFit="1" customWidth="1"/>
    <col min="114" max="114" width="9.33203125" bestFit="1" customWidth="1"/>
    <col min="115" max="115" width="11.6640625" bestFit="1" customWidth="1"/>
    <col min="116" max="116" width="15" bestFit="1" customWidth="1"/>
    <col min="117" max="117" width="12" bestFit="1" customWidth="1"/>
    <col min="118" max="118" width="12.1640625" bestFit="1" customWidth="1"/>
    <col min="119" max="119" width="13.5" bestFit="1" customWidth="1"/>
    <col min="120" max="120" width="17.33203125" bestFit="1" customWidth="1"/>
    <col min="121" max="121" width="9" bestFit="1" customWidth="1"/>
    <col min="122" max="122" width="10.1640625" bestFit="1" customWidth="1"/>
    <col min="123" max="123" width="8.6640625" bestFit="1" customWidth="1"/>
    <col min="124" max="124" width="9.83203125" bestFit="1" customWidth="1"/>
    <col min="125" max="125" width="10" bestFit="1" customWidth="1"/>
    <col min="126" max="126" width="12.6640625" bestFit="1" customWidth="1"/>
    <col min="127" max="127" width="14.83203125" bestFit="1" customWidth="1"/>
    <col min="128" max="128" width="11.5" bestFit="1" customWidth="1"/>
    <col min="129" max="129" width="15" bestFit="1" customWidth="1"/>
    <col min="130" max="130" width="16" bestFit="1" customWidth="1"/>
    <col min="131" max="131" width="10.5" bestFit="1" customWidth="1"/>
    <col min="132" max="132" width="11" bestFit="1" customWidth="1"/>
    <col min="133" max="133" width="14.83203125" bestFit="1" customWidth="1"/>
    <col min="134" max="134" width="12.5" bestFit="1" customWidth="1"/>
    <col min="135" max="135" width="12.1640625" bestFit="1" customWidth="1"/>
    <col min="136" max="136" width="14.6640625" bestFit="1" customWidth="1"/>
    <col min="137" max="137" width="16.33203125" bestFit="1" customWidth="1"/>
    <col min="139" max="139" width="10.6640625" bestFit="1" customWidth="1"/>
    <col min="140" max="140" width="10.5" bestFit="1" customWidth="1"/>
    <col min="141" max="141" width="11.33203125" bestFit="1" customWidth="1"/>
    <col min="142" max="142" width="14.83203125" bestFit="1" customWidth="1"/>
    <col min="143" max="143" width="14.6640625" bestFit="1" customWidth="1"/>
    <col min="144" max="144" width="15.33203125" bestFit="1" customWidth="1"/>
    <col min="145" max="145" width="12.83203125" bestFit="1" customWidth="1"/>
    <col min="146" max="146" width="18" bestFit="1" customWidth="1"/>
    <col min="147" max="147" width="11.83203125" bestFit="1" customWidth="1"/>
    <col min="148" max="148" width="13.83203125" bestFit="1" customWidth="1"/>
    <col min="149" max="149" width="12" bestFit="1" customWidth="1"/>
    <col min="150" max="150" width="14.83203125" bestFit="1" customWidth="1"/>
    <col min="151" max="151" width="9.33203125" bestFit="1" customWidth="1"/>
    <col min="152" max="152" width="14" bestFit="1" customWidth="1"/>
    <col min="153" max="153" width="13.6640625" bestFit="1" customWidth="1"/>
    <col min="154" max="154" width="15.83203125" bestFit="1" customWidth="1"/>
    <col min="155" max="155" width="11" bestFit="1" customWidth="1"/>
    <col min="156" max="156" width="13.1640625" bestFit="1" customWidth="1"/>
    <col min="158" max="158" width="13.33203125" bestFit="1" customWidth="1"/>
    <col min="159" max="159" width="14.83203125" bestFit="1" customWidth="1"/>
    <col min="160" max="160" width="12.83203125" bestFit="1" customWidth="1"/>
    <col min="161" max="161" width="12.33203125" bestFit="1" customWidth="1"/>
    <col min="162" max="162" width="15.83203125" bestFit="1" customWidth="1"/>
    <col min="163" max="163" width="15.33203125" bestFit="1" customWidth="1"/>
    <col min="164" max="164" width="11.6640625" bestFit="1" customWidth="1"/>
    <col min="165" max="165" width="13" bestFit="1" customWidth="1"/>
    <col min="166" max="167" width="14" bestFit="1" customWidth="1"/>
    <col min="168" max="168" width="13.5" bestFit="1" customWidth="1"/>
    <col min="169" max="169" width="12.6640625" bestFit="1" customWidth="1"/>
    <col min="170" max="170" width="16.33203125" bestFit="1" customWidth="1"/>
    <col min="171" max="171" width="12" bestFit="1" customWidth="1"/>
    <col min="172" max="172" width="11" bestFit="1" customWidth="1"/>
    <col min="173" max="173" width="12" bestFit="1" customWidth="1"/>
    <col min="174" max="174" width="15.33203125" bestFit="1" customWidth="1"/>
    <col min="175" max="175" width="18.6640625" bestFit="1" customWidth="1"/>
    <col min="176" max="176" width="11.6640625" bestFit="1" customWidth="1"/>
    <col min="177" max="177" width="13" bestFit="1" customWidth="1"/>
    <col min="178" max="178" width="12" bestFit="1" customWidth="1"/>
    <col min="179" max="179" width="13.5" bestFit="1" customWidth="1"/>
    <col min="180" max="180" width="12.6640625" bestFit="1" customWidth="1"/>
    <col min="181" max="181" width="16" bestFit="1" customWidth="1"/>
    <col min="182" max="182" width="11.5" bestFit="1" customWidth="1"/>
    <col min="183" max="183" width="13.6640625" bestFit="1" customWidth="1"/>
    <col min="184" max="184" width="13" bestFit="1" customWidth="1"/>
    <col min="185" max="185" width="14" bestFit="1" customWidth="1"/>
    <col min="186" max="186" width="14.1640625" bestFit="1" customWidth="1"/>
    <col min="187" max="187" width="16.5" bestFit="1" customWidth="1"/>
    <col min="188" max="188" width="14.83203125" bestFit="1" customWidth="1"/>
    <col min="189" max="189" width="13.6640625" bestFit="1" customWidth="1"/>
    <col min="190" max="190" width="13.83203125" bestFit="1" customWidth="1"/>
    <col min="191" max="191" width="10.33203125" bestFit="1" customWidth="1"/>
    <col min="192" max="192" width="13" bestFit="1" customWidth="1"/>
    <col min="193" max="193" width="11" bestFit="1" customWidth="1"/>
    <col min="194" max="194" width="12.83203125" bestFit="1" customWidth="1"/>
    <col min="195" max="195" width="14.6640625" bestFit="1" customWidth="1"/>
    <col min="196" max="196" width="13" bestFit="1" customWidth="1"/>
    <col min="197" max="197" width="16" bestFit="1" customWidth="1"/>
    <col min="198" max="198" width="14.33203125" bestFit="1" customWidth="1"/>
    <col min="199" max="199" width="11.33203125" bestFit="1" customWidth="1"/>
    <col min="200" max="200" width="12.33203125" bestFit="1" customWidth="1"/>
    <col min="201" max="201" width="13.1640625" bestFit="1" customWidth="1"/>
    <col min="202" max="202" width="16" bestFit="1" customWidth="1"/>
    <col min="203" max="203" width="12.1640625" bestFit="1" customWidth="1"/>
    <col min="204" max="204" width="12.5" bestFit="1" customWidth="1"/>
    <col min="205" max="205" width="13" bestFit="1" customWidth="1"/>
    <col min="206" max="206" width="15.6640625" bestFit="1" customWidth="1"/>
    <col min="207" max="207" width="10.1640625" bestFit="1" customWidth="1"/>
    <col min="208" max="208" width="16" bestFit="1" customWidth="1"/>
    <col min="209" max="209" width="8" bestFit="1" customWidth="1"/>
    <col min="210" max="210" width="14" bestFit="1" customWidth="1"/>
    <col min="211" max="211" width="9.1640625" bestFit="1" customWidth="1"/>
    <col min="212" max="212" width="12.33203125" bestFit="1" customWidth="1"/>
    <col min="213" max="213" width="10.5" bestFit="1" customWidth="1"/>
    <col min="214" max="214" width="15.6640625" bestFit="1" customWidth="1"/>
    <col min="215" max="215" width="12.5" bestFit="1" customWidth="1"/>
    <col min="216" max="216" width="12.6640625" bestFit="1" customWidth="1"/>
    <col min="217" max="217" width="11.33203125" bestFit="1" customWidth="1"/>
    <col min="218" max="218" width="10.6640625" bestFit="1" customWidth="1"/>
    <col min="219" max="219" width="11.83203125" bestFit="1" customWidth="1"/>
    <col min="220" max="220" width="14.1640625" bestFit="1" customWidth="1"/>
    <col min="221" max="221" width="12.83203125" bestFit="1" customWidth="1"/>
    <col min="222" max="222" width="12" bestFit="1" customWidth="1"/>
    <col min="223" max="223" width="12.6640625" bestFit="1" customWidth="1"/>
    <col min="224" max="224" width="11.83203125" bestFit="1" customWidth="1"/>
    <col min="226" max="226" width="11.33203125" bestFit="1" customWidth="1"/>
    <col min="227" max="227" width="11" bestFit="1" customWidth="1"/>
    <col min="228" max="228" width="10.1640625" bestFit="1" customWidth="1"/>
    <col min="229" max="229" width="9.6640625" bestFit="1" customWidth="1"/>
    <col min="231" max="231" width="12.6640625" bestFit="1" customWidth="1"/>
    <col min="232" max="232" width="12.5" bestFit="1" customWidth="1"/>
    <col min="233" max="233" width="7.5" bestFit="1" customWidth="1"/>
    <col min="234" max="234" width="13.1640625" bestFit="1" customWidth="1"/>
    <col min="235" max="235" width="14.6640625" bestFit="1" customWidth="1"/>
    <col min="236" max="236" width="13.33203125" bestFit="1" customWidth="1"/>
    <col min="237" max="237" width="15.1640625" bestFit="1" customWidth="1"/>
    <col min="238" max="238" width="13.6640625" bestFit="1" customWidth="1"/>
    <col min="239" max="239" width="10.6640625" bestFit="1" customWidth="1"/>
    <col min="240" max="240" width="13" bestFit="1" customWidth="1"/>
    <col min="241" max="241" width="13.33203125" bestFit="1" customWidth="1"/>
    <col min="242" max="242" width="15.1640625" bestFit="1" customWidth="1"/>
    <col min="243" max="243" width="13.5" bestFit="1" customWidth="1"/>
    <col min="244" max="244" width="14" bestFit="1" customWidth="1"/>
    <col min="245" max="245" width="12.33203125" bestFit="1" customWidth="1"/>
    <col min="246" max="246" width="16.83203125" bestFit="1" customWidth="1"/>
    <col min="247" max="247" width="13" bestFit="1" customWidth="1"/>
    <col min="249" max="249" width="15.6640625" bestFit="1" customWidth="1"/>
    <col min="250" max="250" width="12.83203125" bestFit="1" customWidth="1"/>
    <col min="251" max="251" width="12.33203125" bestFit="1" customWidth="1"/>
    <col min="252" max="252" width="13.6640625" bestFit="1" customWidth="1"/>
    <col min="253" max="253" width="12.83203125" bestFit="1" customWidth="1"/>
    <col min="254" max="254" width="12.1640625" bestFit="1" customWidth="1"/>
    <col min="255" max="255" width="10.6640625" bestFit="1" customWidth="1"/>
    <col min="256" max="256" width="13.33203125" bestFit="1" customWidth="1"/>
    <col min="257" max="257" width="9.6640625" bestFit="1" customWidth="1"/>
    <col min="258" max="259" width="13" bestFit="1" customWidth="1"/>
    <col min="260" max="260" width="14.33203125" bestFit="1" customWidth="1"/>
    <col min="261" max="261" width="14.6640625" bestFit="1" customWidth="1"/>
    <col min="262" max="262" width="16.33203125" bestFit="1" customWidth="1"/>
    <col min="263" max="263" width="10.1640625" bestFit="1" customWidth="1"/>
    <col min="264" max="264" width="12.1640625" bestFit="1" customWidth="1"/>
    <col min="265" max="265" width="10.6640625" bestFit="1" customWidth="1"/>
    <col min="266" max="266" width="15.5" bestFit="1" customWidth="1"/>
    <col min="267" max="267" width="11.6640625" bestFit="1" customWidth="1"/>
    <col min="268" max="268" width="10.6640625" bestFit="1" customWidth="1"/>
    <col min="269" max="269" width="17.5" bestFit="1" customWidth="1"/>
    <col min="270" max="270" width="15.1640625" bestFit="1" customWidth="1"/>
    <col min="272" max="272" width="9" bestFit="1" customWidth="1"/>
    <col min="273" max="273" width="10.5" bestFit="1" customWidth="1"/>
    <col min="274" max="274" width="14" bestFit="1" customWidth="1"/>
    <col min="275" max="275" width="14.5" bestFit="1" customWidth="1"/>
    <col min="276" max="276" width="13" bestFit="1" customWidth="1"/>
    <col min="277" max="277" width="13.1640625" bestFit="1" customWidth="1"/>
    <col min="278" max="278" width="12" bestFit="1" customWidth="1"/>
    <col min="279" max="279" width="10" bestFit="1" customWidth="1"/>
    <col min="280" max="280" width="12.5" bestFit="1" customWidth="1"/>
    <col min="281" max="281" width="10.1640625" bestFit="1" customWidth="1"/>
    <col min="282" max="282" width="14.5" bestFit="1" customWidth="1"/>
    <col min="283" max="283" width="15.33203125" bestFit="1" customWidth="1"/>
    <col min="284" max="284" width="11.6640625" bestFit="1" customWidth="1"/>
    <col min="285" max="285" width="8.6640625" bestFit="1" customWidth="1"/>
    <col min="286" max="286" width="14.6640625" bestFit="1" customWidth="1"/>
    <col min="287" max="287" width="12.1640625" bestFit="1" customWidth="1"/>
    <col min="288" max="288" width="16.33203125" bestFit="1" customWidth="1"/>
    <col min="289" max="289" width="12.6640625" bestFit="1" customWidth="1"/>
    <col min="290" max="290" width="10.5" bestFit="1" customWidth="1"/>
    <col min="291" max="291" width="11.5" bestFit="1" customWidth="1"/>
    <col min="292" max="292" width="11.1640625" bestFit="1" customWidth="1"/>
    <col min="293" max="293" width="12.5" bestFit="1" customWidth="1"/>
    <col min="294" max="294" width="12.6640625" bestFit="1" customWidth="1"/>
    <col min="295" max="295" width="14.1640625" bestFit="1" customWidth="1"/>
    <col min="296" max="296" width="12" bestFit="1" customWidth="1"/>
    <col min="297" max="297" width="13.5" bestFit="1" customWidth="1"/>
    <col min="298" max="298" width="14.83203125" bestFit="1" customWidth="1"/>
    <col min="299" max="299" width="12" bestFit="1" customWidth="1"/>
    <col min="300" max="300" width="10" bestFit="1" customWidth="1"/>
    <col min="301" max="301" width="11.5" bestFit="1" customWidth="1"/>
    <col min="302" max="302" width="11" bestFit="1" customWidth="1"/>
    <col min="303" max="303" width="9.5" bestFit="1" customWidth="1"/>
    <col min="304" max="304" width="13.83203125" bestFit="1" customWidth="1"/>
    <col min="305" max="305" width="13.5" bestFit="1" customWidth="1"/>
    <col min="306" max="306" width="13.1640625" bestFit="1" customWidth="1"/>
    <col min="307" max="307" width="11.5" bestFit="1" customWidth="1"/>
    <col min="308" max="308" width="10.33203125" bestFit="1" customWidth="1"/>
    <col min="309" max="309" width="10.5" bestFit="1" customWidth="1"/>
    <col min="311" max="311" width="14" bestFit="1" customWidth="1"/>
    <col min="312" max="312" width="15.1640625" bestFit="1" customWidth="1"/>
    <col min="313" max="313" width="12.6640625" bestFit="1" customWidth="1"/>
    <col min="314" max="314" width="13" bestFit="1" customWidth="1"/>
    <col min="315" max="315" width="13.6640625" bestFit="1" customWidth="1"/>
    <col min="316" max="316" width="10.33203125" bestFit="1" customWidth="1"/>
    <col min="317" max="317" width="11.6640625" bestFit="1" customWidth="1"/>
    <col min="318" max="318" width="11.33203125" bestFit="1" customWidth="1"/>
    <col min="319" max="319" width="11.6640625" bestFit="1" customWidth="1"/>
    <col min="320" max="320" width="12.6640625" bestFit="1" customWidth="1"/>
    <col min="321" max="321" width="11.5" bestFit="1" customWidth="1"/>
    <col min="322" max="322" width="14.5" bestFit="1" customWidth="1"/>
    <col min="323" max="323" width="11.83203125" bestFit="1" customWidth="1"/>
    <col min="324" max="324" width="13.33203125" bestFit="1" customWidth="1"/>
    <col min="325" max="325" width="11.5" bestFit="1" customWidth="1"/>
    <col min="326" max="326" width="10.33203125" bestFit="1" customWidth="1"/>
    <col min="327" max="327" width="17" bestFit="1" customWidth="1"/>
    <col min="328" max="328" width="11.5" bestFit="1" customWidth="1"/>
    <col min="329" max="329" width="11.33203125" bestFit="1" customWidth="1"/>
    <col min="330" max="330" width="14.33203125" bestFit="1" customWidth="1"/>
    <col min="331" max="331" width="14.83203125" bestFit="1" customWidth="1"/>
    <col min="332" max="332" width="13.1640625" bestFit="1" customWidth="1"/>
    <col min="333" max="333" width="15.33203125" bestFit="1" customWidth="1"/>
    <col min="334" max="334" width="15" bestFit="1" customWidth="1"/>
    <col min="335" max="335" width="12" bestFit="1" customWidth="1"/>
    <col min="336" max="336" width="17" bestFit="1" customWidth="1"/>
    <col min="337" max="337" width="16.33203125" bestFit="1" customWidth="1"/>
    <col min="338" max="338" width="11" bestFit="1" customWidth="1"/>
    <col min="339" max="339" width="11.1640625" bestFit="1" customWidth="1"/>
    <col min="340" max="340" width="12.5" bestFit="1" customWidth="1"/>
    <col min="342" max="343" width="12.5" bestFit="1" customWidth="1"/>
    <col min="344" max="344" width="13.6640625" bestFit="1" customWidth="1"/>
    <col min="345" max="346" width="13.5" bestFit="1" customWidth="1"/>
    <col min="347" max="347" width="11.5" bestFit="1" customWidth="1"/>
    <col min="348" max="348" width="10.1640625" bestFit="1" customWidth="1"/>
    <col min="349" max="349" width="14" bestFit="1" customWidth="1"/>
    <col min="350" max="350" width="12.33203125" bestFit="1" customWidth="1"/>
    <col min="351" max="351" width="15.83203125" bestFit="1" customWidth="1"/>
    <col min="353" max="353" width="15.5" bestFit="1" customWidth="1"/>
    <col min="354" max="355" width="13.33203125" bestFit="1" customWidth="1"/>
    <col min="356" max="356" width="13.83203125" bestFit="1" customWidth="1"/>
    <col min="357" max="357" width="15.33203125" bestFit="1" customWidth="1"/>
    <col min="358" max="358" width="11" bestFit="1" customWidth="1"/>
    <col min="359" max="359" width="11.6640625" bestFit="1" customWidth="1"/>
    <col min="360" max="360" width="11" bestFit="1" customWidth="1"/>
    <col min="361" max="361" width="13.1640625" bestFit="1" customWidth="1"/>
    <col min="362" max="362" width="11.83203125" bestFit="1" customWidth="1"/>
    <col min="363" max="363" width="13.5" bestFit="1" customWidth="1"/>
    <col min="364" max="364" width="14.33203125" bestFit="1" customWidth="1"/>
    <col min="365" max="365" width="16.5" bestFit="1" customWidth="1"/>
    <col min="366" max="366" width="9.83203125" bestFit="1" customWidth="1"/>
    <col min="367" max="367" width="14.33203125" bestFit="1" customWidth="1"/>
    <col min="368" max="368" width="17.33203125" bestFit="1" customWidth="1"/>
    <col min="369" max="369" width="14.1640625" bestFit="1" customWidth="1"/>
    <col min="370" max="370" width="9.5" bestFit="1" customWidth="1"/>
    <col min="371" max="371" width="13.6640625" bestFit="1" customWidth="1"/>
    <col min="372" max="372" width="17.6640625" bestFit="1" customWidth="1"/>
    <col min="373" max="373" width="17" bestFit="1" customWidth="1"/>
    <col min="374" max="374" width="12.33203125" bestFit="1" customWidth="1"/>
    <col min="375" max="375" width="15.83203125" bestFit="1" customWidth="1"/>
    <col min="376" max="376" width="11.5" bestFit="1" customWidth="1"/>
    <col min="377" max="377" width="13.83203125" bestFit="1" customWidth="1"/>
    <col min="378" max="378" width="12.33203125" bestFit="1" customWidth="1"/>
    <col min="379" max="379" width="14.1640625" bestFit="1" customWidth="1"/>
    <col min="380" max="380" width="10.6640625" bestFit="1" customWidth="1"/>
    <col min="381" max="381" width="12.6640625" bestFit="1" customWidth="1"/>
    <col min="382" max="382" width="13.33203125" bestFit="1" customWidth="1"/>
    <col min="383" max="383" width="10" bestFit="1" customWidth="1"/>
    <col min="384" max="384" width="9.83203125" bestFit="1" customWidth="1"/>
    <col min="385" max="385" width="15.5" bestFit="1" customWidth="1"/>
    <col min="386" max="386" width="12.6640625" bestFit="1" customWidth="1"/>
    <col min="387" max="387" width="13.83203125" bestFit="1" customWidth="1"/>
    <col min="388" max="388" width="15.1640625" bestFit="1" customWidth="1"/>
    <col min="389" max="389" width="13.5" bestFit="1" customWidth="1"/>
    <col min="390" max="390" width="12.6640625" bestFit="1" customWidth="1"/>
    <col min="391" max="391" width="13.33203125" bestFit="1" customWidth="1"/>
    <col min="392" max="392" width="14" bestFit="1" customWidth="1"/>
    <col min="393" max="393" width="14.1640625" bestFit="1" customWidth="1"/>
    <col min="394" max="394" width="11.83203125" bestFit="1" customWidth="1"/>
    <col min="395" max="395" width="8.83203125" bestFit="1" customWidth="1"/>
    <col min="396" max="396" width="10" bestFit="1" customWidth="1"/>
    <col min="397" max="397" width="12" bestFit="1" customWidth="1"/>
    <col min="398" max="398" width="14.5" bestFit="1" customWidth="1"/>
    <col min="399" max="399" width="12.1640625" bestFit="1" customWidth="1"/>
    <col min="400" max="400" width="10.5" bestFit="1" customWidth="1"/>
    <col min="401" max="401" width="16" bestFit="1" customWidth="1"/>
    <col min="402" max="402" width="13.33203125" bestFit="1" customWidth="1"/>
    <col min="403" max="403" width="13.5" bestFit="1" customWidth="1"/>
    <col min="404" max="404" width="10.33203125" bestFit="1" customWidth="1"/>
    <col min="405" max="405" width="13" bestFit="1" customWidth="1"/>
    <col min="406" max="406" width="11.1640625" bestFit="1" customWidth="1"/>
    <col min="407" max="407" width="12" bestFit="1" customWidth="1"/>
    <col min="408" max="408" width="16.33203125" bestFit="1" customWidth="1"/>
    <col min="409" max="409" width="10" bestFit="1" customWidth="1"/>
    <col min="410" max="410" width="12.1640625" bestFit="1" customWidth="1"/>
    <col min="411" max="411" width="11.1640625" bestFit="1" customWidth="1"/>
    <col min="412" max="412" width="9.5" bestFit="1" customWidth="1"/>
    <col min="413" max="414" width="11.33203125" bestFit="1" customWidth="1"/>
    <col min="415" max="415" width="10" bestFit="1" customWidth="1"/>
    <col min="416" max="416" width="11.83203125" bestFit="1" customWidth="1"/>
    <col min="417" max="417" width="14.1640625" bestFit="1" customWidth="1"/>
    <col min="418" max="418" width="15.1640625" bestFit="1" customWidth="1"/>
    <col min="419" max="419" width="15.6640625" bestFit="1" customWidth="1"/>
    <col min="420" max="420" width="12" bestFit="1" customWidth="1"/>
    <col min="421" max="421" width="11.6640625" bestFit="1" customWidth="1"/>
    <col min="422" max="422" width="11.83203125" bestFit="1" customWidth="1"/>
    <col min="423" max="423" width="10.33203125" bestFit="1" customWidth="1"/>
    <col min="424" max="424" width="6.33203125" bestFit="1" customWidth="1"/>
    <col min="425" max="425" width="12.1640625" bestFit="1" customWidth="1"/>
    <col min="427" max="427" width="9.33203125" bestFit="1" customWidth="1"/>
    <col min="428" max="428" width="13.5" bestFit="1" customWidth="1"/>
    <col min="429" max="429" width="12.1640625" bestFit="1" customWidth="1"/>
    <col min="430" max="430" width="8.83203125" bestFit="1" customWidth="1"/>
    <col min="431" max="431" width="8.5" bestFit="1" customWidth="1"/>
    <col min="432" max="432" width="11.1640625" bestFit="1" customWidth="1"/>
    <col min="433" max="433" width="10.5" bestFit="1" customWidth="1"/>
    <col min="434" max="434" width="14" bestFit="1" customWidth="1"/>
    <col min="435" max="435" width="14.33203125" bestFit="1" customWidth="1"/>
    <col min="436" max="436" width="13.5" bestFit="1" customWidth="1"/>
    <col min="437" max="437" width="9.83203125" bestFit="1" customWidth="1"/>
    <col min="438" max="438" width="12.1640625" bestFit="1" customWidth="1"/>
    <col min="439" max="439" width="11.83203125" bestFit="1" customWidth="1"/>
    <col min="440" max="440" width="10.6640625" bestFit="1" customWidth="1"/>
    <col min="441" max="441" width="12.33203125" bestFit="1" customWidth="1"/>
    <col min="442" max="442" width="13.6640625" bestFit="1" customWidth="1"/>
    <col min="443" max="443" width="11" bestFit="1" customWidth="1"/>
    <col min="444" max="444" width="12.6640625" bestFit="1" customWidth="1"/>
    <col min="445" max="445" width="19.83203125" bestFit="1" customWidth="1"/>
    <col min="446" max="446" width="12.1640625" bestFit="1" customWidth="1"/>
    <col min="447" max="447" width="9.6640625" bestFit="1" customWidth="1"/>
    <col min="448" max="448" width="12.6640625" bestFit="1" customWidth="1"/>
    <col min="449" max="449" width="12.83203125" bestFit="1" customWidth="1"/>
    <col min="451" max="451" width="11.83203125" bestFit="1" customWidth="1"/>
    <col min="452" max="452" width="12.33203125" bestFit="1" customWidth="1"/>
    <col min="453" max="453" width="15.83203125" bestFit="1" customWidth="1"/>
    <col min="454" max="454" width="14.6640625" bestFit="1" customWidth="1"/>
    <col min="455" max="455" width="13.33203125" bestFit="1" customWidth="1"/>
    <col min="456" max="456" width="15.1640625" bestFit="1" customWidth="1"/>
    <col min="457" max="458" width="9.83203125" bestFit="1" customWidth="1"/>
    <col min="459" max="459" width="12.6640625" bestFit="1" customWidth="1"/>
    <col min="460" max="460" width="16.5" bestFit="1" customWidth="1"/>
    <col min="461" max="461" width="12.6640625" bestFit="1" customWidth="1"/>
    <col min="462" max="462" width="14" bestFit="1" customWidth="1"/>
    <col min="463" max="463" width="9.1640625" bestFit="1" customWidth="1"/>
    <col min="464" max="464" width="12.83203125" bestFit="1" customWidth="1"/>
    <col min="465" max="465" width="14.83203125" bestFit="1" customWidth="1"/>
    <col min="466" max="466" width="9.1640625" bestFit="1" customWidth="1"/>
    <col min="467" max="467" width="13.1640625" bestFit="1" customWidth="1"/>
    <col min="469" max="469" width="10.1640625" bestFit="1" customWidth="1"/>
    <col min="470" max="470" width="17.6640625" bestFit="1" customWidth="1"/>
    <col min="471" max="471" width="13" bestFit="1" customWidth="1"/>
    <col min="472" max="472" width="12.1640625" bestFit="1" customWidth="1"/>
    <col min="473" max="473" width="12.83203125" bestFit="1" customWidth="1"/>
    <col min="474" max="474" width="12.6640625" bestFit="1" customWidth="1"/>
    <col min="475" max="475" width="11.33203125" bestFit="1" customWidth="1"/>
    <col min="476" max="476" width="10.6640625" bestFit="1" customWidth="1"/>
    <col min="477" max="477" width="12.6640625" bestFit="1" customWidth="1"/>
    <col min="478" max="478" width="12" bestFit="1" customWidth="1"/>
    <col min="479" max="479" width="9.5" bestFit="1" customWidth="1"/>
    <col min="480" max="480" width="12.1640625" bestFit="1" customWidth="1"/>
    <col min="481" max="481" width="10" bestFit="1" customWidth="1"/>
    <col min="482" max="482" width="14.5" bestFit="1" customWidth="1"/>
    <col min="483" max="483" width="13.33203125" bestFit="1" customWidth="1"/>
    <col min="484" max="484" width="12.1640625" bestFit="1" customWidth="1"/>
    <col min="485" max="485" width="9.6640625" bestFit="1" customWidth="1"/>
    <col min="486" max="486" width="9.5" bestFit="1" customWidth="1"/>
    <col min="487" max="487" width="10.6640625" bestFit="1" customWidth="1"/>
    <col min="488" max="488" width="12" bestFit="1" customWidth="1"/>
    <col min="489" max="490" width="13.1640625" bestFit="1" customWidth="1"/>
    <col min="491" max="491" width="13.5" bestFit="1" customWidth="1"/>
    <col min="492" max="492" width="10.33203125" bestFit="1" customWidth="1"/>
    <col min="493" max="493" width="12" bestFit="1" customWidth="1"/>
    <col min="494" max="494" width="14.1640625" bestFit="1" customWidth="1"/>
    <col min="495" max="495" width="11.83203125" bestFit="1" customWidth="1"/>
    <col min="496" max="496" width="15.33203125" bestFit="1" customWidth="1"/>
    <col min="497" max="497" width="9.5" bestFit="1" customWidth="1"/>
    <col min="498" max="498" width="14.6640625" bestFit="1" customWidth="1"/>
    <col min="499" max="499" width="12.83203125" bestFit="1" customWidth="1"/>
    <col min="500" max="500" width="12" bestFit="1" customWidth="1"/>
    <col min="501" max="501" width="13.5" bestFit="1" customWidth="1"/>
    <col min="502" max="502" width="10.33203125" bestFit="1" customWidth="1"/>
    <col min="503" max="503" width="10.5" bestFit="1" customWidth="1"/>
    <col min="504" max="504" width="15.5" bestFit="1" customWidth="1"/>
    <col min="505" max="505" width="11.33203125" bestFit="1" customWidth="1"/>
    <col min="506" max="506" width="13.5" bestFit="1" customWidth="1"/>
    <col min="507" max="507" width="11.5" bestFit="1" customWidth="1"/>
    <col min="508" max="508" width="12.33203125" bestFit="1" customWidth="1"/>
    <col min="509" max="509" width="15" bestFit="1" customWidth="1"/>
    <col min="510" max="510" width="20.5" bestFit="1" customWidth="1"/>
    <col min="511" max="511" width="11.6640625" bestFit="1" customWidth="1"/>
    <col min="512" max="512" width="12.1640625" bestFit="1" customWidth="1"/>
    <col min="513" max="513" width="14.83203125" bestFit="1" customWidth="1"/>
    <col min="514" max="514" width="11" bestFit="1" customWidth="1"/>
    <col min="515" max="515" width="13.83203125" bestFit="1" customWidth="1"/>
    <col min="516" max="516" width="12.83203125" bestFit="1" customWidth="1"/>
    <col min="518" max="518" width="12.1640625" bestFit="1" customWidth="1"/>
    <col min="519" max="519" width="15.1640625" bestFit="1" customWidth="1"/>
    <col min="520" max="520" width="9.83203125" bestFit="1" customWidth="1"/>
    <col min="521" max="521" width="15.6640625" bestFit="1" customWidth="1"/>
    <col min="522" max="522" width="18.1640625" bestFit="1" customWidth="1"/>
    <col min="523" max="523" width="16.33203125" bestFit="1" customWidth="1"/>
    <col min="524" max="524" width="12.6640625" bestFit="1" customWidth="1"/>
    <col min="525" max="525" width="12.83203125" bestFit="1" customWidth="1"/>
    <col min="526" max="526" width="11.5" bestFit="1" customWidth="1"/>
    <col min="527" max="527" width="12.1640625" bestFit="1" customWidth="1"/>
    <col min="528" max="528" width="10.1640625" bestFit="1" customWidth="1"/>
    <col min="529" max="529" width="11.83203125" bestFit="1" customWidth="1"/>
    <col min="530" max="530" width="13.1640625" bestFit="1" customWidth="1"/>
    <col min="531" max="531" width="15.33203125" bestFit="1" customWidth="1"/>
    <col min="532" max="532" width="18.1640625" bestFit="1" customWidth="1"/>
    <col min="533" max="533" width="12.83203125" bestFit="1" customWidth="1"/>
    <col min="534" max="534" width="16.33203125" bestFit="1" customWidth="1"/>
    <col min="535" max="535" width="13.6640625" bestFit="1" customWidth="1"/>
    <col min="536" max="536" width="15.1640625" bestFit="1" customWidth="1"/>
    <col min="537" max="537" width="14.5" bestFit="1" customWidth="1"/>
    <col min="538" max="538" width="14" bestFit="1" customWidth="1"/>
    <col min="539" max="541" width="11" bestFit="1" customWidth="1"/>
    <col min="542" max="542" width="12.33203125" bestFit="1" customWidth="1"/>
    <col min="543" max="543" width="13.83203125" bestFit="1" customWidth="1"/>
    <col min="544" max="544" width="10.33203125" bestFit="1" customWidth="1"/>
    <col min="545" max="545" width="11.83203125" bestFit="1" customWidth="1"/>
    <col min="546" max="546" width="11" bestFit="1" customWidth="1"/>
    <col min="548" max="548" width="14.33203125" bestFit="1" customWidth="1"/>
    <col min="549" max="549" width="9.5" bestFit="1" customWidth="1"/>
    <col min="550" max="550" width="13.1640625" bestFit="1" customWidth="1"/>
    <col min="551" max="551" width="14" bestFit="1" customWidth="1"/>
    <col min="552" max="552" width="14.83203125" bestFit="1" customWidth="1"/>
    <col min="553" max="553" width="12.6640625" bestFit="1" customWidth="1"/>
    <col min="554" max="554" width="12" bestFit="1" customWidth="1"/>
    <col min="555" max="555" width="16.33203125" bestFit="1" customWidth="1"/>
    <col min="556" max="556" width="12.6640625" bestFit="1" customWidth="1"/>
    <col min="557" max="557" width="14.1640625" bestFit="1" customWidth="1"/>
    <col min="558" max="558" width="14.33203125" bestFit="1" customWidth="1"/>
    <col min="559" max="559" width="10.33203125" bestFit="1" customWidth="1"/>
    <col min="560" max="560" width="11.33203125" bestFit="1" customWidth="1"/>
    <col min="561" max="561" width="16.33203125" bestFit="1" customWidth="1"/>
    <col min="562" max="562" width="13.83203125" bestFit="1" customWidth="1"/>
    <col min="563" max="563" width="12.6640625" bestFit="1" customWidth="1"/>
    <col min="564" max="564" width="9" bestFit="1" customWidth="1"/>
    <col min="565" max="565" width="13.33203125" bestFit="1" customWidth="1"/>
    <col min="566" max="566" width="16.5" bestFit="1" customWidth="1"/>
    <col min="567" max="567" width="13.6640625" bestFit="1" customWidth="1"/>
    <col min="568" max="568" width="12.83203125" bestFit="1" customWidth="1"/>
    <col min="569" max="569" width="12.5" bestFit="1" customWidth="1"/>
    <col min="570" max="570" width="11" bestFit="1" customWidth="1"/>
    <col min="571" max="571" width="13.33203125" bestFit="1" customWidth="1"/>
    <col min="572" max="572" width="11.33203125" bestFit="1" customWidth="1"/>
    <col min="573" max="573" width="12.5" bestFit="1" customWidth="1"/>
    <col min="574" max="574" width="15.83203125" bestFit="1" customWidth="1"/>
    <col min="575" max="576" width="14.6640625" bestFit="1" customWidth="1"/>
    <col min="577" max="577" width="9.5" bestFit="1" customWidth="1"/>
    <col min="578" max="578" width="14.1640625" bestFit="1" customWidth="1"/>
    <col min="579" max="579" width="10.1640625" bestFit="1" customWidth="1"/>
    <col min="580" max="580" width="17" bestFit="1" customWidth="1"/>
    <col min="581" max="581" width="13.33203125" bestFit="1" customWidth="1"/>
    <col min="582" max="582" width="15.5" bestFit="1" customWidth="1"/>
    <col min="583" max="583" width="16.33203125" bestFit="1" customWidth="1"/>
    <col min="584" max="584" width="19.33203125" bestFit="1" customWidth="1"/>
    <col min="585" max="585" width="10.33203125" bestFit="1" customWidth="1"/>
    <col min="586" max="586" width="13.1640625" bestFit="1" customWidth="1"/>
    <col min="587" max="587" width="15.1640625" bestFit="1" customWidth="1"/>
    <col min="588" max="588" width="12.5" bestFit="1" customWidth="1"/>
    <col min="589" max="589" width="10.5" bestFit="1" customWidth="1"/>
    <col min="590" max="590" width="17" bestFit="1" customWidth="1"/>
    <col min="591" max="591" width="13" bestFit="1" customWidth="1"/>
    <col min="593" max="593" width="12.6640625" bestFit="1" customWidth="1"/>
    <col min="594" max="594" width="12.33203125" bestFit="1" customWidth="1"/>
    <col min="595" max="595" width="14" bestFit="1" customWidth="1"/>
    <col min="596" max="596" width="15.5" bestFit="1" customWidth="1"/>
    <col min="597" max="597" width="11.83203125" bestFit="1" customWidth="1"/>
    <col min="598" max="598" width="15.1640625" bestFit="1" customWidth="1"/>
    <col min="599" max="599" width="11.5" bestFit="1" customWidth="1"/>
    <col min="600" max="600" width="13.1640625" bestFit="1" customWidth="1"/>
    <col min="601" max="601" width="13" bestFit="1" customWidth="1"/>
    <col min="602" max="603" width="12.5" bestFit="1" customWidth="1"/>
    <col min="604" max="605" width="12.6640625" bestFit="1" customWidth="1"/>
    <col min="606" max="606" width="13.6640625" bestFit="1" customWidth="1"/>
    <col min="607" max="607" width="12.1640625" bestFit="1" customWidth="1"/>
    <col min="608" max="608" width="13.5" bestFit="1" customWidth="1"/>
    <col min="609" max="609" width="16.33203125" bestFit="1" customWidth="1"/>
    <col min="610" max="610" width="13" bestFit="1" customWidth="1"/>
    <col min="611" max="611" width="9.33203125" bestFit="1" customWidth="1"/>
    <col min="612" max="612" width="11" bestFit="1" customWidth="1"/>
    <col min="613" max="614" width="11.1640625" bestFit="1" customWidth="1"/>
    <col min="615" max="615" width="12.83203125" bestFit="1" customWidth="1"/>
    <col min="616" max="616" width="15.1640625" bestFit="1" customWidth="1"/>
    <col min="617" max="617" width="13.5" bestFit="1" customWidth="1"/>
    <col min="618" max="618" width="17.83203125" bestFit="1" customWidth="1"/>
    <col min="619" max="619" width="11.6640625" bestFit="1" customWidth="1"/>
    <col min="620" max="620" width="12.5" bestFit="1" customWidth="1"/>
    <col min="621" max="621" width="20.1640625" bestFit="1" customWidth="1"/>
    <col min="622" max="622" width="15.6640625" bestFit="1" customWidth="1"/>
    <col min="623" max="623" width="12.6640625" bestFit="1" customWidth="1"/>
    <col min="624" max="624" width="13" bestFit="1" customWidth="1"/>
    <col min="625" max="625" width="11.33203125" bestFit="1" customWidth="1"/>
    <col min="626" max="626" width="17.1640625" bestFit="1" customWidth="1"/>
    <col min="627" max="627" width="12.1640625" bestFit="1" customWidth="1"/>
    <col min="628" max="628" width="10.5" bestFit="1" customWidth="1"/>
    <col min="629" max="629" width="12.33203125" bestFit="1" customWidth="1"/>
    <col min="630" max="630" width="13.33203125" bestFit="1" customWidth="1"/>
    <col min="631" max="631" width="11.5" bestFit="1" customWidth="1"/>
    <col min="632" max="632" width="13" bestFit="1" customWidth="1"/>
    <col min="633" max="633" width="14" bestFit="1" customWidth="1"/>
    <col min="634" max="634" width="13.83203125" bestFit="1" customWidth="1"/>
    <col min="635" max="635" width="12.83203125" bestFit="1" customWidth="1"/>
    <col min="636" max="636" width="14.33203125" bestFit="1" customWidth="1"/>
    <col min="637" max="637" width="12.1640625" bestFit="1" customWidth="1"/>
    <col min="638" max="638" width="14.5" bestFit="1" customWidth="1"/>
    <col min="639" max="639" width="12.5" bestFit="1" customWidth="1"/>
    <col min="640" max="640" width="12" bestFit="1" customWidth="1"/>
    <col min="641" max="641" width="9.83203125" bestFit="1" customWidth="1"/>
    <col min="642" max="642" width="10.33203125" bestFit="1" customWidth="1"/>
    <col min="644" max="644" width="13" bestFit="1" customWidth="1"/>
    <col min="645" max="645" width="14.1640625" bestFit="1" customWidth="1"/>
    <col min="646" max="646" width="15.6640625" bestFit="1" customWidth="1"/>
    <col min="647" max="647" width="12.83203125" bestFit="1" customWidth="1"/>
    <col min="648" max="648" width="13.1640625" bestFit="1" customWidth="1"/>
    <col min="649" max="649" width="15.33203125" bestFit="1" customWidth="1"/>
    <col min="650" max="650" width="12" bestFit="1" customWidth="1"/>
    <col min="651" max="651" width="13.33203125" bestFit="1" customWidth="1"/>
    <col min="652" max="652" width="11.6640625" bestFit="1" customWidth="1"/>
    <col min="653" max="653" width="13" bestFit="1" customWidth="1"/>
    <col min="654" max="654" width="10.5" bestFit="1" customWidth="1"/>
    <col min="655" max="655" width="13.33203125" bestFit="1" customWidth="1"/>
    <col min="656" max="656" width="14.1640625" bestFit="1" customWidth="1"/>
    <col min="657" max="657" width="11.83203125" bestFit="1" customWidth="1"/>
    <col min="658" max="658" width="10.1640625" bestFit="1" customWidth="1"/>
    <col min="659" max="659" width="9.5" bestFit="1" customWidth="1"/>
    <col min="660" max="660" width="10.5" bestFit="1" customWidth="1"/>
    <col min="661" max="661" width="11.33203125" bestFit="1" customWidth="1"/>
    <col min="662" max="662" width="12.33203125" bestFit="1" customWidth="1"/>
    <col min="663" max="663" width="9.83203125" bestFit="1" customWidth="1"/>
    <col min="664" max="664" width="12.33203125" bestFit="1" customWidth="1"/>
    <col min="665" max="665" width="10.1640625" bestFit="1" customWidth="1"/>
    <col min="666" max="666" width="13.1640625" bestFit="1" customWidth="1"/>
    <col min="667" max="667" width="10.5" bestFit="1" customWidth="1"/>
    <col min="668" max="669" width="12.33203125" bestFit="1" customWidth="1"/>
    <col min="670" max="670" width="10.33203125" bestFit="1" customWidth="1"/>
    <col min="671" max="671" width="15" bestFit="1" customWidth="1"/>
    <col min="672" max="672" width="12.33203125" bestFit="1" customWidth="1"/>
    <col min="673" max="673" width="11.83203125" bestFit="1" customWidth="1"/>
    <col min="674" max="675" width="11.33203125" bestFit="1" customWidth="1"/>
    <col min="676" max="677" width="12.5" bestFit="1" customWidth="1"/>
    <col min="678" max="678" width="10.1640625" bestFit="1" customWidth="1"/>
    <col min="679" max="679" width="12.6640625" bestFit="1" customWidth="1"/>
    <col min="680" max="680" width="9.83203125" bestFit="1" customWidth="1"/>
    <col min="681" max="681" width="11.83203125" bestFit="1" customWidth="1"/>
    <col min="682" max="682" width="18.33203125" bestFit="1" customWidth="1"/>
    <col min="683" max="683" width="14" bestFit="1" customWidth="1"/>
    <col min="684" max="684" width="10.5" bestFit="1" customWidth="1"/>
    <col min="685" max="685" width="13.6640625" bestFit="1" customWidth="1"/>
    <col min="686" max="686" width="11.1640625" bestFit="1" customWidth="1"/>
    <col min="688" max="688" width="13.1640625" bestFit="1" customWidth="1"/>
    <col min="689" max="689" width="11.5" bestFit="1" customWidth="1"/>
    <col min="690" max="690" width="13" bestFit="1" customWidth="1"/>
    <col min="691" max="691" width="10" bestFit="1" customWidth="1"/>
    <col min="692" max="692" width="12.83203125" bestFit="1" customWidth="1"/>
    <col min="693" max="693" width="8.6640625" bestFit="1" customWidth="1"/>
    <col min="694" max="694" width="8" bestFit="1" customWidth="1"/>
    <col min="695" max="695" width="10.6640625" bestFit="1" customWidth="1"/>
    <col min="696" max="696" width="12.6640625" bestFit="1" customWidth="1"/>
    <col min="698" max="698" width="13.5" bestFit="1" customWidth="1"/>
    <col min="699" max="699" width="13.83203125" bestFit="1" customWidth="1"/>
    <col min="700" max="700" width="14.1640625" bestFit="1" customWidth="1"/>
    <col min="701" max="701" width="16.6640625" bestFit="1" customWidth="1"/>
    <col min="702" max="702" width="13.83203125" bestFit="1" customWidth="1"/>
    <col min="703" max="703" width="16.6640625" bestFit="1" customWidth="1"/>
    <col min="704" max="704" width="12.33203125" bestFit="1" customWidth="1"/>
    <col min="705" max="705" width="8.5" bestFit="1" customWidth="1"/>
    <col min="706" max="706" width="9.83203125" bestFit="1" customWidth="1"/>
    <col min="707" max="707" width="12" bestFit="1" customWidth="1"/>
    <col min="708" max="708" width="12.1640625" bestFit="1" customWidth="1"/>
    <col min="709" max="709" width="16.33203125" bestFit="1" customWidth="1"/>
    <col min="710" max="710" width="15.5" bestFit="1" customWidth="1"/>
    <col min="711" max="711" width="15.1640625" bestFit="1" customWidth="1"/>
    <col min="712" max="712" width="13.83203125" bestFit="1" customWidth="1"/>
    <col min="713" max="713" width="15" bestFit="1" customWidth="1"/>
    <col min="714" max="714" width="12.6640625" bestFit="1" customWidth="1"/>
    <col min="715" max="715" width="11.5" bestFit="1" customWidth="1"/>
    <col min="716" max="716" width="10.1640625" bestFit="1" customWidth="1"/>
    <col min="717" max="717" width="13.83203125" bestFit="1" customWidth="1"/>
    <col min="718" max="718" width="12.33203125" bestFit="1" customWidth="1"/>
    <col min="719" max="719" width="19" bestFit="1" customWidth="1"/>
    <col min="720" max="721" width="14.6640625" bestFit="1" customWidth="1"/>
    <col min="722" max="722" width="8.5" bestFit="1" customWidth="1"/>
    <col min="723" max="723" width="9.33203125" bestFit="1" customWidth="1"/>
    <col min="724" max="724" width="14.33203125" bestFit="1" customWidth="1"/>
    <col min="725" max="725" width="11.33203125" bestFit="1" customWidth="1"/>
    <col min="726" max="726" width="10.1640625" bestFit="1" customWidth="1"/>
    <col min="727" max="727" width="11.1640625" bestFit="1" customWidth="1"/>
    <col min="728" max="728" width="15.5" bestFit="1" customWidth="1"/>
    <col min="729" max="729" width="10.5" bestFit="1" customWidth="1"/>
    <col min="730" max="730" width="14.1640625" bestFit="1" customWidth="1"/>
    <col min="732" max="732" width="12" bestFit="1" customWidth="1"/>
    <col min="733" max="733" width="18.1640625" bestFit="1" customWidth="1"/>
    <col min="734" max="734" width="12.6640625" bestFit="1" customWidth="1"/>
    <col min="735" max="735" width="12.33203125" bestFit="1" customWidth="1"/>
    <col min="736" max="736" width="13.33203125" bestFit="1" customWidth="1"/>
    <col min="737" max="737" width="14.33203125" bestFit="1" customWidth="1"/>
    <col min="738" max="738" width="13" bestFit="1" customWidth="1"/>
    <col min="739" max="739" width="11.83203125" bestFit="1" customWidth="1"/>
    <col min="740" max="740" width="10.5" bestFit="1" customWidth="1"/>
    <col min="741" max="741" width="13.6640625" bestFit="1" customWidth="1"/>
    <col min="742" max="742" width="12" bestFit="1" customWidth="1"/>
    <col min="743" max="743" width="15.1640625" bestFit="1" customWidth="1"/>
    <col min="744" max="744" width="10.5" bestFit="1" customWidth="1"/>
    <col min="745" max="745" width="11.6640625" bestFit="1" customWidth="1"/>
    <col min="746" max="746" width="14.6640625" bestFit="1" customWidth="1"/>
    <col min="747" max="747" width="14" bestFit="1" customWidth="1"/>
    <col min="749" max="749" width="14.1640625" bestFit="1" customWidth="1"/>
    <col min="750" max="750" width="13.1640625" bestFit="1" customWidth="1"/>
    <col min="751" max="751" width="14.33203125" bestFit="1" customWidth="1"/>
    <col min="752" max="752" width="12.33203125" bestFit="1" customWidth="1"/>
    <col min="753" max="753" width="11.83203125" bestFit="1" customWidth="1"/>
    <col min="754" max="754" width="18.83203125" bestFit="1" customWidth="1"/>
    <col min="755" max="755" width="14.83203125" bestFit="1" customWidth="1"/>
    <col min="756" max="756" width="9.5" bestFit="1" customWidth="1"/>
    <col min="757" max="757" width="11.6640625" bestFit="1" customWidth="1"/>
    <col min="758" max="758" width="13.33203125" bestFit="1" customWidth="1"/>
    <col min="759" max="759" width="12.6640625" bestFit="1" customWidth="1"/>
    <col min="760" max="760" width="12" bestFit="1" customWidth="1"/>
    <col min="761" max="761" width="10.5" bestFit="1" customWidth="1"/>
    <col min="762" max="762" width="15.1640625" bestFit="1" customWidth="1"/>
    <col min="763" max="763" width="15.5" bestFit="1" customWidth="1"/>
    <col min="764" max="764" width="12.5" bestFit="1" customWidth="1"/>
    <col min="765" max="765" width="15.5" bestFit="1" customWidth="1"/>
    <col min="766" max="766" width="13" bestFit="1" customWidth="1"/>
    <col min="767" max="767" width="14" bestFit="1" customWidth="1"/>
    <col min="768" max="768" width="13.1640625" bestFit="1" customWidth="1"/>
    <col min="769" max="769" width="12.6640625" bestFit="1" customWidth="1"/>
    <col min="770" max="770" width="11.6640625" bestFit="1" customWidth="1"/>
    <col min="771" max="771" width="13.1640625" bestFit="1" customWidth="1"/>
    <col min="772" max="772" width="11.6640625" bestFit="1" customWidth="1"/>
    <col min="773" max="773" width="10" bestFit="1" customWidth="1"/>
    <col min="774" max="774" width="11" bestFit="1" customWidth="1"/>
    <col min="775" max="775" width="14.1640625" bestFit="1" customWidth="1"/>
    <col min="776" max="776" width="11.5" bestFit="1" customWidth="1"/>
    <col min="778" max="778" width="13.33203125" bestFit="1" customWidth="1"/>
    <col min="779" max="779" width="13" bestFit="1" customWidth="1"/>
    <col min="780" max="780" width="14.83203125" bestFit="1" customWidth="1"/>
    <col min="781" max="781" width="16" bestFit="1" customWidth="1"/>
    <col min="782" max="782" width="12.6640625" bestFit="1" customWidth="1"/>
    <col min="783" max="783" width="12.1640625" bestFit="1" customWidth="1"/>
    <col min="784" max="784" width="13.33203125" bestFit="1" customWidth="1"/>
    <col min="785" max="785" width="11.5" bestFit="1" customWidth="1"/>
    <col min="786" max="786" width="13" bestFit="1" customWidth="1"/>
    <col min="787" max="787" width="10.6640625" bestFit="1" customWidth="1"/>
    <col min="788" max="788" width="12.6640625" bestFit="1" customWidth="1"/>
    <col min="789" max="789" width="15.1640625" bestFit="1" customWidth="1"/>
    <col min="790" max="790" width="13.5" bestFit="1" customWidth="1"/>
    <col min="791" max="791" width="12.83203125" bestFit="1" customWidth="1"/>
    <col min="792" max="792" width="17.1640625" bestFit="1" customWidth="1"/>
    <col min="793" max="793" width="15.83203125" bestFit="1" customWidth="1"/>
    <col min="794" max="794" width="12" bestFit="1" customWidth="1"/>
    <col min="797" max="797" width="12.1640625" bestFit="1" customWidth="1"/>
    <col min="798" max="798" width="14.5" bestFit="1" customWidth="1"/>
    <col min="799" max="799" width="12.6640625" bestFit="1" customWidth="1"/>
    <col min="800" max="800" width="10.1640625" bestFit="1" customWidth="1"/>
    <col min="801" max="801" width="10.33203125" bestFit="1" customWidth="1"/>
    <col min="802" max="802" width="12.6640625" bestFit="1" customWidth="1"/>
    <col min="803" max="804" width="12.1640625" bestFit="1" customWidth="1"/>
    <col min="805" max="805" width="14.1640625" bestFit="1" customWidth="1"/>
    <col min="806" max="806" width="13.1640625" bestFit="1" customWidth="1"/>
    <col min="807" max="807" width="9.5" bestFit="1" customWidth="1"/>
    <col min="808" max="808" width="11.83203125" bestFit="1" customWidth="1"/>
    <col min="809" max="809" width="10.5" bestFit="1" customWidth="1"/>
    <col min="810" max="810" width="13.6640625" bestFit="1" customWidth="1"/>
    <col min="811" max="811" width="13.33203125" bestFit="1" customWidth="1"/>
    <col min="813" max="813" width="13" bestFit="1" customWidth="1"/>
    <col min="814" max="814" width="13.6640625" bestFit="1" customWidth="1"/>
    <col min="815" max="815" width="14.33203125" bestFit="1" customWidth="1"/>
    <col min="816" max="816" width="10.5" bestFit="1" customWidth="1"/>
    <col min="817" max="817" width="9.5" bestFit="1" customWidth="1"/>
    <col min="818" max="818" width="12.1640625" bestFit="1" customWidth="1"/>
    <col min="819" max="819" width="15.5" bestFit="1" customWidth="1"/>
    <col min="820" max="820" width="13" bestFit="1" customWidth="1"/>
    <col min="821" max="821" width="12.1640625" bestFit="1" customWidth="1"/>
    <col min="822" max="822" width="9.1640625" bestFit="1" customWidth="1"/>
    <col min="823" max="823" width="11.5" bestFit="1" customWidth="1"/>
    <col min="824" max="824" width="13.1640625" bestFit="1" customWidth="1"/>
    <col min="825" max="825" width="11.83203125" bestFit="1" customWidth="1"/>
    <col min="826" max="826" width="10.33203125" bestFit="1" customWidth="1"/>
    <col min="827" max="827" width="13.1640625" bestFit="1" customWidth="1"/>
    <col min="828" max="828" width="12.5" bestFit="1" customWidth="1"/>
    <col min="829" max="829" width="11.1640625" bestFit="1" customWidth="1"/>
    <col min="830" max="830" width="15.83203125" bestFit="1" customWidth="1"/>
    <col min="831" max="831" width="14.83203125" bestFit="1" customWidth="1"/>
    <col min="832" max="832" width="15.83203125" bestFit="1" customWidth="1"/>
    <col min="833" max="833" width="9" bestFit="1" customWidth="1"/>
    <col min="834" max="834" width="10" bestFit="1" customWidth="1"/>
    <col min="836" max="836" width="13.83203125" bestFit="1" customWidth="1"/>
    <col min="837" max="837" width="15.83203125" bestFit="1" customWidth="1"/>
    <col min="838" max="838" width="11.83203125" bestFit="1" customWidth="1"/>
    <col min="839" max="839" width="11.6640625" bestFit="1" customWidth="1"/>
    <col min="840" max="840" width="10.6640625" bestFit="1" customWidth="1"/>
    <col min="841" max="841" width="13.33203125" bestFit="1" customWidth="1"/>
    <col min="842" max="842" width="15.6640625" bestFit="1" customWidth="1"/>
    <col min="843" max="843" width="15" bestFit="1" customWidth="1"/>
    <col min="844" max="844" width="10.1640625" bestFit="1" customWidth="1"/>
    <col min="845" max="845" width="16" bestFit="1" customWidth="1"/>
    <col min="846" max="846" width="13.6640625" bestFit="1" customWidth="1"/>
    <col min="847" max="847" width="10.33203125" bestFit="1" customWidth="1"/>
    <col min="848" max="848" width="15.5" bestFit="1" customWidth="1"/>
    <col min="849" max="849" width="12.6640625" bestFit="1" customWidth="1"/>
    <col min="850" max="850" width="9.33203125" bestFit="1" customWidth="1"/>
    <col min="851" max="851" width="17.83203125" bestFit="1" customWidth="1"/>
    <col min="852" max="852" width="10.5" bestFit="1" customWidth="1"/>
    <col min="853" max="853" width="16.33203125" bestFit="1" customWidth="1"/>
    <col min="854" max="854" width="15.33203125" bestFit="1" customWidth="1"/>
    <col min="855" max="855" width="12.1640625" bestFit="1" customWidth="1"/>
    <col min="856" max="856" width="13.6640625" bestFit="1" customWidth="1"/>
    <col min="857" max="857" width="11.83203125" bestFit="1" customWidth="1"/>
    <col min="858" max="858" width="12.1640625" bestFit="1" customWidth="1"/>
    <col min="859" max="859" width="10.33203125" bestFit="1" customWidth="1"/>
    <col min="860" max="860" width="15.1640625" bestFit="1" customWidth="1"/>
    <col min="861" max="861" width="10.6640625" bestFit="1" customWidth="1"/>
    <col min="862" max="862" width="14" bestFit="1" customWidth="1"/>
    <col min="863" max="863" width="11.5" bestFit="1" customWidth="1"/>
    <col min="864" max="864" width="12.1640625" bestFit="1" customWidth="1"/>
    <col min="865" max="865" width="12.33203125" bestFit="1" customWidth="1"/>
    <col min="866" max="866" width="14.33203125" bestFit="1" customWidth="1"/>
    <col min="867" max="867" width="12.6640625" bestFit="1" customWidth="1"/>
    <col min="868" max="868" width="11" bestFit="1" customWidth="1"/>
    <col min="869" max="869" width="14.6640625" bestFit="1" customWidth="1"/>
    <col min="870" max="870" width="15.83203125" bestFit="1" customWidth="1"/>
    <col min="871" max="871" width="14.6640625" bestFit="1" customWidth="1"/>
    <col min="872" max="872" width="15.33203125" bestFit="1" customWidth="1"/>
    <col min="873" max="873" width="14" bestFit="1" customWidth="1"/>
    <col min="874" max="874" width="11.5" bestFit="1" customWidth="1"/>
    <col min="875" max="875" width="11" bestFit="1" customWidth="1"/>
    <col min="876" max="876" width="13.1640625" bestFit="1" customWidth="1"/>
    <col min="877" max="877" width="13" bestFit="1" customWidth="1"/>
    <col min="878" max="878" width="11.83203125" bestFit="1" customWidth="1"/>
    <col min="879" max="879" width="11.5" bestFit="1" customWidth="1"/>
    <col min="880" max="880" width="17.5" bestFit="1" customWidth="1"/>
    <col min="881" max="881" width="14.6640625" bestFit="1" customWidth="1"/>
    <col min="882" max="882" width="13.6640625" bestFit="1" customWidth="1"/>
    <col min="883" max="883" width="13.83203125" bestFit="1" customWidth="1"/>
    <col min="884" max="884" width="15.6640625" bestFit="1" customWidth="1"/>
    <col min="885" max="885" width="13.1640625" bestFit="1" customWidth="1"/>
    <col min="886" max="886" width="14.33203125" bestFit="1" customWidth="1"/>
    <col min="887" max="887" width="14.1640625" bestFit="1" customWidth="1"/>
    <col min="888" max="888" width="12.33203125" bestFit="1" customWidth="1"/>
    <col min="890" max="890" width="16.6640625" bestFit="1" customWidth="1"/>
    <col min="891" max="891" width="16" bestFit="1" customWidth="1"/>
    <col min="892" max="892" width="11.83203125" bestFit="1" customWidth="1"/>
    <col min="893" max="893" width="13" bestFit="1" customWidth="1"/>
    <col min="894" max="894" width="12.33203125" bestFit="1" customWidth="1"/>
    <col min="896" max="896" width="10.1640625" bestFit="1" customWidth="1"/>
    <col min="897" max="897" width="11.5" bestFit="1" customWidth="1"/>
    <col min="898" max="898" width="11.33203125" bestFit="1" customWidth="1"/>
    <col min="899" max="899" width="10" bestFit="1" customWidth="1"/>
    <col min="900" max="900" width="12.83203125" bestFit="1" customWidth="1"/>
    <col min="901" max="901" width="15.83203125" bestFit="1" customWidth="1"/>
    <col min="902" max="902" width="12.5" bestFit="1" customWidth="1"/>
    <col min="903" max="903" width="11.33203125" bestFit="1" customWidth="1"/>
    <col min="904" max="904" width="13.6640625" bestFit="1" customWidth="1"/>
    <col min="905" max="905" width="11.5" bestFit="1" customWidth="1"/>
    <col min="906" max="906" width="10.6640625" bestFit="1" customWidth="1"/>
    <col min="907" max="907" width="16.6640625" bestFit="1" customWidth="1"/>
    <col min="908" max="908" width="14.5" bestFit="1" customWidth="1"/>
    <col min="909" max="909" width="12" bestFit="1" customWidth="1"/>
    <col min="910" max="910" width="12.6640625" bestFit="1" customWidth="1"/>
    <col min="911" max="911" width="10.1640625" bestFit="1" customWidth="1"/>
    <col min="912" max="912" width="11.5" bestFit="1" customWidth="1"/>
    <col min="913" max="913" width="10.6640625" bestFit="1" customWidth="1"/>
    <col min="914" max="914" width="12.33203125" bestFit="1" customWidth="1"/>
    <col min="915" max="915" width="10.1640625" bestFit="1" customWidth="1"/>
  </cols>
  <sheetData>
    <row r="3" spans="1:2" x14ac:dyDescent="0.2">
      <c r="A3" s="8" t="s">
        <v>6218</v>
      </c>
      <c r="B3" t="s">
        <v>6199</v>
      </c>
    </row>
    <row r="4" spans="1:2" x14ac:dyDescent="0.2">
      <c r="A4" s="12">
        <v>0.2</v>
      </c>
      <c r="B4" s="11">
        <v>3307.9499999999994</v>
      </c>
    </row>
    <row r="5" spans="1:2" x14ac:dyDescent="0.2">
      <c r="A5" s="12">
        <v>0.5</v>
      </c>
      <c r="B5" s="11">
        <v>7029.9900000000043</v>
      </c>
    </row>
    <row r="6" spans="1:2" x14ac:dyDescent="0.2">
      <c r="A6" s="12">
        <v>1</v>
      </c>
      <c r="B6" s="11">
        <v>11010.750000000005</v>
      </c>
    </row>
    <row r="7" spans="1:2" x14ac:dyDescent="0.2">
      <c r="A7" s="12">
        <v>2.5</v>
      </c>
      <c r="B7" s="11">
        <v>23785.56499999997</v>
      </c>
    </row>
    <row r="8" spans="1:2" x14ac:dyDescent="0.2">
      <c r="B8" s="11"/>
    </row>
    <row r="12" spans="1:2" ht="16" customHeight="1" x14ac:dyDescent="0.2"/>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8DE3-301C-CE4D-947B-9D7C99A5695A}">
  <sheetPr>
    <tabColor theme="0"/>
  </sheetPr>
  <dimension ref="A3:B15"/>
  <sheetViews>
    <sheetView showGridLines="0" zoomScale="170" workbookViewId="0">
      <selection activeCell="L14" sqref="A1:XFD1048576"/>
    </sheetView>
  </sheetViews>
  <sheetFormatPr baseColWidth="10" defaultRowHeight="15" x14ac:dyDescent="0.2"/>
  <cols>
    <col min="1" max="2" width="17.5" bestFit="1" customWidth="1"/>
    <col min="3" max="3" width="9.1640625" bestFit="1" customWidth="1"/>
    <col min="4" max="4" width="10.1640625" bestFit="1" customWidth="1"/>
  </cols>
  <sheetData>
    <row r="3" spans="1:2" x14ac:dyDescent="0.2">
      <c r="A3" s="8" t="s">
        <v>6218</v>
      </c>
      <c r="B3" t="s">
        <v>6226</v>
      </c>
    </row>
    <row r="4" spans="1:2" x14ac:dyDescent="0.2">
      <c r="A4" s="9" t="s">
        <v>6191</v>
      </c>
      <c r="B4">
        <v>24216.404999999995</v>
      </c>
    </row>
    <row r="5" spans="1:2" x14ac:dyDescent="0.2">
      <c r="A5" s="9" t="s">
        <v>6190</v>
      </c>
      <c r="B5">
        <v>20917.849999999995</v>
      </c>
    </row>
    <row r="8" spans="1:2" x14ac:dyDescent="0.2">
      <c r="A8" s="8" t="s">
        <v>6218</v>
      </c>
      <c r="B8" t="s">
        <v>6225</v>
      </c>
    </row>
    <row r="9" spans="1:2" x14ac:dyDescent="0.2">
      <c r="A9" s="9" t="s">
        <v>6191</v>
      </c>
      <c r="B9">
        <v>521</v>
      </c>
    </row>
    <row r="10" spans="1:2" x14ac:dyDescent="0.2">
      <c r="A10" s="9" t="s">
        <v>6190</v>
      </c>
      <c r="B10">
        <v>479</v>
      </c>
    </row>
    <row r="11" spans="1:2" x14ac:dyDescent="0.2">
      <c r="A11" s="9" t="s">
        <v>6220</v>
      </c>
      <c r="B11">
        <v>1000</v>
      </c>
    </row>
    <row r="14" spans="1:2" x14ac:dyDescent="0.2">
      <c r="A14" t="s">
        <v>6225</v>
      </c>
    </row>
    <row r="15" spans="1:2" x14ac:dyDescent="0.2">
      <c r="A15">
        <v>1000</v>
      </c>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602F0-4280-7E40-86E4-D067AA5B745C}">
  <sheetPr>
    <tabColor theme="0"/>
  </sheetPr>
  <dimension ref="A3:H12"/>
  <sheetViews>
    <sheetView showGridLines="0" zoomScale="150" workbookViewId="0">
      <selection activeCell="G12" sqref="A1:XFD1048576"/>
    </sheetView>
  </sheetViews>
  <sheetFormatPr baseColWidth="10" defaultRowHeight="15" x14ac:dyDescent="0.2"/>
  <cols>
    <col min="1" max="1" width="12.1640625" bestFit="1" customWidth="1"/>
    <col min="2" max="2" width="11" bestFit="1" customWidth="1"/>
    <col min="3" max="3" width="10.5" bestFit="1" customWidth="1"/>
    <col min="4" max="4" width="12.1640625" bestFit="1" customWidth="1"/>
    <col min="5" max="5" width="13" bestFit="1" customWidth="1"/>
    <col min="6" max="6" width="7.6640625" bestFit="1" customWidth="1"/>
    <col min="7" max="7" width="6.1640625" bestFit="1" customWidth="1"/>
    <col min="8" max="8" width="14.6640625" bestFit="1" customWidth="1"/>
    <col min="9" max="9" width="12.5" bestFit="1" customWidth="1"/>
    <col min="10" max="10" width="15.6640625" bestFit="1" customWidth="1"/>
    <col min="11" max="11" width="15.33203125" bestFit="1" customWidth="1"/>
    <col min="12" max="12" width="12.5" bestFit="1" customWidth="1"/>
    <col min="13" max="13" width="15.33203125" bestFit="1" customWidth="1"/>
    <col min="14" max="14" width="12.1640625" bestFit="1" customWidth="1"/>
    <col min="15" max="15" width="13" bestFit="1" customWidth="1"/>
    <col min="16" max="16" width="14.1640625" bestFit="1" customWidth="1"/>
    <col min="17" max="17" width="13.83203125" bestFit="1" customWidth="1"/>
    <col min="18" max="18" width="13" bestFit="1" customWidth="1"/>
    <col min="19" max="19" width="9.6640625" bestFit="1" customWidth="1"/>
    <col min="20" max="20" width="14.33203125" bestFit="1" customWidth="1"/>
    <col min="21" max="21" width="16.5" bestFit="1" customWidth="1"/>
    <col min="22" max="22" width="9.6640625" bestFit="1" customWidth="1"/>
    <col min="23" max="23" width="13.1640625" bestFit="1" customWidth="1"/>
    <col min="24" max="24" width="11.6640625" bestFit="1" customWidth="1"/>
    <col min="25" max="25" width="12" bestFit="1" customWidth="1"/>
    <col min="26" max="26" width="8" bestFit="1" customWidth="1"/>
    <col min="27" max="28" width="12.1640625" bestFit="1" customWidth="1"/>
    <col min="29" max="29" width="12.6640625" bestFit="1" customWidth="1"/>
    <col min="30" max="30" width="11.6640625" bestFit="1" customWidth="1"/>
    <col min="31" max="31" width="13.5" bestFit="1" customWidth="1"/>
    <col min="32" max="32" width="11.5" bestFit="1" customWidth="1"/>
    <col min="33" max="33" width="8.1640625" bestFit="1" customWidth="1"/>
    <col min="34" max="34" width="9.5" bestFit="1" customWidth="1"/>
    <col min="35" max="35" width="11.33203125" bestFit="1" customWidth="1"/>
    <col min="36" max="36" width="9.33203125" bestFit="1" customWidth="1"/>
    <col min="37" max="37" width="17.6640625" bestFit="1" customWidth="1"/>
    <col min="38" max="38" width="13" bestFit="1" customWidth="1"/>
    <col min="39" max="39" width="9.83203125" bestFit="1" customWidth="1"/>
    <col min="40" max="40" width="11" bestFit="1" customWidth="1"/>
    <col min="41" max="41" width="11.33203125" bestFit="1" customWidth="1"/>
    <col min="42" max="42" width="15.83203125" bestFit="1" customWidth="1"/>
    <col min="43" max="43" width="11" bestFit="1" customWidth="1"/>
    <col min="44" max="44" width="12.1640625" bestFit="1" customWidth="1"/>
    <col min="45" max="45" width="11.83203125" bestFit="1" customWidth="1"/>
    <col min="46" max="46" width="14.33203125" bestFit="1" customWidth="1"/>
    <col min="47" max="47" width="14.1640625" bestFit="1" customWidth="1"/>
    <col min="48" max="48" width="11.6640625" bestFit="1" customWidth="1"/>
    <col min="49" max="49" width="14.5" bestFit="1" customWidth="1"/>
    <col min="50" max="50" width="12.6640625" bestFit="1" customWidth="1"/>
    <col min="51" max="51" width="14.83203125" bestFit="1" customWidth="1"/>
    <col min="52" max="52" width="14.33203125" bestFit="1" customWidth="1"/>
    <col min="53" max="53" width="15" bestFit="1" customWidth="1"/>
    <col min="54" max="54" width="13" bestFit="1" customWidth="1"/>
    <col min="55" max="55" width="13.33203125" bestFit="1" customWidth="1"/>
    <col min="56" max="56" width="15.1640625" bestFit="1" customWidth="1"/>
    <col min="57" max="57" width="12" bestFit="1" customWidth="1"/>
    <col min="58" max="59" width="13.1640625" bestFit="1" customWidth="1"/>
    <col min="60" max="60" width="16.83203125" bestFit="1" customWidth="1"/>
    <col min="61" max="61" width="13.1640625" bestFit="1" customWidth="1"/>
    <col min="62" max="62" width="16.83203125" bestFit="1" customWidth="1"/>
    <col min="63" max="63" width="10.1640625" bestFit="1" customWidth="1"/>
    <col min="64" max="64" width="10" bestFit="1" customWidth="1"/>
    <col min="65" max="65" width="11" bestFit="1" customWidth="1"/>
    <col min="66" max="66" width="11.5" bestFit="1" customWidth="1"/>
    <col min="67" max="67" width="14.1640625" bestFit="1" customWidth="1"/>
    <col min="68" max="68" width="17.1640625" bestFit="1" customWidth="1"/>
    <col min="69" max="69" width="15.6640625" bestFit="1" customWidth="1"/>
    <col min="71" max="72" width="12" bestFit="1" customWidth="1"/>
    <col min="73" max="73" width="18" bestFit="1" customWidth="1"/>
    <col min="74" max="74" width="13.83203125" bestFit="1" customWidth="1"/>
    <col min="75" max="75" width="13.5" bestFit="1" customWidth="1"/>
    <col min="76" max="76" width="11.83203125" bestFit="1" customWidth="1"/>
    <col min="77" max="77" width="14.33203125" bestFit="1" customWidth="1"/>
    <col min="78" max="78" width="10.5" bestFit="1" customWidth="1"/>
    <col min="79" max="79" width="12.33203125" bestFit="1" customWidth="1"/>
    <col min="81" max="81" width="13" bestFit="1" customWidth="1"/>
    <col min="82" max="82" width="12.1640625" bestFit="1" customWidth="1"/>
    <col min="83" max="83" width="12.83203125" bestFit="1" customWidth="1"/>
    <col min="84" max="84" width="17" bestFit="1" customWidth="1"/>
    <col min="85" max="85" width="15" bestFit="1" customWidth="1"/>
    <col min="86" max="86" width="10.33203125" bestFit="1" customWidth="1"/>
    <col min="87" max="87" width="12.1640625" bestFit="1" customWidth="1"/>
    <col min="88" max="88" width="9.1640625" bestFit="1" customWidth="1"/>
    <col min="89" max="89" width="14.6640625" bestFit="1" customWidth="1"/>
    <col min="90" max="91" width="12.33203125" bestFit="1" customWidth="1"/>
    <col min="92" max="92" width="11.1640625" bestFit="1" customWidth="1"/>
    <col min="93" max="93" width="14" bestFit="1" customWidth="1"/>
    <col min="94" max="94" width="13.33203125" bestFit="1" customWidth="1"/>
    <col min="95" max="95" width="13.1640625" bestFit="1" customWidth="1"/>
    <col min="96" max="96" width="15.6640625" bestFit="1" customWidth="1"/>
    <col min="97" max="97" width="15.83203125" bestFit="1" customWidth="1"/>
    <col min="98" max="98" width="10.6640625" bestFit="1" customWidth="1"/>
    <col min="99" max="99" width="10.5" bestFit="1" customWidth="1"/>
    <col min="101" max="102" width="11" bestFit="1" customWidth="1"/>
    <col min="103" max="103" width="12" bestFit="1" customWidth="1"/>
    <col min="104" max="104" width="12.83203125" bestFit="1" customWidth="1"/>
    <col min="105" max="105" width="15.83203125" bestFit="1" customWidth="1"/>
    <col min="106" max="106" width="10.1640625" bestFit="1" customWidth="1"/>
    <col min="107" max="107" width="11.83203125" bestFit="1" customWidth="1"/>
    <col min="108" max="108" width="12.33203125" bestFit="1" customWidth="1"/>
    <col min="109" max="109" width="14.6640625" bestFit="1" customWidth="1"/>
    <col min="111" max="111" width="13" bestFit="1" customWidth="1"/>
    <col min="112" max="112" width="12.6640625" bestFit="1" customWidth="1"/>
    <col min="113" max="113" width="14.83203125" bestFit="1" customWidth="1"/>
    <col min="114" max="114" width="9.33203125" bestFit="1" customWidth="1"/>
    <col min="115" max="115" width="11.6640625" bestFit="1" customWidth="1"/>
    <col min="116" max="116" width="15" bestFit="1" customWidth="1"/>
    <col min="117" max="117" width="12" bestFit="1" customWidth="1"/>
    <col min="118" max="118" width="12.1640625" bestFit="1" customWidth="1"/>
    <col min="119" max="119" width="13.5" bestFit="1" customWidth="1"/>
    <col min="120" max="120" width="17.33203125" bestFit="1" customWidth="1"/>
    <col min="121" max="121" width="9" bestFit="1" customWidth="1"/>
    <col min="122" max="122" width="10.1640625" bestFit="1" customWidth="1"/>
    <col min="123" max="123" width="8.6640625" bestFit="1" customWidth="1"/>
    <col min="124" max="124" width="9.83203125" bestFit="1" customWidth="1"/>
    <col min="125" max="125" width="10" bestFit="1" customWidth="1"/>
    <col min="126" max="126" width="12.6640625" bestFit="1" customWidth="1"/>
    <col min="127" max="127" width="14.83203125" bestFit="1" customWidth="1"/>
    <col min="128" max="128" width="11.5" bestFit="1" customWidth="1"/>
    <col min="129" max="129" width="15" bestFit="1" customWidth="1"/>
    <col min="130" max="130" width="16" bestFit="1" customWidth="1"/>
    <col min="131" max="131" width="10.5" bestFit="1" customWidth="1"/>
    <col min="132" max="132" width="11" bestFit="1" customWidth="1"/>
    <col min="133" max="133" width="14.83203125" bestFit="1" customWidth="1"/>
    <col min="134" max="134" width="12.5" bestFit="1" customWidth="1"/>
    <col min="135" max="135" width="12.1640625" bestFit="1" customWidth="1"/>
    <col min="136" max="136" width="14.6640625" bestFit="1" customWidth="1"/>
    <col min="137" max="137" width="16.33203125" bestFit="1" customWidth="1"/>
    <col min="139" max="139" width="10.6640625" bestFit="1" customWidth="1"/>
    <col min="140" max="140" width="10.5" bestFit="1" customWidth="1"/>
    <col min="141" max="141" width="11.33203125" bestFit="1" customWidth="1"/>
    <col min="142" max="142" width="14.83203125" bestFit="1" customWidth="1"/>
    <col min="143" max="143" width="14.6640625" bestFit="1" customWidth="1"/>
    <col min="144" max="144" width="15.33203125" bestFit="1" customWidth="1"/>
    <col min="145" max="145" width="12.83203125" bestFit="1" customWidth="1"/>
    <col min="146" max="146" width="18" bestFit="1" customWidth="1"/>
    <col min="147" max="147" width="11.83203125" bestFit="1" customWidth="1"/>
    <col min="148" max="148" width="13.83203125" bestFit="1" customWidth="1"/>
    <col min="149" max="149" width="12" bestFit="1" customWidth="1"/>
    <col min="150" max="150" width="14.83203125" bestFit="1" customWidth="1"/>
    <col min="151" max="151" width="9.33203125" bestFit="1" customWidth="1"/>
    <col min="152" max="152" width="14" bestFit="1" customWidth="1"/>
    <col min="153" max="153" width="13.6640625" bestFit="1" customWidth="1"/>
    <col min="154" max="154" width="15.83203125" bestFit="1" customWidth="1"/>
    <col min="155" max="155" width="11" bestFit="1" customWidth="1"/>
    <col min="156" max="156" width="13.1640625" bestFit="1" customWidth="1"/>
    <col min="158" max="158" width="13.33203125" bestFit="1" customWidth="1"/>
    <col min="159" max="159" width="14.83203125" bestFit="1" customWidth="1"/>
    <col min="160" max="160" width="12.83203125" bestFit="1" customWidth="1"/>
    <col min="161" max="161" width="12.33203125" bestFit="1" customWidth="1"/>
    <col min="162" max="162" width="15.83203125" bestFit="1" customWidth="1"/>
    <col min="163" max="163" width="15.33203125" bestFit="1" customWidth="1"/>
    <col min="164" max="164" width="11.6640625" bestFit="1" customWidth="1"/>
    <col min="165" max="165" width="13" bestFit="1" customWidth="1"/>
    <col min="166" max="167" width="14" bestFit="1" customWidth="1"/>
    <col min="168" max="168" width="13.5" bestFit="1" customWidth="1"/>
    <col min="169" max="169" width="12.6640625" bestFit="1" customWidth="1"/>
    <col min="170" max="170" width="16.33203125" bestFit="1" customWidth="1"/>
    <col min="171" max="171" width="12" bestFit="1" customWidth="1"/>
    <col min="172" max="172" width="11" bestFit="1" customWidth="1"/>
    <col min="173" max="173" width="12" bestFit="1" customWidth="1"/>
    <col min="174" max="174" width="15.33203125" bestFit="1" customWidth="1"/>
    <col min="175" max="175" width="18.6640625" bestFit="1" customWidth="1"/>
    <col min="176" max="176" width="11.6640625" bestFit="1" customWidth="1"/>
    <col min="177" max="177" width="13" bestFit="1" customWidth="1"/>
    <col min="178" max="178" width="12" bestFit="1" customWidth="1"/>
    <col min="179" max="179" width="13.5" bestFit="1" customWidth="1"/>
    <col min="180" max="180" width="12.6640625" bestFit="1" customWidth="1"/>
    <col min="181" max="181" width="16" bestFit="1" customWidth="1"/>
    <col min="182" max="182" width="11.5" bestFit="1" customWidth="1"/>
    <col min="183" max="183" width="13.6640625" bestFit="1" customWidth="1"/>
    <col min="184" max="184" width="13" bestFit="1" customWidth="1"/>
    <col min="185" max="185" width="14" bestFit="1" customWidth="1"/>
    <col min="186" max="186" width="14.1640625" bestFit="1" customWidth="1"/>
    <col min="187" max="187" width="16.5" bestFit="1" customWidth="1"/>
    <col min="188" max="188" width="14.83203125" bestFit="1" customWidth="1"/>
    <col min="189" max="189" width="13.6640625" bestFit="1" customWidth="1"/>
    <col min="190" max="190" width="13.83203125" bestFit="1" customWidth="1"/>
    <col min="191" max="191" width="10.33203125" bestFit="1" customWidth="1"/>
    <col min="192" max="192" width="13" bestFit="1" customWidth="1"/>
    <col min="193" max="193" width="11" bestFit="1" customWidth="1"/>
    <col min="194" max="194" width="12.83203125" bestFit="1" customWidth="1"/>
    <col min="195" max="195" width="14.6640625" bestFit="1" customWidth="1"/>
    <col min="196" max="196" width="13" bestFit="1" customWidth="1"/>
    <col min="197" max="197" width="16" bestFit="1" customWidth="1"/>
    <col min="198" max="198" width="14.33203125" bestFit="1" customWidth="1"/>
    <col min="199" max="199" width="11.33203125" bestFit="1" customWidth="1"/>
    <col min="200" max="200" width="12.33203125" bestFit="1" customWidth="1"/>
    <col min="201" max="201" width="13.1640625" bestFit="1" customWidth="1"/>
    <col min="202" max="202" width="16" bestFit="1" customWidth="1"/>
    <col min="203" max="203" width="12.1640625" bestFit="1" customWidth="1"/>
    <col min="204" max="204" width="12.5" bestFit="1" customWidth="1"/>
    <col min="205" max="205" width="13" bestFit="1" customWidth="1"/>
    <col min="206" max="206" width="15.6640625" bestFit="1" customWidth="1"/>
    <col min="207" max="207" width="10.1640625" bestFit="1" customWidth="1"/>
    <col min="208" max="208" width="16" bestFit="1" customWidth="1"/>
    <col min="209" max="209" width="8" bestFit="1" customWidth="1"/>
    <col min="210" max="210" width="14" bestFit="1" customWidth="1"/>
    <col min="211" max="211" width="9.1640625" bestFit="1" customWidth="1"/>
    <col min="212" max="212" width="12.33203125" bestFit="1" customWidth="1"/>
    <col min="213" max="213" width="10.5" bestFit="1" customWidth="1"/>
    <col min="214" max="214" width="15.6640625" bestFit="1" customWidth="1"/>
    <col min="215" max="215" width="12.5" bestFit="1" customWidth="1"/>
    <col min="216" max="216" width="12.6640625" bestFit="1" customWidth="1"/>
    <col min="217" max="217" width="11.33203125" bestFit="1" customWidth="1"/>
    <col min="218" max="218" width="10.6640625" bestFit="1" customWidth="1"/>
    <col min="219" max="219" width="11.83203125" bestFit="1" customWidth="1"/>
    <col min="220" max="220" width="14.1640625" bestFit="1" customWidth="1"/>
    <col min="221" max="221" width="12.83203125" bestFit="1" customWidth="1"/>
    <col min="222" max="222" width="12" bestFit="1" customWidth="1"/>
    <col min="223" max="223" width="12.6640625" bestFit="1" customWidth="1"/>
    <col min="224" max="224" width="11.83203125" bestFit="1" customWidth="1"/>
    <col min="226" max="226" width="11.33203125" bestFit="1" customWidth="1"/>
    <col min="227" max="227" width="11" bestFit="1" customWidth="1"/>
    <col min="228" max="228" width="10.1640625" bestFit="1" customWidth="1"/>
    <col min="229" max="229" width="9.6640625" bestFit="1" customWidth="1"/>
    <col min="231" max="231" width="12.6640625" bestFit="1" customWidth="1"/>
    <col min="232" max="232" width="12.5" bestFit="1" customWidth="1"/>
    <col min="233" max="233" width="7.5" bestFit="1" customWidth="1"/>
    <col min="234" max="234" width="13.1640625" bestFit="1" customWidth="1"/>
    <col min="235" max="235" width="14.6640625" bestFit="1" customWidth="1"/>
    <col min="236" max="236" width="13.33203125" bestFit="1" customWidth="1"/>
    <col min="237" max="237" width="15.1640625" bestFit="1" customWidth="1"/>
    <col min="238" max="238" width="13.6640625" bestFit="1" customWidth="1"/>
    <col min="239" max="239" width="10.6640625" bestFit="1" customWidth="1"/>
    <col min="240" max="240" width="13" bestFit="1" customWidth="1"/>
    <col min="241" max="241" width="13.33203125" bestFit="1" customWidth="1"/>
    <col min="242" max="242" width="15.1640625" bestFit="1" customWidth="1"/>
    <col min="243" max="243" width="13.5" bestFit="1" customWidth="1"/>
    <col min="244" max="244" width="14" bestFit="1" customWidth="1"/>
    <col min="245" max="245" width="12.33203125" bestFit="1" customWidth="1"/>
    <col min="246" max="246" width="16.83203125" bestFit="1" customWidth="1"/>
    <col min="247" max="247" width="13" bestFit="1" customWidth="1"/>
    <col min="249" max="249" width="15.6640625" bestFit="1" customWidth="1"/>
    <col min="250" max="250" width="12.83203125" bestFit="1" customWidth="1"/>
    <col min="251" max="251" width="12.33203125" bestFit="1" customWidth="1"/>
    <col min="252" max="252" width="13.6640625" bestFit="1" customWidth="1"/>
    <col min="253" max="253" width="12.83203125" bestFit="1" customWidth="1"/>
    <col min="254" max="254" width="12.1640625" bestFit="1" customWidth="1"/>
    <col min="255" max="255" width="10.6640625" bestFit="1" customWidth="1"/>
    <col min="256" max="256" width="13.33203125" bestFit="1" customWidth="1"/>
    <col min="257" max="257" width="9.6640625" bestFit="1" customWidth="1"/>
    <col min="258" max="259" width="13" bestFit="1" customWidth="1"/>
    <col min="260" max="260" width="14.33203125" bestFit="1" customWidth="1"/>
    <col min="261" max="261" width="14.6640625" bestFit="1" customWidth="1"/>
    <col min="262" max="262" width="16.33203125" bestFit="1" customWidth="1"/>
    <col min="263" max="263" width="10.1640625" bestFit="1" customWidth="1"/>
    <col min="264" max="264" width="12.1640625" bestFit="1" customWidth="1"/>
    <col min="265" max="265" width="10.6640625" bestFit="1" customWidth="1"/>
    <col min="266" max="266" width="15.5" bestFit="1" customWidth="1"/>
    <col min="267" max="267" width="11.6640625" bestFit="1" customWidth="1"/>
    <col min="268" max="268" width="10.6640625" bestFit="1" customWidth="1"/>
    <col min="269" max="269" width="17.5" bestFit="1" customWidth="1"/>
    <col min="270" max="270" width="15.1640625" bestFit="1" customWidth="1"/>
    <col min="272" max="272" width="9" bestFit="1" customWidth="1"/>
    <col min="273" max="273" width="10.5" bestFit="1" customWidth="1"/>
    <col min="274" max="274" width="14" bestFit="1" customWidth="1"/>
    <col min="275" max="275" width="14.5" bestFit="1" customWidth="1"/>
    <col min="276" max="276" width="13" bestFit="1" customWidth="1"/>
    <col min="277" max="277" width="13.1640625" bestFit="1" customWidth="1"/>
    <col min="278" max="278" width="12" bestFit="1" customWidth="1"/>
    <col min="279" max="279" width="10" bestFit="1" customWidth="1"/>
    <col min="280" max="280" width="12.5" bestFit="1" customWidth="1"/>
    <col min="281" max="281" width="10.1640625" bestFit="1" customWidth="1"/>
    <col min="282" max="282" width="14.5" bestFit="1" customWidth="1"/>
    <col min="283" max="283" width="15.33203125" bestFit="1" customWidth="1"/>
    <col min="284" max="284" width="11.6640625" bestFit="1" customWidth="1"/>
    <col min="285" max="285" width="8.6640625" bestFit="1" customWidth="1"/>
    <col min="286" max="286" width="14.6640625" bestFit="1" customWidth="1"/>
    <col min="287" max="287" width="12.1640625" bestFit="1" customWidth="1"/>
    <col min="288" max="288" width="16.33203125" bestFit="1" customWidth="1"/>
    <col min="289" max="289" width="12.6640625" bestFit="1" customWidth="1"/>
    <col min="290" max="290" width="10.5" bestFit="1" customWidth="1"/>
    <col min="291" max="291" width="11.5" bestFit="1" customWidth="1"/>
    <col min="292" max="292" width="11.1640625" bestFit="1" customWidth="1"/>
    <col min="293" max="293" width="12.5" bestFit="1" customWidth="1"/>
    <col min="294" max="294" width="12.6640625" bestFit="1" customWidth="1"/>
    <col min="295" max="295" width="14.1640625" bestFit="1" customWidth="1"/>
    <col min="296" max="296" width="12" bestFit="1" customWidth="1"/>
    <col min="297" max="297" width="13.5" bestFit="1" customWidth="1"/>
    <col min="298" max="298" width="14.83203125" bestFit="1" customWidth="1"/>
    <col min="299" max="299" width="12" bestFit="1" customWidth="1"/>
    <col min="300" max="300" width="10" bestFit="1" customWidth="1"/>
    <col min="301" max="301" width="11.5" bestFit="1" customWidth="1"/>
    <col min="302" max="302" width="11" bestFit="1" customWidth="1"/>
    <col min="303" max="303" width="9.5" bestFit="1" customWidth="1"/>
    <col min="304" max="304" width="13.83203125" bestFit="1" customWidth="1"/>
    <col min="305" max="305" width="13.5" bestFit="1" customWidth="1"/>
    <col min="306" max="306" width="13.1640625" bestFit="1" customWidth="1"/>
    <col min="307" max="307" width="11.5" bestFit="1" customWidth="1"/>
    <col min="308" max="308" width="10.33203125" bestFit="1" customWidth="1"/>
    <col min="309" max="309" width="10.5" bestFit="1" customWidth="1"/>
    <col min="311" max="311" width="14" bestFit="1" customWidth="1"/>
    <col min="312" max="312" width="15.1640625" bestFit="1" customWidth="1"/>
    <col min="313" max="313" width="12.6640625" bestFit="1" customWidth="1"/>
    <col min="314" max="314" width="13" bestFit="1" customWidth="1"/>
    <col min="315" max="315" width="13.6640625" bestFit="1" customWidth="1"/>
    <col min="316" max="316" width="10.33203125" bestFit="1" customWidth="1"/>
    <col min="317" max="317" width="11.6640625" bestFit="1" customWidth="1"/>
    <col min="318" max="318" width="11.33203125" bestFit="1" customWidth="1"/>
    <col min="319" max="319" width="11.6640625" bestFit="1" customWidth="1"/>
    <col min="320" max="320" width="12.6640625" bestFit="1" customWidth="1"/>
    <col min="321" max="321" width="11.5" bestFit="1" customWidth="1"/>
    <col min="322" max="322" width="14.5" bestFit="1" customWidth="1"/>
    <col min="323" max="323" width="11.83203125" bestFit="1" customWidth="1"/>
    <col min="324" max="324" width="13.33203125" bestFit="1" customWidth="1"/>
    <col min="325" max="325" width="11.5" bestFit="1" customWidth="1"/>
    <col min="326" max="326" width="10.33203125" bestFit="1" customWidth="1"/>
    <col min="327" max="327" width="17" bestFit="1" customWidth="1"/>
    <col min="328" max="328" width="11.5" bestFit="1" customWidth="1"/>
    <col min="329" max="329" width="11.33203125" bestFit="1" customWidth="1"/>
    <col min="330" max="330" width="14.33203125" bestFit="1" customWidth="1"/>
    <col min="331" max="331" width="14.83203125" bestFit="1" customWidth="1"/>
    <col min="332" max="332" width="13.1640625" bestFit="1" customWidth="1"/>
    <col min="333" max="333" width="15.33203125" bestFit="1" customWidth="1"/>
    <col min="334" max="334" width="15" bestFit="1" customWidth="1"/>
    <col min="335" max="335" width="12" bestFit="1" customWidth="1"/>
    <col min="336" max="336" width="17" bestFit="1" customWidth="1"/>
    <col min="337" max="337" width="16.33203125" bestFit="1" customWidth="1"/>
    <col min="338" max="338" width="11" bestFit="1" customWidth="1"/>
    <col min="339" max="339" width="11.1640625" bestFit="1" customWidth="1"/>
    <col min="340" max="340" width="12.5" bestFit="1" customWidth="1"/>
    <col min="342" max="343" width="12.5" bestFit="1" customWidth="1"/>
    <col min="344" max="344" width="13.6640625" bestFit="1" customWidth="1"/>
    <col min="345" max="346" width="13.5" bestFit="1" customWidth="1"/>
    <col min="347" max="347" width="11.5" bestFit="1" customWidth="1"/>
    <col min="348" max="348" width="10.1640625" bestFit="1" customWidth="1"/>
    <col min="349" max="349" width="14" bestFit="1" customWidth="1"/>
    <col min="350" max="350" width="12.33203125" bestFit="1" customWidth="1"/>
    <col min="351" max="351" width="15.83203125" bestFit="1" customWidth="1"/>
    <col min="353" max="353" width="15.5" bestFit="1" customWidth="1"/>
    <col min="354" max="355" width="13.33203125" bestFit="1" customWidth="1"/>
    <col min="356" max="356" width="13.83203125" bestFit="1" customWidth="1"/>
    <col min="357" max="357" width="15.33203125" bestFit="1" customWidth="1"/>
    <col min="358" max="358" width="11" bestFit="1" customWidth="1"/>
    <col min="359" max="359" width="11.6640625" bestFit="1" customWidth="1"/>
    <col min="360" max="360" width="11" bestFit="1" customWidth="1"/>
    <col min="361" max="361" width="13.1640625" bestFit="1" customWidth="1"/>
    <col min="362" max="362" width="11.83203125" bestFit="1" customWidth="1"/>
    <col min="363" max="363" width="13.5" bestFit="1" customWidth="1"/>
    <col min="364" max="364" width="14.33203125" bestFit="1" customWidth="1"/>
    <col min="365" max="365" width="16.5" bestFit="1" customWidth="1"/>
    <col min="366" max="366" width="9.83203125" bestFit="1" customWidth="1"/>
    <col min="367" max="367" width="14.33203125" bestFit="1" customWidth="1"/>
    <col min="368" max="368" width="17.33203125" bestFit="1" customWidth="1"/>
    <col min="369" max="369" width="14.1640625" bestFit="1" customWidth="1"/>
    <col min="370" max="370" width="9.5" bestFit="1" customWidth="1"/>
    <col min="371" max="371" width="13.6640625" bestFit="1" customWidth="1"/>
    <col min="372" max="372" width="17.6640625" bestFit="1" customWidth="1"/>
    <col min="373" max="373" width="17" bestFit="1" customWidth="1"/>
    <col min="374" max="374" width="12.33203125" bestFit="1" customWidth="1"/>
    <col min="375" max="375" width="15.83203125" bestFit="1" customWidth="1"/>
    <col min="376" max="376" width="11.5" bestFit="1" customWidth="1"/>
    <col min="377" max="377" width="13.83203125" bestFit="1" customWidth="1"/>
    <col min="378" max="378" width="12.33203125" bestFit="1" customWidth="1"/>
    <col min="379" max="379" width="14.1640625" bestFit="1" customWidth="1"/>
    <col min="380" max="380" width="10.6640625" bestFit="1" customWidth="1"/>
    <col min="381" max="381" width="12.6640625" bestFit="1" customWidth="1"/>
    <col min="382" max="382" width="13.33203125" bestFit="1" customWidth="1"/>
    <col min="383" max="383" width="10" bestFit="1" customWidth="1"/>
    <col min="384" max="384" width="9.83203125" bestFit="1" customWidth="1"/>
    <col min="385" max="385" width="15.5" bestFit="1" customWidth="1"/>
    <col min="386" max="386" width="12.6640625" bestFit="1" customWidth="1"/>
    <col min="387" max="387" width="13.83203125" bestFit="1" customWidth="1"/>
    <col min="388" max="388" width="15.1640625" bestFit="1" customWidth="1"/>
    <col min="389" max="389" width="13.5" bestFit="1" customWidth="1"/>
    <col min="390" max="390" width="12.6640625" bestFit="1" customWidth="1"/>
    <col min="391" max="391" width="13.33203125" bestFit="1" customWidth="1"/>
    <col min="392" max="392" width="14" bestFit="1" customWidth="1"/>
    <col min="393" max="393" width="14.1640625" bestFit="1" customWidth="1"/>
    <col min="394" max="394" width="11.83203125" bestFit="1" customWidth="1"/>
    <col min="395" max="395" width="8.83203125" bestFit="1" customWidth="1"/>
    <col min="396" max="396" width="10" bestFit="1" customWidth="1"/>
    <col min="397" max="397" width="12" bestFit="1" customWidth="1"/>
    <col min="398" max="398" width="14.5" bestFit="1" customWidth="1"/>
    <col min="399" max="399" width="12.1640625" bestFit="1" customWidth="1"/>
    <col min="400" max="400" width="10.5" bestFit="1" customWidth="1"/>
    <col min="401" max="401" width="16" bestFit="1" customWidth="1"/>
    <col min="402" max="402" width="13.33203125" bestFit="1" customWidth="1"/>
    <col min="403" max="403" width="13.5" bestFit="1" customWidth="1"/>
    <col min="404" max="404" width="10.33203125" bestFit="1" customWidth="1"/>
    <col min="405" max="405" width="13" bestFit="1" customWidth="1"/>
    <col min="406" max="406" width="11.1640625" bestFit="1" customWidth="1"/>
    <col min="407" max="407" width="12" bestFit="1" customWidth="1"/>
    <col min="408" max="408" width="16.33203125" bestFit="1" customWidth="1"/>
    <col min="409" max="409" width="10" bestFit="1" customWidth="1"/>
    <col min="410" max="410" width="12.1640625" bestFit="1" customWidth="1"/>
    <col min="411" max="411" width="11.1640625" bestFit="1" customWidth="1"/>
    <col min="412" max="412" width="9.5" bestFit="1" customWidth="1"/>
    <col min="413" max="414" width="11.33203125" bestFit="1" customWidth="1"/>
    <col min="415" max="415" width="10" bestFit="1" customWidth="1"/>
    <col min="416" max="416" width="11.83203125" bestFit="1" customWidth="1"/>
    <col min="417" max="417" width="14.1640625" bestFit="1" customWidth="1"/>
    <col min="418" max="418" width="15.1640625" bestFit="1" customWidth="1"/>
    <col min="419" max="419" width="15.6640625" bestFit="1" customWidth="1"/>
    <col min="420" max="420" width="12" bestFit="1" customWidth="1"/>
    <col min="421" max="421" width="11.6640625" bestFit="1" customWidth="1"/>
    <col min="422" max="422" width="11.83203125" bestFit="1" customWidth="1"/>
    <col min="423" max="423" width="10.33203125" bestFit="1" customWidth="1"/>
    <col min="424" max="424" width="6.33203125" bestFit="1" customWidth="1"/>
    <col min="425" max="425" width="12.1640625" bestFit="1" customWidth="1"/>
    <col min="427" max="427" width="9.33203125" bestFit="1" customWidth="1"/>
    <col min="428" max="428" width="13.5" bestFit="1" customWidth="1"/>
    <col min="429" max="429" width="12.1640625" bestFit="1" customWidth="1"/>
    <col min="430" max="430" width="8.83203125" bestFit="1" customWidth="1"/>
    <col min="431" max="431" width="8.5" bestFit="1" customWidth="1"/>
    <col min="432" max="432" width="11.1640625" bestFit="1" customWidth="1"/>
    <col min="433" max="433" width="10.5" bestFit="1" customWidth="1"/>
    <col min="434" max="434" width="14" bestFit="1" customWidth="1"/>
    <col min="435" max="435" width="14.33203125" bestFit="1" customWidth="1"/>
    <col min="436" max="436" width="13.5" bestFit="1" customWidth="1"/>
    <col min="437" max="437" width="9.83203125" bestFit="1" customWidth="1"/>
    <col min="438" max="438" width="12.1640625" bestFit="1" customWidth="1"/>
    <col min="439" max="439" width="11.83203125" bestFit="1" customWidth="1"/>
    <col min="440" max="440" width="10.6640625" bestFit="1" customWidth="1"/>
    <col min="441" max="441" width="12.33203125" bestFit="1" customWidth="1"/>
    <col min="442" max="442" width="13.6640625" bestFit="1" customWidth="1"/>
    <col min="443" max="443" width="11" bestFit="1" customWidth="1"/>
    <col min="444" max="444" width="12.6640625" bestFit="1" customWidth="1"/>
    <col min="445" max="445" width="19.83203125" bestFit="1" customWidth="1"/>
    <col min="446" max="446" width="12.1640625" bestFit="1" customWidth="1"/>
    <col min="447" max="447" width="9.6640625" bestFit="1" customWidth="1"/>
    <col min="448" max="448" width="12.6640625" bestFit="1" customWidth="1"/>
    <col min="449" max="449" width="12.83203125" bestFit="1" customWidth="1"/>
    <col min="451" max="451" width="11.83203125" bestFit="1" customWidth="1"/>
    <col min="452" max="452" width="12.33203125" bestFit="1" customWidth="1"/>
    <col min="453" max="453" width="15.83203125" bestFit="1" customWidth="1"/>
    <col min="454" max="454" width="14.6640625" bestFit="1" customWidth="1"/>
    <col min="455" max="455" width="13.33203125" bestFit="1" customWidth="1"/>
    <col min="456" max="456" width="15.1640625" bestFit="1" customWidth="1"/>
    <col min="457" max="458" width="9.83203125" bestFit="1" customWidth="1"/>
    <col min="459" max="459" width="12.6640625" bestFit="1" customWidth="1"/>
    <col min="460" max="460" width="16.5" bestFit="1" customWidth="1"/>
    <col min="461" max="461" width="12.6640625" bestFit="1" customWidth="1"/>
    <col min="462" max="462" width="14" bestFit="1" customWidth="1"/>
    <col min="463" max="463" width="9.1640625" bestFit="1" customWidth="1"/>
    <col min="464" max="464" width="12.83203125" bestFit="1" customWidth="1"/>
    <col min="465" max="465" width="14.83203125" bestFit="1" customWidth="1"/>
    <col min="466" max="466" width="9.1640625" bestFit="1" customWidth="1"/>
    <col min="467" max="467" width="13.1640625" bestFit="1" customWidth="1"/>
    <col min="469" max="469" width="10.1640625" bestFit="1" customWidth="1"/>
    <col min="470" max="470" width="17.6640625" bestFit="1" customWidth="1"/>
    <col min="471" max="471" width="13" bestFit="1" customWidth="1"/>
    <col min="472" max="472" width="12.1640625" bestFit="1" customWidth="1"/>
    <col min="473" max="473" width="12.83203125" bestFit="1" customWidth="1"/>
    <col min="474" max="474" width="12.6640625" bestFit="1" customWidth="1"/>
    <col min="475" max="475" width="11.33203125" bestFit="1" customWidth="1"/>
    <col min="476" max="476" width="10.6640625" bestFit="1" customWidth="1"/>
    <col min="477" max="477" width="12.6640625" bestFit="1" customWidth="1"/>
    <col min="478" max="478" width="12" bestFit="1" customWidth="1"/>
    <col min="479" max="479" width="9.5" bestFit="1" customWidth="1"/>
    <col min="480" max="480" width="12.1640625" bestFit="1" customWidth="1"/>
    <col min="481" max="481" width="10" bestFit="1" customWidth="1"/>
    <col min="482" max="482" width="14.5" bestFit="1" customWidth="1"/>
    <col min="483" max="483" width="13.33203125" bestFit="1" customWidth="1"/>
    <col min="484" max="484" width="12.1640625" bestFit="1" customWidth="1"/>
    <col min="485" max="485" width="9.6640625" bestFit="1" customWidth="1"/>
    <col min="486" max="486" width="9.5" bestFit="1" customWidth="1"/>
    <col min="487" max="487" width="10.6640625" bestFit="1" customWidth="1"/>
    <col min="488" max="488" width="12" bestFit="1" customWidth="1"/>
    <col min="489" max="490" width="13.1640625" bestFit="1" customWidth="1"/>
    <col min="491" max="491" width="13.5" bestFit="1" customWidth="1"/>
    <col min="492" max="492" width="10.33203125" bestFit="1" customWidth="1"/>
    <col min="493" max="493" width="12" bestFit="1" customWidth="1"/>
    <col min="494" max="494" width="14.1640625" bestFit="1" customWidth="1"/>
    <col min="495" max="495" width="11.83203125" bestFit="1" customWidth="1"/>
    <col min="496" max="496" width="15.33203125" bestFit="1" customWidth="1"/>
    <col min="497" max="497" width="9.5" bestFit="1" customWidth="1"/>
    <col min="498" max="498" width="14.6640625" bestFit="1" customWidth="1"/>
    <col min="499" max="499" width="12.83203125" bestFit="1" customWidth="1"/>
    <col min="500" max="500" width="12" bestFit="1" customWidth="1"/>
    <col min="501" max="501" width="13.5" bestFit="1" customWidth="1"/>
    <col min="502" max="502" width="10.33203125" bestFit="1" customWidth="1"/>
    <col min="503" max="503" width="10.5" bestFit="1" customWidth="1"/>
    <col min="504" max="504" width="15.5" bestFit="1" customWidth="1"/>
    <col min="505" max="505" width="11.33203125" bestFit="1" customWidth="1"/>
    <col min="506" max="506" width="13.5" bestFit="1" customWidth="1"/>
    <col min="507" max="507" width="11.5" bestFit="1" customWidth="1"/>
    <col min="508" max="508" width="12.33203125" bestFit="1" customWidth="1"/>
    <col min="509" max="509" width="15" bestFit="1" customWidth="1"/>
    <col min="510" max="510" width="20.5" bestFit="1" customWidth="1"/>
    <col min="511" max="511" width="11.6640625" bestFit="1" customWidth="1"/>
    <col min="512" max="512" width="12.1640625" bestFit="1" customWidth="1"/>
    <col min="513" max="513" width="14.83203125" bestFit="1" customWidth="1"/>
    <col min="514" max="514" width="11" bestFit="1" customWidth="1"/>
    <col min="515" max="515" width="13.83203125" bestFit="1" customWidth="1"/>
    <col min="516" max="516" width="12.83203125" bestFit="1" customWidth="1"/>
    <col min="518" max="518" width="12.1640625" bestFit="1" customWidth="1"/>
    <col min="519" max="519" width="15.1640625" bestFit="1" customWidth="1"/>
    <col min="520" max="520" width="9.83203125" bestFit="1" customWidth="1"/>
    <col min="521" max="521" width="15.6640625" bestFit="1" customWidth="1"/>
    <col min="522" max="522" width="18.1640625" bestFit="1" customWidth="1"/>
    <col min="523" max="523" width="16.33203125" bestFit="1" customWidth="1"/>
    <col min="524" max="524" width="12.6640625" bestFit="1" customWidth="1"/>
    <col min="525" max="525" width="12.83203125" bestFit="1" customWidth="1"/>
    <col min="526" max="526" width="11.5" bestFit="1" customWidth="1"/>
    <col min="527" max="527" width="12.1640625" bestFit="1" customWidth="1"/>
    <col min="528" max="528" width="10.1640625" bestFit="1" customWidth="1"/>
    <col min="529" max="529" width="11.83203125" bestFit="1" customWidth="1"/>
    <col min="530" max="530" width="13.1640625" bestFit="1" customWidth="1"/>
    <col min="531" max="531" width="15.33203125" bestFit="1" customWidth="1"/>
    <col min="532" max="532" width="18.1640625" bestFit="1" customWidth="1"/>
    <col min="533" max="533" width="12.83203125" bestFit="1" customWidth="1"/>
    <col min="534" max="534" width="16.33203125" bestFit="1" customWidth="1"/>
    <col min="535" max="535" width="13.6640625" bestFit="1" customWidth="1"/>
    <col min="536" max="536" width="15.1640625" bestFit="1" customWidth="1"/>
    <col min="537" max="537" width="14.5" bestFit="1" customWidth="1"/>
    <col min="538" max="538" width="14" bestFit="1" customWidth="1"/>
    <col min="539" max="541" width="11" bestFit="1" customWidth="1"/>
    <col min="542" max="542" width="12.33203125" bestFit="1" customWidth="1"/>
    <col min="543" max="543" width="13.83203125" bestFit="1" customWidth="1"/>
    <col min="544" max="544" width="10.33203125" bestFit="1" customWidth="1"/>
    <col min="545" max="545" width="11.83203125" bestFit="1" customWidth="1"/>
    <col min="546" max="546" width="11" bestFit="1" customWidth="1"/>
    <col min="548" max="548" width="14.33203125" bestFit="1" customWidth="1"/>
    <col min="549" max="549" width="9.5" bestFit="1" customWidth="1"/>
    <col min="550" max="550" width="13.1640625" bestFit="1" customWidth="1"/>
    <col min="551" max="551" width="14" bestFit="1" customWidth="1"/>
    <col min="552" max="552" width="14.83203125" bestFit="1" customWidth="1"/>
    <col min="553" max="553" width="12.6640625" bestFit="1" customWidth="1"/>
    <col min="554" max="554" width="12" bestFit="1" customWidth="1"/>
    <col min="555" max="555" width="16.33203125" bestFit="1" customWidth="1"/>
    <col min="556" max="556" width="12.6640625" bestFit="1" customWidth="1"/>
    <col min="557" max="557" width="14.1640625" bestFit="1" customWidth="1"/>
    <col min="558" max="558" width="14.33203125" bestFit="1" customWidth="1"/>
    <col min="559" max="559" width="10.33203125" bestFit="1" customWidth="1"/>
    <col min="560" max="560" width="11.33203125" bestFit="1" customWidth="1"/>
    <col min="561" max="561" width="16.33203125" bestFit="1" customWidth="1"/>
    <col min="562" max="562" width="13.83203125" bestFit="1" customWidth="1"/>
    <col min="563" max="563" width="12.6640625" bestFit="1" customWidth="1"/>
    <col min="564" max="564" width="9" bestFit="1" customWidth="1"/>
    <col min="565" max="565" width="13.33203125" bestFit="1" customWidth="1"/>
    <col min="566" max="566" width="16.5" bestFit="1" customWidth="1"/>
    <col min="567" max="567" width="13.6640625" bestFit="1" customWidth="1"/>
    <col min="568" max="568" width="12.83203125" bestFit="1" customWidth="1"/>
    <col min="569" max="569" width="12.5" bestFit="1" customWidth="1"/>
    <col min="570" max="570" width="11" bestFit="1" customWidth="1"/>
    <col min="571" max="571" width="13.33203125" bestFit="1" customWidth="1"/>
    <col min="572" max="572" width="11.33203125" bestFit="1" customWidth="1"/>
    <col min="573" max="573" width="12.5" bestFit="1" customWidth="1"/>
    <col min="574" max="574" width="15.83203125" bestFit="1" customWidth="1"/>
    <col min="575" max="576" width="14.6640625" bestFit="1" customWidth="1"/>
    <col min="577" max="577" width="9.5" bestFit="1" customWidth="1"/>
    <col min="578" max="578" width="14.1640625" bestFit="1" customWidth="1"/>
    <col min="579" max="579" width="10.1640625" bestFit="1" customWidth="1"/>
    <col min="580" max="580" width="17" bestFit="1" customWidth="1"/>
    <col min="581" max="581" width="13.33203125" bestFit="1" customWidth="1"/>
    <col min="582" max="582" width="15.5" bestFit="1" customWidth="1"/>
    <col min="583" max="583" width="16.33203125" bestFit="1" customWidth="1"/>
    <col min="584" max="584" width="19.33203125" bestFit="1" customWidth="1"/>
    <col min="585" max="585" width="10.33203125" bestFit="1" customWidth="1"/>
    <col min="586" max="586" width="13.1640625" bestFit="1" customWidth="1"/>
    <col min="587" max="587" width="15.1640625" bestFit="1" customWidth="1"/>
    <col min="588" max="588" width="12.5" bestFit="1" customWidth="1"/>
    <col min="589" max="589" width="10.5" bestFit="1" customWidth="1"/>
    <col min="590" max="590" width="17" bestFit="1" customWidth="1"/>
    <col min="591" max="591" width="13" bestFit="1" customWidth="1"/>
    <col min="593" max="593" width="12.6640625" bestFit="1" customWidth="1"/>
    <col min="594" max="594" width="12.33203125" bestFit="1" customWidth="1"/>
    <col min="595" max="595" width="14" bestFit="1" customWidth="1"/>
    <col min="596" max="596" width="15.5" bestFit="1" customWidth="1"/>
    <col min="597" max="597" width="11.83203125" bestFit="1" customWidth="1"/>
    <col min="598" max="598" width="15.1640625" bestFit="1" customWidth="1"/>
    <col min="599" max="599" width="11.5" bestFit="1" customWidth="1"/>
    <col min="600" max="600" width="13.1640625" bestFit="1" customWidth="1"/>
    <col min="601" max="601" width="13" bestFit="1" customWidth="1"/>
    <col min="602" max="603" width="12.5" bestFit="1" customWidth="1"/>
    <col min="604" max="605" width="12.6640625" bestFit="1" customWidth="1"/>
    <col min="606" max="606" width="13.6640625" bestFit="1" customWidth="1"/>
    <col min="607" max="607" width="12.1640625" bestFit="1" customWidth="1"/>
    <col min="608" max="608" width="13.5" bestFit="1" customWidth="1"/>
    <col min="609" max="609" width="16.33203125" bestFit="1" customWidth="1"/>
    <col min="610" max="610" width="13" bestFit="1" customWidth="1"/>
    <col min="611" max="611" width="9.33203125" bestFit="1" customWidth="1"/>
    <col min="612" max="612" width="11" bestFit="1" customWidth="1"/>
    <col min="613" max="614" width="11.1640625" bestFit="1" customWidth="1"/>
    <col min="615" max="615" width="12.83203125" bestFit="1" customWidth="1"/>
    <col min="616" max="616" width="15.1640625" bestFit="1" customWidth="1"/>
    <col min="617" max="617" width="13.5" bestFit="1" customWidth="1"/>
    <col min="618" max="618" width="17.83203125" bestFit="1" customWidth="1"/>
    <col min="619" max="619" width="11.6640625" bestFit="1" customWidth="1"/>
    <col min="620" max="620" width="12.5" bestFit="1" customWidth="1"/>
    <col min="621" max="621" width="20.1640625" bestFit="1" customWidth="1"/>
    <col min="622" max="622" width="15.6640625" bestFit="1" customWidth="1"/>
    <col min="623" max="623" width="12.6640625" bestFit="1" customWidth="1"/>
    <col min="624" max="624" width="13" bestFit="1" customWidth="1"/>
    <col min="625" max="625" width="11.33203125" bestFit="1" customWidth="1"/>
    <col min="626" max="626" width="17.1640625" bestFit="1" customWidth="1"/>
    <col min="627" max="627" width="12.1640625" bestFit="1" customWidth="1"/>
    <col min="628" max="628" width="10.5" bestFit="1" customWidth="1"/>
    <col min="629" max="629" width="12.33203125" bestFit="1" customWidth="1"/>
    <col min="630" max="630" width="13.33203125" bestFit="1" customWidth="1"/>
    <col min="631" max="631" width="11.5" bestFit="1" customWidth="1"/>
    <col min="632" max="632" width="13" bestFit="1" customWidth="1"/>
    <col min="633" max="633" width="14" bestFit="1" customWidth="1"/>
    <col min="634" max="634" width="13.83203125" bestFit="1" customWidth="1"/>
    <col min="635" max="635" width="12.83203125" bestFit="1" customWidth="1"/>
    <col min="636" max="636" width="14.33203125" bestFit="1" customWidth="1"/>
    <col min="637" max="637" width="12.1640625" bestFit="1" customWidth="1"/>
    <col min="638" max="638" width="14.5" bestFit="1" customWidth="1"/>
    <col min="639" max="639" width="12.5" bestFit="1" customWidth="1"/>
    <col min="640" max="640" width="12" bestFit="1" customWidth="1"/>
    <col min="641" max="641" width="9.83203125" bestFit="1" customWidth="1"/>
    <col min="642" max="642" width="10.33203125" bestFit="1" customWidth="1"/>
    <col min="644" max="644" width="13" bestFit="1" customWidth="1"/>
    <col min="645" max="645" width="14.1640625" bestFit="1" customWidth="1"/>
    <col min="646" max="646" width="15.6640625" bestFit="1" customWidth="1"/>
    <col min="647" max="647" width="12.83203125" bestFit="1" customWidth="1"/>
    <col min="648" max="648" width="13.1640625" bestFit="1" customWidth="1"/>
    <col min="649" max="649" width="15.33203125" bestFit="1" customWidth="1"/>
    <col min="650" max="650" width="12" bestFit="1" customWidth="1"/>
    <col min="651" max="651" width="13.33203125" bestFit="1" customWidth="1"/>
    <col min="652" max="652" width="11.6640625" bestFit="1" customWidth="1"/>
    <col min="653" max="653" width="13" bestFit="1" customWidth="1"/>
    <col min="654" max="654" width="10.5" bestFit="1" customWidth="1"/>
    <col min="655" max="655" width="13.33203125" bestFit="1" customWidth="1"/>
    <col min="656" max="656" width="14.1640625" bestFit="1" customWidth="1"/>
    <col min="657" max="657" width="11.83203125" bestFit="1" customWidth="1"/>
    <col min="658" max="658" width="10.1640625" bestFit="1" customWidth="1"/>
    <col min="659" max="659" width="9.5" bestFit="1" customWidth="1"/>
    <col min="660" max="660" width="10.5" bestFit="1" customWidth="1"/>
    <col min="661" max="661" width="11.33203125" bestFit="1" customWidth="1"/>
    <col min="662" max="662" width="12.33203125" bestFit="1" customWidth="1"/>
    <col min="663" max="663" width="9.83203125" bestFit="1" customWidth="1"/>
    <col min="664" max="664" width="12.33203125" bestFit="1" customWidth="1"/>
    <col min="665" max="665" width="10.1640625" bestFit="1" customWidth="1"/>
    <col min="666" max="666" width="13.1640625" bestFit="1" customWidth="1"/>
    <col min="667" max="667" width="10.5" bestFit="1" customWidth="1"/>
    <col min="668" max="669" width="12.33203125" bestFit="1" customWidth="1"/>
    <col min="670" max="670" width="10.33203125" bestFit="1" customWidth="1"/>
    <col min="671" max="671" width="15" bestFit="1" customWidth="1"/>
    <col min="672" max="672" width="12.33203125" bestFit="1" customWidth="1"/>
    <col min="673" max="673" width="11.83203125" bestFit="1" customWidth="1"/>
    <col min="674" max="675" width="11.33203125" bestFit="1" customWidth="1"/>
    <col min="676" max="677" width="12.5" bestFit="1" customWidth="1"/>
    <col min="678" max="678" width="10.1640625" bestFit="1" customWidth="1"/>
    <col min="679" max="679" width="12.6640625" bestFit="1" customWidth="1"/>
    <col min="680" max="680" width="9.83203125" bestFit="1" customWidth="1"/>
    <col min="681" max="681" width="11.83203125" bestFit="1" customWidth="1"/>
    <col min="682" max="682" width="18.33203125" bestFit="1" customWidth="1"/>
    <col min="683" max="683" width="14" bestFit="1" customWidth="1"/>
    <col min="684" max="684" width="10.5" bestFit="1" customWidth="1"/>
    <col min="685" max="685" width="13.6640625" bestFit="1" customWidth="1"/>
    <col min="686" max="686" width="11.1640625" bestFit="1" customWidth="1"/>
    <col min="688" max="688" width="13.1640625" bestFit="1" customWidth="1"/>
    <col min="689" max="689" width="11.5" bestFit="1" customWidth="1"/>
    <col min="690" max="690" width="13" bestFit="1" customWidth="1"/>
    <col min="691" max="691" width="10" bestFit="1" customWidth="1"/>
    <col min="692" max="692" width="12.83203125" bestFit="1" customWidth="1"/>
    <col min="693" max="693" width="8.6640625" bestFit="1" customWidth="1"/>
    <col min="694" max="694" width="8" bestFit="1" customWidth="1"/>
    <col min="695" max="695" width="10.6640625" bestFit="1" customWidth="1"/>
    <col min="696" max="696" width="12.6640625" bestFit="1" customWidth="1"/>
    <col min="698" max="698" width="13.5" bestFit="1" customWidth="1"/>
    <col min="699" max="699" width="13.83203125" bestFit="1" customWidth="1"/>
    <col min="700" max="700" width="14.1640625" bestFit="1" customWidth="1"/>
    <col min="701" max="701" width="16.6640625" bestFit="1" customWidth="1"/>
    <col min="702" max="702" width="13.83203125" bestFit="1" customWidth="1"/>
    <col min="703" max="703" width="16.6640625" bestFit="1" customWidth="1"/>
    <col min="704" max="704" width="12.33203125" bestFit="1" customWidth="1"/>
    <col min="705" max="705" width="8.5" bestFit="1" customWidth="1"/>
    <col min="706" max="706" width="9.83203125" bestFit="1" customWidth="1"/>
    <col min="707" max="707" width="12" bestFit="1" customWidth="1"/>
    <col min="708" max="708" width="12.1640625" bestFit="1" customWidth="1"/>
    <col min="709" max="709" width="16.33203125" bestFit="1" customWidth="1"/>
    <col min="710" max="710" width="15.5" bestFit="1" customWidth="1"/>
    <col min="711" max="711" width="15.1640625" bestFit="1" customWidth="1"/>
    <col min="712" max="712" width="13.83203125" bestFit="1" customWidth="1"/>
    <col min="713" max="713" width="15" bestFit="1" customWidth="1"/>
    <col min="714" max="714" width="12.6640625" bestFit="1" customWidth="1"/>
    <col min="715" max="715" width="11.5" bestFit="1" customWidth="1"/>
    <col min="716" max="716" width="10.1640625" bestFit="1" customWidth="1"/>
    <col min="717" max="717" width="13.83203125" bestFit="1" customWidth="1"/>
    <col min="718" max="718" width="12.33203125" bestFit="1" customWidth="1"/>
    <col min="719" max="719" width="19" bestFit="1" customWidth="1"/>
    <col min="720" max="721" width="14.6640625" bestFit="1" customWidth="1"/>
    <col min="722" max="722" width="8.5" bestFit="1" customWidth="1"/>
    <col min="723" max="723" width="9.33203125" bestFit="1" customWidth="1"/>
    <col min="724" max="724" width="14.33203125" bestFit="1" customWidth="1"/>
    <col min="725" max="725" width="11.33203125" bestFit="1" customWidth="1"/>
    <col min="726" max="726" width="10.1640625" bestFit="1" customWidth="1"/>
    <col min="727" max="727" width="11.1640625" bestFit="1" customWidth="1"/>
    <col min="728" max="728" width="15.5" bestFit="1" customWidth="1"/>
    <col min="729" max="729" width="10.5" bestFit="1" customWidth="1"/>
    <col min="730" max="730" width="14.1640625" bestFit="1" customWidth="1"/>
    <col min="732" max="732" width="12" bestFit="1" customWidth="1"/>
    <col min="733" max="733" width="18.1640625" bestFit="1" customWidth="1"/>
    <col min="734" max="734" width="12.6640625" bestFit="1" customWidth="1"/>
    <col min="735" max="735" width="12.33203125" bestFit="1" customWidth="1"/>
    <col min="736" max="736" width="13.33203125" bestFit="1" customWidth="1"/>
    <col min="737" max="737" width="14.33203125" bestFit="1" customWidth="1"/>
    <col min="738" max="738" width="13" bestFit="1" customWidth="1"/>
    <col min="739" max="739" width="11.83203125" bestFit="1" customWidth="1"/>
    <col min="740" max="740" width="10.5" bestFit="1" customWidth="1"/>
    <col min="741" max="741" width="13.6640625" bestFit="1" customWidth="1"/>
    <col min="742" max="742" width="12" bestFit="1" customWidth="1"/>
    <col min="743" max="743" width="15.1640625" bestFit="1" customWidth="1"/>
    <col min="744" max="744" width="10.5" bestFit="1" customWidth="1"/>
    <col min="745" max="745" width="11.6640625" bestFit="1" customWidth="1"/>
    <col min="746" max="746" width="14.6640625" bestFit="1" customWidth="1"/>
    <col min="747" max="747" width="14" bestFit="1" customWidth="1"/>
    <col min="749" max="749" width="14.1640625" bestFit="1" customWidth="1"/>
    <col min="750" max="750" width="13.1640625" bestFit="1" customWidth="1"/>
    <col min="751" max="751" width="14.33203125" bestFit="1" customWidth="1"/>
    <col min="752" max="752" width="12.33203125" bestFit="1" customWidth="1"/>
    <col min="753" max="753" width="11.83203125" bestFit="1" customWidth="1"/>
    <col min="754" max="754" width="18.83203125" bestFit="1" customWidth="1"/>
    <col min="755" max="755" width="14.83203125" bestFit="1" customWidth="1"/>
    <col min="756" max="756" width="9.5" bestFit="1" customWidth="1"/>
    <col min="757" max="757" width="11.6640625" bestFit="1" customWidth="1"/>
    <col min="758" max="758" width="13.33203125" bestFit="1" customWidth="1"/>
    <col min="759" max="759" width="12.6640625" bestFit="1" customWidth="1"/>
    <col min="760" max="760" width="12" bestFit="1" customWidth="1"/>
    <col min="761" max="761" width="10.5" bestFit="1" customWidth="1"/>
    <col min="762" max="762" width="15.1640625" bestFit="1" customWidth="1"/>
    <col min="763" max="763" width="15.5" bestFit="1" customWidth="1"/>
    <col min="764" max="764" width="12.5" bestFit="1" customWidth="1"/>
    <col min="765" max="765" width="15.5" bestFit="1" customWidth="1"/>
    <col min="766" max="766" width="13" bestFit="1" customWidth="1"/>
    <col min="767" max="767" width="14" bestFit="1" customWidth="1"/>
    <col min="768" max="768" width="13.1640625" bestFit="1" customWidth="1"/>
    <col min="769" max="769" width="12.6640625" bestFit="1" customWidth="1"/>
    <col min="770" max="770" width="11.6640625" bestFit="1" customWidth="1"/>
    <col min="771" max="771" width="13.1640625" bestFit="1" customWidth="1"/>
    <col min="772" max="772" width="11.6640625" bestFit="1" customWidth="1"/>
    <col min="773" max="773" width="10" bestFit="1" customWidth="1"/>
    <col min="774" max="774" width="11" bestFit="1" customWidth="1"/>
    <col min="775" max="775" width="14.1640625" bestFit="1" customWidth="1"/>
    <col min="776" max="776" width="11.5" bestFit="1" customWidth="1"/>
    <col min="778" max="778" width="13.33203125" bestFit="1" customWidth="1"/>
    <col min="779" max="779" width="13" bestFit="1" customWidth="1"/>
    <col min="780" max="780" width="14.83203125" bestFit="1" customWidth="1"/>
    <col min="781" max="781" width="16" bestFit="1" customWidth="1"/>
    <col min="782" max="782" width="12.6640625" bestFit="1" customWidth="1"/>
    <col min="783" max="783" width="12.1640625" bestFit="1" customWidth="1"/>
    <col min="784" max="784" width="13.33203125" bestFit="1" customWidth="1"/>
    <col min="785" max="785" width="11.5" bestFit="1" customWidth="1"/>
    <col min="786" max="786" width="13" bestFit="1" customWidth="1"/>
    <col min="787" max="787" width="10.6640625" bestFit="1" customWidth="1"/>
    <col min="788" max="788" width="12.6640625" bestFit="1" customWidth="1"/>
    <col min="789" max="789" width="15.1640625" bestFit="1" customWidth="1"/>
    <col min="790" max="790" width="13.5" bestFit="1" customWidth="1"/>
    <col min="791" max="791" width="12.83203125" bestFit="1" customWidth="1"/>
    <col min="792" max="792" width="17.1640625" bestFit="1" customWidth="1"/>
    <col min="793" max="793" width="15.83203125" bestFit="1" customWidth="1"/>
    <col min="794" max="794" width="12" bestFit="1" customWidth="1"/>
    <col min="797" max="797" width="12.1640625" bestFit="1" customWidth="1"/>
    <col min="798" max="798" width="14.5" bestFit="1" customWidth="1"/>
    <col min="799" max="799" width="12.6640625" bestFit="1" customWidth="1"/>
    <col min="800" max="800" width="10.1640625" bestFit="1" customWidth="1"/>
    <col min="801" max="801" width="10.33203125" bestFit="1" customWidth="1"/>
    <col min="802" max="802" width="12.6640625" bestFit="1" customWidth="1"/>
    <col min="803" max="804" width="12.1640625" bestFit="1" customWidth="1"/>
    <col min="805" max="805" width="14.1640625" bestFit="1" customWidth="1"/>
    <col min="806" max="806" width="13.1640625" bestFit="1" customWidth="1"/>
    <col min="807" max="807" width="9.5" bestFit="1" customWidth="1"/>
    <col min="808" max="808" width="11.83203125" bestFit="1" customWidth="1"/>
    <col min="809" max="809" width="10.5" bestFit="1" customWidth="1"/>
    <col min="810" max="810" width="13.6640625" bestFit="1" customWidth="1"/>
    <col min="811" max="811" width="13.33203125" bestFit="1" customWidth="1"/>
    <col min="813" max="813" width="13" bestFit="1" customWidth="1"/>
    <col min="814" max="814" width="13.6640625" bestFit="1" customWidth="1"/>
    <col min="815" max="815" width="14.33203125" bestFit="1" customWidth="1"/>
    <col min="816" max="816" width="10.5" bestFit="1" customWidth="1"/>
    <col min="817" max="817" width="9.5" bestFit="1" customWidth="1"/>
    <col min="818" max="818" width="12.1640625" bestFit="1" customWidth="1"/>
    <col min="819" max="819" width="15.5" bestFit="1" customWidth="1"/>
    <col min="820" max="820" width="13" bestFit="1" customWidth="1"/>
    <col min="821" max="821" width="12.1640625" bestFit="1" customWidth="1"/>
    <col min="822" max="822" width="9.1640625" bestFit="1" customWidth="1"/>
    <col min="823" max="823" width="11.5" bestFit="1" customWidth="1"/>
    <col min="824" max="824" width="13.1640625" bestFit="1" customWidth="1"/>
    <col min="825" max="825" width="11.83203125" bestFit="1" customWidth="1"/>
    <col min="826" max="826" width="10.33203125" bestFit="1" customWidth="1"/>
    <col min="827" max="827" width="13.1640625" bestFit="1" customWidth="1"/>
    <col min="828" max="828" width="12.5" bestFit="1" customWidth="1"/>
    <col min="829" max="829" width="11.1640625" bestFit="1" customWidth="1"/>
    <col min="830" max="830" width="15.83203125" bestFit="1" customWidth="1"/>
    <col min="831" max="831" width="14.83203125" bestFit="1" customWidth="1"/>
    <col min="832" max="832" width="15.83203125" bestFit="1" customWidth="1"/>
    <col min="833" max="833" width="9" bestFit="1" customWidth="1"/>
    <col min="834" max="834" width="10" bestFit="1" customWidth="1"/>
    <col min="836" max="836" width="13.83203125" bestFit="1" customWidth="1"/>
    <col min="837" max="837" width="15.83203125" bestFit="1" customWidth="1"/>
    <col min="838" max="838" width="11.83203125" bestFit="1" customWidth="1"/>
    <col min="839" max="839" width="11.6640625" bestFit="1" customWidth="1"/>
    <col min="840" max="840" width="10.6640625" bestFit="1" customWidth="1"/>
    <col min="841" max="841" width="13.33203125" bestFit="1" customWidth="1"/>
    <col min="842" max="842" width="15.6640625" bestFit="1" customWidth="1"/>
    <col min="843" max="843" width="15" bestFit="1" customWidth="1"/>
    <col min="844" max="844" width="10.1640625" bestFit="1" customWidth="1"/>
    <col min="845" max="845" width="16" bestFit="1" customWidth="1"/>
    <col min="846" max="846" width="13.6640625" bestFit="1" customWidth="1"/>
    <col min="847" max="847" width="10.33203125" bestFit="1" customWidth="1"/>
    <col min="848" max="848" width="15.5" bestFit="1" customWidth="1"/>
    <col min="849" max="849" width="12.6640625" bestFit="1" customWidth="1"/>
    <col min="850" max="850" width="9.33203125" bestFit="1" customWidth="1"/>
    <col min="851" max="851" width="17.83203125" bestFit="1" customWidth="1"/>
    <col min="852" max="852" width="10.5" bestFit="1" customWidth="1"/>
    <col min="853" max="853" width="16.33203125" bestFit="1" customWidth="1"/>
    <col min="854" max="854" width="15.33203125" bestFit="1" customWidth="1"/>
    <col min="855" max="855" width="12.1640625" bestFit="1" customWidth="1"/>
    <col min="856" max="856" width="13.6640625" bestFit="1" customWidth="1"/>
    <col min="857" max="857" width="11.83203125" bestFit="1" customWidth="1"/>
    <col min="858" max="858" width="12.1640625" bestFit="1" customWidth="1"/>
    <col min="859" max="859" width="10.33203125" bestFit="1" customWidth="1"/>
    <col min="860" max="860" width="15.1640625" bestFit="1" customWidth="1"/>
    <col min="861" max="861" width="10.6640625" bestFit="1" customWidth="1"/>
    <col min="862" max="862" width="14" bestFit="1" customWidth="1"/>
    <col min="863" max="863" width="11.5" bestFit="1" customWidth="1"/>
    <col min="864" max="864" width="12.1640625" bestFit="1" customWidth="1"/>
    <col min="865" max="865" width="12.33203125" bestFit="1" customWidth="1"/>
    <col min="866" max="866" width="14.33203125" bestFit="1" customWidth="1"/>
    <col min="867" max="867" width="12.6640625" bestFit="1" customWidth="1"/>
    <col min="868" max="868" width="11" bestFit="1" customWidth="1"/>
    <col min="869" max="869" width="14.6640625" bestFit="1" customWidth="1"/>
    <col min="870" max="870" width="15.83203125" bestFit="1" customWidth="1"/>
    <col min="871" max="871" width="14.6640625" bestFit="1" customWidth="1"/>
    <col min="872" max="872" width="15.33203125" bestFit="1" customWidth="1"/>
    <col min="873" max="873" width="14" bestFit="1" customWidth="1"/>
    <col min="874" max="874" width="11.5" bestFit="1" customWidth="1"/>
    <col min="875" max="875" width="11" bestFit="1" customWidth="1"/>
    <col min="876" max="876" width="13.1640625" bestFit="1" customWidth="1"/>
    <col min="877" max="877" width="13" bestFit="1" customWidth="1"/>
    <col min="878" max="878" width="11.83203125" bestFit="1" customWidth="1"/>
    <col min="879" max="879" width="11.5" bestFit="1" customWidth="1"/>
    <col min="880" max="880" width="17.5" bestFit="1" customWidth="1"/>
    <col min="881" max="881" width="14.6640625" bestFit="1" customWidth="1"/>
    <col min="882" max="882" width="13.6640625" bestFit="1" customWidth="1"/>
    <col min="883" max="883" width="13.83203125" bestFit="1" customWidth="1"/>
    <col min="884" max="884" width="15.6640625" bestFit="1" customWidth="1"/>
    <col min="885" max="885" width="13.1640625" bestFit="1" customWidth="1"/>
    <col min="886" max="886" width="14.33203125" bestFit="1" customWidth="1"/>
    <col min="887" max="887" width="14.1640625" bestFit="1" customWidth="1"/>
    <col min="888" max="888" width="12.33203125" bestFit="1" customWidth="1"/>
    <col min="890" max="890" width="16.6640625" bestFit="1" customWidth="1"/>
    <col min="891" max="891" width="16" bestFit="1" customWidth="1"/>
    <col min="892" max="892" width="11.83203125" bestFit="1" customWidth="1"/>
    <col min="893" max="893" width="13" bestFit="1" customWidth="1"/>
    <col min="894" max="894" width="12.33203125" bestFit="1" customWidth="1"/>
    <col min="896" max="896" width="10.1640625" bestFit="1" customWidth="1"/>
    <col min="897" max="897" width="11.5" bestFit="1" customWidth="1"/>
    <col min="898" max="898" width="11.33203125" bestFit="1" customWidth="1"/>
    <col min="899" max="899" width="10" bestFit="1" customWidth="1"/>
    <col min="900" max="900" width="12.83203125" bestFit="1" customWidth="1"/>
    <col min="901" max="901" width="15.83203125" bestFit="1" customWidth="1"/>
    <col min="902" max="902" width="12.5" bestFit="1" customWidth="1"/>
    <col min="903" max="903" width="11.33203125" bestFit="1" customWidth="1"/>
    <col min="904" max="904" width="13.6640625" bestFit="1" customWidth="1"/>
    <col min="905" max="905" width="11.5" bestFit="1" customWidth="1"/>
    <col min="906" max="906" width="10.6640625" bestFit="1" customWidth="1"/>
    <col min="907" max="907" width="16.6640625" bestFit="1" customWidth="1"/>
    <col min="908" max="908" width="14.5" bestFit="1" customWidth="1"/>
    <col min="909" max="909" width="12" bestFit="1" customWidth="1"/>
    <col min="910" max="910" width="12.6640625" bestFit="1" customWidth="1"/>
    <col min="911" max="911" width="10.1640625" bestFit="1" customWidth="1"/>
    <col min="912" max="912" width="11.5" bestFit="1" customWidth="1"/>
    <col min="913" max="913" width="10.6640625" bestFit="1" customWidth="1"/>
    <col min="914" max="914" width="12.33203125" bestFit="1" customWidth="1"/>
    <col min="915" max="915" width="10.1640625" bestFit="1" customWidth="1"/>
  </cols>
  <sheetData>
    <row r="3" spans="1:8" x14ac:dyDescent="0.2">
      <c r="A3" s="8" t="s">
        <v>6218</v>
      </c>
      <c r="B3" t="s">
        <v>6199</v>
      </c>
      <c r="D3" t="s">
        <v>6218</v>
      </c>
      <c r="E3" t="s">
        <v>6199</v>
      </c>
    </row>
    <row r="4" spans="1:8" x14ac:dyDescent="0.2">
      <c r="A4" s="9" t="s">
        <v>6221</v>
      </c>
      <c r="B4" s="10">
        <v>13179.315000000013</v>
      </c>
      <c r="D4" t="str">
        <f>A4</f>
        <v>Dark</v>
      </c>
      <c r="E4" s="14">
        <f>B4</f>
        <v>13179.315000000013</v>
      </c>
    </row>
    <row r="5" spans="1:8" x14ac:dyDescent="0.2">
      <c r="A5" s="9" t="s">
        <v>6223</v>
      </c>
      <c r="B5" s="10">
        <v>14600.474999999995</v>
      </c>
      <c r="D5" t="str">
        <f t="shared" ref="D5:D6" si="0">A5</f>
        <v>Medium</v>
      </c>
      <c r="E5" s="14">
        <f t="shared" ref="E5:E6" si="1">B5</f>
        <v>14600.474999999995</v>
      </c>
    </row>
    <row r="6" spans="1:8" x14ac:dyDescent="0.2">
      <c r="A6" s="9" t="s">
        <v>6222</v>
      </c>
      <c r="B6" s="10">
        <v>17354.464999999993</v>
      </c>
      <c r="D6" t="str">
        <f t="shared" si="0"/>
        <v>Light</v>
      </c>
      <c r="E6" s="14">
        <f t="shared" si="1"/>
        <v>17354.464999999993</v>
      </c>
    </row>
    <row r="7" spans="1:8" x14ac:dyDescent="0.2">
      <c r="E7" s="11"/>
    </row>
    <row r="8" spans="1:8" x14ac:dyDescent="0.2">
      <c r="B8" s="11"/>
    </row>
    <row r="10" spans="1:8" x14ac:dyDescent="0.2">
      <c r="E10" s="11"/>
      <c r="F10" s="11"/>
      <c r="G10" s="11"/>
      <c r="H10" s="11"/>
    </row>
    <row r="12" spans="1:8" ht="16" customHeight="1" x14ac:dyDescent="0.2"/>
  </sheetData>
  <pageMargins left="0.7" right="0.7" top="0.75" bottom="0.75" header="0.3" footer="0.3"/>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3F4A7-D8A1-1640-BC9F-CCD457C59FD7}">
  <sheetPr>
    <tabColor theme="0"/>
  </sheetPr>
  <dimension ref="A3:I10"/>
  <sheetViews>
    <sheetView showGridLines="0" zoomScale="164" workbookViewId="0">
      <selection activeCell="G14" sqref="A1:XFD1048576"/>
    </sheetView>
  </sheetViews>
  <sheetFormatPr baseColWidth="10" defaultRowHeight="15" x14ac:dyDescent="0.2"/>
  <cols>
    <col min="1" max="1" width="17.5" bestFit="1" customWidth="1"/>
    <col min="2" max="2" width="14.83203125" bestFit="1" customWidth="1"/>
    <col min="3" max="3" width="13" bestFit="1" customWidth="1"/>
    <col min="4" max="4" width="10" bestFit="1" customWidth="1"/>
    <col min="5" max="5" width="14.33203125" bestFit="1" customWidth="1"/>
    <col min="6" max="6" width="19" bestFit="1" customWidth="1"/>
    <col min="7" max="7" width="17.5" bestFit="1" customWidth="1"/>
    <col min="8" max="8" width="13.5" customWidth="1"/>
    <col min="9" max="9" width="12.1640625" bestFit="1" customWidth="1"/>
  </cols>
  <sheetData>
    <row r="3" spans="1:9" x14ac:dyDescent="0.2">
      <c r="B3" s="8" t="s">
        <v>6219</v>
      </c>
    </row>
    <row r="4" spans="1:9" x14ac:dyDescent="0.2">
      <c r="A4" s="8" t="s">
        <v>6224</v>
      </c>
      <c r="B4" t="s">
        <v>6227</v>
      </c>
      <c r="C4" t="s">
        <v>6229</v>
      </c>
      <c r="E4" t="str">
        <f>A4</f>
        <v>Values</v>
      </c>
      <c r="F4" t="str">
        <f>B4</f>
        <v>Regular Customer</v>
      </c>
      <c r="G4" t="str">
        <f>C4</f>
        <v>Loyal Customer</v>
      </c>
      <c r="H4" s="14"/>
      <c r="I4" s="14"/>
    </row>
    <row r="5" spans="1:9" x14ac:dyDescent="0.2">
      <c r="A5" s="9" t="s">
        <v>6226</v>
      </c>
      <c r="B5" s="10">
        <v>24216.404999999995</v>
      </c>
      <c r="C5" s="10">
        <v>20917.849999999995</v>
      </c>
      <c r="E5" t="str">
        <f>A5</f>
        <v>Total Sales</v>
      </c>
      <c r="F5" s="14">
        <f>GETPIVOTDATA("Total Sales",$A$3,"Loyalty Card","Regular Customer")</f>
        <v>24216.404999999995</v>
      </c>
      <c r="G5" s="14">
        <f>GETPIVOTDATA("Total Sales",$A$3,"Loyalty Card","Loyal Customer")</f>
        <v>20917.849999999995</v>
      </c>
      <c r="H5" s="14"/>
      <c r="I5" s="14"/>
    </row>
    <row r="6" spans="1:9" x14ac:dyDescent="0.2">
      <c r="A6" s="9" t="s">
        <v>6225</v>
      </c>
      <c r="B6" s="11">
        <v>521</v>
      </c>
      <c r="C6" s="11">
        <v>479</v>
      </c>
      <c r="D6" s="11"/>
      <c r="E6" t="str">
        <f>A7</f>
        <v>Sales per customer</v>
      </c>
      <c r="F6" s="15">
        <f>B7</f>
        <v>46.480623800383867</v>
      </c>
      <c r="G6" s="15">
        <f>C7</f>
        <v>43.669832985386208</v>
      </c>
    </row>
    <row r="7" spans="1:9" x14ac:dyDescent="0.2">
      <c r="A7" t="s">
        <v>6230</v>
      </c>
      <c r="B7" s="13">
        <f>GETPIVOTDATA("Total Sales",$A$3,"Loyalty Card","Regular Customer")/GETPIVOTDATA("Count of Loyalty Card",$A$3,"Loyalty Card","Regular Customer")</f>
        <v>46.480623800383867</v>
      </c>
      <c r="C7" s="13">
        <f>GETPIVOTDATA("Total Sales",$A$3,"Loyalty Card","Loyal Customer")/GETPIVOTDATA("Count of Loyalty Card",$A$3,"Loyalty Card","Loyal Customer")</f>
        <v>43.669832985386208</v>
      </c>
    </row>
    <row r="8" spans="1:9" x14ac:dyDescent="0.2">
      <c r="F8" t="s">
        <v>6227</v>
      </c>
      <c r="G8" t="str">
        <f>G4</f>
        <v>Loyal Customer</v>
      </c>
    </row>
    <row r="9" spans="1:9" x14ac:dyDescent="0.2">
      <c r="E9" t="str">
        <f>A6</f>
        <v>Count of Loyalty Card</v>
      </c>
      <c r="F9" s="11">
        <f>GETPIVOTDATA("Count of Loyalty Card",$A$3,"Loyalty Card","Regular Customer")</f>
        <v>521</v>
      </c>
      <c r="G9" s="11">
        <f>GETPIVOTDATA("Count of Loyalty Card",$A$3,"Loyalty Card","Loyal Customer")</f>
        <v>479</v>
      </c>
    </row>
    <row r="10" spans="1:9" x14ac:dyDescent="0.2">
      <c r="E10" t="s">
        <v>6228</v>
      </c>
    </row>
  </sheetData>
  <pageMargins left="0.7" right="0.7" top="0.75" bottom="0.75" header="0.3" footer="0.3"/>
  <pageSetup paperSize="9" orientation="portrait" horizontalDpi="0" verticalDpi="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tabColor theme="1"/>
  </sheetPr>
  <dimension ref="A1:P1001"/>
  <sheetViews>
    <sheetView showGridLines="0" topLeftCell="G23" zoomScale="108" zoomScaleNormal="115" workbookViewId="0">
      <selection activeCell="N6" sqref="A2:P1001"/>
    </sheetView>
  </sheetViews>
  <sheetFormatPr baseColWidth="10" defaultColWidth="8.83203125" defaultRowHeight="15" x14ac:dyDescent="0.2"/>
  <cols>
    <col min="1" max="1" width="16.5" bestFit="1" customWidth="1"/>
    <col min="2" max="2" width="11.83203125" bestFit="1" customWidth="1"/>
    <col min="3" max="3" width="17.5" bestFit="1" customWidth="1"/>
    <col min="4" max="4" width="10.6640625" customWidth="1"/>
    <col min="5" max="5" width="21.6640625" customWidth="1"/>
    <col min="6" max="6" width="15.5" bestFit="1" customWidth="1"/>
    <col min="7" max="7" width="32.6640625" bestFit="1" customWidth="1"/>
    <col min="8" max="8" width="11.1640625" bestFit="1" customWidth="1"/>
    <col min="9" max="9" width="12" customWidth="1"/>
    <col min="10" max="10" width="11" customWidth="1"/>
    <col min="11" max="11" width="5.83203125" customWidth="1"/>
    <col min="12" max="12" width="10.33203125" customWidth="1"/>
    <col min="13" max="13" width="6.6640625" customWidth="1"/>
    <col min="14" max="14" width="17" customWidth="1"/>
    <col min="15" max="15" width="16"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_xlfn.XLOOKUP(Data_orders!C2,Data_customers!$A$1:$A$1001,Data_customers!$B$1:$B$1001,,0)</f>
        <v>Aloisia Allner</v>
      </c>
      <c r="G2" s="2" t="str">
        <f>IF(_xlfn.XLOOKUP(C2,Data_customers!$A$1:$A$1001,Data_customers!$C$1:$C$1001,,0)=0,"",_xlfn.XLOOKUP(C2,Data_customers!$A$1:$A$1001,Data_customers!$C$1:$C$1001,,0))</f>
        <v>aallner0@lulu.com</v>
      </c>
      <c r="H2" s="2" t="str">
        <f>_xlfn.XLOOKUP(C2,Data_customers!$A$1:$A$1001,Data_customers!$G$1:$G$1001,"",0)</f>
        <v>United States</v>
      </c>
      <c r="I2" t="str">
        <f>INDEX(Data_products!$A$1:$G$49, MATCH(Data_orders!$D2,Data_products!$A$1:$A$49,0), MATCH(Data_orders!I$1,Data_products!$A$1:$G$1,0))</f>
        <v>Rob</v>
      </c>
      <c r="J2" t="str">
        <f>INDEX(Data_products!$A$1:$G$49, MATCH(Data_orders!$D2,Data_products!$A$1:$A$49,0), MATCH(Data_orders!J$1,Data_products!$A$1:$G$1,0))</f>
        <v>M</v>
      </c>
      <c r="K2" s="4">
        <f>INDEX(Data_products!$A$1:$G$49, MATCH(Data_orders!$D2,Data_products!$A$1:$A$49,0), MATCH(Data_orders!K$1,Data_products!$A$1:$G$1,0))</f>
        <v>1</v>
      </c>
      <c r="L2">
        <f>INDEX(Data_products!$A$1:$G$49, MATCH(Data_orders!$D2,Data_products!$A$1:$A$49,0), MATCH(Data_orders!L$1,Data_products!$A$1:$G$1,0))</f>
        <v>9.9499999999999993</v>
      </c>
      <c r="M2">
        <f>L2*E2</f>
        <v>19.899999999999999</v>
      </c>
      <c r="N2" t="str" cm="1">
        <f t="array" ref="N2">_xlfn.IFS(I2 = "Rob", "Robusta", I2 = "Exc", "Excelsa", I2 = "Ara", "Arabica", I2 = "Lib", "Liberica")</f>
        <v>Robusta</v>
      </c>
      <c r="O2" t="str">
        <f>IF(J2 = "M", "Medium", IF(J2 =  "L", "Light", IF(J2 = "D", "Dark", "")))</f>
        <v>Medium</v>
      </c>
      <c r="P2" t="str">
        <f>_xlfn.XLOOKUP(Table1[[#This Row],[Customer ID]],Data_customers!$A$2:$A$1001,Data_customers!$I$2:$I$1001,,0)</f>
        <v>Yes</v>
      </c>
    </row>
    <row r="3" spans="1:16" x14ac:dyDescent="0.2">
      <c r="A3" s="2" t="s">
        <v>490</v>
      </c>
      <c r="B3" s="3">
        <v>43713</v>
      </c>
      <c r="C3" s="2" t="s">
        <v>491</v>
      </c>
      <c r="D3" t="s">
        <v>6139</v>
      </c>
      <c r="E3" s="2">
        <v>5</v>
      </c>
      <c r="F3" s="2" t="str">
        <f>_xlfn.XLOOKUP(Data_orders!C3,Data_customers!$A$1:$A$1001,Data_customers!$B$1:$B$1001,,0)</f>
        <v>Aloisia Allner</v>
      </c>
      <c r="G3" s="2" t="str">
        <f>IF(_xlfn.XLOOKUP(C3,Data_customers!$A$1:$A$1001,Data_customers!$C$1:$C$1001,,0)=0,"",_xlfn.XLOOKUP(C3,Data_customers!$A$1:$A$1001,Data_customers!$C$1:$C$1001,,0))</f>
        <v>aallner0@lulu.com</v>
      </c>
      <c r="H3" s="2" t="str">
        <f>_xlfn.XLOOKUP(C3,Data_customers!$A$1:$A$1001,Data_customers!$G$1:$G$1001,"",0)</f>
        <v>United States</v>
      </c>
      <c r="I3" t="str">
        <f>INDEX(Data_products!$A$1:$G$49, MATCH(Data_orders!$D3,Data_products!$A$1:$A$49,0), MATCH(Data_orders!I$1,Data_products!$A$1:$G$1,0))</f>
        <v>Exc</v>
      </c>
      <c r="J3" t="str">
        <f>INDEX(Data_products!$A$1:$G$49, MATCH(Data_orders!$D3,Data_products!$A$1:$A$49,0), MATCH(Data_orders!J$1,Data_products!$A$1:$G$1,0))</f>
        <v>M</v>
      </c>
      <c r="K3" s="4">
        <f>INDEX(Data_products!$A$1:$G$49, MATCH(Data_orders!$D3,Data_products!$A$1:$A$49,0), MATCH(Data_orders!K$1,Data_products!$A$1:$G$1,0))</f>
        <v>0.5</v>
      </c>
      <c r="L3">
        <f>INDEX(Data_products!$A$1:$G$49, MATCH(Data_orders!$D3,Data_products!$A$1:$A$49,0), MATCH(Data_orders!L$1,Data_products!$A$1:$G$1,0))</f>
        <v>8.25</v>
      </c>
      <c r="M3">
        <f t="shared" ref="M3:M66" si="0">L3*E3</f>
        <v>41.25</v>
      </c>
      <c r="N3" t="str" cm="1">
        <f t="array" ref="N3">_xlfn.IFS(I3 = "Rob", "Robusta", I3 = "Exc", "Excelsa", I3 = "Ara", "Arabica", I3 = "Lib", "Liberica")</f>
        <v>Excelsa</v>
      </c>
      <c r="O3" t="str">
        <f t="shared" ref="O3:O66" si="1">IF(J3 = "M", "Medium", IF(J3 =  "L", "Light", IF(J3 = "D", "Dark", "")))</f>
        <v>Medium</v>
      </c>
      <c r="P3" t="str">
        <f>_xlfn.XLOOKUP(Table1[[#This Row],[Customer ID]],Data_customers!$A$2:$A$1001,Data_customers!$I$2:$I$1001,,0)</f>
        <v>Yes</v>
      </c>
    </row>
    <row r="4" spans="1:16" x14ac:dyDescent="0.2">
      <c r="A4" s="2" t="s">
        <v>501</v>
      </c>
      <c r="B4" s="3">
        <v>44364</v>
      </c>
      <c r="C4" s="2" t="s">
        <v>502</v>
      </c>
      <c r="D4" t="s">
        <v>6140</v>
      </c>
      <c r="E4" s="2">
        <v>1</v>
      </c>
      <c r="F4" s="2" t="str">
        <f>_xlfn.XLOOKUP(Data_orders!C4,Data_customers!$A$1:$A$1001,Data_customers!$B$1:$B$1001,,0)</f>
        <v>Jami Redholes</v>
      </c>
      <c r="G4" s="2" t="str">
        <f>IF(_xlfn.XLOOKUP(C4,Data_customers!$A$1:$A$1001,Data_customers!$C$1:$C$1001,,0)=0,"",_xlfn.XLOOKUP(C4,Data_customers!$A$1:$A$1001,Data_customers!$C$1:$C$1001,,0))</f>
        <v>jredholes2@tmall.com</v>
      </c>
      <c r="H4" s="2" t="str">
        <f>_xlfn.XLOOKUP(C4,Data_customers!$A$1:$A$1001,Data_customers!$G$1:$G$1001,"",0)</f>
        <v>United States</v>
      </c>
      <c r="I4" t="str">
        <f>INDEX(Data_products!$A$1:$G$49, MATCH(Data_orders!$D4,Data_products!$A$1:$A$49,0), MATCH(Data_orders!I$1,Data_products!$A$1:$G$1,0))</f>
        <v>Ara</v>
      </c>
      <c r="J4" t="str">
        <f>INDEX(Data_products!$A$1:$G$49, MATCH(Data_orders!$D4,Data_products!$A$1:$A$49,0), MATCH(Data_orders!J$1,Data_products!$A$1:$G$1,0))</f>
        <v>L</v>
      </c>
      <c r="K4" s="4">
        <f>INDEX(Data_products!$A$1:$G$49, MATCH(Data_orders!$D4,Data_products!$A$1:$A$49,0), MATCH(Data_orders!K$1,Data_products!$A$1:$G$1,0))</f>
        <v>1</v>
      </c>
      <c r="L4">
        <f>INDEX(Data_products!$A$1:$G$49, MATCH(Data_orders!$D4,Data_products!$A$1:$A$49,0), MATCH(Data_orders!L$1,Data_products!$A$1:$G$1,0))</f>
        <v>12.95</v>
      </c>
      <c r="M4">
        <f t="shared" si="0"/>
        <v>12.95</v>
      </c>
      <c r="N4" t="str" cm="1">
        <f t="array" ref="N4">_xlfn.IFS(I4 = "Rob", "Robusta", I4 = "Exc", "Excelsa", I4 = "Ara", "Arabica", I4 = "Lib", "Liberica")</f>
        <v>Arabica</v>
      </c>
      <c r="O4" t="str">
        <f t="shared" si="1"/>
        <v>Light</v>
      </c>
      <c r="P4" t="str">
        <f>_xlfn.XLOOKUP(Table1[[#This Row],[Customer ID]],Data_customers!$A$2:$A$1001,Data_customers!$I$2:$I$1001,,0)</f>
        <v>Yes</v>
      </c>
    </row>
    <row r="5" spans="1:16" x14ac:dyDescent="0.2">
      <c r="A5" s="2" t="s">
        <v>512</v>
      </c>
      <c r="B5" s="3">
        <v>44392</v>
      </c>
      <c r="C5" s="2" t="s">
        <v>513</v>
      </c>
      <c r="D5" t="s">
        <v>6141</v>
      </c>
      <c r="E5" s="2">
        <v>2</v>
      </c>
      <c r="F5" s="2" t="str">
        <f>_xlfn.XLOOKUP(Data_orders!C5,Data_customers!$A$1:$A$1001,Data_customers!$B$1:$B$1001,,0)</f>
        <v>Christoffer O' Shea</v>
      </c>
      <c r="G5" s="2" t="str">
        <f>IF(_xlfn.XLOOKUP(C5,Data_customers!$A$1:$A$1001,Data_customers!$C$1:$C$1001,,0)=0,"",_xlfn.XLOOKUP(C5,Data_customers!$A$1:$A$1001,Data_customers!$C$1:$C$1001,,0))</f>
        <v/>
      </c>
      <c r="H5" s="2" t="str">
        <f>_xlfn.XLOOKUP(C5,Data_customers!$A$1:$A$1001,Data_customers!$G$1:$G$1001,"",0)</f>
        <v>Ireland</v>
      </c>
      <c r="I5" t="str">
        <f>INDEX(Data_products!$A$1:$G$49, MATCH(Data_orders!$D5,Data_products!$A$1:$A$49,0), MATCH(Data_orders!I$1,Data_products!$A$1:$G$1,0))</f>
        <v>Exc</v>
      </c>
      <c r="J5" t="str">
        <f>INDEX(Data_products!$A$1:$G$49, MATCH(Data_orders!$D5,Data_products!$A$1:$A$49,0), MATCH(Data_orders!J$1,Data_products!$A$1:$G$1,0))</f>
        <v>M</v>
      </c>
      <c r="K5" s="4">
        <f>INDEX(Data_products!$A$1:$G$49, MATCH(Data_orders!$D5,Data_products!$A$1:$A$49,0), MATCH(Data_orders!K$1,Data_products!$A$1:$G$1,0))</f>
        <v>1</v>
      </c>
      <c r="L5">
        <f>INDEX(Data_products!$A$1:$G$49, MATCH(Data_orders!$D5,Data_products!$A$1:$A$49,0), MATCH(Data_orders!L$1,Data_products!$A$1:$G$1,0))</f>
        <v>13.75</v>
      </c>
      <c r="M5">
        <f t="shared" si="0"/>
        <v>27.5</v>
      </c>
      <c r="N5" t="str" cm="1">
        <f t="array" ref="N5">_xlfn.IFS(I5 = "Rob", "Robusta", I5 = "Exc", "Excelsa", I5 = "Ara", "Arabica", I5 = "Lib", "Liberica")</f>
        <v>Excelsa</v>
      </c>
      <c r="O5" t="str">
        <f t="shared" si="1"/>
        <v>Medium</v>
      </c>
      <c r="P5" t="str">
        <f>_xlfn.XLOOKUP(Table1[[#This Row],[Customer ID]],Data_customers!$A$2:$A$1001,Data_customers!$I$2:$I$1001,,0)</f>
        <v>No</v>
      </c>
    </row>
    <row r="6" spans="1:16" x14ac:dyDescent="0.2">
      <c r="A6" s="2" t="s">
        <v>512</v>
      </c>
      <c r="B6" s="3">
        <v>44392</v>
      </c>
      <c r="C6" s="2" t="s">
        <v>513</v>
      </c>
      <c r="D6" t="s">
        <v>6142</v>
      </c>
      <c r="E6" s="2">
        <v>2</v>
      </c>
      <c r="F6" s="2" t="str">
        <f>_xlfn.XLOOKUP(Data_orders!C6,Data_customers!$A$1:$A$1001,Data_customers!$B$1:$B$1001,,0)</f>
        <v>Christoffer O' Shea</v>
      </c>
      <c r="G6" s="2" t="str">
        <f>IF(_xlfn.XLOOKUP(C6,Data_customers!$A$1:$A$1001,Data_customers!$C$1:$C$1001,,0)=0,"",_xlfn.XLOOKUP(C6,Data_customers!$A$1:$A$1001,Data_customers!$C$1:$C$1001,,0))</f>
        <v/>
      </c>
      <c r="H6" s="2" t="str">
        <f>_xlfn.XLOOKUP(C6,Data_customers!$A$1:$A$1001,Data_customers!$G$1:$G$1001,"",0)</f>
        <v>Ireland</v>
      </c>
      <c r="I6" t="str">
        <f>INDEX(Data_products!$A$1:$G$49, MATCH(Data_orders!$D6,Data_products!$A$1:$A$49,0), MATCH(Data_orders!I$1,Data_products!$A$1:$G$1,0))</f>
        <v>Rob</v>
      </c>
      <c r="J6" t="str">
        <f>INDEX(Data_products!$A$1:$G$49, MATCH(Data_orders!$D6,Data_products!$A$1:$A$49,0), MATCH(Data_orders!J$1,Data_products!$A$1:$G$1,0))</f>
        <v>L</v>
      </c>
      <c r="K6" s="4">
        <f>INDEX(Data_products!$A$1:$G$49, MATCH(Data_orders!$D6,Data_products!$A$1:$A$49,0), MATCH(Data_orders!K$1,Data_products!$A$1:$G$1,0))</f>
        <v>2.5</v>
      </c>
      <c r="L6">
        <f>INDEX(Data_products!$A$1:$G$49, MATCH(Data_orders!$D6,Data_products!$A$1:$A$49,0), MATCH(Data_orders!L$1,Data_products!$A$1:$G$1,0))</f>
        <v>27.484999999999996</v>
      </c>
      <c r="M6">
        <f t="shared" si="0"/>
        <v>54.969999999999992</v>
      </c>
      <c r="N6" t="str" cm="1">
        <f t="array" ref="N6">_xlfn.IFS(I6 = "Rob", "Robusta", I6 = "Exc", "Excelsa", I6 = "Ara", "Arabica", I6 = "Lib", "Liberica")</f>
        <v>Robusta</v>
      </c>
      <c r="O6" t="str">
        <f t="shared" si="1"/>
        <v>Light</v>
      </c>
      <c r="P6" t="str">
        <f>_xlfn.XLOOKUP(Table1[[#This Row],[Customer ID]],Data_customers!$A$2:$A$1001,Data_customers!$I$2:$I$1001,,0)</f>
        <v>No</v>
      </c>
    </row>
    <row r="7" spans="1:16" x14ac:dyDescent="0.2">
      <c r="A7" s="2" t="s">
        <v>519</v>
      </c>
      <c r="B7" s="3">
        <v>44412</v>
      </c>
      <c r="C7" s="2" t="s">
        <v>520</v>
      </c>
      <c r="D7" t="s">
        <v>6143</v>
      </c>
      <c r="E7" s="2">
        <v>3</v>
      </c>
      <c r="F7" s="2" t="str">
        <f>_xlfn.XLOOKUP(Data_orders!C7,Data_customers!$A$1:$A$1001,Data_customers!$B$1:$B$1001,,0)</f>
        <v>Beryle Cottier</v>
      </c>
      <c r="G7" s="2" t="str">
        <f>IF(_xlfn.XLOOKUP(C7,Data_customers!$A$1:$A$1001,Data_customers!$C$1:$C$1001,,0)=0,"",_xlfn.XLOOKUP(C7,Data_customers!$A$1:$A$1001,Data_customers!$C$1:$C$1001,,0))</f>
        <v/>
      </c>
      <c r="H7" s="2" t="str">
        <f>_xlfn.XLOOKUP(C7,Data_customers!$A$1:$A$1001,Data_customers!$G$1:$G$1001,"",0)</f>
        <v>United States</v>
      </c>
      <c r="I7" t="str">
        <f>INDEX(Data_products!$A$1:$G$49, MATCH(Data_orders!$D7,Data_products!$A$1:$A$49,0), MATCH(Data_orders!I$1,Data_products!$A$1:$G$1,0))</f>
        <v>Lib</v>
      </c>
      <c r="J7" t="str">
        <f>INDEX(Data_products!$A$1:$G$49, MATCH(Data_orders!$D7,Data_products!$A$1:$A$49,0), MATCH(Data_orders!J$1,Data_products!$A$1:$G$1,0))</f>
        <v>D</v>
      </c>
      <c r="K7" s="4">
        <f>INDEX(Data_products!$A$1:$G$49, MATCH(Data_orders!$D7,Data_products!$A$1:$A$49,0), MATCH(Data_orders!K$1,Data_products!$A$1:$G$1,0))</f>
        <v>1</v>
      </c>
      <c r="L7">
        <f>INDEX(Data_products!$A$1:$G$49, MATCH(Data_orders!$D7,Data_products!$A$1:$A$49,0), MATCH(Data_orders!L$1,Data_products!$A$1:$G$1,0))</f>
        <v>12.95</v>
      </c>
      <c r="M7">
        <f t="shared" si="0"/>
        <v>38.849999999999994</v>
      </c>
      <c r="N7" t="str" cm="1">
        <f t="array" ref="N7">_xlfn.IFS(I7 = "Rob", "Robusta", I7 = "Exc", "Excelsa", I7 = "Ara", "Arabica", I7 = "Lib", "Liberica")</f>
        <v>Liberica</v>
      </c>
      <c r="O7" t="str">
        <f t="shared" si="1"/>
        <v>Dark</v>
      </c>
      <c r="P7" t="str">
        <f>_xlfn.XLOOKUP(Table1[[#This Row],[Customer ID]],Data_customers!$A$2:$A$1001,Data_customers!$I$2:$I$1001,,0)</f>
        <v>No</v>
      </c>
    </row>
    <row r="8" spans="1:16" x14ac:dyDescent="0.2">
      <c r="A8" s="2" t="s">
        <v>524</v>
      </c>
      <c r="B8" s="3">
        <v>44582</v>
      </c>
      <c r="C8" s="2" t="s">
        <v>525</v>
      </c>
      <c r="D8" t="s">
        <v>6144</v>
      </c>
      <c r="E8" s="2">
        <v>3</v>
      </c>
      <c r="F8" s="2" t="str">
        <f>_xlfn.XLOOKUP(Data_orders!C8,Data_customers!$A$1:$A$1001,Data_customers!$B$1:$B$1001,,0)</f>
        <v>Shaylynn Lobe</v>
      </c>
      <c r="G8" s="2" t="str">
        <f>IF(_xlfn.XLOOKUP(C8,Data_customers!$A$1:$A$1001,Data_customers!$C$1:$C$1001,,0)=0,"",_xlfn.XLOOKUP(C8,Data_customers!$A$1:$A$1001,Data_customers!$C$1:$C$1001,,0))</f>
        <v>slobe6@nifty.com</v>
      </c>
      <c r="H8" s="2" t="str">
        <f>_xlfn.XLOOKUP(C8,Data_customers!$A$1:$A$1001,Data_customers!$G$1:$G$1001,"",0)</f>
        <v>United States</v>
      </c>
      <c r="I8" t="str">
        <f>INDEX(Data_products!$A$1:$G$49, MATCH(Data_orders!$D8,Data_products!$A$1:$A$49,0), MATCH(Data_orders!I$1,Data_products!$A$1:$G$1,0))</f>
        <v>Exc</v>
      </c>
      <c r="J8" t="str">
        <f>INDEX(Data_products!$A$1:$G$49, MATCH(Data_orders!$D8,Data_products!$A$1:$A$49,0), MATCH(Data_orders!J$1,Data_products!$A$1:$G$1,0))</f>
        <v>D</v>
      </c>
      <c r="K8" s="4">
        <f>INDEX(Data_products!$A$1:$G$49, MATCH(Data_orders!$D8,Data_products!$A$1:$A$49,0), MATCH(Data_orders!K$1,Data_products!$A$1:$G$1,0))</f>
        <v>0.5</v>
      </c>
      <c r="L8">
        <f>INDEX(Data_products!$A$1:$G$49, MATCH(Data_orders!$D8,Data_products!$A$1:$A$49,0), MATCH(Data_orders!L$1,Data_products!$A$1:$G$1,0))</f>
        <v>7.29</v>
      </c>
      <c r="M8">
        <f t="shared" si="0"/>
        <v>21.87</v>
      </c>
      <c r="N8" t="str" cm="1">
        <f t="array" ref="N8">_xlfn.IFS(I8 = "Rob", "Robusta", I8 = "Exc", "Excelsa", I8 = "Ara", "Arabica", I8 = "Lib", "Liberica")</f>
        <v>Excelsa</v>
      </c>
      <c r="O8" t="str">
        <f t="shared" si="1"/>
        <v>Dark</v>
      </c>
      <c r="P8" t="str">
        <f>_xlfn.XLOOKUP(Table1[[#This Row],[Customer ID]],Data_customers!$A$2:$A$1001,Data_customers!$I$2:$I$1001,,0)</f>
        <v>Yes</v>
      </c>
    </row>
    <row r="9" spans="1:16" x14ac:dyDescent="0.2">
      <c r="A9" s="2" t="s">
        <v>530</v>
      </c>
      <c r="B9" s="3">
        <v>44701</v>
      </c>
      <c r="C9" s="2" t="s">
        <v>531</v>
      </c>
      <c r="D9" t="s">
        <v>6145</v>
      </c>
      <c r="E9" s="2">
        <v>1</v>
      </c>
      <c r="F9" s="2" t="str">
        <f>_xlfn.XLOOKUP(Data_orders!C9,Data_customers!$A$1:$A$1001,Data_customers!$B$1:$B$1001,,0)</f>
        <v>Melvin Wharfe</v>
      </c>
      <c r="G9" s="2" t="str">
        <f>IF(_xlfn.XLOOKUP(C9,Data_customers!$A$1:$A$1001,Data_customers!$C$1:$C$1001,,0)=0,"",_xlfn.XLOOKUP(C9,Data_customers!$A$1:$A$1001,Data_customers!$C$1:$C$1001,,0))</f>
        <v/>
      </c>
      <c r="H9" s="2" t="str">
        <f>_xlfn.XLOOKUP(C9,Data_customers!$A$1:$A$1001,Data_customers!$G$1:$G$1001,"",0)</f>
        <v>Ireland</v>
      </c>
      <c r="I9" t="str">
        <f>INDEX(Data_products!$A$1:$G$49, MATCH(Data_orders!$D9,Data_products!$A$1:$A$49,0), MATCH(Data_orders!I$1,Data_products!$A$1:$G$1,0))</f>
        <v>Lib</v>
      </c>
      <c r="J9" t="str">
        <f>INDEX(Data_products!$A$1:$G$49, MATCH(Data_orders!$D9,Data_products!$A$1:$A$49,0), MATCH(Data_orders!J$1,Data_products!$A$1:$G$1,0))</f>
        <v>L</v>
      </c>
      <c r="K9" s="4">
        <f>INDEX(Data_products!$A$1:$G$49, MATCH(Data_orders!$D9,Data_products!$A$1:$A$49,0), MATCH(Data_orders!K$1,Data_products!$A$1:$G$1,0))</f>
        <v>0.2</v>
      </c>
      <c r="L9">
        <f>INDEX(Data_products!$A$1:$G$49, MATCH(Data_orders!$D9,Data_products!$A$1:$A$49,0), MATCH(Data_orders!L$1,Data_products!$A$1:$G$1,0))</f>
        <v>4.7549999999999999</v>
      </c>
      <c r="M9">
        <f t="shared" si="0"/>
        <v>4.7549999999999999</v>
      </c>
      <c r="N9" t="str" cm="1">
        <f t="array" ref="N9">_xlfn.IFS(I9 = "Rob", "Robusta", I9 = "Exc", "Excelsa", I9 = "Ara", "Arabica", I9 = "Lib", "Liberica")</f>
        <v>Liberica</v>
      </c>
      <c r="O9" t="str">
        <f t="shared" si="1"/>
        <v>Light</v>
      </c>
      <c r="P9" t="str">
        <f>_xlfn.XLOOKUP(Table1[[#This Row],[Customer ID]],Data_customers!$A$2:$A$1001,Data_customers!$I$2:$I$1001,,0)</f>
        <v>Yes</v>
      </c>
    </row>
    <row r="10" spans="1:16" x14ac:dyDescent="0.2">
      <c r="A10" s="2" t="s">
        <v>535</v>
      </c>
      <c r="B10" s="3">
        <v>43467</v>
      </c>
      <c r="C10" s="2" t="s">
        <v>536</v>
      </c>
      <c r="D10" t="s">
        <v>6146</v>
      </c>
      <c r="E10" s="2">
        <v>3</v>
      </c>
      <c r="F10" s="2" t="str">
        <f>_xlfn.XLOOKUP(Data_orders!C10,Data_customers!$A$1:$A$1001,Data_customers!$B$1:$B$1001,,0)</f>
        <v>Guthrey Petracci</v>
      </c>
      <c r="G10" s="2" t="str">
        <f>IF(_xlfn.XLOOKUP(C10,Data_customers!$A$1:$A$1001,Data_customers!$C$1:$C$1001,,0)=0,"",_xlfn.XLOOKUP(C10,Data_customers!$A$1:$A$1001,Data_customers!$C$1:$C$1001,,0))</f>
        <v>gpetracci8@livejournal.com</v>
      </c>
      <c r="H10" s="2" t="str">
        <f>_xlfn.XLOOKUP(C10,Data_customers!$A$1:$A$1001,Data_customers!$G$1:$G$1001,"",0)</f>
        <v>United States</v>
      </c>
      <c r="I10" t="str">
        <f>INDEX(Data_products!$A$1:$G$49, MATCH(Data_orders!$D10,Data_products!$A$1:$A$49,0), MATCH(Data_orders!I$1,Data_products!$A$1:$G$1,0))</f>
        <v>Rob</v>
      </c>
      <c r="J10" t="str">
        <f>INDEX(Data_products!$A$1:$G$49, MATCH(Data_orders!$D10,Data_products!$A$1:$A$49,0), MATCH(Data_orders!J$1,Data_products!$A$1:$G$1,0))</f>
        <v>M</v>
      </c>
      <c r="K10" s="4">
        <f>INDEX(Data_products!$A$1:$G$49, MATCH(Data_orders!$D10,Data_products!$A$1:$A$49,0), MATCH(Data_orders!K$1,Data_products!$A$1:$G$1,0))</f>
        <v>0.5</v>
      </c>
      <c r="L10">
        <f>INDEX(Data_products!$A$1:$G$49, MATCH(Data_orders!$D10,Data_products!$A$1:$A$49,0), MATCH(Data_orders!L$1,Data_products!$A$1:$G$1,0))</f>
        <v>5.97</v>
      </c>
      <c r="M10">
        <f t="shared" si="0"/>
        <v>17.91</v>
      </c>
      <c r="N10" t="str" cm="1">
        <f t="array" ref="N10">_xlfn.IFS(I10 = "Rob", "Robusta", I10 = "Exc", "Excelsa", I10 = "Ara", "Arabica", I10 = "Lib", "Liberica")</f>
        <v>Robusta</v>
      </c>
      <c r="O10" t="str">
        <f t="shared" si="1"/>
        <v>Medium</v>
      </c>
      <c r="P10" t="str">
        <f>_xlfn.XLOOKUP(Table1[[#This Row],[Customer ID]],Data_customers!$A$2:$A$1001,Data_customers!$I$2:$I$1001,,0)</f>
        <v>No</v>
      </c>
    </row>
    <row r="11" spans="1:16" x14ac:dyDescent="0.2">
      <c r="A11" s="2" t="s">
        <v>541</v>
      </c>
      <c r="B11" s="3">
        <v>43713</v>
      </c>
      <c r="C11" s="2" t="s">
        <v>542</v>
      </c>
      <c r="D11" t="s">
        <v>6146</v>
      </c>
      <c r="E11" s="2">
        <v>1</v>
      </c>
      <c r="F11" s="2" t="str">
        <f>_xlfn.XLOOKUP(Data_orders!C11,Data_customers!$A$1:$A$1001,Data_customers!$B$1:$B$1001,,0)</f>
        <v>Rodger Raven</v>
      </c>
      <c r="G11" s="2" t="str">
        <f>IF(_xlfn.XLOOKUP(C11,Data_customers!$A$1:$A$1001,Data_customers!$C$1:$C$1001,,0)=0,"",_xlfn.XLOOKUP(C11,Data_customers!$A$1:$A$1001,Data_customers!$C$1:$C$1001,,0))</f>
        <v>rraven9@ed.gov</v>
      </c>
      <c r="H11" s="2" t="str">
        <f>_xlfn.XLOOKUP(C11,Data_customers!$A$1:$A$1001,Data_customers!$G$1:$G$1001,"",0)</f>
        <v>United States</v>
      </c>
      <c r="I11" t="str">
        <f>INDEX(Data_products!$A$1:$G$49, MATCH(Data_orders!$D11,Data_products!$A$1:$A$49,0), MATCH(Data_orders!I$1,Data_products!$A$1:$G$1,0))</f>
        <v>Rob</v>
      </c>
      <c r="J11" t="str">
        <f>INDEX(Data_products!$A$1:$G$49, MATCH(Data_orders!$D11,Data_products!$A$1:$A$49,0), MATCH(Data_orders!J$1,Data_products!$A$1:$G$1,0))</f>
        <v>M</v>
      </c>
      <c r="K11" s="4">
        <f>INDEX(Data_products!$A$1:$G$49, MATCH(Data_orders!$D11,Data_products!$A$1:$A$49,0), MATCH(Data_orders!K$1,Data_products!$A$1:$G$1,0))</f>
        <v>0.5</v>
      </c>
      <c r="L11">
        <f>INDEX(Data_products!$A$1:$G$49, MATCH(Data_orders!$D11,Data_products!$A$1:$A$49,0), MATCH(Data_orders!L$1,Data_products!$A$1:$G$1,0))</f>
        <v>5.97</v>
      </c>
      <c r="M11">
        <f t="shared" si="0"/>
        <v>5.97</v>
      </c>
      <c r="N11" t="str" cm="1">
        <f t="array" ref="N11">_xlfn.IFS(I11 = "Rob", "Robusta", I11 = "Exc", "Excelsa", I11 = "Ara", "Arabica", I11 = "Lib", "Liberica")</f>
        <v>Robusta</v>
      </c>
      <c r="O11" t="str">
        <f t="shared" si="1"/>
        <v>Medium</v>
      </c>
      <c r="P11" t="str">
        <f>_xlfn.XLOOKUP(Table1[[#This Row],[Customer ID]],Data_customers!$A$2:$A$1001,Data_customers!$I$2:$I$1001,,0)</f>
        <v>No</v>
      </c>
    </row>
    <row r="12" spans="1:16" x14ac:dyDescent="0.2">
      <c r="A12" s="2" t="s">
        <v>547</v>
      </c>
      <c r="B12" s="3">
        <v>44263</v>
      </c>
      <c r="C12" s="2" t="s">
        <v>548</v>
      </c>
      <c r="D12" t="s">
        <v>6147</v>
      </c>
      <c r="E12" s="2">
        <v>4</v>
      </c>
      <c r="F12" s="2" t="str">
        <f>_xlfn.XLOOKUP(Data_orders!C12,Data_customers!$A$1:$A$1001,Data_customers!$B$1:$B$1001,,0)</f>
        <v>Ferrell Ferber</v>
      </c>
      <c r="G12" s="2" t="str">
        <f>IF(_xlfn.XLOOKUP(C12,Data_customers!$A$1:$A$1001,Data_customers!$C$1:$C$1001,,0)=0,"",_xlfn.XLOOKUP(C12,Data_customers!$A$1:$A$1001,Data_customers!$C$1:$C$1001,,0))</f>
        <v>fferbera@businesswire.com</v>
      </c>
      <c r="H12" s="2" t="str">
        <f>_xlfn.XLOOKUP(C12,Data_customers!$A$1:$A$1001,Data_customers!$G$1:$G$1001,"",0)</f>
        <v>United States</v>
      </c>
      <c r="I12" t="str">
        <f>INDEX(Data_products!$A$1:$G$49, MATCH(Data_orders!$D12,Data_products!$A$1:$A$49,0), MATCH(Data_orders!I$1,Data_products!$A$1:$G$1,0))</f>
        <v>Ara</v>
      </c>
      <c r="J12" t="str">
        <f>INDEX(Data_products!$A$1:$G$49, MATCH(Data_orders!$D12,Data_products!$A$1:$A$49,0), MATCH(Data_orders!J$1,Data_products!$A$1:$G$1,0))</f>
        <v>D</v>
      </c>
      <c r="K12" s="4">
        <f>INDEX(Data_products!$A$1:$G$49, MATCH(Data_orders!$D12,Data_products!$A$1:$A$49,0), MATCH(Data_orders!K$1,Data_products!$A$1:$G$1,0))</f>
        <v>1</v>
      </c>
      <c r="L12">
        <f>INDEX(Data_products!$A$1:$G$49, MATCH(Data_orders!$D12,Data_products!$A$1:$A$49,0), MATCH(Data_orders!L$1,Data_products!$A$1:$G$1,0))</f>
        <v>9.9499999999999993</v>
      </c>
      <c r="M12">
        <f t="shared" si="0"/>
        <v>39.799999999999997</v>
      </c>
      <c r="N12" t="str" cm="1">
        <f t="array" ref="N12">_xlfn.IFS(I12 = "Rob", "Robusta", I12 = "Exc", "Excelsa", I12 = "Ara", "Arabica", I12 = "Lib", "Liberica")</f>
        <v>Arabica</v>
      </c>
      <c r="O12" t="str">
        <f t="shared" si="1"/>
        <v>Dark</v>
      </c>
      <c r="P12" t="str">
        <f>_xlfn.XLOOKUP(Table1[[#This Row],[Customer ID]],Data_customers!$A$2:$A$1001,Data_customers!$I$2:$I$1001,,0)</f>
        <v>No</v>
      </c>
    </row>
    <row r="13" spans="1:16" x14ac:dyDescent="0.2">
      <c r="A13" s="2" t="s">
        <v>553</v>
      </c>
      <c r="B13" s="3">
        <v>44132</v>
      </c>
      <c r="C13" s="2" t="s">
        <v>554</v>
      </c>
      <c r="D13" t="s">
        <v>6148</v>
      </c>
      <c r="E13" s="2">
        <v>5</v>
      </c>
      <c r="F13" s="2" t="str">
        <f>_xlfn.XLOOKUP(Data_orders!C13,Data_customers!$A$1:$A$1001,Data_customers!$B$1:$B$1001,,0)</f>
        <v>Duky Phizackerly</v>
      </c>
      <c r="G13" s="2" t="str">
        <f>IF(_xlfn.XLOOKUP(C13,Data_customers!$A$1:$A$1001,Data_customers!$C$1:$C$1001,,0)=0,"",_xlfn.XLOOKUP(C13,Data_customers!$A$1:$A$1001,Data_customers!$C$1:$C$1001,,0))</f>
        <v>dphizackerlyb@utexas.edu</v>
      </c>
      <c r="H13" s="2" t="str">
        <f>_xlfn.XLOOKUP(C13,Data_customers!$A$1:$A$1001,Data_customers!$G$1:$G$1001,"",0)</f>
        <v>United States</v>
      </c>
      <c r="I13" t="str">
        <f>INDEX(Data_products!$A$1:$G$49, MATCH(Data_orders!$D13,Data_products!$A$1:$A$49,0), MATCH(Data_orders!I$1,Data_products!$A$1:$G$1,0))</f>
        <v>Exc</v>
      </c>
      <c r="J13" t="str">
        <f>INDEX(Data_products!$A$1:$G$49, MATCH(Data_orders!$D13,Data_products!$A$1:$A$49,0), MATCH(Data_orders!J$1,Data_products!$A$1:$G$1,0))</f>
        <v>L</v>
      </c>
      <c r="K13" s="4">
        <f>INDEX(Data_products!$A$1:$G$49, MATCH(Data_orders!$D13,Data_products!$A$1:$A$49,0), MATCH(Data_orders!K$1,Data_products!$A$1:$G$1,0))</f>
        <v>2.5</v>
      </c>
      <c r="L13">
        <f>INDEX(Data_products!$A$1:$G$49, MATCH(Data_orders!$D13,Data_products!$A$1:$A$49,0), MATCH(Data_orders!L$1,Data_products!$A$1:$G$1,0))</f>
        <v>34.154999999999994</v>
      </c>
      <c r="M13">
        <f t="shared" si="0"/>
        <v>170.77499999999998</v>
      </c>
      <c r="N13" t="str" cm="1">
        <f t="array" ref="N13">_xlfn.IFS(I13 = "Rob", "Robusta", I13 = "Exc", "Excelsa", I13 = "Ara", "Arabica", I13 = "Lib", "Liberica")</f>
        <v>Excelsa</v>
      </c>
      <c r="O13" t="str">
        <f t="shared" si="1"/>
        <v>Light</v>
      </c>
      <c r="P13" t="str">
        <f>_xlfn.XLOOKUP(Table1[[#This Row],[Customer ID]],Data_customers!$A$2:$A$1001,Data_customers!$I$2:$I$1001,,0)</f>
        <v>Yes</v>
      </c>
    </row>
    <row r="14" spans="1:16" x14ac:dyDescent="0.2">
      <c r="A14" s="2" t="s">
        <v>559</v>
      </c>
      <c r="B14" s="3">
        <v>44744</v>
      </c>
      <c r="C14" s="2" t="s">
        <v>560</v>
      </c>
      <c r="D14" t="s">
        <v>6138</v>
      </c>
      <c r="E14" s="2">
        <v>5</v>
      </c>
      <c r="F14" s="2" t="str">
        <f>_xlfn.XLOOKUP(Data_orders!C14,Data_customers!$A$1:$A$1001,Data_customers!$B$1:$B$1001,,0)</f>
        <v>Rosaleen Scholar</v>
      </c>
      <c r="G14" s="2" t="str">
        <f>IF(_xlfn.XLOOKUP(C14,Data_customers!$A$1:$A$1001,Data_customers!$C$1:$C$1001,,0)=0,"",_xlfn.XLOOKUP(C14,Data_customers!$A$1:$A$1001,Data_customers!$C$1:$C$1001,,0))</f>
        <v>rscholarc@nyu.edu</v>
      </c>
      <c r="H14" s="2" t="str">
        <f>_xlfn.XLOOKUP(C14,Data_customers!$A$1:$A$1001,Data_customers!$G$1:$G$1001,"",0)</f>
        <v>United States</v>
      </c>
      <c r="I14" t="str">
        <f>INDEX(Data_products!$A$1:$G$49, MATCH(Data_orders!$D14,Data_products!$A$1:$A$49,0), MATCH(Data_orders!I$1,Data_products!$A$1:$G$1,0))</f>
        <v>Rob</v>
      </c>
      <c r="J14" t="str">
        <f>INDEX(Data_products!$A$1:$G$49, MATCH(Data_orders!$D14,Data_products!$A$1:$A$49,0), MATCH(Data_orders!J$1,Data_products!$A$1:$G$1,0))</f>
        <v>M</v>
      </c>
      <c r="K14" s="4">
        <f>INDEX(Data_products!$A$1:$G$49, MATCH(Data_orders!$D14,Data_products!$A$1:$A$49,0), MATCH(Data_orders!K$1,Data_products!$A$1:$G$1,0))</f>
        <v>1</v>
      </c>
      <c r="L14">
        <f>INDEX(Data_products!$A$1:$G$49, MATCH(Data_orders!$D14,Data_products!$A$1:$A$49,0), MATCH(Data_orders!L$1,Data_products!$A$1:$G$1,0))</f>
        <v>9.9499999999999993</v>
      </c>
      <c r="M14">
        <f t="shared" si="0"/>
        <v>49.75</v>
      </c>
      <c r="N14" t="str" cm="1">
        <f t="array" ref="N14">_xlfn.IFS(I14 = "Rob", "Robusta", I14 = "Exc", "Excelsa", I14 = "Ara", "Arabica", I14 = "Lib", "Liberica")</f>
        <v>Robusta</v>
      </c>
      <c r="O14" t="str">
        <f t="shared" si="1"/>
        <v>Medium</v>
      </c>
      <c r="P14" t="str">
        <f>_xlfn.XLOOKUP(Table1[[#This Row],[Customer ID]],Data_customers!$A$2:$A$1001,Data_customers!$I$2:$I$1001,,0)</f>
        <v>No</v>
      </c>
    </row>
    <row r="15" spans="1:16" x14ac:dyDescent="0.2">
      <c r="A15" s="2" t="s">
        <v>565</v>
      </c>
      <c r="B15" s="3">
        <v>43973</v>
      </c>
      <c r="C15" s="2" t="s">
        <v>566</v>
      </c>
      <c r="D15" t="s">
        <v>6149</v>
      </c>
      <c r="E15" s="2">
        <v>2</v>
      </c>
      <c r="F15" s="2" t="str">
        <f>_xlfn.XLOOKUP(Data_orders!C15,Data_customers!$A$1:$A$1001,Data_customers!$B$1:$B$1001,,0)</f>
        <v>Terence Vanyutin</v>
      </c>
      <c r="G15" s="2" t="str">
        <f>IF(_xlfn.XLOOKUP(C15,Data_customers!$A$1:$A$1001,Data_customers!$C$1:$C$1001,,0)=0,"",_xlfn.XLOOKUP(C15,Data_customers!$A$1:$A$1001,Data_customers!$C$1:$C$1001,,0))</f>
        <v>tvanyutind@wix.com</v>
      </c>
      <c r="H15" s="2" t="str">
        <f>_xlfn.XLOOKUP(C15,Data_customers!$A$1:$A$1001,Data_customers!$G$1:$G$1001,"",0)</f>
        <v>United States</v>
      </c>
      <c r="I15" t="str">
        <f>INDEX(Data_products!$A$1:$G$49, MATCH(Data_orders!$D15,Data_products!$A$1:$A$49,0), MATCH(Data_orders!I$1,Data_products!$A$1:$G$1,0))</f>
        <v>Rob</v>
      </c>
      <c r="J15" t="str">
        <f>INDEX(Data_products!$A$1:$G$49, MATCH(Data_orders!$D15,Data_products!$A$1:$A$49,0), MATCH(Data_orders!J$1,Data_products!$A$1:$G$1,0))</f>
        <v>D</v>
      </c>
      <c r="K15" s="4">
        <f>INDEX(Data_products!$A$1:$G$49, MATCH(Data_orders!$D15,Data_products!$A$1:$A$49,0), MATCH(Data_orders!K$1,Data_products!$A$1:$G$1,0))</f>
        <v>2.5</v>
      </c>
      <c r="L15">
        <f>INDEX(Data_products!$A$1:$G$49, MATCH(Data_orders!$D15,Data_products!$A$1:$A$49,0), MATCH(Data_orders!L$1,Data_products!$A$1:$G$1,0))</f>
        <v>20.584999999999997</v>
      </c>
      <c r="M15">
        <f t="shared" si="0"/>
        <v>41.169999999999995</v>
      </c>
      <c r="N15" t="str" cm="1">
        <f t="array" ref="N15">_xlfn.IFS(I15 = "Rob", "Robusta", I15 = "Exc", "Excelsa", I15 = "Ara", "Arabica", I15 = "Lib", "Liberica")</f>
        <v>Robusta</v>
      </c>
      <c r="O15" t="str">
        <f t="shared" si="1"/>
        <v>Dark</v>
      </c>
      <c r="P15" t="str">
        <f>_xlfn.XLOOKUP(Table1[[#This Row],[Customer ID]],Data_customers!$A$2:$A$1001,Data_customers!$I$2:$I$1001,,0)</f>
        <v>No</v>
      </c>
    </row>
    <row r="16" spans="1:16" x14ac:dyDescent="0.2">
      <c r="A16" s="2" t="s">
        <v>570</v>
      </c>
      <c r="B16" s="3">
        <v>44656</v>
      </c>
      <c r="C16" s="2" t="s">
        <v>571</v>
      </c>
      <c r="D16" t="s">
        <v>6150</v>
      </c>
      <c r="E16" s="2">
        <v>3</v>
      </c>
      <c r="F16" s="2" t="str">
        <f>_xlfn.XLOOKUP(Data_orders!C16,Data_customers!$A$1:$A$1001,Data_customers!$B$1:$B$1001,,0)</f>
        <v>Patrice Trobe</v>
      </c>
      <c r="G16" s="2" t="str">
        <f>IF(_xlfn.XLOOKUP(C16,Data_customers!$A$1:$A$1001,Data_customers!$C$1:$C$1001,,0)=0,"",_xlfn.XLOOKUP(C16,Data_customers!$A$1:$A$1001,Data_customers!$C$1:$C$1001,,0))</f>
        <v>ptrobee@wunderground.com</v>
      </c>
      <c r="H16" s="2" t="str">
        <f>_xlfn.XLOOKUP(C16,Data_customers!$A$1:$A$1001,Data_customers!$G$1:$G$1001,"",0)</f>
        <v>United States</v>
      </c>
      <c r="I16" t="str">
        <f>INDEX(Data_products!$A$1:$G$49, MATCH(Data_orders!$D16,Data_products!$A$1:$A$49,0), MATCH(Data_orders!I$1,Data_products!$A$1:$G$1,0))</f>
        <v>Lib</v>
      </c>
      <c r="J16" t="str">
        <f>INDEX(Data_products!$A$1:$G$49, MATCH(Data_orders!$D16,Data_products!$A$1:$A$49,0), MATCH(Data_orders!J$1,Data_products!$A$1:$G$1,0))</f>
        <v>D</v>
      </c>
      <c r="K16" s="4">
        <f>INDEX(Data_products!$A$1:$G$49, MATCH(Data_orders!$D16,Data_products!$A$1:$A$49,0), MATCH(Data_orders!K$1,Data_products!$A$1:$G$1,0))</f>
        <v>0.2</v>
      </c>
      <c r="L16">
        <f>INDEX(Data_products!$A$1:$G$49, MATCH(Data_orders!$D16,Data_products!$A$1:$A$49,0), MATCH(Data_orders!L$1,Data_products!$A$1:$G$1,0))</f>
        <v>3.8849999999999998</v>
      </c>
      <c r="M16">
        <f t="shared" si="0"/>
        <v>11.654999999999999</v>
      </c>
      <c r="N16" t="str" cm="1">
        <f t="array" ref="N16">_xlfn.IFS(I16 = "Rob", "Robusta", I16 = "Exc", "Excelsa", I16 = "Ara", "Arabica", I16 = "Lib", "Liberica")</f>
        <v>Liberica</v>
      </c>
      <c r="O16" t="str">
        <f t="shared" si="1"/>
        <v>Dark</v>
      </c>
      <c r="P16" t="str">
        <f>_xlfn.XLOOKUP(Table1[[#This Row],[Customer ID]],Data_customers!$A$2:$A$1001,Data_customers!$I$2:$I$1001,,0)</f>
        <v>Yes</v>
      </c>
    </row>
    <row r="17" spans="1:16" x14ac:dyDescent="0.2">
      <c r="A17" s="2" t="s">
        <v>576</v>
      </c>
      <c r="B17" s="3">
        <v>44719</v>
      </c>
      <c r="C17" s="2" t="s">
        <v>577</v>
      </c>
      <c r="D17" t="s">
        <v>6151</v>
      </c>
      <c r="E17" s="2">
        <v>5</v>
      </c>
      <c r="F17" s="2" t="str">
        <f>_xlfn.XLOOKUP(Data_orders!C17,Data_customers!$A$1:$A$1001,Data_customers!$B$1:$B$1001,,0)</f>
        <v>Llywellyn Oscroft</v>
      </c>
      <c r="G17" s="2" t="str">
        <f>IF(_xlfn.XLOOKUP(C17,Data_customers!$A$1:$A$1001,Data_customers!$C$1:$C$1001,,0)=0,"",_xlfn.XLOOKUP(C17,Data_customers!$A$1:$A$1001,Data_customers!$C$1:$C$1001,,0))</f>
        <v>loscroftf@ebay.co.uk</v>
      </c>
      <c r="H17" s="2" t="str">
        <f>_xlfn.XLOOKUP(C17,Data_customers!$A$1:$A$1001,Data_customers!$G$1:$G$1001,"",0)</f>
        <v>United States</v>
      </c>
      <c r="I17" t="str">
        <f>INDEX(Data_products!$A$1:$G$49, MATCH(Data_orders!$D17,Data_products!$A$1:$A$49,0), MATCH(Data_orders!I$1,Data_products!$A$1:$G$1,0))</f>
        <v>Rob</v>
      </c>
      <c r="J17" t="str">
        <f>INDEX(Data_products!$A$1:$G$49, MATCH(Data_orders!$D17,Data_products!$A$1:$A$49,0), MATCH(Data_orders!J$1,Data_products!$A$1:$G$1,0))</f>
        <v>M</v>
      </c>
      <c r="K17" s="4">
        <f>INDEX(Data_products!$A$1:$G$49, MATCH(Data_orders!$D17,Data_products!$A$1:$A$49,0), MATCH(Data_orders!K$1,Data_products!$A$1:$G$1,0))</f>
        <v>2.5</v>
      </c>
      <c r="L17">
        <f>INDEX(Data_products!$A$1:$G$49, MATCH(Data_orders!$D17,Data_products!$A$1:$A$49,0), MATCH(Data_orders!L$1,Data_products!$A$1:$G$1,0))</f>
        <v>22.884999999999998</v>
      </c>
      <c r="M17">
        <f t="shared" si="0"/>
        <v>114.42499999999998</v>
      </c>
      <c r="N17" t="str" cm="1">
        <f t="array" ref="N17">_xlfn.IFS(I17 = "Rob", "Robusta", I17 = "Exc", "Excelsa", I17 = "Ara", "Arabica", I17 = "Lib", "Liberica")</f>
        <v>Robusta</v>
      </c>
      <c r="O17" t="str">
        <f t="shared" si="1"/>
        <v>Medium</v>
      </c>
      <c r="P17" t="str">
        <f>_xlfn.XLOOKUP(Table1[[#This Row],[Customer ID]],Data_customers!$A$2:$A$1001,Data_customers!$I$2:$I$1001,,0)</f>
        <v>No</v>
      </c>
    </row>
    <row r="18" spans="1:16" x14ac:dyDescent="0.2">
      <c r="A18" s="2" t="s">
        <v>581</v>
      </c>
      <c r="B18" s="3">
        <v>43544</v>
      </c>
      <c r="C18" s="2" t="s">
        <v>582</v>
      </c>
      <c r="D18" t="s">
        <v>6152</v>
      </c>
      <c r="E18" s="2">
        <v>6</v>
      </c>
      <c r="F18" s="2" t="str">
        <f>_xlfn.XLOOKUP(Data_orders!C18,Data_customers!$A$1:$A$1001,Data_customers!$B$1:$B$1001,,0)</f>
        <v>Minni Alabaster</v>
      </c>
      <c r="G18" s="2" t="str">
        <f>IF(_xlfn.XLOOKUP(C18,Data_customers!$A$1:$A$1001,Data_customers!$C$1:$C$1001,,0)=0,"",_xlfn.XLOOKUP(C18,Data_customers!$A$1:$A$1001,Data_customers!$C$1:$C$1001,,0))</f>
        <v>malabasterg@hexun.com</v>
      </c>
      <c r="H18" s="2" t="str">
        <f>_xlfn.XLOOKUP(C18,Data_customers!$A$1:$A$1001,Data_customers!$G$1:$G$1001,"",0)</f>
        <v>United States</v>
      </c>
      <c r="I18" t="str">
        <f>INDEX(Data_products!$A$1:$G$49, MATCH(Data_orders!$D18,Data_products!$A$1:$A$49,0), MATCH(Data_orders!I$1,Data_products!$A$1:$G$1,0))</f>
        <v>Ara</v>
      </c>
      <c r="J18" t="str">
        <f>INDEX(Data_products!$A$1:$G$49, MATCH(Data_orders!$D18,Data_products!$A$1:$A$49,0), MATCH(Data_orders!J$1,Data_products!$A$1:$G$1,0))</f>
        <v>M</v>
      </c>
      <c r="K18" s="4">
        <f>INDEX(Data_products!$A$1:$G$49, MATCH(Data_orders!$D18,Data_products!$A$1:$A$49,0), MATCH(Data_orders!K$1,Data_products!$A$1:$G$1,0))</f>
        <v>0.2</v>
      </c>
      <c r="L18">
        <f>INDEX(Data_products!$A$1:$G$49, MATCH(Data_orders!$D18,Data_products!$A$1:$A$49,0), MATCH(Data_orders!L$1,Data_products!$A$1:$G$1,0))</f>
        <v>3.375</v>
      </c>
      <c r="M18">
        <f t="shared" si="0"/>
        <v>20.25</v>
      </c>
      <c r="N18" t="str" cm="1">
        <f t="array" ref="N18">_xlfn.IFS(I18 = "Rob", "Robusta", I18 = "Exc", "Excelsa", I18 = "Ara", "Arabica", I18 = "Lib", "Liberica")</f>
        <v>Arabica</v>
      </c>
      <c r="O18" t="str">
        <f t="shared" si="1"/>
        <v>Medium</v>
      </c>
      <c r="P18" t="str">
        <f>_xlfn.XLOOKUP(Table1[[#This Row],[Customer ID]],Data_customers!$A$2:$A$1001,Data_customers!$I$2:$I$1001,,0)</f>
        <v>No</v>
      </c>
    </row>
    <row r="19" spans="1:16" x14ac:dyDescent="0.2">
      <c r="A19" s="2" t="s">
        <v>587</v>
      </c>
      <c r="B19" s="3">
        <v>43757</v>
      </c>
      <c r="C19" s="2" t="s">
        <v>588</v>
      </c>
      <c r="D19" t="s">
        <v>6140</v>
      </c>
      <c r="E19" s="2">
        <v>6</v>
      </c>
      <c r="F19" s="2" t="str">
        <f>_xlfn.XLOOKUP(Data_orders!C19,Data_customers!$A$1:$A$1001,Data_customers!$B$1:$B$1001,,0)</f>
        <v>Rhianon Broxup</v>
      </c>
      <c r="G19" s="2" t="str">
        <f>IF(_xlfn.XLOOKUP(C19,Data_customers!$A$1:$A$1001,Data_customers!$C$1:$C$1001,,0)=0,"",_xlfn.XLOOKUP(C19,Data_customers!$A$1:$A$1001,Data_customers!$C$1:$C$1001,,0))</f>
        <v>rbroxuph@jimdo.com</v>
      </c>
      <c r="H19" s="2" t="str">
        <f>_xlfn.XLOOKUP(C19,Data_customers!$A$1:$A$1001,Data_customers!$G$1:$G$1001,"",0)</f>
        <v>United States</v>
      </c>
      <c r="I19" t="str">
        <f>INDEX(Data_products!$A$1:$G$49, MATCH(Data_orders!$D19,Data_products!$A$1:$A$49,0), MATCH(Data_orders!I$1,Data_products!$A$1:$G$1,0))</f>
        <v>Ara</v>
      </c>
      <c r="J19" t="str">
        <f>INDEX(Data_products!$A$1:$G$49, MATCH(Data_orders!$D19,Data_products!$A$1:$A$49,0), MATCH(Data_orders!J$1,Data_products!$A$1:$G$1,0))</f>
        <v>L</v>
      </c>
      <c r="K19" s="4">
        <f>INDEX(Data_products!$A$1:$G$49, MATCH(Data_orders!$D19,Data_products!$A$1:$A$49,0), MATCH(Data_orders!K$1,Data_products!$A$1:$G$1,0))</f>
        <v>1</v>
      </c>
      <c r="L19">
        <f>INDEX(Data_products!$A$1:$G$49, MATCH(Data_orders!$D19,Data_products!$A$1:$A$49,0), MATCH(Data_orders!L$1,Data_products!$A$1:$G$1,0))</f>
        <v>12.95</v>
      </c>
      <c r="M19">
        <f t="shared" si="0"/>
        <v>77.699999999999989</v>
      </c>
      <c r="N19" t="str" cm="1">
        <f t="array" ref="N19">_xlfn.IFS(I19 = "Rob", "Robusta", I19 = "Exc", "Excelsa", I19 = "Ara", "Arabica", I19 = "Lib", "Liberica")</f>
        <v>Arabica</v>
      </c>
      <c r="O19" t="str">
        <f t="shared" si="1"/>
        <v>Light</v>
      </c>
      <c r="P19" t="str">
        <f>_xlfn.XLOOKUP(Table1[[#This Row],[Customer ID]],Data_customers!$A$2:$A$1001,Data_customers!$I$2:$I$1001,,0)</f>
        <v>No</v>
      </c>
    </row>
    <row r="20" spans="1:16" x14ac:dyDescent="0.2">
      <c r="A20" s="2" t="s">
        <v>593</v>
      </c>
      <c r="B20" s="3">
        <v>43629</v>
      </c>
      <c r="C20" s="2" t="s">
        <v>594</v>
      </c>
      <c r="D20" t="s">
        <v>6149</v>
      </c>
      <c r="E20" s="2">
        <v>4</v>
      </c>
      <c r="F20" s="2" t="str">
        <f>_xlfn.XLOOKUP(Data_orders!C20,Data_customers!$A$1:$A$1001,Data_customers!$B$1:$B$1001,,0)</f>
        <v>Pall Redford</v>
      </c>
      <c r="G20" s="2" t="str">
        <f>IF(_xlfn.XLOOKUP(C20,Data_customers!$A$1:$A$1001,Data_customers!$C$1:$C$1001,,0)=0,"",_xlfn.XLOOKUP(C20,Data_customers!$A$1:$A$1001,Data_customers!$C$1:$C$1001,,0))</f>
        <v>predfordi@ow.ly</v>
      </c>
      <c r="H20" s="2" t="str">
        <f>_xlfn.XLOOKUP(C20,Data_customers!$A$1:$A$1001,Data_customers!$G$1:$G$1001,"",0)</f>
        <v>Ireland</v>
      </c>
      <c r="I20" t="str">
        <f>INDEX(Data_products!$A$1:$G$49, MATCH(Data_orders!$D20,Data_products!$A$1:$A$49,0), MATCH(Data_orders!I$1,Data_products!$A$1:$G$1,0))</f>
        <v>Rob</v>
      </c>
      <c r="J20" t="str">
        <f>INDEX(Data_products!$A$1:$G$49, MATCH(Data_orders!$D20,Data_products!$A$1:$A$49,0), MATCH(Data_orders!J$1,Data_products!$A$1:$G$1,0))</f>
        <v>D</v>
      </c>
      <c r="K20" s="4">
        <f>INDEX(Data_products!$A$1:$G$49, MATCH(Data_orders!$D20,Data_products!$A$1:$A$49,0), MATCH(Data_orders!K$1,Data_products!$A$1:$G$1,0))</f>
        <v>2.5</v>
      </c>
      <c r="L20">
        <f>INDEX(Data_products!$A$1:$G$49, MATCH(Data_orders!$D20,Data_products!$A$1:$A$49,0), MATCH(Data_orders!L$1,Data_products!$A$1:$G$1,0))</f>
        <v>20.584999999999997</v>
      </c>
      <c r="M20">
        <f t="shared" si="0"/>
        <v>82.339999999999989</v>
      </c>
      <c r="N20" t="str" cm="1">
        <f t="array" ref="N20">_xlfn.IFS(I20 = "Rob", "Robusta", I20 = "Exc", "Excelsa", I20 = "Ara", "Arabica", I20 = "Lib", "Liberica")</f>
        <v>Robusta</v>
      </c>
      <c r="O20" t="str">
        <f t="shared" si="1"/>
        <v>Dark</v>
      </c>
      <c r="P20" t="str">
        <f>_xlfn.XLOOKUP(Table1[[#This Row],[Customer ID]],Data_customers!$A$2:$A$1001,Data_customers!$I$2:$I$1001,,0)</f>
        <v>Yes</v>
      </c>
    </row>
    <row r="21" spans="1:16" x14ac:dyDescent="0.2">
      <c r="A21" s="2" t="s">
        <v>598</v>
      </c>
      <c r="B21" s="3">
        <v>44169</v>
      </c>
      <c r="C21" s="2" t="s">
        <v>599</v>
      </c>
      <c r="D21" t="s">
        <v>6152</v>
      </c>
      <c r="E21" s="2">
        <v>5</v>
      </c>
      <c r="F21" s="2" t="str">
        <f>_xlfn.XLOOKUP(Data_orders!C21,Data_customers!$A$1:$A$1001,Data_customers!$B$1:$B$1001,,0)</f>
        <v>Aurea Corradino</v>
      </c>
      <c r="G21" s="2" t="str">
        <f>IF(_xlfn.XLOOKUP(C21,Data_customers!$A$1:$A$1001,Data_customers!$C$1:$C$1001,,0)=0,"",_xlfn.XLOOKUP(C21,Data_customers!$A$1:$A$1001,Data_customers!$C$1:$C$1001,,0))</f>
        <v>acorradinoj@harvard.edu</v>
      </c>
      <c r="H21" s="2" t="str">
        <f>_xlfn.XLOOKUP(C21,Data_customers!$A$1:$A$1001,Data_customers!$G$1:$G$1001,"",0)</f>
        <v>United States</v>
      </c>
      <c r="I21" t="str">
        <f>INDEX(Data_products!$A$1:$G$49, MATCH(Data_orders!$D21,Data_products!$A$1:$A$49,0), MATCH(Data_orders!I$1,Data_products!$A$1:$G$1,0))</f>
        <v>Ara</v>
      </c>
      <c r="J21" t="str">
        <f>INDEX(Data_products!$A$1:$G$49, MATCH(Data_orders!$D21,Data_products!$A$1:$A$49,0), MATCH(Data_orders!J$1,Data_products!$A$1:$G$1,0))</f>
        <v>M</v>
      </c>
      <c r="K21" s="4">
        <f>INDEX(Data_products!$A$1:$G$49, MATCH(Data_orders!$D21,Data_products!$A$1:$A$49,0), MATCH(Data_orders!K$1,Data_products!$A$1:$G$1,0))</f>
        <v>0.2</v>
      </c>
      <c r="L21">
        <f>INDEX(Data_products!$A$1:$G$49, MATCH(Data_orders!$D21,Data_products!$A$1:$A$49,0), MATCH(Data_orders!L$1,Data_products!$A$1:$G$1,0))</f>
        <v>3.375</v>
      </c>
      <c r="M21">
        <f t="shared" si="0"/>
        <v>16.875</v>
      </c>
      <c r="N21" t="str" cm="1">
        <f t="array" ref="N21">_xlfn.IFS(I21 = "Rob", "Robusta", I21 = "Exc", "Excelsa", I21 = "Ara", "Arabica", I21 = "Lib", "Liberica")</f>
        <v>Arabica</v>
      </c>
      <c r="O21" t="str">
        <f t="shared" si="1"/>
        <v>Medium</v>
      </c>
      <c r="P21" t="str">
        <f>_xlfn.XLOOKUP(Table1[[#This Row],[Customer ID]],Data_customers!$A$2:$A$1001,Data_customers!$I$2:$I$1001,,0)</f>
        <v>Yes</v>
      </c>
    </row>
    <row r="22" spans="1:16" x14ac:dyDescent="0.2">
      <c r="A22" s="2" t="s">
        <v>598</v>
      </c>
      <c r="B22" s="3">
        <v>44169</v>
      </c>
      <c r="C22" s="2" t="s">
        <v>599</v>
      </c>
      <c r="D22" t="s">
        <v>6153</v>
      </c>
      <c r="E22" s="2">
        <v>4</v>
      </c>
      <c r="F22" s="2" t="str">
        <f>_xlfn.XLOOKUP(Data_orders!C22,Data_customers!$A$1:$A$1001,Data_customers!$B$1:$B$1001,,0)</f>
        <v>Aurea Corradino</v>
      </c>
      <c r="G22" s="2" t="str">
        <f>IF(_xlfn.XLOOKUP(C22,Data_customers!$A$1:$A$1001,Data_customers!$C$1:$C$1001,,0)=0,"",_xlfn.XLOOKUP(C22,Data_customers!$A$1:$A$1001,Data_customers!$C$1:$C$1001,,0))</f>
        <v>acorradinoj@harvard.edu</v>
      </c>
      <c r="H22" s="2" t="str">
        <f>_xlfn.XLOOKUP(C22,Data_customers!$A$1:$A$1001,Data_customers!$G$1:$G$1001,"",0)</f>
        <v>United States</v>
      </c>
      <c r="I22" t="str">
        <f>INDEX(Data_products!$A$1:$G$49, MATCH(Data_orders!$D22,Data_products!$A$1:$A$49,0), MATCH(Data_orders!I$1,Data_products!$A$1:$G$1,0))</f>
        <v>Exc</v>
      </c>
      <c r="J22" t="str">
        <f>INDEX(Data_products!$A$1:$G$49, MATCH(Data_orders!$D22,Data_products!$A$1:$A$49,0), MATCH(Data_orders!J$1,Data_products!$A$1:$G$1,0))</f>
        <v>D</v>
      </c>
      <c r="K22" s="4">
        <f>INDEX(Data_products!$A$1:$G$49, MATCH(Data_orders!$D22,Data_products!$A$1:$A$49,0), MATCH(Data_orders!K$1,Data_products!$A$1:$G$1,0))</f>
        <v>0.2</v>
      </c>
      <c r="L22">
        <f>INDEX(Data_products!$A$1:$G$49, MATCH(Data_orders!$D22,Data_products!$A$1:$A$49,0), MATCH(Data_orders!L$1,Data_products!$A$1:$G$1,0))</f>
        <v>3.645</v>
      </c>
      <c r="M22">
        <f t="shared" si="0"/>
        <v>14.58</v>
      </c>
      <c r="N22" t="str" cm="1">
        <f t="array" ref="N22">_xlfn.IFS(I22 = "Rob", "Robusta", I22 = "Exc", "Excelsa", I22 = "Ara", "Arabica", I22 = "Lib", "Liberica")</f>
        <v>Excelsa</v>
      </c>
      <c r="O22" t="str">
        <f t="shared" si="1"/>
        <v>Dark</v>
      </c>
      <c r="P22" t="str">
        <f>_xlfn.XLOOKUP(Table1[[#This Row],[Customer ID]],Data_customers!$A$2:$A$1001,Data_customers!$I$2:$I$1001,,0)</f>
        <v>Yes</v>
      </c>
    </row>
    <row r="23" spans="1:16" x14ac:dyDescent="0.2">
      <c r="A23" s="2" t="s">
        <v>608</v>
      </c>
      <c r="B23" s="3">
        <v>44169</v>
      </c>
      <c r="C23" s="2" t="s">
        <v>609</v>
      </c>
      <c r="D23" t="s">
        <v>6154</v>
      </c>
      <c r="E23" s="2">
        <v>6</v>
      </c>
      <c r="F23" s="2" t="str">
        <f>_xlfn.XLOOKUP(Data_orders!C23,Data_customers!$A$1:$A$1001,Data_customers!$B$1:$B$1001,,0)</f>
        <v>Avrit Davidowsky</v>
      </c>
      <c r="G23" s="2" t="str">
        <f>IF(_xlfn.XLOOKUP(C23,Data_customers!$A$1:$A$1001,Data_customers!$C$1:$C$1001,,0)=0,"",_xlfn.XLOOKUP(C23,Data_customers!$A$1:$A$1001,Data_customers!$C$1:$C$1001,,0))</f>
        <v>adavidowskyl@netvibes.com</v>
      </c>
      <c r="H23" s="2" t="str">
        <f>_xlfn.XLOOKUP(C23,Data_customers!$A$1:$A$1001,Data_customers!$G$1:$G$1001,"",0)</f>
        <v>United States</v>
      </c>
      <c r="I23" t="str">
        <f>INDEX(Data_products!$A$1:$G$49, MATCH(Data_orders!$D23,Data_products!$A$1:$A$49,0), MATCH(Data_orders!I$1,Data_products!$A$1:$G$1,0))</f>
        <v>Ara</v>
      </c>
      <c r="J23" t="str">
        <f>INDEX(Data_products!$A$1:$G$49, MATCH(Data_orders!$D23,Data_products!$A$1:$A$49,0), MATCH(Data_orders!J$1,Data_products!$A$1:$G$1,0))</f>
        <v>D</v>
      </c>
      <c r="K23" s="4">
        <f>INDEX(Data_products!$A$1:$G$49, MATCH(Data_orders!$D23,Data_products!$A$1:$A$49,0), MATCH(Data_orders!K$1,Data_products!$A$1:$G$1,0))</f>
        <v>0.2</v>
      </c>
      <c r="L23">
        <f>INDEX(Data_products!$A$1:$G$49, MATCH(Data_orders!$D23,Data_products!$A$1:$A$49,0), MATCH(Data_orders!L$1,Data_products!$A$1:$G$1,0))</f>
        <v>2.9849999999999999</v>
      </c>
      <c r="M23">
        <f t="shared" si="0"/>
        <v>17.91</v>
      </c>
      <c r="N23" t="str" cm="1">
        <f t="array" ref="N23">_xlfn.IFS(I23 = "Rob", "Robusta", I23 = "Exc", "Excelsa", I23 = "Ara", "Arabica", I23 = "Lib", "Liberica")</f>
        <v>Arabica</v>
      </c>
      <c r="O23" t="str">
        <f t="shared" si="1"/>
        <v>Dark</v>
      </c>
      <c r="P23" t="str">
        <f>_xlfn.XLOOKUP(Table1[[#This Row],[Customer ID]],Data_customers!$A$2:$A$1001,Data_customers!$I$2:$I$1001,,0)</f>
        <v>No</v>
      </c>
    </row>
    <row r="24" spans="1:16" x14ac:dyDescent="0.2">
      <c r="A24" s="2" t="s">
        <v>614</v>
      </c>
      <c r="B24" s="3">
        <v>44218</v>
      </c>
      <c r="C24" s="2" t="s">
        <v>615</v>
      </c>
      <c r="D24" t="s">
        <v>6151</v>
      </c>
      <c r="E24" s="2">
        <v>4</v>
      </c>
      <c r="F24" s="2" t="str">
        <f>_xlfn.XLOOKUP(Data_orders!C24,Data_customers!$A$1:$A$1001,Data_customers!$B$1:$B$1001,,0)</f>
        <v>Annabel Antuk</v>
      </c>
      <c r="G24" s="2" t="str">
        <f>IF(_xlfn.XLOOKUP(C24,Data_customers!$A$1:$A$1001,Data_customers!$C$1:$C$1001,,0)=0,"",_xlfn.XLOOKUP(C24,Data_customers!$A$1:$A$1001,Data_customers!$C$1:$C$1001,,0))</f>
        <v>aantukm@kickstarter.com</v>
      </c>
      <c r="H24" s="2" t="str">
        <f>_xlfn.XLOOKUP(C24,Data_customers!$A$1:$A$1001,Data_customers!$G$1:$G$1001,"",0)</f>
        <v>United States</v>
      </c>
      <c r="I24" t="str">
        <f>INDEX(Data_products!$A$1:$G$49, MATCH(Data_orders!$D24,Data_products!$A$1:$A$49,0), MATCH(Data_orders!I$1,Data_products!$A$1:$G$1,0))</f>
        <v>Rob</v>
      </c>
      <c r="J24" t="str">
        <f>INDEX(Data_products!$A$1:$G$49, MATCH(Data_orders!$D24,Data_products!$A$1:$A$49,0), MATCH(Data_orders!J$1,Data_products!$A$1:$G$1,0))</f>
        <v>M</v>
      </c>
      <c r="K24" s="4">
        <f>INDEX(Data_products!$A$1:$G$49, MATCH(Data_orders!$D24,Data_products!$A$1:$A$49,0), MATCH(Data_orders!K$1,Data_products!$A$1:$G$1,0))</f>
        <v>2.5</v>
      </c>
      <c r="L24">
        <f>INDEX(Data_products!$A$1:$G$49, MATCH(Data_orders!$D24,Data_products!$A$1:$A$49,0), MATCH(Data_orders!L$1,Data_products!$A$1:$G$1,0))</f>
        <v>22.884999999999998</v>
      </c>
      <c r="M24">
        <f t="shared" si="0"/>
        <v>91.539999999999992</v>
      </c>
      <c r="N24" t="str" cm="1">
        <f t="array" ref="N24">_xlfn.IFS(I24 = "Rob", "Robusta", I24 = "Exc", "Excelsa", I24 = "Ara", "Arabica", I24 = "Lib", "Liberica")</f>
        <v>Robusta</v>
      </c>
      <c r="O24" t="str">
        <f t="shared" si="1"/>
        <v>Medium</v>
      </c>
      <c r="P24" t="str">
        <f>_xlfn.XLOOKUP(Table1[[#This Row],[Customer ID]],Data_customers!$A$2:$A$1001,Data_customers!$I$2:$I$1001,,0)</f>
        <v>Yes</v>
      </c>
    </row>
    <row r="25" spans="1:16" x14ac:dyDescent="0.2">
      <c r="A25" s="2" t="s">
        <v>620</v>
      </c>
      <c r="B25" s="3">
        <v>44603</v>
      </c>
      <c r="C25" s="2" t="s">
        <v>621</v>
      </c>
      <c r="D25" t="s">
        <v>6154</v>
      </c>
      <c r="E25" s="2">
        <v>4</v>
      </c>
      <c r="F25" s="2" t="str">
        <f>_xlfn.XLOOKUP(Data_orders!C25,Data_customers!$A$1:$A$1001,Data_customers!$B$1:$B$1001,,0)</f>
        <v>Iorgo Kleinert</v>
      </c>
      <c r="G25" s="2" t="str">
        <f>IF(_xlfn.XLOOKUP(C25,Data_customers!$A$1:$A$1001,Data_customers!$C$1:$C$1001,,0)=0,"",_xlfn.XLOOKUP(C25,Data_customers!$A$1:$A$1001,Data_customers!$C$1:$C$1001,,0))</f>
        <v>ikleinertn@timesonline.co.uk</v>
      </c>
      <c r="H25" s="2" t="str">
        <f>_xlfn.XLOOKUP(C25,Data_customers!$A$1:$A$1001,Data_customers!$G$1:$G$1001,"",0)</f>
        <v>United States</v>
      </c>
      <c r="I25" t="str">
        <f>INDEX(Data_products!$A$1:$G$49, MATCH(Data_orders!$D25,Data_products!$A$1:$A$49,0), MATCH(Data_orders!I$1,Data_products!$A$1:$G$1,0))</f>
        <v>Ara</v>
      </c>
      <c r="J25" t="str">
        <f>INDEX(Data_products!$A$1:$G$49, MATCH(Data_orders!$D25,Data_products!$A$1:$A$49,0), MATCH(Data_orders!J$1,Data_products!$A$1:$G$1,0))</f>
        <v>D</v>
      </c>
      <c r="K25" s="4">
        <f>INDEX(Data_products!$A$1:$G$49, MATCH(Data_orders!$D25,Data_products!$A$1:$A$49,0), MATCH(Data_orders!K$1,Data_products!$A$1:$G$1,0))</f>
        <v>0.2</v>
      </c>
      <c r="L25">
        <f>INDEX(Data_products!$A$1:$G$49, MATCH(Data_orders!$D25,Data_products!$A$1:$A$49,0), MATCH(Data_orders!L$1,Data_products!$A$1:$G$1,0))</f>
        <v>2.9849999999999999</v>
      </c>
      <c r="M25">
        <f t="shared" si="0"/>
        <v>11.94</v>
      </c>
      <c r="N25" t="str" cm="1">
        <f t="array" ref="N25">_xlfn.IFS(I25 = "Rob", "Robusta", I25 = "Exc", "Excelsa", I25 = "Ara", "Arabica", I25 = "Lib", "Liberica")</f>
        <v>Arabica</v>
      </c>
      <c r="O25" t="str">
        <f t="shared" si="1"/>
        <v>Dark</v>
      </c>
      <c r="P25" t="str">
        <f>_xlfn.XLOOKUP(Table1[[#This Row],[Customer ID]],Data_customers!$A$2:$A$1001,Data_customers!$I$2:$I$1001,,0)</f>
        <v>Yes</v>
      </c>
    </row>
    <row r="26" spans="1:16" x14ac:dyDescent="0.2">
      <c r="A26" s="2" t="s">
        <v>626</v>
      </c>
      <c r="B26" s="3">
        <v>44454</v>
      </c>
      <c r="C26" s="2" t="s">
        <v>627</v>
      </c>
      <c r="D26" t="s">
        <v>6155</v>
      </c>
      <c r="E26" s="2">
        <v>1</v>
      </c>
      <c r="F26" s="2" t="str">
        <f>_xlfn.XLOOKUP(Data_orders!C26,Data_customers!$A$1:$A$1001,Data_customers!$B$1:$B$1001,,0)</f>
        <v>Chrisy Blofeld</v>
      </c>
      <c r="G26" s="2" t="str">
        <f>IF(_xlfn.XLOOKUP(C26,Data_customers!$A$1:$A$1001,Data_customers!$C$1:$C$1001,,0)=0,"",_xlfn.XLOOKUP(C26,Data_customers!$A$1:$A$1001,Data_customers!$C$1:$C$1001,,0))</f>
        <v>cblofeldo@amazon.co.uk</v>
      </c>
      <c r="H26" s="2" t="str">
        <f>_xlfn.XLOOKUP(C26,Data_customers!$A$1:$A$1001,Data_customers!$G$1:$G$1001,"",0)</f>
        <v>United States</v>
      </c>
      <c r="I26" t="str">
        <f>INDEX(Data_products!$A$1:$G$49, MATCH(Data_orders!$D26,Data_products!$A$1:$A$49,0), MATCH(Data_orders!I$1,Data_products!$A$1:$G$1,0))</f>
        <v>Ara</v>
      </c>
      <c r="J26" t="str">
        <f>INDEX(Data_products!$A$1:$G$49, MATCH(Data_orders!$D26,Data_products!$A$1:$A$49,0), MATCH(Data_orders!J$1,Data_products!$A$1:$G$1,0))</f>
        <v>M</v>
      </c>
      <c r="K26" s="4">
        <f>INDEX(Data_products!$A$1:$G$49, MATCH(Data_orders!$D26,Data_products!$A$1:$A$49,0), MATCH(Data_orders!K$1,Data_products!$A$1:$G$1,0))</f>
        <v>1</v>
      </c>
      <c r="L26">
        <f>INDEX(Data_products!$A$1:$G$49, MATCH(Data_orders!$D26,Data_products!$A$1:$A$49,0), MATCH(Data_orders!L$1,Data_products!$A$1:$G$1,0))</f>
        <v>11.25</v>
      </c>
      <c r="M26">
        <f t="shared" si="0"/>
        <v>11.25</v>
      </c>
      <c r="N26" t="str" cm="1">
        <f t="array" ref="N26">_xlfn.IFS(I26 = "Rob", "Robusta", I26 = "Exc", "Excelsa", I26 = "Ara", "Arabica", I26 = "Lib", "Liberica")</f>
        <v>Arabica</v>
      </c>
      <c r="O26" t="str">
        <f t="shared" si="1"/>
        <v>Medium</v>
      </c>
      <c r="P26" t="str">
        <f>_xlfn.XLOOKUP(Table1[[#This Row],[Customer ID]],Data_customers!$A$2:$A$1001,Data_customers!$I$2:$I$1001,,0)</f>
        <v>No</v>
      </c>
    </row>
    <row r="27" spans="1:16" x14ac:dyDescent="0.2">
      <c r="A27" s="2" t="s">
        <v>632</v>
      </c>
      <c r="B27" s="3">
        <v>44128</v>
      </c>
      <c r="C27" s="2" t="s">
        <v>633</v>
      </c>
      <c r="D27" t="s">
        <v>6156</v>
      </c>
      <c r="E27" s="2">
        <v>3</v>
      </c>
      <c r="F27" s="2" t="str">
        <f>_xlfn.XLOOKUP(Data_orders!C27,Data_customers!$A$1:$A$1001,Data_customers!$B$1:$B$1001,,0)</f>
        <v>Culley Farris</v>
      </c>
      <c r="G27" s="2" t="str">
        <f>IF(_xlfn.XLOOKUP(C27,Data_customers!$A$1:$A$1001,Data_customers!$C$1:$C$1001,,0)=0,"",_xlfn.XLOOKUP(C27,Data_customers!$A$1:$A$1001,Data_customers!$C$1:$C$1001,,0))</f>
        <v/>
      </c>
      <c r="H27" s="2" t="str">
        <f>_xlfn.XLOOKUP(C27,Data_customers!$A$1:$A$1001,Data_customers!$G$1:$G$1001,"",0)</f>
        <v>United States</v>
      </c>
      <c r="I27" t="str">
        <f>INDEX(Data_products!$A$1:$G$49, MATCH(Data_orders!$D27,Data_products!$A$1:$A$49,0), MATCH(Data_orders!I$1,Data_products!$A$1:$G$1,0))</f>
        <v>Exc</v>
      </c>
      <c r="J27" t="str">
        <f>INDEX(Data_products!$A$1:$G$49, MATCH(Data_orders!$D27,Data_products!$A$1:$A$49,0), MATCH(Data_orders!J$1,Data_products!$A$1:$G$1,0))</f>
        <v>M</v>
      </c>
      <c r="K27" s="4">
        <f>INDEX(Data_products!$A$1:$G$49, MATCH(Data_orders!$D27,Data_products!$A$1:$A$49,0), MATCH(Data_orders!K$1,Data_products!$A$1:$G$1,0))</f>
        <v>0.2</v>
      </c>
      <c r="L27">
        <f>INDEX(Data_products!$A$1:$G$49, MATCH(Data_orders!$D27,Data_products!$A$1:$A$49,0), MATCH(Data_orders!L$1,Data_products!$A$1:$G$1,0))</f>
        <v>4.125</v>
      </c>
      <c r="M27">
        <f t="shared" si="0"/>
        <v>12.375</v>
      </c>
      <c r="N27" t="str" cm="1">
        <f t="array" ref="N27">_xlfn.IFS(I27 = "Rob", "Robusta", I27 = "Exc", "Excelsa", I27 = "Ara", "Arabica", I27 = "Lib", "Liberica")</f>
        <v>Excelsa</v>
      </c>
      <c r="O27" t="str">
        <f t="shared" si="1"/>
        <v>Medium</v>
      </c>
      <c r="P27" t="str">
        <f>_xlfn.XLOOKUP(Table1[[#This Row],[Customer ID]],Data_customers!$A$2:$A$1001,Data_customers!$I$2:$I$1001,,0)</f>
        <v>Yes</v>
      </c>
    </row>
    <row r="28" spans="1:16" x14ac:dyDescent="0.2">
      <c r="A28" s="2" t="s">
        <v>637</v>
      </c>
      <c r="B28" s="3">
        <v>43516</v>
      </c>
      <c r="C28" s="2" t="s">
        <v>638</v>
      </c>
      <c r="D28" t="s">
        <v>6157</v>
      </c>
      <c r="E28" s="2">
        <v>4</v>
      </c>
      <c r="F28" s="2" t="str">
        <f>_xlfn.XLOOKUP(Data_orders!C28,Data_customers!$A$1:$A$1001,Data_customers!$B$1:$B$1001,,0)</f>
        <v>Selene Shales</v>
      </c>
      <c r="G28" s="2" t="str">
        <f>IF(_xlfn.XLOOKUP(C28,Data_customers!$A$1:$A$1001,Data_customers!$C$1:$C$1001,,0)=0,"",_xlfn.XLOOKUP(C28,Data_customers!$A$1:$A$1001,Data_customers!$C$1:$C$1001,,0))</f>
        <v>sshalesq@umich.edu</v>
      </c>
      <c r="H28" s="2" t="str">
        <f>_xlfn.XLOOKUP(C28,Data_customers!$A$1:$A$1001,Data_customers!$G$1:$G$1001,"",0)</f>
        <v>United States</v>
      </c>
      <c r="I28" t="str">
        <f>INDEX(Data_products!$A$1:$G$49, MATCH(Data_orders!$D28,Data_products!$A$1:$A$49,0), MATCH(Data_orders!I$1,Data_products!$A$1:$G$1,0))</f>
        <v>Ara</v>
      </c>
      <c r="J28" t="str">
        <f>INDEX(Data_products!$A$1:$G$49, MATCH(Data_orders!$D28,Data_products!$A$1:$A$49,0), MATCH(Data_orders!J$1,Data_products!$A$1:$G$1,0))</f>
        <v>M</v>
      </c>
      <c r="K28" s="4">
        <f>INDEX(Data_products!$A$1:$G$49, MATCH(Data_orders!$D28,Data_products!$A$1:$A$49,0), MATCH(Data_orders!K$1,Data_products!$A$1:$G$1,0))</f>
        <v>0.5</v>
      </c>
      <c r="L28">
        <f>INDEX(Data_products!$A$1:$G$49, MATCH(Data_orders!$D28,Data_products!$A$1:$A$49,0), MATCH(Data_orders!L$1,Data_products!$A$1:$G$1,0))</f>
        <v>6.75</v>
      </c>
      <c r="M28">
        <f t="shared" si="0"/>
        <v>27</v>
      </c>
      <c r="N28" t="str" cm="1">
        <f t="array" ref="N28">_xlfn.IFS(I28 = "Rob", "Robusta", I28 = "Exc", "Excelsa", I28 = "Ara", "Arabica", I28 = "Lib", "Liberica")</f>
        <v>Arabica</v>
      </c>
      <c r="O28" t="str">
        <f t="shared" si="1"/>
        <v>Medium</v>
      </c>
      <c r="P28" t="str">
        <f>_xlfn.XLOOKUP(Table1[[#This Row],[Customer ID]],Data_customers!$A$2:$A$1001,Data_customers!$I$2:$I$1001,,0)</f>
        <v>Yes</v>
      </c>
    </row>
    <row r="29" spans="1:16" x14ac:dyDescent="0.2">
      <c r="A29" s="2" t="s">
        <v>643</v>
      </c>
      <c r="B29" s="3">
        <v>43746</v>
      </c>
      <c r="C29" s="2" t="s">
        <v>644</v>
      </c>
      <c r="D29" t="s">
        <v>6152</v>
      </c>
      <c r="E29" s="2">
        <v>5</v>
      </c>
      <c r="F29" s="2" t="str">
        <f>_xlfn.XLOOKUP(Data_orders!C29,Data_customers!$A$1:$A$1001,Data_customers!$B$1:$B$1001,,0)</f>
        <v>Vivie Danneil</v>
      </c>
      <c r="G29" s="2" t="str">
        <f>IF(_xlfn.XLOOKUP(C29,Data_customers!$A$1:$A$1001,Data_customers!$C$1:$C$1001,,0)=0,"",_xlfn.XLOOKUP(C29,Data_customers!$A$1:$A$1001,Data_customers!$C$1:$C$1001,,0))</f>
        <v>vdanneilr@mtv.com</v>
      </c>
      <c r="H29" s="2" t="str">
        <f>_xlfn.XLOOKUP(C29,Data_customers!$A$1:$A$1001,Data_customers!$G$1:$G$1001,"",0)</f>
        <v>Ireland</v>
      </c>
      <c r="I29" t="str">
        <f>INDEX(Data_products!$A$1:$G$49, MATCH(Data_orders!$D29,Data_products!$A$1:$A$49,0), MATCH(Data_orders!I$1,Data_products!$A$1:$G$1,0))</f>
        <v>Ara</v>
      </c>
      <c r="J29" t="str">
        <f>INDEX(Data_products!$A$1:$G$49, MATCH(Data_orders!$D29,Data_products!$A$1:$A$49,0), MATCH(Data_orders!J$1,Data_products!$A$1:$G$1,0))</f>
        <v>M</v>
      </c>
      <c r="K29" s="4">
        <f>INDEX(Data_products!$A$1:$G$49, MATCH(Data_orders!$D29,Data_products!$A$1:$A$49,0), MATCH(Data_orders!K$1,Data_products!$A$1:$G$1,0))</f>
        <v>0.2</v>
      </c>
      <c r="L29">
        <f>INDEX(Data_products!$A$1:$G$49, MATCH(Data_orders!$D29,Data_products!$A$1:$A$49,0), MATCH(Data_orders!L$1,Data_products!$A$1:$G$1,0))</f>
        <v>3.375</v>
      </c>
      <c r="M29">
        <f t="shared" si="0"/>
        <v>16.875</v>
      </c>
      <c r="N29" t="str" cm="1">
        <f t="array" ref="N29">_xlfn.IFS(I29 = "Rob", "Robusta", I29 = "Exc", "Excelsa", I29 = "Ara", "Arabica", I29 = "Lib", "Liberica")</f>
        <v>Arabica</v>
      </c>
      <c r="O29" t="str">
        <f t="shared" si="1"/>
        <v>Medium</v>
      </c>
      <c r="P29" t="str">
        <f>_xlfn.XLOOKUP(Table1[[#This Row],[Customer ID]],Data_customers!$A$2:$A$1001,Data_customers!$I$2:$I$1001,,0)</f>
        <v>No</v>
      </c>
    </row>
    <row r="30" spans="1:16" x14ac:dyDescent="0.2">
      <c r="A30" s="2" t="s">
        <v>649</v>
      </c>
      <c r="B30" s="3">
        <v>44775</v>
      </c>
      <c r="C30" s="2" t="s">
        <v>650</v>
      </c>
      <c r="D30" t="s">
        <v>6158</v>
      </c>
      <c r="E30" s="2">
        <v>3</v>
      </c>
      <c r="F30" s="2" t="str">
        <f>_xlfn.XLOOKUP(Data_orders!C30,Data_customers!$A$1:$A$1001,Data_customers!$B$1:$B$1001,,0)</f>
        <v>Theresita Newbury</v>
      </c>
      <c r="G30" s="2" t="str">
        <f>IF(_xlfn.XLOOKUP(C30,Data_customers!$A$1:$A$1001,Data_customers!$C$1:$C$1001,,0)=0,"",_xlfn.XLOOKUP(C30,Data_customers!$A$1:$A$1001,Data_customers!$C$1:$C$1001,,0))</f>
        <v>tnewburys@usda.gov</v>
      </c>
      <c r="H30" s="2" t="str">
        <f>_xlfn.XLOOKUP(C30,Data_customers!$A$1:$A$1001,Data_customers!$G$1:$G$1001,"",0)</f>
        <v>Ireland</v>
      </c>
      <c r="I30" t="str">
        <f>INDEX(Data_products!$A$1:$G$49, MATCH(Data_orders!$D30,Data_products!$A$1:$A$49,0), MATCH(Data_orders!I$1,Data_products!$A$1:$G$1,0))</f>
        <v>Ara</v>
      </c>
      <c r="J30" t="str">
        <f>INDEX(Data_products!$A$1:$G$49, MATCH(Data_orders!$D30,Data_products!$A$1:$A$49,0), MATCH(Data_orders!J$1,Data_products!$A$1:$G$1,0))</f>
        <v>D</v>
      </c>
      <c r="K30" s="4">
        <f>INDEX(Data_products!$A$1:$G$49, MATCH(Data_orders!$D30,Data_products!$A$1:$A$49,0), MATCH(Data_orders!K$1,Data_products!$A$1:$G$1,0))</f>
        <v>0.5</v>
      </c>
      <c r="L30">
        <f>INDEX(Data_products!$A$1:$G$49, MATCH(Data_orders!$D30,Data_products!$A$1:$A$49,0), MATCH(Data_orders!L$1,Data_products!$A$1:$G$1,0))</f>
        <v>5.97</v>
      </c>
      <c r="M30">
        <f t="shared" si="0"/>
        <v>17.91</v>
      </c>
      <c r="N30" t="str" cm="1">
        <f t="array" ref="N30">_xlfn.IFS(I30 = "Rob", "Robusta", I30 = "Exc", "Excelsa", I30 = "Ara", "Arabica", I30 = "Lib", "Liberica")</f>
        <v>Arabica</v>
      </c>
      <c r="O30" t="str">
        <f t="shared" si="1"/>
        <v>Dark</v>
      </c>
      <c r="P30" t="str">
        <f>_xlfn.XLOOKUP(Table1[[#This Row],[Customer ID]],Data_customers!$A$2:$A$1001,Data_customers!$I$2:$I$1001,,0)</f>
        <v>No</v>
      </c>
    </row>
    <row r="31" spans="1:16" x14ac:dyDescent="0.2">
      <c r="A31" s="2" t="s">
        <v>655</v>
      </c>
      <c r="B31" s="3">
        <v>43516</v>
      </c>
      <c r="C31" s="2" t="s">
        <v>656</v>
      </c>
      <c r="D31" t="s">
        <v>6147</v>
      </c>
      <c r="E31" s="2">
        <v>4</v>
      </c>
      <c r="F31" s="2" t="str">
        <f>_xlfn.XLOOKUP(Data_orders!C31,Data_customers!$A$1:$A$1001,Data_customers!$B$1:$B$1001,,0)</f>
        <v>Mozelle Calcutt</v>
      </c>
      <c r="G31" s="2" t="str">
        <f>IF(_xlfn.XLOOKUP(C31,Data_customers!$A$1:$A$1001,Data_customers!$C$1:$C$1001,,0)=0,"",_xlfn.XLOOKUP(C31,Data_customers!$A$1:$A$1001,Data_customers!$C$1:$C$1001,,0))</f>
        <v>mcalcuttt@baidu.com</v>
      </c>
      <c r="H31" s="2" t="str">
        <f>_xlfn.XLOOKUP(C31,Data_customers!$A$1:$A$1001,Data_customers!$G$1:$G$1001,"",0)</f>
        <v>Ireland</v>
      </c>
      <c r="I31" t="str">
        <f>INDEX(Data_products!$A$1:$G$49, MATCH(Data_orders!$D31,Data_products!$A$1:$A$49,0), MATCH(Data_orders!I$1,Data_products!$A$1:$G$1,0))</f>
        <v>Ara</v>
      </c>
      <c r="J31" t="str">
        <f>INDEX(Data_products!$A$1:$G$49, MATCH(Data_orders!$D31,Data_products!$A$1:$A$49,0), MATCH(Data_orders!J$1,Data_products!$A$1:$G$1,0))</f>
        <v>D</v>
      </c>
      <c r="K31" s="4">
        <f>INDEX(Data_products!$A$1:$G$49, MATCH(Data_orders!$D31,Data_products!$A$1:$A$49,0), MATCH(Data_orders!K$1,Data_products!$A$1:$G$1,0))</f>
        <v>1</v>
      </c>
      <c r="L31">
        <f>INDEX(Data_products!$A$1:$G$49, MATCH(Data_orders!$D31,Data_products!$A$1:$A$49,0), MATCH(Data_orders!L$1,Data_products!$A$1:$G$1,0))</f>
        <v>9.9499999999999993</v>
      </c>
      <c r="M31">
        <f t="shared" si="0"/>
        <v>39.799999999999997</v>
      </c>
      <c r="N31" t="str" cm="1">
        <f t="array" ref="N31">_xlfn.IFS(I31 = "Rob", "Robusta", I31 = "Exc", "Excelsa", I31 = "Ara", "Arabica", I31 = "Lib", "Liberica")</f>
        <v>Arabica</v>
      </c>
      <c r="O31" t="str">
        <f t="shared" si="1"/>
        <v>Dark</v>
      </c>
      <c r="P31" t="str">
        <f>_xlfn.XLOOKUP(Table1[[#This Row],[Customer ID]],Data_customers!$A$2:$A$1001,Data_customers!$I$2:$I$1001,,0)</f>
        <v>Yes</v>
      </c>
    </row>
    <row r="32" spans="1:16" x14ac:dyDescent="0.2">
      <c r="A32" s="2" t="s">
        <v>661</v>
      </c>
      <c r="B32" s="3">
        <v>44464</v>
      </c>
      <c r="C32" s="2" t="s">
        <v>662</v>
      </c>
      <c r="D32" t="s">
        <v>6159</v>
      </c>
      <c r="E32" s="2">
        <v>5</v>
      </c>
      <c r="F32" s="2" t="str">
        <f>_xlfn.XLOOKUP(Data_orders!C32,Data_customers!$A$1:$A$1001,Data_customers!$B$1:$B$1001,,0)</f>
        <v>Adrian Swaine</v>
      </c>
      <c r="G32" s="2" t="str">
        <f>IF(_xlfn.XLOOKUP(C32,Data_customers!$A$1:$A$1001,Data_customers!$C$1:$C$1001,,0)=0,"",_xlfn.XLOOKUP(C32,Data_customers!$A$1:$A$1001,Data_customers!$C$1:$C$1001,,0))</f>
        <v/>
      </c>
      <c r="H32" s="2" t="str">
        <f>_xlfn.XLOOKUP(C32,Data_customers!$A$1:$A$1001,Data_customers!$G$1:$G$1001,"",0)</f>
        <v>United States</v>
      </c>
      <c r="I32" t="str">
        <f>INDEX(Data_products!$A$1:$G$49, MATCH(Data_orders!$D32,Data_products!$A$1:$A$49,0), MATCH(Data_orders!I$1,Data_products!$A$1:$G$1,0))</f>
        <v>Lib</v>
      </c>
      <c r="J32" t="str">
        <f>INDEX(Data_products!$A$1:$G$49, MATCH(Data_orders!$D32,Data_products!$A$1:$A$49,0), MATCH(Data_orders!J$1,Data_products!$A$1:$G$1,0))</f>
        <v>M</v>
      </c>
      <c r="K32" s="4">
        <f>INDEX(Data_products!$A$1:$G$49, MATCH(Data_orders!$D32,Data_products!$A$1:$A$49,0), MATCH(Data_orders!K$1,Data_products!$A$1:$G$1,0))</f>
        <v>0.2</v>
      </c>
      <c r="L32">
        <f>INDEX(Data_products!$A$1:$G$49, MATCH(Data_orders!$D32,Data_products!$A$1:$A$49,0), MATCH(Data_orders!L$1,Data_products!$A$1:$G$1,0))</f>
        <v>4.3650000000000002</v>
      </c>
      <c r="M32">
        <f t="shared" si="0"/>
        <v>21.825000000000003</v>
      </c>
      <c r="N32" t="str" cm="1">
        <f t="array" ref="N32">_xlfn.IFS(I32 = "Rob", "Robusta", I32 = "Exc", "Excelsa", I32 = "Ara", "Arabica", I32 = "Lib", "Liberica")</f>
        <v>Liberica</v>
      </c>
      <c r="O32" t="str">
        <f t="shared" si="1"/>
        <v>Medium</v>
      </c>
      <c r="P32" t="str">
        <f>_xlfn.XLOOKUP(Table1[[#This Row],[Customer ID]],Data_customers!$A$2:$A$1001,Data_customers!$I$2:$I$1001,,0)</f>
        <v>No</v>
      </c>
    </row>
    <row r="33" spans="1:16" x14ac:dyDescent="0.2">
      <c r="A33" s="2" t="s">
        <v>661</v>
      </c>
      <c r="B33" s="3">
        <v>44464</v>
      </c>
      <c r="C33" s="2" t="s">
        <v>662</v>
      </c>
      <c r="D33" t="s">
        <v>6158</v>
      </c>
      <c r="E33" s="2">
        <v>6</v>
      </c>
      <c r="F33" s="2" t="str">
        <f>_xlfn.XLOOKUP(Data_orders!C33,Data_customers!$A$1:$A$1001,Data_customers!$B$1:$B$1001,,0)</f>
        <v>Adrian Swaine</v>
      </c>
      <c r="G33" s="2" t="str">
        <f>IF(_xlfn.XLOOKUP(C33,Data_customers!$A$1:$A$1001,Data_customers!$C$1:$C$1001,,0)=0,"",_xlfn.XLOOKUP(C33,Data_customers!$A$1:$A$1001,Data_customers!$C$1:$C$1001,,0))</f>
        <v/>
      </c>
      <c r="H33" s="2" t="str">
        <f>_xlfn.XLOOKUP(C33,Data_customers!$A$1:$A$1001,Data_customers!$G$1:$G$1001,"",0)</f>
        <v>United States</v>
      </c>
      <c r="I33" t="str">
        <f>INDEX(Data_products!$A$1:$G$49, MATCH(Data_orders!$D33,Data_products!$A$1:$A$49,0), MATCH(Data_orders!I$1,Data_products!$A$1:$G$1,0))</f>
        <v>Ara</v>
      </c>
      <c r="J33" t="str">
        <f>INDEX(Data_products!$A$1:$G$49, MATCH(Data_orders!$D33,Data_products!$A$1:$A$49,0), MATCH(Data_orders!J$1,Data_products!$A$1:$G$1,0))</f>
        <v>D</v>
      </c>
      <c r="K33" s="4">
        <f>INDEX(Data_products!$A$1:$G$49, MATCH(Data_orders!$D33,Data_products!$A$1:$A$49,0), MATCH(Data_orders!K$1,Data_products!$A$1:$G$1,0))</f>
        <v>0.5</v>
      </c>
      <c r="L33">
        <f>INDEX(Data_products!$A$1:$G$49, MATCH(Data_orders!$D33,Data_products!$A$1:$A$49,0), MATCH(Data_orders!L$1,Data_products!$A$1:$G$1,0))</f>
        <v>5.97</v>
      </c>
      <c r="M33">
        <f t="shared" si="0"/>
        <v>35.82</v>
      </c>
      <c r="N33" t="str" cm="1">
        <f t="array" ref="N33">_xlfn.IFS(I33 = "Rob", "Robusta", I33 = "Exc", "Excelsa", I33 = "Ara", "Arabica", I33 = "Lib", "Liberica")</f>
        <v>Arabica</v>
      </c>
      <c r="O33" t="str">
        <f t="shared" si="1"/>
        <v>Dark</v>
      </c>
      <c r="P33" t="str">
        <f>_xlfn.XLOOKUP(Table1[[#This Row],[Customer ID]],Data_customers!$A$2:$A$1001,Data_customers!$I$2:$I$1001,,0)</f>
        <v>No</v>
      </c>
    </row>
    <row r="34" spans="1:16" x14ac:dyDescent="0.2">
      <c r="A34" s="2" t="s">
        <v>661</v>
      </c>
      <c r="B34" s="3">
        <v>44464</v>
      </c>
      <c r="C34" s="2" t="s">
        <v>662</v>
      </c>
      <c r="D34" t="s">
        <v>6160</v>
      </c>
      <c r="E34" s="2">
        <v>6</v>
      </c>
      <c r="F34" s="2" t="str">
        <f>_xlfn.XLOOKUP(Data_orders!C34,Data_customers!$A$1:$A$1001,Data_customers!$B$1:$B$1001,,0)</f>
        <v>Adrian Swaine</v>
      </c>
      <c r="G34" s="2" t="str">
        <f>IF(_xlfn.XLOOKUP(C34,Data_customers!$A$1:$A$1001,Data_customers!$C$1:$C$1001,,0)=0,"",_xlfn.XLOOKUP(C34,Data_customers!$A$1:$A$1001,Data_customers!$C$1:$C$1001,,0))</f>
        <v/>
      </c>
      <c r="H34" s="2" t="str">
        <f>_xlfn.XLOOKUP(C34,Data_customers!$A$1:$A$1001,Data_customers!$G$1:$G$1001,"",0)</f>
        <v>United States</v>
      </c>
      <c r="I34" t="str">
        <f>INDEX(Data_products!$A$1:$G$49, MATCH(Data_orders!$D34,Data_products!$A$1:$A$49,0), MATCH(Data_orders!I$1,Data_products!$A$1:$G$1,0))</f>
        <v>Lib</v>
      </c>
      <c r="J34" t="str">
        <f>INDEX(Data_products!$A$1:$G$49, MATCH(Data_orders!$D34,Data_products!$A$1:$A$49,0), MATCH(Data_orders!J$1,Data_products!$A$1:$G$1,0))</f>
        <v>M</v>
      </c>
      <c r="K34" s="4">
        <f>INDEX(Data_products!$A$1:$G$49, MATCH(Data_orders!$D34,Data_products!$A$1:$A$49,0), MATCH(Data_orders!K$1,Data_products!$A$1:$G$1,0))</f>
        <v>0.5</v>
      </c>
      <c r="L34">
        <f>INDEX(Data_products!$A$1:$G$49, MATCH(Data_orders!$D34,Data_products!$A$1:$A$49,0), MATCH(Data_orders!L$1,Data_products!$A$1:$G$1,0))</f>
        <v>8.73</v>
      </c>
      <c r="M34">
        <f t="shared" si="0"/>
        <v>52.38</v>
      </c>
      <c r="N34" t="str" cm="1">
        <f t="array" ref="N34">_xlfn.IFS(I34 = "Rob", "Robusta", I34 = "Exc", "Excelsa", I34 = "Ara", "Arabica", I34 = "Lib", "Liberica")</f>
        <v>Liberica</v>
      </c>
      <c r="O34" t="str">
        <f t="shared" si="1"/>
        <v>Medium</v>
      </c>
      <c r="P34" t="str">
        <f>_xlfn.XLOOKUP(Table1[[#This Row],[Customer ID]],Data_customers!$A$2:$A$1001,Data_customers!$I$2:$I$1001,,0)</f>
        <v>No</v>
      </c>
    </row>
    <row r="35" spans="1:16" x14ac:dyDescent="0.2">
      <c r="A35" s="2" t="s">
        <v>676</v>
      </c>
      <c r="B35" s="3">
        <v>44394</v>
      </c>
      <c r="C35" s="2" t="s">
        <v>677</v>
      </c>
      <c r="D35" t="s">
        <v>6145</v>
      </c>
      <c r="E35" s="2">
        <v>5</v>
      </c>
      <c r="F35" s="2" t="str">
        <f>_xlfn.XLOOKUP(Data_orders!C35,Data_customers!$A$1:$A$1001,Data_customers!$B$1:$B$1001,,0)</f>
        <v>Gallard Gatheral</v>
      </c>
      <c r="G35" s="2" t="str">
        <f>IF(_xlfn.XLOOKUP(C35,Data_customers!$A$1:$A$1001,Data_customers!$C$1:$C$1001,,0)=0,"",_xlfn.XLOOKUP(C35,Data_customers!$A$1:$A$1001,Data_customers!$C$1:$C$1001,,0))</f>
        <v>ggatheralx@123-reg.co.uk</v>
      </c>
      <c r="H35" s="2" t="str">
        <f>_xlfn.XLOOKUP(C35,Data_customers!$A$1:$A$1001,Data_customers!$G$1:$G$1001,"",0)</f>
        <v>United States</v>
      </c>
      <c r="I35" t="str">
        <f>INDEX(Data_products!$A$1:$G$49, MATCH(Data_orders!$D35,Data_products!$A$1:$A$49,0), MATCH(Data_orders!I$1,Data_products!$A$1:$G$1,0))</f>
        <v>Lib</v>
      </c>
      <c r="J35" t="str">
        <f>INDEX(Data_products!$A$1:$G$49, MATCH(Data_orders!$D35,Data_products!$A$1:$A$49,0), MATCH(Data_orders!J$1,Data_products!$A$1:$G$1,0))</f>
        <v>L</v>
      </c>
      <c r="K35" s="4">
        <f>INDEX(Data_products!$A$1:$G$49, MATCH(Data_orders!$D35,Data_products!$A$1:$A$49,0), MATCH(Data_orders!K$1,Data_products!$A$1:$G$1,0))</f>
        <v>0.2</v>
      </c>
      <c r="L35">
        <f>INDEX(Data_products!$A$1:$G$49, MATCH(Data_orders!$D35,Data_products!$A$1:$A$49,0), MATCH(Data_orders!L$1,Data_products!$A$1:$G$1,0))</f>
        <v>4.7549999999999999</v>
      </c>
      <c r="M35">
        <f t="shared" si="0"/>
        <v>23.774999999999999</v>
      </c>
      <c r="N35" t="str" cm="1">
        <f t="array" ref="N35">_xlfn.IFS(I35 = "Rob", "Robusta", I35 = "Exc", "Excelsa", I35 = "Ara", "Arabica", I35 = "Lib", "Liberica")</f>
        <v>Liberica</v>
      </c>
      <c r="O35" t="str">
        <f t="shared" si="1"/>
        <v>Light</v>
      </c>
      <c r="P35" t="str">
        <f>_xlfn.XLOOKUP(Table1[[#This Row],[Customer ID]],Data_customers!$A$2:$A$1001,Data_customers!$I$2:$I$1001,,0)</f>
        <v>No</v>
      </c>
    </row>
    <row r="36" spans="1:16" x14ac:dyDescent="0.2">
      <c r="A36" s="2" t="s">
        <v>681</v>
      </c>
      <c r="B36" s="3">
        <v>44011</v>
      </c>
      <c r="C36" s="2" t="s">
        <v>682</v>
      </c>
      <c r="D36" t="s">
        <v>6161</v>
      </c>
      <c r="E36" s="2">
        <v>6</v>
      </c>
      <c r="F36" s="2" t="str">
        <f>_xlfn.XLOOKUP(Data_orders!C36,Data_customers!$A$1:$A$1001,Data_customers!$B$1:$B$1001,,0)</f>
        <v>Una Welberry</v>
      </c>
      <c r="G36" s="2" t="str">
        <f>IF(_xlfn.XLOOKUP(C36,Data_customers!$A$1:$A$1001,Data_customers!$C$1:$C$1001,,0)=0,"",_xlfn.XLOOKUP(C36,Data_customers!$A$1:$A$1001,Data_customers!$C$1:$C$1001,,0))</f>
        <v>uwelberryy@ebay.co.uk</v>
      </c>
      <c r="H36" s="2" t="str">
        <f>_xlfn.XLOOKUP(C36,Data_customers!$A$1:$A$1001,Data_customers!$G$1:$G$1001,"",0)</f>
        <v>United Kingdom</v>
      </c>
      <c r="I36" t="str">
        <f>INDEX(Data_products!$A$1:$G$49, MATCH(Data_orders!$D36,Data_products!$A$1:$A$49,0), MATCH(Data_orders!I$1,Data_products!$A$1:$G$1,0))</f>
        <v>Lib</v>
      </c>
      <c r="J36" t="str">
        <f>INDEX(Data_products!$A$1:$G$49, MATCH(Data_orders!$D36,Data_products!$A$1:$A$49,0), MATCH(Data_orders!J$1,Data_products!$A$1:$G$1,0))</f>
        <v>L</v>
      </c>
      <c r="K36" s="4">
        <f>INDEX(Data_products!$A$1:$G$49, MATCH(Data_orders!$D36,Data_products!$A$1:$A$49,0), MATCH(Data_orders!K$1,Data_products!$A$1:$G$1,0))</f>
        <v>0.5</v>
      </c>
      <c r="L36">
        <f>INDEX(Data_products!$A$1:$G$49, MATCH(Data_orders!$D36,Data_products!$A$1:$A$49,0), MATCH(Data_orders!L$1,Data_products!$A$1:$G$1,0))</f>
        <v>9.51</v>
      </c>
      <c r="M36">
        <f t="shared" si="0"/>
        <v>57.06</v>
      </c>
      <c r="N36" t="str" cm="1">
        <f t="array" ref="N36">_xlfn.IFS(I36 = "Rob", "Robusta", I36 = "Exc", "Excelsa", I36 = "Ara", "Arabica", I36 = "Lib", "Liberica")</f>
        <v>Liberica</v>
      </c>
      <c r="O36" t="str">
        <f t="shared" si="1"/>
        <v>Light</v>
      </c>
      <c r="P36" t="str">
        <f>_xlfn.XLOOKUP(Table1[[#This Row],[Customer ID]],Data_customers!$A$2:$A$1001,Data_customers!$I$2:$I$1001,,0)</f>
        <v>Yes</v>
      </c>
    </row>
    <row r="37" spans="1:16" x14ac:dyDescent="0.2">
      <c r="A37" s="2" t="s">
        <v>687</v>
      </c>
      <c r="B37" s="3">
        <v>44348</v>
      </c>
      <c r="C37" s="2" t="s">
        <v>688</v>
      </c>
      <c r="D37" t="s">
        <v>6158</v>
      </c>
      <c r="E37" s="2">
        <v>6</v>
      </c>
      <c r="F37" s="2" t="str">
        <f>_xlfn.XLOOKUP(Data_orders!C37,Data_customers!$A$1:$A$1001,Data_customers!$B$1:$B$1001,,0)</f>
        <v>Faber Eilhart</v>
      </c>
      <c r="G37" s="2" t="str">
        <f>IF(_xlfn.XLOOKUP(C37,Data_customers!$A$1:$A$1001,Data_customers!$C$1:$C$1001,,0)=0,"",_xlfn.XLOOKUP(C37,Data_customers!$A$1:$A$1001,Data_customers!$C$1:$C$1001,,0))</f>
        <v>feilhartz@who.int</v>
      </c>
      <c r="H37" s="2" t="str">
        <f>_xlfn.XLOOKUP(C37,Data_customers!$A$1:$A$1001,Data_customers!$G$1:$G$1001,"",0)</f>
        <v>United States</v>
      </c>
      <c r="I37" t="str">
        <f>INDEX(Data_products!$A$1:$G$49, MATCH(Data_orders!$D37,Data_products!$A$1:$A$49,0), MATCH(Data_orders!I$1,Data_products!$A$1:$G$1,0))</f>
        <v>Ara</v>
      </c>
      <c r="J37" t="str">
        <f>INDEX(Data_products!$A$1:$G$49, MATCH(Data_orders!$D37,Data_products!$A$1:$A$49,0), MATCH(Data_orders!J$1,Data_products!$A$1:$G$1,0))</f>
        <v>D</v>
      </c>
      <c r="K37" s="4">
        <f>INDEX(Data_products!$A$1:$G$49, MATCH(Data_orders!$D37,Data_products!$A$1:$A$49,0), MATCH(Data_orders!K$1,Data_products!$A$1:$G$1,0))</f>
        <v>0.5</v>
      </c>
      <c r="L37">
        <f>INDEX(Data_products!$A$1:$G$49, MATCH(Data_orders!$D37,Data_products!$A$1:$A$49,0), MATCH(Data_orders!L$1,Data_products!$A$1:$G$1,0))</f>
        <v>5.97</v>
      </c>
      <c r="M37">
        <f t="shared" si="0"/>
        <v>35.82</v>
      </c>
      <c r="N37" t="str" cm="1">
        <f t="array" ref="N37">_xlfn.IFS(I37 = "Rob", "Robusta", I37 = "Exc", "Excelsa", I37 = "Ara", "Arabica", I37 = "Lib", "Liberica")</f>
        <v>Arabica</v>
      </c>
      <c r="O37" t="str">
        <f t="shared" si="1"/>
        <v>Dark</v>
      </c>
      <c r="P37" t="str">
        <f>_xlfn.XLOOKUP(Table1[[#This Row],[Customer ID]],Data_customers!$A$2:$A$1001,Data_customers!$I$2:$I$1001,,0)</f>
        <v>No</v>
      </c>
    </row>
    <row r="38" spans="1:16" x14ac:dyDescent="0.2">
      <c r="A38" s="2" t="s">
        <v>693</v>
      </c>
      <c r="B38" s="3">
        <v>44233</v>
      </c>
      <c r="C38" s="2" t="s">
        <v>694</v>
      </c>
      <c r="D38" t="s">
        <v>6159</v>
      </c>
      <c r="E38" s="2">
        <v>2</v>
      </c>
      <c r="F38" s="2" t="str">
        <f>_xlfn.XLOOKUP(Data_orders!C38,Data_customers!$A$1:$A$1001,Data_customers!$B$1:$B$1001,,0)</f>
        <v>Zorina Ponting</v>
      </c>
      <c r="G38" s="2" t="str">
        <f>IF(_xlfn.XLOOKUP(C38,Data_customers!$A$1:$A$1001,Data_customers!$C$1:$C$1001,,0)=0,"",_xlfn.XLOOKUP(C38,Data_customers!$A$1:$A$1001,Data_customers!$C$1:$C$1001,,0))</f>
        <v>zponting10@altervista.org</v>
      </c>
      <c r="H38" s="2" t="str">
        <f>_xlfn.XLOOKUP(C38,Data_customers!$A$1:$A$1001,Data_customers!$G$1:$G$1001,"",0)</f>
        <v>United States</v>
      </c>
      <c r="I38" t="str">
        <f>INDEX(Data_products!$A$1:$G$49, MATCH(Data_orders!$D38,Data_products!$A$1:$A$49,0), MATCH(Data_orders!I$1,Data_products!$A$1:$G$1,0))</f>
        <v>Lib</v>
      </c>
      <c r="J38" t="str">
        <f>INDEX(Data_products!$A$1:$G$49, MATCH(Data_orders!$D38,Data_products!$A$1:$A$49,0), MATCH(Data_orders!J$1,Data_products!$A$1:$G$1,0))</f>
        <v>M</v>
      </c>
      <c r="K38" s="4">
        <f>INDEX(Data_products!$A$1:$G$49, MATCH(Data_orders!$D38,Data_products!$A$1:$A$49,0), MATCH(Data_orders!K$1,Data_products!$A$1:$G$1,0))</f>
        <v>0.2</v>
      </c>
      <c r="L38">
        <f>INDEX(Data_products!$A$1:$G$49, MATCH(Data_orders!$D38,Data_products!$A$1:$A$49,0), MATCH(Data_orders!L$1,Data_products!$A$1:$G$1,0))</f>
        <v>4.3650000000000002</v>
      </c>
      <c r="M38">
        <f t="shared" si="0"/>
        <v>8.73</v>
      </c>
      <c r="N38" t="str" cm="1">
        <f t="array" ref="N38">_xlfn.IFS(I38 = "Rob", "Robusta", I38 = "Exc", "Excelsa", I38 = "Ara", "Arabica", I38 = "Lib", "Liberica")</f>
        <v>Liberica</v>
      </c>
      <c r="O38" t="str">
        <f t="shared" si="1"/>
        <v>Medium</v>
      </c>
      <c r="P38" t="str">
        <f>_xlfn.XLOOKUP(Table1[[#This Row],[Customer ID]],Data_customers!$A$2:$A$1001,Data_customers!$I$2:$I$1001,,0)</f>
        <v>No</v>
      </c>
    </row>
    <row r="39" spans="1:16" x14ac:dyDescent="0.2">
      <c r="A39" s="2" t="s">
        <v>699</v>
      </c>
      <c r="B39" s="3">
        <v>43580</v>
      </c>
      <c r="C39" s="2" t="s">
        <v>700</v>
      </c>
      <c r="D39" t="s">
        <v>6161</v>
      </c>
      <c r="E39" s="2">
        <v>3</v>
      </c>
      <c r="F39" s="2" t="str">
        <f>_xlfn.XLOOKUP(Data_orders!C39,Data_customers!$A$1:$A$1001,Data_customers!$B$1:$B$1001,,0)</f>
        <v>Silvio Strase</v>
      </c>
      <c r="G39" s="2" t="str">
        <f>IF(_xlfn.XLOOKUP(C39,Data_customers!$A$1:$A$1001,Data_customers!$C$1:$C$1001,,0)=0,"",_xlfn.XLOOKUP(C39,Data_customers!$A$1:$A$1001,Data_customers!$C$1:$C$1001,,0))</f>
        <v>sstrase11@booking.com</v>
      </c>
      <c r="H39" s="2" t="str">
        <f>_xlfn.XLOOKUP(C39,Data_customers!$A$1:$A$1001,Data_customers!$G$1:$G$1001,"",0)</f>
        <v>United States</v>
      </c>
      <c r="I39" t="str">
        <f>INDEX(Data_products!$A$1:$G$49, MATCH(Data_orders!$D39,Data_products!$A$1:$A$49,0), MATCH(Data_orders!I$1,Data_products!$A$1:$G$1,0))</f>
        <v>Lib</v>
      </c>
      <c r="J39" t="str">
        <f>INDEX(Data_products!$A$1:$G$49, MATCH(Data_orders!$D39,Data_products!$A$1:$A$49,0), MATCH(Data_orders!J$1,Data_products!$A$1:$G$1,0))</f>
        <v>L</v>
      </c>
      <c r="K39" s="4">
        <f>INDEX(Data_products!$A$1:$G$49, MATCH(Data_orders!$D39,Data_products!$A$1:$A$49,0), MATCH(Data_orders!K$1,Data_products!$A$1:$G$1,0))</f>
        <v>0.5</v>
      </c>
      <c r="L39">
        <f>INDEX(Data_products!$A$1:$G$49, MATCH(Data_orders!$D39,Data_products!$A$1:$A$49,0), MATCH(Data_orders!L$1,Data_products!$A$1:$G$1,0))</f>
        <v>9.51</v>
      </c>
      <c r="M39">
        <f t="shared" si="0"/>
        <v>28.53</v>
      </c>
      <c r="N39" t="str" cm="1">
        <f t="array" ref="N39">_xlfn.IFS(I39 = "Rob", "Robusta", I39 = "Exc", "Excelsa", I39 = "Ara", "Arabica", I39 = "Lib", "Liberica")</f>
        <v>Liberica</v>
      </c>
      <c r="O39" t="str">
        <f t="shared" si="1"/>
        <v>Light</v>
      </c>
      <c r="P39" t="str">
        <f>_xlfn.XLOOKUP(Table1[[#This Row],[Customer ID]],Data_customers!$A$2:$A$1001,Data_customers!$I$2:$I$1001,,0)</f>
        <v>No</v>
      </c>
    </row>
    <row r="40" spans="1:16" x14ac:dyDescent="0.2">
      <c r="A40" s="2" t="s">
        <v>705</v>
      </c>
      <c r="B40" s="3">
        <v>43946</v>
      </c>
      <c r="C40" s="2" t="s">
        <v>706</v>
      </c>
      <c r="D40" t="s">
        <v>6151</v>
      </c>
      <c r="E40" s="2">
        <v>5</v>
      </c>
      <c r="F40" s="2" t="str">
        <f>_xlfn.XLOOKUP(Data_orders!C40,Data_customers!$A$1:$A$1001,Data_customers!$B$1:$B$1001,,0)</f>
        <v>Dorie de la Tremoille</v>
      </c>
      <c r="G40" s="2" t="str">
        <f>IF(_xlfn.XLOOKUP(C40,Data_customers!$A$1:$A$1001,Data_customers!$C$1:$C$1001,,0)=0,"",_xlfn.XLOOKUP(C40,Data_customers!$A$1:$A$1001,Data_customers!$C$1:$C$1001,,0))</f>
        <v>dde12@unesco.org</v>
      </c>
      <c r="H40" s="2" t="str">
        <f>_xlfn.XLOOKUP(C40,Data_customers!$A$1:$A$1001,Data_customers!$G$1:$G$1001,"",0)</f>
        <v>United States</v>
      </c>
      <c r="I40" t="str">
        <f>INDEX(Data_products!$A$1:$G$49, MATCH(Data_orders!$D40,Data_products!$A$1:$A$49,0), MATCH(Data_orders!I$1,Data_products!$A$1:$G$1,0))</f>
        <v>Rob</v>
      </c>
      <c r="J40" t="str">
        <f>INDEX(Data_products!$A$1:$G$49, MATCH(Data_orders!$D40,Data_products!$A$1:$A$49,0), MATCH(Data_orders!J$1,Data_products!$A$1:$G$1,0))</f>
        <v>M</v>
      </c>
      <c r="K40" s="4">
        <f>INDEX(Data_products!$A$1:$G$49, MATCH(Data_orders!$D40,Data_products!$A$1:$A$49,0), MATCH(Data_orders!K$1,Data_products!$A$1:$G$1,0))</f>
        <v>2.5</v>
      </c>
      <c r="L40">
        <f>INDEX(Data_products!$A$1:$G$49, MATCH(Data_orders!$D40,Data_products!$A$1:$A$49,0), MATCH(Data_orders!L$1,Data_products!$A$1:$G$1,0))</f>
        <v>22.884999999999998</v>
      </c>
      <c r="M40">
        <f t="shared" si="0"/>
        <v>114.42499999999998</v>
      </c>
      <c r="N40" t="str" cm="1">
        <f t="array" ref="N40">_xlfn.IFS(I40 = "Rob", "Robusta", I40 = "Exc", "Excelsa", I40 = "Ara", "Arabica", I40 = "Lib", "Liberica")</f>
        <v>Robusta</v>
      </c>
      <c r="O40" t="str">
        <f t="shared" si="1"/>
        <v>Medium</v>
      </c>
      <c r="P40" t="str">
        <f>_xlfn.XLOOKUP(Table1[[#This Row],[Customer ID]],Data_customers!$A$2:$A$1001,Data_customers!$I$2:$I$1001,,0)</f>
        <v>No</v>
      </c>
    </row>
    <row r="41" spans="1:16" x14ac:dyDescent="0.2">
      <c r="A41" s="2" t="s">
        <v>711</v>
      </c>
      <c r="B41" s="3">
        <v>44524</v>
      </c>
      <c r="C41" s="2" t="s">
        <v>712</v>
      </c>
      <c r="D41" t="s">
        <v>6138</v>
      </c>
      <c r="E41" s="2">
        <v>6</v>
      </c>
      <c r="F41" s="2" t="str">
        <f>_xlfn.XLOOKUP(Data_orders!C41,Data_customers!$A$1:$A$1001,Data_customers!$B$1:$B$1001,,0)</f>
        <v>Hy Zanetto</v>
      </c>
      <c r="G41" s="2" t="str">
        <f>IF(_xlfn.XLOOKUP(C41,Data_customers!$A$1:$A$1001,Data_customers!$C$1:$C$1001,,0)=0,"",_xlfn.XLOOKUP(C41,Data_customers!$A$1:$A$1001,Data_customers!$C$1:$C$1001,,0))</f>
        <v/>
      </c>
      <c r="H41" s="2" t="str">
        <f>_xlfn.XLOOKUP(C41,Data_customers!$A$1:$A$1001,Data_customers!$G$1:$G$1001,"",0)</f>
        <v>United States</v>
      </c>
      <c r="I41" t="str">
        <f>INDEX(Data_products!$A$1:$G$49, MATCH(Data_orders!$D41,Data_products!$A$1:$A$49,0), MATCH(Data_orders!I$1,Data_products!$A$1:$G$1,0))</f>
        <v>Rob</v>
      </c>
      <c r="J41" t="str">
        <f>INDEX(Data_products!$A$1:$G$49, MATCH(Data_orders!$D41,Data_products!$A$1:$A$49,0), MATCH(Data_orders!J$1,Data_products!$A$1:$G$1,0))</f>
        <v>M</v>
      </c>
      <c r="K41" s="4">
        <f>INDEX(Data_products!$A$1:$G$49, MATCH(Data_orders!$D41,Data_products!$A$1:$A$49,0), MATCH(Data_orders!K$1,Data_products!$A$1:$G$1,0))</f>
        <v>1</v>
      </c>
      <c r="L41">
        <f>INDEX(Data_products!$A$1:$G$49, MATCH(Data_orders!$D41,Data_products!$A$1:$A$49,0), MATCH(Data_orders!L$1,Data_products!$A$1:$G$1,0))</f>
        <v>9.9499999999999993</v>
      </c>
      <c r="M41">
        <f t="shared" si="0"/>
        <v>59.699999999999996</v>
      </c>
      <c r="N41" t="str" cm="1">
        <f t="array" ref="N41">_xlfn.IFS(I41 = "Rob", "Robusta", I41 = "Exc", "Excelsa", I41 = "Ara", "Arabica", I41 = "Lib", "Liberica")</f>
        <v>Robusta</v>
      </c>
      <c r="O41" t="str">
        <f t="shared" si="1"/>
        <v>Medium</v>
      </c>
      <c r="P41" t="str">
        <f>_xlfn.XLOOKUP(Table1[[#This Row],[Customer ID]],Data_customers!$A$2:$A$1001,Data_customers!$I$2:$I$1001,,0)</f>
        <v>Yes</v>
      </c>
    </row>
    <row r="42" spans="1:16" x14ac:dyDescent="0.2">
      <c r="A42" s="2" t="s">
        <v>715</v>
      </c>
      <c r="B42" s="3">
        <v>44305</v>
      </c>
      <c r="C42" s="2" t="s">
        <v>716</v>
      </c>
      <c r="D42" t="s">
        <v>6162</v>
      </c>
      <c r="E42" s="2">
        <v>3</v>
      </c>
      <c r="F42" s="2" t="str">
        <f>_xlfn.XLOOKUP(Data_orders!C42,Data_customers!$A$1:$A$1001,Data_customers!$B$1:$B$1001,,0)</f>
        <v>Jessica McNess</v>
      </c>
      <c r="G42" s="2" t="str">
        <f>IF(_xlfn.XLOOKUP(C42,Data_customers!$A$1:$A$1001,Data_customers!$C$1:$C$1001,,0)=0,"",_xlfn.XLOOKUP(C42,Data_customers!$A$1:$A$1001,Data_customers!$C$1:$C$1001,,0))</f>
        <v/>
      </c>
      <c r="H42" s="2" t="str">
        <f>_xlfn.XLOOKUP(C42,Data_customers!$A$1:$A$1001,Data_customers!$G$1:$G$1001,"",0)</f>
        <v>United States</v>
      </c>
      <c r="I42" t="str">
        <f>INDEX(Data_products!$A$1:$G$49, MATCH(Data_orders!$D42,Data_products!$A$1:$A$49,0), MATCH(Data_orders!I$1,Data_products!$A$1:$G$1,0))</f>
        <v>Lib</v>
      </c>
      <c r="J42" t="str">
        <f>INDEX(Data_products!$A$1:$G$49, MATCH(Data_orders!$D42,Data_products!$A$1:$A$49,0), MATCH(Data_orders!J$1,Data_products!$A$1:$G$1,0))</f>
        <v>M</v>
      </c>
      <c r="K42" s="4">
        <f>INDEX(Data_products!$A$1:$G$49, MATCH(Data_orders!$D42,Data_products!$A$1:$A$49,0), MATCH(Data_orders!K$1,Data_products!$A$1:$G$1,0))</f>
        <v>1</v>
      </c>
      <c r="L42">
        <f>INDEX(Data_products!$A$1:$G$49, MATCH(Data_orders!$D42,Data_products!$A$1:$A$49,0), MATCH(Data_orders!L$1,Data_products!$A$1:$G$1,0))</f>
        <v>14.55</v>
      </c>
      <c r="M42">
        <f t="shared" si="0"/>
        <v>43.650000000000006</v>
      </c>
      <c r="N42" t="str" cm="1">
        <f t="array" ref="N42">_xlfn.IFS(I42 = "Rob", "Robusta", I42 = "Exc", "Excelsa", I42 = "Ara", "Arabica", I42 = "Lib", "Liberica")</f>
        <v>Liberica</v>
      </c>
      <c r="O42" t="str">
        <f t="shared" si="1"/>
        <v>Medium</v>
      </c>
      <c r="P42" t="str">
        <f>_xlfn.XLOOKUP(Table1[[#This Row],[Customer ID]],Data_customers!$A$2:$A$1001,Data_customers!$I$2:$I$1001,,0)</f>
        <v>No</v>
      </c>
    </row>
    <row r="43" spans="1:16" x14ac:dyDescent="0.2">
      <c r="A43" s="2" t="s">
        <v>720</v>
      </c>
      <c r="B43" s="3">
        <v>44749</v>
      </c>
      <c r="C43" s="2" t="s">
        <v>721</v>
      </c>
      <c r="D43" t="s">
        <v>6153</v>
      </c>
      <c r="E43" s="2">
        <v>2</v>
      </c>
      <c r="F43" s="2" t="str">
        <f>_xlfn.XLOOKUP(Data_orders!C43,Data_customers!$A$1:$A$1001,Data_customers!$B$1:$B$1001,,0)</f>
        <v>Lorenzo Yeoland</v>
      </c>
      <c r="G43" s="2" t="str">
        <f>IF(_xlfn.XLOOKUP(C43,Data_customers!$A$1:$A$1001,Data_customers!$C$1:$C$1001,,0)=0,"",_xlfn.XLOOKUP(C43,Data_customers!$A$1:$A$1001,Data_customers!$C$1:$C$1001,,0))</f>
        <v>lyeoland15@pbs.org</v>
      </c>
      <c r="H43" s="2" t="str">
        <f>_xlfn.XLOOKUP(C43,Data_customers!$A$1:$A$1001,Data_customers!$G$1:$G$1001,"",0)</f>
        <v>United States</v>
      </c>
      <c r="I43" t="str">
        <f>INDEX(Data_products!$A$1:$G$49, MATCH(Data_orders!$D43,Data_products!$A$1:$A$49,0), MATCH(Data_orders!I$1,Data_products!$A$1:$G$1,0))</f>
        <v>Exc</v>
      </c>
      <c r="J43" t="str">
        <f>INDEX(Data_products!$A$1:$G$49, MATCH(Data_orders!$D43,Data_products!$A$1:$A$49,0), MATCH(Data_orders!J$1,Data_products!$A$1:$G$1,0))</f>
        <v>D</v>
      </c>
      <c r="K43" s="4">
        <f>INDEX(Data_products!$A$1:$G$49, MATCH(Data_orders!$D43,Data_products!$A$1:$A$49,0), MATCH(Data_orders!K$1,Data_products!$A$1:$G$1,0))</f>
        <v>0.2</v>
      </c>
      <c r="L43">
        <f>INDEX(Data_products!$A$1:$G$49, MATCH(Data_orders!$D43,Data_products!$A$1:$A$49,0), MATCH(Data_orders!L$1,Data_products!$A$1:$G$1,0))</f>
        <v>3.645</v>
      </c>
      <c r="M43">
        <f t="shared" si="0"/>
        <v>7.29</v>
      </c>
      <c r="N43" t="str" cm="1">
        <f t="array" ref="N43">_xlfn.IFS(I43 = "Rob", "Robusta", I43 = "Exc", "Excelsa", I43 = "Ara", "Arabica", I43 = "Lib", "Liberica")</f>
        <v>Excelsa</v>
      </c>
      <c r="O43" t="str">
        <f t="shared" si="1"/>
        <v>Dark</v>
      </c>
      <c r="P43" t="str">
        <f>_xlfn.XLOOKUP(Table1[[#This Row],[Customer ID]],Data_customers!$A$2:$A$1001,Data_customers!$I$2:$I$1001,,0)</f>
        <v>Yes</v>
      </c>
    </row>
    <row r="44" spans="1:16" x14ac:dyDescent="0.2">
      <c r="A44" s="2" t="s">
        <v>726</v>
      </c>
      <c r="B44" s="3">
        <v>43607</v>
      </c>
      <c r="C44" s="2" t="s">
        <v>727</v>
      </c>
      <c r="D44" t="s">
        <v>6163</v>
      </c>
      <c r="E44" s="2">
        <v>3</v>
      </c>
      <c r="F44" s="2" t="str">
        <f>_xlfn.XLOOKUP(Data_orders!C44,Data_customers!$A$1:$A$1001,Data_customers!$B$1:$B$1001,,0)</f>
        <v>Abigail Tolworthy</v>
      </c>
      <c r="G44" s="2" t="str">
        <f>IF(_xlfn.XLOOKUP(C44,Data_customers!$A$1:$A$1001,Data_customers!$C$1:$C$1001,,0)=0,"",_xlfn.XLOOKUP(C44,Data_customers!$A$1:$A$1001,Data_customers!$C$1:$C$1001,,0))</f>
        <v>atolworthy16@toplist.cz</v>
      </c>
      <c r="H44" s="2" t="str">
        <f>_xlfn.XLOOKUP(C44,Data_customers!$A$1:$A$1001,Data_customers!$G$1:$G$1001,"",0)</f>
        <v>United States</v>
      </c>
      <c r="I44" t="str">
        <f>INDEX(Data_products!$A$1:$G$49, MATCH(Data_orders!$D44,Data_products!$A$1:$A$49,0), MATCH(Data_orders!I$1,Data_products!$A$1:$G$1,0))</f>
        <v>Rob</v>
      </c>
      <c r="J44" t="str">
        <f>INDEX(Data_products!$A$1:$G$49, MATCH(Data_orders!$D44,Data_products!$A$1:$A$49,0), MATCH(Data_orders!J$1,Data_products!$A$1:$G$1,0))</f>
        <v>D</v>
      </c>
      <c r="K44" s="4">
        <f>INDEX(Data_products!$A$1:$G$49, MATCH(Data_orders!$D44,Data_products!$A$1:$A$49,0), MATCH(Data_orders!K$1,Data_products!$A$1:$G$1,0))</f>
        <v>0.2</v>
      </c>
      <c r="L44">
        <f>INDEX(Data_products!$A$1:$G$49, MATCH(Data_orders!$D44,Data_products!$A$1:$A$49,0), MATCH(Data_orders!L$1,Data_products!$A$1:$G$1,0))</f>
        <v>2.6849999999999996</v>
      </c>
      <c r="M44">
        <f t="shared" si="0"/>
        <v>8.0549999999999997</v>
      </c>
      <c r="N44" t="str" cm="1">
        <f t="array" ref="N44">_xlfn.IFS(I44 = "Rob", "Robusta", I44 = "Exc", "Excelsa", I44 = "Ara", "Arabica", I44 = "Lib", "Liberica")</f>
        <v>Robusta</v>
      </c>
      <c r="O44" t="str">
        <f t="shared" si="1"/>
        <v>Dark</v>
      </c>
      <c r="P44" t="str">
        <f>_xlfn.XLOOKUP(Table1[[#This Row],[Customer ID]],Data_customers!$A$2:$A$1001,Data_customers!$I$2:$I$1001,,0)</f>
        <v>Yes</v>
      </c>
    </row>
    <row r="45" spans="1:16" x14ac:dyDescent="0.2">
      <c r="A45" s="2" t="s">
        <v>733</v>
      </c>
      <c r="B45" s="3">
        <v>44473</v>
      </c>
      <c r="C45" s="2" t="s">
        <v>734</v>
      </c>
      <c r="D45" t="s">
        <v>6164</v>
      </c>
      <c r="E45" s="2">
        <v>2</v>
      </c>
      <c r="F45" s="2" t="str">
        <f>_xlfn.XLOOKUP(Data_orders!C45,Data_customers!$A$1:$A$1001,Data_customers!$B$1:$B$1001,,0)</f>
        <v>Maurie Bartol</v>
      </c>
      <c r="G45" s="2" t="str">
        <f>IF(_xlfn.XLOOKUP(C45,Data_customers!$A$1:$A$1001,Data_customers!$C$1:$C$1001,,0)=0,"",_xlfn.XLOOKUP(C45,Data_customers!$A$1:$A$1001,Data_customers!$C$1:$C$1001,,0))</f>
        <v/>
      </c>
      <c r="H45" s="2" t="str">
        <f>_xlfn.XLOOKUP(C45,Data_customers!$A$1:$A$1001,Data_customers!$G$1:$G$1001,"",0)</f>
        <v>United States</v>
      </c>
      <c r="I45" t="str">
        <f>INDEX(Data_products!$A$1:$G$49, MATCH(Data_orders!$D45,Data_products!$A$1:$A$49,0), MATCH(Data_orders!I$1,Data_products!$A$1:$G$1,0))</f>
        <v>Lib</v>
      </c>
      <c r="J45" t="str">
        <f>INDEX(Data_products!$A$1:$G$49, MATCH(Data_orders!$D45,Data_products!$A$1:$A$49,0), MATCH(Data_orders!J$1,Data_products!$A$1:$G$1,0))</f>
        <v>L</v>
      </c>
      <c r="K45" s="4">
        <f>INDEX(Data_products!$A$1:$G$49, MATCH(Data_orders!$D45,Data_products!$A$1:$A$49,0), MATCH(Data_orders!K$1,Data_products!$A$1:$G$1,0))</f>
        <v>2.5</v>
      </c>
      <c r="L45">
        <f>INDEX(Data_products!$A$1:$G$49, MATCH(Data_orders!$D45,Data_products!$A$1:$A$49,0), MATCH(Data_orders!L$1,Data_products!$A$1:$G$1,0))</f>
        <v>36.454999999999998</v>
      </c>
      <c r="M45">
        <f t="shared" si="0"/>
        <v>72.91</v>
      </c>
      <c r="N45" t="str" cm="1">
        <f t="array" ref="N45">_xlfn.IFS(I45 = "Rob", "Robusta", I45 = "Exc", "Excelsa", I45 = "Ara", "Arabica", I45 = "Lib", "Liberica")</f>
        <v>Liberica</v>
      </c>
      <c r="O45" t="str">
        <f t="shared" si="1"/>
        <v>Light</v>
      </c>
      <c r="P45" t="str">
        <f>_xlfn.XLOOKUP(Table1[[#This Row],[Customer ID]],Data_customers!$A$2:$A$1001,Data_customers!$I$2:$I$1001,,0)</f>
        <v>No</v>
      </c>
    </row>
    <row r="46" spans="1:16" x14ac:dyDescent="0.2">
      <c r="A46" s="2" t="s">
        <v>738</v>
      </c>
      <c r="B46" s="3">
        <v>43932</v>
      </c>
      <c r="C46" s="2" t="s">
        <v>739</v>
      </c>
      <c r="D46" t="s">
        <v>6139</v>
      </c>
      <c r="E46" s="2">
        <v>2</v>
      </c>
      <c r="F46" s="2" t="str">
        <f>_xlfn.XLOOKUP(Data_orders!C46,Data_customers!$A$1:$A$1001,Data_customers!$B$1:$B$1001,,0)</f>
        <v>Olag Baudassi</v>
      </c>
      <c r="G46" s="2" t="str">
        <f>IF(_xlfn.XLOOKUP(C46,Data_customers!$A$1:$A$1001,Data_customers!$C$1:$C$1001,,0)=0,"",_xlfn.XLOOKUP(C46,Data_customers!$A$1:$A$1001,Data_customers!$C$1:$C$1001,,0))</f>
        <v>obaudassi18@seesaa.net</v>
      </c>
      <c r="H46" s="2" t="str">
        <f>_xlfn.XLOOKUP(C46,Data_customers!$A$1:$A$1001,Data_customers!$G$1:$G$1001,"",0)</f>
        <v>United States</v>
      </c>
      <c r="I46" t="str">
        <f>INDEX(Data_products!$A$1:$G$49, MATCH(Data_orders!$D46,Data_products!$A$1:$A$49,0), MATCH(Data_orders!I$1,Data_products!$A$1:$G$1,0))</f>
        <v>Exc</v>
      </c>
      <c r="J46" t="str">
        <f>INDEX(Data_products!$A$1:$G$49, MATCH(Data_orders!$D46,Data_products!$A$1:$A$49,0), MATCH(Data_orders!J$1,Data_products!$A$1:$G$1,0))</f>
        <v>M</v>
      </c>
      <c r="K46" s="4">
        <f>INDEX(Data_products!$A$1:$G$49, MATCH(Data_orders!$D46,Data_products!$A$1:$A$49,0), MATCH(Data_orders!K$1,Data_products!$A$1:$G$1,0))</f>
        <v>0.5</v>
      </c>
      <c r="L46">
        <f>INDEX(Data_products!$A$1:$G$49, MATCH(Data_orders!$D46,Data_products!$A$1:$A$49,0), MATCH(Data_orders!L$1,Data_products!$A$1:$G$1,0))</f>
        <v>8.25</v>
      </c>
      <c r="M46">
        <f t="shared" si="0"/>
        <v>16.5</v>
      </c>
      <c r="N46" t="str" cm="1">
        <f t="array" ref="N46">_xlfn.IFS(I46 = "Rob", "Robusta", I46 = "Exc", "Excelsa", I46 = "Ara", "Arabica", I46 = "Lib", "Liberica")</f>
        <v>Excelsa</v>
      </c>
      <c r="O46" t="str">
        <f t="shared" si="1"/>
        <v>Medium</v>
      </c>
      <c r="P46" t="str">
        <f>_xlfn.XLOOKUP(Table1[[#This Row],[Customer ID]],Data_customers!$A$2:$A$1001,Data_customers!$I$2:$I$1001,,0)</f>
        <v>Yes</v>
      </c>
    </row>
    <row r="47" spans="1:16" x14ac:dyDescent="0.2">
      <c r="A47" s="2" t="s">
        <v>744</v>
      </c>
      <c r="B47" s="3">
        <v>44592</v>
      </c>
      <c r="C47" s="2" t="s">
        <v>745</v>
      </c>
      <c r="D47" t="s">
        <v>6165</v>
      </c>
      <c r="E47" s="2">
        <v>6</v>
      </c>
      <c r="F47" s="2" t="str">
        <f>_xlfn.XLOOKUP(Data_orders!C47,Data_customers!$A$1:$A$1001,Data_customers!$B$1:$B$1001,,0)</f>
        <v>Petey Kingsbury</v>
      </c>
      <c r="G47" s="2" t="str">
        <f>IF(_xlfn.XLOOKUP(C47,Data_customers!$A$1:$A$1001,Data_customers!$C$1:$C$1001,,0)=0,"",_xlfn.XLOOKUP(C47,Data_customers!$A$1:$A$1001,Data_customers!$C$1:$C$1001,,0))</f>
        <v>pkingsbury19@comcast.net</v>
      </c>
      <c r="H47" s="2" t="str">
        <f>_xlfn.XLOOKUP(C47,Data_customers!$A$1:$A$1001,Data_customers!$G$1:$G$1001,"",0)</f>
        <v>United States</v>
      </c>
      <c r="I47" t="str">
        <f>INDEX(Data_products!$A$1:$G$49, MATCH(Data_orders!$D47,Data_products!$A$1:$A$49,0), MATCH(Data_orders!I$1,Data_products!$A$1:$G$1,0))</f>
        <v>Lib</v>
      </c>
      <c r="J47" t="str">
        <f>INDEX(Data_products!$A$1:$G$49, MATCH(Data_orders!$D47,Data_products!$A$1:$A$49,0), MATCH(Data_orders!J$1,Data_products!$A$1:$G$1,0))</f>
        <v>D</v>
      </c>
      <c r="K47" s="4">
        <f>INDEX(Data_products!$A$1:$G$49, MATCH(Data_orders!$D47,Data_products!$A$1:$A$49,0), MATCH(Data_orders!K$1,Data_products!$A$1:$G$1,0))</f>
        <v>2.5</v>
      </c>
      <c r="L47">
        <f>INDEX(Data_products!$A$1:$G$49, MATCH(Data_orders!$D47,Data_products!$A$1:$A$49,0), MATCH(Data_orders!L$1,Data_products!$A$1:$G$1,0))</f>
        <v>29.784999999999997</v>
      </c>
      <c r="M47">
        <f t="shared" si="0"/>
        <v>178.70999999999998</v>
      </c>
      <c r="N47" t="str" cm="1">
        <f t="array" ref="N47">_xlfn.IFS(I47 = "Rob", "Robusta", I47 = "Exc", "Excelsa", I47 = "Ara", "Arabica", I47 = "Lib", "Liberica")</f>
        <v>Liberica</v>
      </c>
      <c r="O47" t="str">
        <f t="shared" si="1"/>
        <v>Dark</v>
      </c>
      <c r="P47" t="str">
        <f>_xlfn.XLOOKUP(Table1[[#This Row],[Customer ID]],Data_customers!$A$2:$A$1001,Data_customers!$I$2:$I$1001,,0)</f>
        <v>No</v>
      </c>
    </row>
    <row r="48" spans="1:16" x14ac:dyDescent="0.2">
      <c r="A48" s="2" t="s">
        <v>750</v>
      </c>
      <c r="B48" s="3">
        <v>43776</v>
      </c>
      <c r="C48" s="2" t="s">
        <v>751</v>
      </c>
      <c r="D48" t="s">
        <v>6166</v>
      </c>
      <c r="E48" s="2">
        <v>2</v>
      </c>
      <c r="F48" s="2" t="str">
        <f>_xlfn.XLOOKUP(Data_orders!C48,Data_customers!$A$1:$A$1001,Data_customers!$B$1:$B$1001,,0)</f>
        <v>Donna Baskeyfied</v>
      </c>
      <c r="G48" s="2" t="str">
        <f>IF(_xlfn.XLOOKUP(C48,Data_customers!$A$1:$A$1001,Data_customers!$C$1:$C$1001,,0)=0,"",_xlfn.XLOOKUP(C48,Data_customers!$A$1:$A$1001,Data_customers!$C$1:$C$1001,,0))</f>
        <v/>
      </c>
      <c r="H48" s="2" t="str">
        <f>_xlfn.XLOOKUP(C48,Data_customers!$A$1:$A$1001,Data_customers!$G$1:$G$1001,"",0)</f>
        <v>United States</v>
      </c>
      <c r="I48" t="str">
        <f>INDEX(Data_products!$A$1:$G$49, MATCH(Data_orders!$D48,Data_products!$A$1:$A$49,0), MATCH(Data_orders!I$1,Data_products!$A$1:$G$1,0))</f>
        <v>Exc</v>
      </c>
      <c r="J48" t="str">
        <f>INDEX(Data_products!$A$1:$G$49, MATCH(Data_orders!$D48,Data_products!$A$1:$A$49,0), MATCH(Data_orders!J$1,Data_products!$A$1:$G$1,0))</f>
        <v>M</v>
      </c>
      <c r="K48" s="4">
        <f>INDEX(Data_products!$A$1:$G$49, MATCH(Data_orders!$D48,Data_products!$A$1:$A$49,0), MATCH(Data_orders!K$1,Data_products!$A$1:$G$1,0))</f>
        <v>2.5</v>
      </c>
      <c r="L48">
        <f>INDEX(Data_products!$A$1:$G$49, MATCH(Data_orders!$D48,Data_products!$A$1:$A$49,0), MATCH(Data_orders!L$1,Data_products!$A$1:$G$1,0))</f>
        <v>31.624999999999996</v>
      </c>
      <c r="M48">
        <f t="shared" si="0"/>
        <v>63.249999999999993</v>
      </c>
      <c r="N48" t="str" cm="1">
        <f t="array" ref="N48">_xlfn.IFS(I48 = "Rob", "Robusta", I48 = "Exc", "Excelsa", I48 = "Ara", "Arabica", I48 = "Lib", "Liberica")</f>
        <v>Excelsa</v>
      </c>
      <c r="O48" t="str">
        <f t="shared" si="1"/>
        <v>Medium</v>
      </c>
      <c r="P48" t="str">
        <f>_xlfn.XLOOKUP(Table1[[#This Row],[Customer ID]],Data_customers!$A$2:$A$1001,Data_customers!$I$2:$I$1001,,0)</f>
        <v>Yes</v>
      </c>
    </row>
    <row r="49" spans="1:16" x14ac:dyDescent="0.2">
      <c r="A49" s="2" t="s">
        <v>755</v>
      </c>
      <c r="B49" s="3">
        <v>43644</v>
      </c>
      <c r="C49" s="2" t="s">
        <v>756</v>
      </c>
      <c r="D49" t="s">
        <v>6167</v>
      </c>
      <c r="E49" s="2">
        <v>2</v>
      </c>
      <c r="F49" s="2" t="str">
        <f>_xlfn.XLOOKUP(Data_orders!C49,Data_customers!$A$1:$A$1001,Data_customers!$B$1:$B$1001,,0)</f>
        <v>Arda Curley</v>
      </c>
      <c r="G49" s="2" t="str">
        <f>IF(_xlfn.XLOOKUP(C49,Data_customers!$A$1:$A$1001,Data_customers!$C$1:$C$1001,,0)=0,"",_xlfn.XLOOKUP(C49,Data_customers!$A$1:$A$1001,Data_customers!$C$1:$C$1001,,0))</f>
        <v>acurley1b@hao123.com</v>
      </c>
      <c r="H49" s="2" t="str">
        <f>_xlfn.XLOOKUP(C49,Data_customers!$A$1:$A$1001,Data_customers!$G$1:$G$1001,"",0)</f>
        <v>United States</v>
      </c>
      <c r="I49" t="str">
        <f>INDEX(Data_products!$A$1:$G$49, MATCH(Data_orders!$D49,Data_products!$A$1:$A$49,0), MATCH(Data_orders!I$1,Data_products!$A$1:$G$1,0))</f>
        <v>Ara</v>
      </c>
      <c r="J49" t="str">
        <f>INDEX(Data_products!$A$1:$G$49, MATCH(Data_orders!$D49,Data_products!$A$1:$A$49,0), MATCH(Data_orders!J$1,Data_products!$A$1:$G$1,0))</f>
        <v>L</v>
      </c>
      <c r="K49" s="4">
        <f>INDEX(Data_products!$A$1:$G$49, MATCH(Data_orders!$D49,Data_products!$A$1:$A$49,0), MATCH(Data_orders!K$1,Data_products!$A$1:$G$1,0))</f>
        <v>0.2</v>
      </c>
      <c r="L49">
        <f>INDEX(Data_products!$A$1:$G$49, MATCH(Data_orders!$D49,Data_products!$A$1:$A$49,0), MATCH(Data_orders!L$1,Data_products!$A$1:$G$1,0))</f>
        <v>3.8849999999999998</v>
      </c>
      <c r="M49">
        <f t="shared" si="0"/>
        <v>7.77</v>
      </c>
      <c r="N49" t="str" cm="1">
        <f t="array" ref="N49">_xlfn.IFS(I49 = "Rob", "Robusta", I49 = "Exc", "Excelsa", I49 = "Ara", "Arabica", I49 = "Lib", "Liberica")</f>
        <v>Arabica</v>
      </c>
      <c r="O49" t="str">
        <f t="shared" si="1"/>
        <v>Light</v>
      </c>
      <c r="P49" t="str">
        <f>_xlfn.XLOOKUP(Table1[[#This Row],[Customer ID]],Data_customers!$A$2:$A$1001,Data_customers!$I$2:$I$1001,,0)</f>
        <v>Yes</v>
      </c>
    </row>
    <row r="50" spans="1:16" x14ac:dyDescent="0.2">
      <c r="A50" s="2" t="s">
        <v>761</v>
      </c>
      <c r="B50" s="3">
        <v>44085</v>
      </c>
      <c r="C50" s="2" t="s">
        <v>762</v>
      </c>
      <c r="D50" t="s">
        <v>6168</v>
      </c>
      <c r="E50" s="2">
        <v>4</v>
      </c>
      <c r="F50" s="2" t="str">
        <f>_xlfn.XLOOKUP(Data_orders!C50,Data_customers!$A$1:$A$1001,Data_customers!$B$1:$B$1001,,0)</f>
        <v>Raynor McGilvary</v>
      </c>
      <c r="G50" s="2" t="str">
        <f>IF(_xlfn.XLOOKUP(C50,Data_customers!$A$1:$A$1001,Data_customers!$C$1:$C$1001,,0)=0,"",_xlfn.XLOOKUP(C50,Data_customers!$A$1:$A$1001,Data_customers!$C$1:$C$1001,,0))</f>
        <v>rmcgilvary1c@tamu.edu</v>
      </c>
      <c r="H50" s="2" t="str">
        <f>_xlfn.XLOOKUP(C50,Data_customers!$A$1:$A$1001,Data_customers!$G$1:$G$1001,"",0)</f>
        <v>United States</v>
      </c>
      <c r="I50" t="str">
        <f>INDEX(Data_products!$A$1:$G$49, MATCH(Data_orders!$D50,Data_products!$A$1:$A$49,0), MATCH(Data_orders!I$1,Data_products!$A$1:$G$1,0))</f>
        <v>Ara</v>
      </c>
      <c r="J50" t="str">
        <f>INDEX(Data_products!$A$1:$G$49, MATCH(Data_orders!$D50,Data_products!$A$1:$A$49,0), MATCH(Data_orders!J$1,Data_products!$A$1:$G$1,0))</f>
        <v>D</v>
      </c>
      <c r="K50" s="4">
        <f>INDEX(Data_products!$A$1:$G$49, MATCH(Data_orders!$D50,Data_products!$A$1:$A$49,0), MATCH(Data_orders!K$1,Data_products!$A$1:$G$1,0))</f>
        <v>2.5</v>
      </c>
      <c r="L50">
        <f>INDEX(Data_products!$A$1:$G$49, MATCH(Data_orders!$D50,Data_products!$A$1:$A$49,0), MATCH(Data_orders!L$1,Data_products!$A$1:$G$1,0))</f>
        <v>22.884999999999998</v>
      </c>
      <c r="M50">
        <f t="shared" si="0"/>
        <v>91.539999999999992</v>
      </c>
      <c r="N50" t="str" cm="1">
        <f t="array" ref="N50">_xlfn.IFS(I50 = "Rob", "Robusta", I50 = "Exc", "Excelsa", I50 = "Ara", "Arabica", I50 = "Lib", "Liberica")</f>
        <v>Arabica</v>
      </c>
      <c r="O50" t="str">
        <f t="shared" si="1"/>
        <v>Dark</v>
      </c>
      <c r="P50" t="str">
        <f>_xlfn.XLOOKUP(Table1[[#This Row],[Customer ID]],Data_customers!$A$2:$A$1001,Data_customers!$I$2:$I$1001,,0)</f>
        <v>No</v>
      </c>
    </row>
    <row r="51" spans="1:16" x14ac:dyDescent="0.2">
      <c r="A51" s="2" t="s">
        <v>766</v>
      </c>
      <c r="B51" s="3">
        <v>44790</v>
      </c>
      <c r="C51" s="2" t="s">
        <v>767</v>
      </c>
      <c r="D51" t="s">
        <v>6140</v>
      </c>
      <c r="E51" s="2">
        <v>3</v>
      </c>
      <c r="F51" s="2" t="str">
        <f>_xlfn.XLOOKUP(Data_orders!C51,Data_customers!$A$1:$A$1001,Data_customers!$B$1:$B$1001,,0)</f>
        <v>Isis Pikett</v>
      </c>
      <c r="G51" s="2" t="str">
        <f>IF(_xlfn.XLOOKUP(C51,Data_customers!$A$1:$A$1001,Data_customers!$C$1:$C$1001,,0)=0,"",_xlfn.XLOOKUP(C51,Data_customers!$A$1:$A$1001,Data_customers!$C$1:$C$1001,,0))</f>
        <v>ipikett1d@xinhuanet.com</v>
      </c>
      <c r="H51" s="2" t="str">
        <f>_xlfn.XLOOKUP(C51,Data_customers!$A$1:$A$1001,Data_customers!$G$1:$G$1001,"",0)</f>
        <v>United States</v>
      </c>
      <c r="I51" t="str">
        <f>INDEX(Data_products!$A$1:$G$49, MATCH(Data_orders!$D51,Data_products!$A$1:$A$49,0), MATCH(Data_orders!I$1,Data_products!$A$1:$G$1,0))</f>
        <v>Ara</v>
      </c>
      <c r="J51" t="str">
        <f>INDEX(Data_products!$A$1:$G$49, MATCH(Data_orders!$D51,Data_products!$A$1:$A$49,0), MATCH(Data_orders!J$1,Data_products!$A$1:$G$1,0))</f>
        <v>L</v>
      </c>
      <c r="K51" s="4">
        <f>INDEX(Data_products!$A$1:$G$49, MATCH(Data_orders!$D51,Data_products!$A$1:$A$49,0), MATCH(Data_orders!K$1,Data_products!$A$1:$G$1,0))</f>
        <v>1</v>
      </c>
      <c r="L51">
        <f>INDEX(Data_products!$A$1:$G$49, MATCH(Data_orders!$D51,Data_products!$A$1:$A$49,0), MATCH(Data_orders!L$1,Data_products!$A$1:$G$1,0))</f>
        <v>12.95</v>
      </c>
      <c r="M51">
        <f t="shared" si="0"/>
        <v>38.849999999999994</v>
      </c>
      <c r="N51" t="str" cm="1">
        <f t="array" ref="N51">_xlfn.IFS(I51 = "Rob", "Robusta", I51 = "Exc", "Excelsa", I51 = "Ara", "Arabica", I51 = "Lib", "Liberica")</f>
        <v>Arabica</v>
      </c>
      <c r="O51" t="str">
        <f t="shared" si="1"/>
        <v>Light</v>
      </c>
      <c r="P51" t="str">
        <f>_xlfn.XLOOKUP(Table1[[#This Row],[Customer ID]],Data_customers!$A$2:$A$1001,Data_customers!$I$2:$I$1001,,0)</f>
        <v>No</v>
      </c>
    </row>
    <row r="52" spans="1:16" x14ac:dyDescent="0.2">
      <c r="A52" s="2" t="s">
        <v>772</v>
      </c>
      <c r="B52" s="3">
        <v>44792</v>
      </c>
      <c r="C52" s="2" t="s">
        <v>773</v>
      </c>
      <c r="D52" t="s">
        <v>6169</v>
      </c>
      <c r="E52" s="2">
        <v>2</v>
      </c>
      <c r="F52" s="2" t="str">
        <f>_xlfn.XLOOKUP(Data_orders!C52,Data_customers!$A$1:$A$1001,Data_customers!$B$1:$B$1001,,0)</f>
        <v>Inger Bouldon</v>
      </c>
      <c r="G52" s="2" t="str">
        <f>IF(_xlfn.XLOOKUP(C52,Data_customers!$A$1:$A$1001,Data_customers!$C$1:$C$1001,,0)=0,"",_xlfn.XLOOKUP(C52,Data_customers!$A$1:$A$1001,Data_customers!$C$1:$C$1001,,0))</f>
        <v>ibouldon1e@gizmodo.com</v>
      </c>
      <c r="H52" s="2" t="str">
        <f>_xlfn.XLOOKUP(C52,Data_customers!$A$1:$A$1001,Data_customers!$G$1:$G$1001,"",0)</f>
        <v>United States</v>
      </c>
      <c r="I52" t="str">
        <f>INDEX(Data_products!$A$1:$G$49, MATCH(Data_orders!$D52,Data_products!$A$1:$A$49,0), MATCH(Data_orders!I$1,Data_products!$A$1:$G$1,0))</f>
        <v>Lib</v>
      </c>
      <c r="J52" t="str">
        <f>INDEX(Data_products!$A$1:$G$49, MATCH(Data_orders!$D52,Data_products!$A$1:$A$49,0), MATCH(Data_orders!J$1,Data_products!$A$1:$G$1,0))</f>
        <v>D</v>
      </c>
      <c r="K52" s="4">
        <f>INDEX(Data_products!$A$1:$G$49, MATCH(Data_orders!$D52,Data_products!$A$1:$A$49,0), MATCH(Data_orders!K$1,Data_products!$A$1:$G$1,0))</f>
        <v>0.5</v>
      </c>
      <c r="L52">
        <f>INDEX(Data_products!$A$1:$G$49, MATCH(Data_orders!$D52,Data_products!$A$1:$A$49,0), MATCH(Data_orders!L$1,Data_products!$A$1:$G$1,0))</f>
        <v>7.77</v>
      </c>
      <c r="M52">
        <f t="shared" si="0"/>
        <v>15.54</v>
      </c>
      <c r="N52" t="str" cm="1">
        <f t="array" ref="N52">_xlfn.IFS(I52 = "Rob", "Robusta", I52 = "Exc", "Excelsa", I52 = "Ara", "Arabica", I52 = "Lib", "Liberica")</f>
        <v>Liberica</v>
      </c>
      <c r="O52" t="str">
        <f t="shared" si="1"/>
        <v>Dark</v>
      </c>
      <c r="P52" t="str">
        <f>_xlfn.XLOOKUP(Table1[[#This Row],[Customer ID]],Data_customers!$A$2:$A$1001,Data_customers!$I$2:$I$1001,,0)</f>
        <v>No</v>
      </c>
    </row>
    <row r="53" spans="1:16" x14ac:dyDescent="0.2">
      <c r="A53" s="2" t="s">
        <v>778</v>
      </c>
      <c r="B53" s="3">
        <v>43600</v>
      </c>
      <c r="C53" s="2" t="s">
        <v>779</v>
      </c>
      <c r="D53" t="s">
        <v>6164</v>
      </c>
      <c r="E53" s="2">
        <v>4</v>
      </c>
      <c r="F53" s="2" t="str">
        <f>_xlfn.XLOOKUP(Data_orders!C53,Data_customers!$A$1:$A$1001,Data_customers!$B$1:$B$1001,,0)</f>
        <v>Karry Flanders</v>
      </c>
      <c r="G53" s="2" t="str">
        <f>IF(_xlfn.XLOOKUP(C53,Data_customers!$A$1:$A$1001,Data_customers!$C$1:$C$1001,,0)=0,"",_xlfn.XLOOKUP(C53,Data_customers!$A$1:$A$1001,Data_customers!$C$1:$C$1001,,0))</f>
        <v>kflanders1f@over-blog.com</v>
      </c>
      <c r="H53" s="2" t="str">
        <f>_xlfn.XLOOKUP(C53,Data_customers!$A$1:$A$1001,Data_customers!$G$1:$G$1001,"",0)</f>
        <v>Ireland</v>
      </c>
      <c r="I53" t="str">
        <f>INDEX(Data_products!$A$1:$G$49, MATCH(Data_orders!$D53,Data_products!$A$1:$A$49,0), MATCH(Data_orders!I$1,Data_products!$A$1:$G$1,0))</f>
        <v>Lib</v>
      </c>
      <c r="J53" t="str">
        <f>INDEX(Data_products!$A$1:$G$49, MATCH(Data_orders!$D53,Data_products!$A$1:$A$49,0), MATCH(Data_orders!J$1,Data_products!$A$1:$G$1,0))</f>
        <v>L</v>
      </c>
      <c r="K53" s="4">
        <f>INDEX(Data_products!$A$1:$G$49, MATCH(Data_orders!$D53,Data_products!$A$1:$A$49,0), MATCH(Data_orders!K$1,Data_products!$A$1:$G$1,0))</f>
        <v>2.5</v>
      </c>
      <c r="L53">
        <f>INDEX(Data_products!$A$1:$G$49, MATCH(Data_orders!$D53,Data_products!$A$1:$A$49,0), MATCH(Data_orders!L$1,Data_products!$A$1:$G$1,0))</f>
        <v>36.454999999999998</v>
      </c>
      <c r="M53">
        <f t="shared" si="0"/>
        <v>145.82</v>
      </c>
      <c r="N53" t="str" cm="1">
        <f t="array" ref="N53">_xlfn.IFS(I53 = "Rob", "Robusta", I53 = "Exc", "Excelsa", I53 = "Ara", "Arabica", I53 = "Lib", "Liberica")</f>
        <v>Liberica</v>
      </c>
      <c r="O53" t="str">
        <f t="shared" si="1"/>
        <v>Light</v>
      </c>
      <c r="P53" t="str">
        <f>_xlfn.XLOOKUP(Table1[[#This Row],[Customer ID]],Data_customers!$A$2:$A$1001,Data_customers!$I$2:$I$1001,,0)</f>
        <v>Yes</v>
      </c>
    </row>
    <row r="54" spans="1:16" x14ac:dyDescent="0.2">
      <c r="A54" s="2" t="s">
        <v>784</v>
      </c>
      <c r="B54" s="3">
        <v>43719</v>
      </c>
      <c r="C54" s="2" t="s">
        <v>785</v>
      </c>
      <c r="D54" t="s">
        <v>6146</v>
      </c>
      <c r="E54" s="2">
        <v>5</v>
      </c>
      <c r="F54" s="2" t="str">
        <f>_xlfn.XLOOKUP(Data_orders!C54,Data_customers!$A$1:$A$1001,Data_customers!$B$1:$B$1001,,0)</f>
        <v>Hartley Mattioli</v>
      </c>
      <c r="G54" s="2" t="str">
        <f>IF(_xlfn.XLOOKUP(C54,Data_customers!$A$1:$A$1001,Data_customers!$C$1:$C$1001,,0)=0,"",_xlfn.XLOOKUP(C54,Data_customers!$A$1:$A$1001,Data_customers!$C$1:$C$1001,,0))</f>
        <v>hmattioli1g@webmd.com</v>
      </c>
      <c r="H54" s="2" t="str">
        <f>_xlfn.XLOOKUP(C54,Data_customers!$A$1:$A$1001,Data_customers!$G$1:$G$1001,"",0)</f>
        <v>United Kingdom</v>
      </c>
      <c r="I54" t="str">
        <f>INDEX(Data_products!$A$1:$G$49, MATCH(Data_orders!$D54,Data_products!$A$1:$A$49,0), MATCH(Data_orders!I$1,Data_products!$A$1:$G$1,0))</f>
        <v>Rob</v>
      </c>
      <c r="J54" t="str">
        <f>INDEX(Data_products!$A$1:$G$49, MATCH(Data_orders!$D54,Data_products!$A$1:$A$49,0), MATCH(Data_orders!J$1,Data_products!$A$1:$G$1,0))</f>
        <v>M</v>
      </c>
      <c r="K54" s="4">
        <f>INDEX(Data_products!$A$1:$G$49, MATCH(Data_orders!$D54,Data_products!$A$1:$A$49,0), MATCH(Data_orders!K$1,Data_products!$A$1:$G$1,0))</f>
        <v>0.5</v>
      </c>
      <c r="L54">
        <f>INDEX(Data_products!$A$1:$G$49, MATCH(Data_orders!$D54,Data_products!$A$1:$A$49,0), MATCH(Data_orders!L$1,Data_products!$A$1:$G$1,0))</f>
        <v>5.97</v>
      </c>
      <c r="M54">
        <f t="shared" si="0"/>
        <v>29.849999999999998</v>
      </c>
      <c r="N54" t="str" cm="1">
        <f t="array" ref="N54">_xlfn.IFS(I54 = "Rob", "Robusta", I54 = "Exc", "Excelsa", I54 = "Ara", "Arabica", I54 = "Lib", "Liberica")</f>
        <v>Robusta</v>
      </c>
      <c r="O54" t="str">
        <f t="shared" si="1"/>
        <v>Medium</v>
      </c>
      <c r="P54" t="str">
        <f>_xlfn.XLOOKUP(Table1[[#This Row],[Customer ID]],Data_customers!$A$2:$A$1001,Data_customers!$I$2:$I$1001,,0)</f>
        <v>No</v>
      </c>
    </row>
    <row r="55" spans="1:16" x14ac:dyDescent="0.2">
      <c r="A55" s="2" t="s">
        <v>784</v>
      </c>
      <c r="B55" s="3">
        <v>43719</v>
      </c>
      <c r="C55" s="2" t="s">
        <v>785</v>
      </c>
      <c r="D55" t="s">
        <v>6164</v>
      </c>
      <c r="E55" s="2">
        <v>2</v>
      </c>
      <c r="F55" s="2" t="str">
        <f>_xlfn.XLOOKUP(Data_orders!C55,Data_customers!$A$1:$A$1001,Data_customers!$B$1:$B$1001,,0)</f>
        <v>Hartley Mattioli</v>
      </c>
      <c r="G55" s="2" t="str">
        <f>IF(_xlfn.XLOOKUP(C55,Data_customers!$A$1:$A$1001,Data_customers!$C$1:$C$1001,,0)=0,"",_xlfn.XLOOKUP(C55,Data_customers!$A$1:$A$1001,Data_customers!$C$1:$C$1001,,0))</f>
        <v>hmattioli1g@webmd.com</v>
      </c>
      <c r="H55" s="2" t="str">
        <f>_xlfn.XLOOKUP(C55,Data_customers!$A$1:$A$1001,Data_customers!$G$1:$G$1001,"",0)</f>
        <v>United Kingdom</v>
      </c>
      <c r="I55" t="str">
        <f>INDEX(Data_products!$A$1:$G$49, MATCH(Data_orders!$D55,Data_products!$A$1:$A$49,0), MATCH(Data_orders!I$1,Data_products!$A$1:$G$1,0))</f>
        <v>Lib</v>
      </c>
      <c r="J55" t="str">
        <f>INDEX(Data_products!$A$1:$G$49, MATCH(Data_orders!$D55,Data_products!$A$1:$A$49,0), MATCH(Data_orders!J$1,Data_products!$A$1:$G$1,0))</f>
        <v>L</v>
      </c>
      <c r="K55" s="4">
        <f>INDEX(Data_products!$A$1:$G$49, MATCH(Data_orders!$D55,Data_products!$A$1:$A$49,0), MATCH(Data_orders!K$1,Data_products!$A$1:$G$1,0))</f>
        <v>2.5</v>
      </c>
      <c r="L55">
        <f>INDEX(Data_products!$A$1:$G$49, MATCH(Data_orders!$D55,Data_products!$A$1:$A$49,0), MATCH(Data_orders!L$1,Data_products!$A$1:$G$1,0))</f>
        <v>36.454999999999998</v>
      </c>
      <c r="M55">
        <f t="shared" si="0"/>
        <v>72.91</v>
      </c>
      <c r="N55" t="str" cm="1">
        <f t="array" ref="N55">_xlfn.IFS(I55 = "Rob", "Robusta", I55 = "Exc", "Excelsa", I55 = "Ara", "Arabica", I55 = "Lib", "Liberica")</f>
        <v>Liberica</v>
      </c>
      <c r="O55" t="str">
        <f t="shared" si="1"/>
        <v>Light</v>
      </c>
      <c r="P55" t="str">
        <f>_xlfn.XLOOKUP(Table1[[#This Row],[Customer ID]],Data_customers!$A$2:$A$1001,Data_customers!$I$2:$I$1001,,0)</f>
        <v>No</v>
      </c>
    </row>
    <row r="56" spans="1:16" x14ac:dyDescent="0.2">
      <c r="A56" s="2" t="s">
        <v>794</v>
      </c>
      <c r="B56" s="3">
        <v>44271</v>
      </c>
      <c r="C56" s="2" t="s">
        <v>795</v>
      </c>
      <c r="D56" t="s">
        <v>6162</v>
      </c>
      <c r="E56" s="2">
        <v>5</v>
      </c>
      <c r="F56" s="2" t="str">
        <f>_xlfn.XLOOKUP(Data_orders!C56,Data_customers!$A$1:$A$1001,Data_customers!$B$1:$B$1001,,0)</f>
        <v>Archambault Gillard</v>
      </c>
      <c r="G56" s="2" t="str">
        <f>IF(_xlfn.XLOOKUP(C56,Data_customers!$A$1:$A$1001,Data_customers!$C$1:$C$1001,,0)=0,"",_xlfn.XLOOKUP(C56,Data_customers!$A$1:$A$1001,Data_customers!$C$1:$C$1001,,0))</f>
        <v>agillard1i@issuu.com</v>
      </c>
      <c r="H56" s="2" t="str">
        <f>_xlfn.XLOOKUP(C56,Data_customers!$A$1:$A$1001,Data_customers!$G$1:$G$1001,"",0)</f>
        <v>United States</v>
      </c>
      <c r="I56" t="str">
        <f>INDEX(Data_products!$A$1:$G$49, MATCH(Data_orders!$D56,Data_products!$A$1:$A$49,0), MATCH(Data_orders!I$1,Data_products!$A$1:$G$1,0))</f>
        <v>Lib</v>
      </c>
      <c r="J56" t="str">
        <f>INDEX(Data_products!$A$1:$G$49, MATCH(Data_orders!$D56,Data_products!$A$1:$A$49,0), MATCH(Data_orders!J$1,Data_products!$A$1:$G$1,0))</f>
        <v>M</v>
      </c>
      <c r="K56" s="4">
        <f>INDEX(Data_products!$A$1:$G$49, MATCH(Data_orders!$D56,Data_products!$A$1:$A$49,0), MATCH(Data_orders!K$1,Data_products!$A$1:$G$1,0))</f>
        <v>1</v>
      </c>
      <c r="L56">
        <f>INDEX(Data_products!$A$1:$G$49, MATCH(Data_orders!$D56,Data_products!$A$1:$A$49,0), MATCH(Data_orders!L$1,Data_products!$A$1:$G$1,0))</f>
        <v>14.55</v>
      </c>
      <c r="M56">
        <f t="shared" si="0"/>
        <v>72.75</v>
      </c>
      <c r="N56" t="str" cm="1">
        <f t="array" ref="N56">_xlfn.IFS(I56 = "Rob", "Robusta", I56 = "Exc", "Excelsa", I56 = "Ara", "Arabica", I56 = "Lib", "Liberica")</f>
        <v>Liberica</v>
      </c>
      <c r="O56" t="str">
        <f t="shared" si="1"/>
        <v>Medium</v>
      </c>
      <c r="P56" t="str">
        <f>_xlfn.XLOOKUP(Table1[[#This Row],[Customer ID]],Data_customers!$A$2:$A$1001,Data_customers!$I$2:$I$1001,,0)</f>
        <v>No</v>
      </c>
    </row>
    <row r="57" spans="1:16" x14ac:dyDescent="0.2">
      <c r="A57" s="2" t="s">
        <v>800</v>
      </c>
      <c r="B57" s="3">
        <v>44168</v>
      </c>
      <c r="C57" s="2" t="s">
        <v>801</v>
      </c>
      <c r="D57" t="s">
        <v>6170</v>
      </c>
      <c r="E57" s="2">
        <v>3</v>
      </c>
      <c r="F57" s="2" t="str">
        <f>_xlfn.XLOOKUP(Data_orders!C57,Data_customers!$A$1:$A$1001,Data_customers!$B$1:$B$1001,,0)</f>
        <v>Salomo Cushworth</v>
      </c>
      <c r="G57" s="2" t="str">
        <f>IF(_xlfn.XLOOKUP(C57,Data_customers!$A$1:$A$1001,Data_customers!$C$1:$C$1001,,0)=0,"",_xlfn.XLOOKUP(C57,Data_customers!$A$1:$A$1001,Data_customers!$C$1:$C$1001,,0))</f>
        <v/>
      </c>
      <c r="H57" s="2" t="str">
        <f>_xlfn.XLOOKUP(C57,Data_customers!$A$1:$A$1001,Data_customers!$G$1:$G$1001,"",0)</f>
        <v>United States</v>
      </c>
      <c r="I57" t="str">
        <f>INDEX(Data_products!$A$1:$G$49, MATCH(Data_orders!$D57,Data_products!$A$1:$A$49,0), MATCH(Data_orders!I$1,Data_products!$A$1:$G$1,0))</f>
        <v>Lib</v>
      </c>
      <c r="J57" t="str">
        <f>INDEX(Data_products!$A$1:$G$49, MATCH(Data_orders!$D57,Data_products!$A$1:$A$49,0), MATCH(Data_orders!J$1,Data_products!$A$1:$G$1,0))</f>
        <v>L</v>
      </c>
      <c r="K57" s="4">
        <f>INDEX(Data_products!$A$1:$G$49, MATCH(Data_orders!$D57,Data_products!$A$1:$A$49,0), MATCH(Data_orders!K$1,Data_products!$A$1:$G$1,0))</f>
        <v>1</v>
      </c>
      <c r="L57">
        <f>INDEX(Data_products!$A$1:$G$49, MATCH(Data_orders!$D57,Data_products!$A$1:$A$49,0), MATCH(Data_orders!L$1,Data_products!$A$1:$G$1,0))</f>
        <v>15.85</v>
      </c>
      <c r="M57">
        <f t="shared" si="0"/>
        <v>47.55</v>
      </c>
      <c r="N57" t="str" cm="1">
        <f t="array" ref="N57">_xlfn.IFS(I57 = "Rob", "Robusta", I57 = "Exc", "Excelsa", I57 = "Ara", "Arabica", I57 = "Lib", "Liberica")</f>
        <v>Liberica</v>
      </c>
      <c r="O57" t="str">
        <f t="shared" si="1"/>
        <v>Light</v>
      </c>
      <c r="P57" t="str">
        <f>_xlfn.XLOOKUP(Table1[[#This Row],[Customer ID]],Data_customers!$A$2:$A$1001,Data_customers!$I$2:$I$1001,,0)</f>
        <v>No</v>
      </c>
    </row>
    <row r="58" spans="1:16" x14ac:dyDescent="0.2">
      <c r="A58" s="2" t="s">
        <v>805</v>
      </c>
      <c r="B58" s="3">
        <v>43857</v>
      </c>
      <c r="C58" s="2" t="s">
        <v>806</v>
      </c>
      <c r="D58" t="s">
        <v>6153</v>
      </c>
      <c r="E58" s="2">
        <v>3</v>
      </c>
      <c r="F58" s="2" t="str">
        <f>_xlfn.XLOOKUP(Data_orders!C58,Data_customers!$A$1:$A$1001,Data_customers!$B$1:$B$1001,,0)</f>
        <v>Theda Grizard</v>
      </c>
      <c r="G58" s="2" t="str">
        <f>IF(_xlfn.XLOOKUP(C58,Data_customers!$A$1:$A$1001,Data_customers!$C$1:$C$1001,,0)=0,"",_xlfn.XLOOKUP(C58,Data_customers!$A$1:$A$1001,Data_customers!$C$1:$C$1001,,0))</f>
        <v>tgrizard1k@odnoklassniki.ru</v>
      </c>
      <c r="H58" s="2" t="str">
        <f>_xlfn.XLOOKUP(C58,Data_customers!$A$1:$A$1001,Data_customers!$G$1:$G$1001,"",0)</f>
        <v>United States</v>
      </c>
      <c r="I58" t="str">
        <f>INDEX(Data_products!$A$1:$G$49, MATCH(Data_orders!$D58,Data_products!$A$1:$A$49,0), MATCH(Data_orders!I$1,Data_products!$A$1:$G$1,0))</f>
        <v>Exc</v>
      </c>
      <c r="J58" t="str">
        <f>INDEX(Data_products!$A$1:$G$49, MATCH(Data_orders!$D58,Data_products!$A$1:$A$49,0), MATCH(Data_orders!J$1,Data_products!$A$1:$G$1,0))</f>
        <v>D</v>
      </c>
      <c r="K58" s="4">
        <f>INDEX(Data_products!$A$1:$G$49, MATCH(Data_orders!$D58,Data_products!$A$1:$A$49,0), MATCH(Data_orders!K$1,Data_products!$A$1:$G$1,0))</f>
        <v>0.2</v>
      </c>
      <c r="L58">
        <f>INDEX(Data_products!$A$1:$G$49, MATCH(Data_orders!$D58,Data_products!$A$1:$A$49,0), MATCH(Data_orders!L$1,Data_products!$A$1:$G$1,0))</f>
        <v>3.645</v>
      </c>
      <c r="M58">
        <f t="shared" si="0"/>
        <v>10.935</v>
      </c>
      <c r="N58" t="str" cm="1">
        <f t="array" ref="N58">_xlfn.IFS(I58 = "Rob", "Robusta", I58 = "Exc", "Excelsa", I58 = "Ara", "Arabica", I58 = "Lib", "Liberica")</f>
        <v>Excelsa</v>
      </c>
      <c r="O58" t="str">
        <f t="shared" si="1"/>
        <v>Dark</v>
      </c>
      <c r="P58" t="str">
        <f>_xlfn.XLOOKUP(Table1[[#This Row],[Customer ID]],Data_customers!$A$2:$A$1001,Data_customers!$I$2:$I$1001,,0)</f>
        <v>Yes</v>
      </c>
    </row>
    <row r="59" spans="1:16" x14ac:dyDescent="0.2">
      <c r="A59" s="2" t="s">
        <v>811</v>
      </c>
      <c r="B59" s="3">
        <v>44759</v>
      </c>
      <c r="C59" s="2" t="s">
        <v>812</v>
      </c>
      <c r="D59" t="s">
        <v>6171</v>
      </c>
      <c r="E59" s="2">
        <v>4</v>
      </c>
      <c r="F59" s="2" t="str">
        <f>_xlfn.XLOOKUP(Data_orders!C59,Data_customers!$A$1:$A$1001,Data_customers!$B$1:$B$1001,,0)</f>
        <v>Rozele Relton</v>
      </c>
      <c r="G59" s="2" t="str">
        <f>IF(_xlfn.XLOOKUP(C59,Data_customers!$A$1:$A$1001,Data_customers!$C$1:$C$1001,,0)=0,"",_xlfn.XLOOKUP(C59,Data_customers!$A$1:$A$1001,Data_customers!$C$1:$C$1001,,0))</f>
        <v>rrelton1l@stanford.edu</v>
      </c>
      <c r="H59" s="2" t="str">
        <f>_xlfn.XLOOKUP(C59,Data_customers!$A$1:$A$1001,Data_customers!$G$1:$G$1001,"",0)</f>
        <v>United States</v>
      </c>
      <c r="I59" t="str">
        <f>INDEX(Data_products!$A$1:$G$49, MATCH(Data_orders!$D59,Data_products!$A$1:$A$49,0), MATCH(Data_orders!I$1,Data_products!$A$1:$G$1,0))</f>
        <v>Exc</v>
      </c>
      <c r="J59" t="str">
        <f>INDEX(Data_products!$A$1:$G$49, MATCH(Data_orders!$D59,Data_products!$A$1:$A$49,0), MATCH(Data_orders!J$1,Data_products!$A$1:$G$1,0))</f>
        <v>L</v>
      </c>
      <c r="K59" s="4">
        <f>INDEX(Data_products!$A$1:$G$49, MATCH(Data_orders!$D59,Data_products!$A$1:$A$49,0), MATCH(Data_orders!K$1,Data_products!$A$1:$G$1,0))</f>
        <v>1</v>
      </c>
      <c r="L59">
        <f>INDEX(Data_products!$A$1:$G$49, MATCH(Data_orders!$D59,Data_products!$A$1:$A$49,0), MATCH(Data_orders!L$1,Data_products!$A$1:$G$1,0))</f>
        <v>14.85</v>
      </c>
      <c r="M59">
        <f t="shared" si="0"/>
        <v>59.4</v>
      </c>
      <c r="N59" t="str" cm="1">
        <f t="array" ref="N59">_xlfn.IFS(I59 = "Rob", "Robusta", I59 = "Exc", "Excelsa", I59 = "Ara", "Arabica", I59 = "Lib", "Liberica")</f>
        <v>Excelsa</v>
      </c>
      <c r="O59" t="str">
        <f t="shared" si="1"/>
        <v>Light</v>
      </c>
      <c r="P59" t="str">
        <f>_xlfn.XLOOKUP(Table1[[#This Row],[Customer ID]],Data_customers!$A$2:$A$1001,Data_customers!$I$2:$I$1001,,0)</f>
        <v>No</v>
      </c>
    </row>
    <row r="60" spans="1:16" x14ac:dyDescent="0.2">
      <c r="A60" s="2" t="s">
        <v>817</v>
      </c>
      <c r="B60" s="3">
        <v>44624</v>
      </c>
      <c r="C60" s="2" t="s">
        <v>818</v>
      </c>
      <c r="D60" t="s">
        <v>6165</v>
      </c>
      <c r="E60" s="2">
        <v>3</v>
      </c>
      <c r="F60" s="2" t="str">
        <f>_xlfn.XLOOKUP(Data_orders!C60,Data_customers!$A$1:$A$1001,Data_customers!$B$1:$B$1001,,0)</f>
        <v>Willa Rolling</v>
      </c>
      <c r="G60" s="2" t="str">
        <f>IF(_xlfn.XLOOKUP(C60,Data_customers!$A$1:$A$1001,Data_customers!$C$1:$C$1001,,0)=0,"",_xlfn.XLOOKUP(C60,Data_customers!$A$1:$A$1001,Data_customers!$C$1:$C$1001,,0))</f>
        <v/>
      </c>
      <c r="H60" s="2" t="str">
        <f>_xlfn.XLOOKUP(C60,Data_customers!$A$1:$A$1001,Data_customers!$G$1:$G$1001,"",0)</f>
        <v>United States</v>
      </c>
      <c r="I60" t="str">
        <f>INDEX(Data_products!$A$1:$G$49, MATCH(Data_orders!$D60,Data_products!$A$1:$A$49,0), MATCH(Data_orders!I$1,Data_products!$A$1:$G$1,0))</f>
        <v>Lib</v>
      </c>
      <c r="J60" t="str">
        <f>INDEX(Data_products!$A$1:$G$49, MATCH(Data_orders!$D60,Data_products!$A$1:$A$49,0), MATCH(Data_orders!J$1,Data_products!$A$1:$G$1,0))</f>
        <v>D</v>
      </c>
      <c r="K60" s="4">
        <f>INDEX(Data_products!$A$1:$G$49, MATCH(Data_orders!$D60,Data_products!$A$1:$A$49,0), MATCH(Data_orders!K$1,Data_products!$A$1:$G$1,0))</f>
        <v>2.5</v>
      </c>
      <c r="L60">
        <f>INDEX(Data_products!$A$1:$G$49, MATCH(Data_orders!$D60,Data_products!$A$1:$A$49,0), MATCH(Data_orders!L$1,Data_products!$A$1:$G$1,0))</f>
        <v>29.784999999999997</v>
      </c>
      <c r="M60">
        <f t="shared" si="0"/>
        <v>89.35499999999999</v>
      </c>
      <c r="N60" t="str" cm="1">
        <f t="array" ref="N60">_xlfn.IFS(I60 = "Rob", "Robusta", I60 = "Exc", "Excelsa", I60 = "Ara", "Arabica", I60 = "Lib", "Liberica")</f>
        <v>Liberica</v>
      </c>
      <c r="O60" t="str">
        <f t="shared" si="1"/>
        <v>Dark</v>
      </c>
      <c r="P60" t="str">
        <f>_xlfn.XLOOKUP(Table1[[#This Row],[Customer ID]],Data_customers!$A$2:$A$1001,Data_customers!$I$2:$I$1001,,0)</f>
        <v>Yes</v>
      </c>
    </row>
    <row r="61" spans="1:16" x14ac:dyDescent="0.2">
      <c r="A61" s="2" t="s">
        <v>822</v>
      </c>
      <c r="B61" s="3">
        <v>44537</v>
      </c>
      <c r="C61" s="2" t="s">
        <v>823</v>
      </c>
      <c r="D61" t="s">
        <v>6160</v>
      </c>
      <c r="E61" s="2">
        <v>3</v>
      </c>
      <c r="F61" s="2" t="str">
        <f>_xlfn.XLOOKUP(Data_orders!C61,Data_customers!$A$1:$A$1001,Data_customers!$B$1:$B$1001,,0)</f>
        <v>Stanislaus Gilroy</v>
      </c>
      <c r="G61" s="2" t="str">
        <f>IF(_xlfn.XLOOKUP(C61,Data_customers!$A$1:$A$1001,Data_customers!$C$1:$C$1001,,0)=0,"",_xlfn.XLOOKUP(C61,Data_customers!$A$1:$A$1001,Data_customers!$C$1:$C$1001,,0))</f>
        <v>sgilroy1n@eepurl.com</v>
      </c>
      <c r="H61" s="2" t="str">
        <f>_xlfn.XLOOKUP(C61,Data_customers!$A$1:$A$1001,Data_customers!$G$1:$G$1001,"",0)</f>
        <v>United States</v>
      </c>
      <c r="I61" t="str">
        <f>INDEX(Data_products!$A$1:$G$49, MATCH(Data_orders!$D61,Data_products!$A$1:$A$49,0), MATCH(Data_orders!I$1,Data_products!$A$1:$G$1,0))</f>
        <v>Lib</v>
      </c>
      <c r="J61" t="str">
        <f>INDEX(Data_products!$A$1:$G$49, MATCH(Data_orders!$D61,Data_products!$A$1:$A$49,0), MATCH(Data_orders!J$1,Data_products!$A$1:$G$1,0))</f>
        <v>M</v>
      </c>
      <c r="K61" s="4">
        <f>INDEX(Data_products!$A$1:$G$49, MATCH(Data_orders!$D61,Data_products!$A$1:$A$49,0), MATCH(Data_orders!K$1,Data_products!$A$1:$G$1,0))</f>
        <v>0.5</v>
      </c>
      <c r="L61">
        <f>INDEX(Data_products!$A$1:$G$49, MATCH(Data_orders!$D61,Data_products!$A$1:$A$49,0), MATCH(Data_orders!L$1,Data_products!$A$1:$G$1,0))</f>
        <v>8.73</v>
      </c>
      <c r="M61">
        <f t="shared" si="0"/>
        <v>26.19</v>
      </c>
      <c r="N61" t="str" cm="1">
        <f t="array" ref="N61">_xlfn.IFS(I61 = "Rob", "Robusta", I61 = "Exc", "Excelsa", I61 = "Ara", "Arabica", I61 = "Lib", "Liberica")</f>
        <v>Liberica</v>
      </c>
      <c r="O61" t="str">
        <f t="shared" si="1"/>
        <v>Medium</v>
      </c>
      <c r="P61" t="str">
        <f>_xlfn.XLOOKUP(Table1[[#This Row],[Customer ID]],Data_customers!$A$2:$A$1001,Data_customers!$I$2:$I$1001,,0)</f>
        <v>Yes</v>
      </c>
    </row>
    <row r="62" spans="1:16" x14ac:dyDescent="0.2">
      <c r="A62" s="2" t="s">
        <v>827</v>
      </c>
      <c r="B62" s="3">
        <v>44252</v>
      </c>
      <c r="C62" s="2" t="s">
        <v>828</v>
      </c>
      <c r="D62" t="s">
        <v>6168</v>
      </c>
      <c r="E62" s="2">
        <v>5</v>
      </c>
      <c r="F62" s="2" t="str">
        <f>_xlfn.XLOOKUP(Data_orders!C62,Data_customers!$A$1:$A$1001,Data_customers!$B$1:$B$1001,,0)</f>
        <v>Correy Cottingham</v>
      </c>
      <c r="G62" s="2" t="str">
        <f>IF(_xlfn.XLOOKUP(C62,Data_customers!$A$1:$A$1001,Data_customers!$C$1:$C$1001,,0)=0,"",_xlfn.XLOOKUP(C62,Data_customers!$A$1:$A$1001,Data_customers!$C$1:$C$1001,,0))</f>
        <v>ccottingham1o@wikipedia.org</v>
      </c>
      <c r="H62" s="2" t="str">
        <f>_xlfn.XLOOKUP(C62,Data_customers!$A$1:$A$1001,Data_customers!$G$1:$G$1001,"",0)</f>
        <v>United States</v>
      </c>
      <c r="I62" t="str">
        <f>INDEX(Data_products!$A$1:$G$49, MATCH(Data_orders!$D62,Data_products!$A$1:$A$49,0), MATCH(Data_orders!I$1,Data_products!$A$1:$G$1,0))</f>
        <v>Ara</v>
      </c>
      <c r="J62" t="str">
        <f>INDEX(Data_products!$A$1:$G$49, MATCH(Data_orders!$D62,Data_products!$A$1:$A$49,0), MATCH(Data_orders!J$1,Data_products!$A$1:$G$1,0))</f>
        <v>D</v>
      </c>
      <c r="K62" s="4">
        <f>INDEX(Data_products!$A$1:$G$49, MATCH(Data_orders!$D62,Data_products!$A$1:$A$49,0), MATCH(Data_orders!K$1,Data_products!$A$1:$G$1,0))</f>
        <v>2.5</v>
      </c>
      <c r="L62">
        <f>INDEX(Data_products!$A$1:$G$49, MATCH(Data_orders!$D62,Data_products!$A$1:$A$49,0), MATCH(Data_orders!L$1,Data_products!$A$1:$G$1,0))</f>
        <v>22.884999999999998</v>
      </c>
      <c r="M62">
        <f t="shared" si="0"/>
        <v>114.42499999999998</v>
      </c>
      <c r="N62" t="str" cm="1">
        <f t="array" ref="N62">_xlfn.IFS(I62 = "Rob", "Robusta", I62 = "Exc", "Excelsa", I62 = "Ara", "Arabica", I62 = "Lib", "Liberica")</f>
        <v>Arabica</v>
      </c>
      <c r="O62" t="str">
        <f t="shared" si="1"/>
        <v>Dark</v>
      </c>
      <c r="P62" t="str">
        <f>_xlfn.XLOOKUP(Table1[[#This Row],[Customer ID]],Data_customers!$A$2:$A$1001,Data_customers!$I$2:$I$1001,,0)</f>
        <v>No</v>
      </c>
    </row>
    <row r="63" spans="1:16" x14ac:dyDescent="0.2">
      <c r="A63" s="2" t="s">
        <v>833</v>
      </c>
      <c r="B63" s="3">
        <v>43521</v>
      </c>
      <c r="C63" s="2" t="s">
        <v>834</v>
      </c>
      <c r="D63" t="s">
        <v>6172</v>
      </c>
      <c r="E63" s="2">
        <v>5</v>
      </c>
      <c r="F63" s="2" t="str">
        <f>_xlfn.XLOOKUP(Data_orders!C63,Data_customers!$A$1:$A$1001,Data_customers!$B$1:$B$1001,,0)</f>
        <v>Pammi Endacott</v>
      </c>
      <c r="G63" s="2" t="str">
        <f>IF(_xlfn.XLOOKUP(C63,Data_customers!$A$1:$A$1001,Data_customers!$C$1:$C$1001,,0)=0,"",_xlfn.XLOOKUP(C63,Data_customers!$A$1:$A$1001,Data_customers!$C$1:$C$1001,,0))</f>
        <v/>
      </c>
      <c r="H63" s="2" t="str">
        <f>_xlfn.XLOOKUP(C63,Data_customers!$A$1:$A$1001,Data_customers!$G$1:$G$1001,"",0)</f>
        <v>United Kingdom</v>
      </c>
      <c r="I63" t="str">
        <f>INDEX(Data_products!$A$1:$G$49, MATCH(Data_orders!$D63,Data_products!$A$1:$A$49,0), MATCH(Data_orders!I$1,Data_products!$A$1:$G$1,0))</f>
        <v>Rob</v>
      </c>
      <c r="J63" t="str">
        <f>INDEX(Data_products!$A$1:$G$49, MATCH(Data_orders!$D63,Data_products!$A$1:$A$49,0), MATCH(Data_orders!J$1,Data_products!$A$1:$G$1,0))</f>
        <v>D</v>
      </c>
      <c r="K63" s="4">
        <f>INDEX(Data_products!$A$1:$G$49, MATCH(Data_orders!$D63,Data_products!$A$1:$A$49,0), MATCH(Data_orders!K$1,Data_products!$A$1:$G$1,0))</f>
        <v>0.5</v>
      </c>
      <c r="L63">
        <f>INDEX(Data_products!$A$1:$G$49, MATCH(Data_orders!$D63,Data_products!$A$1:$A$49,0), MATCH(Data_orders!L$1,Data_products!$A$1:$G$1,0))</f>
        <v>5.3699999999999992</v>
      </c>
      <c r="M63">
        <f t="shared" si="0"/>
        <v>26.849999999999994</v>
      </c>
      <c r="N63" t="str" cm="1">
        <f t="array" ref="N63">_xlfn.IFS(I63 = "Rob", "Robusta", I63 = "Exc", "Excelsa", I63 = "Ara", "Arabica", I63 = "Lib", "Liberica")</f>
        <v>Robusta</v>
      </c>
      <c r="O63" t="str">
        <f t="shared" si="1"/>
        <v>Dark</v>
      </c>
      <c r="P63" t="str">
        <f>_xlfn.XLOOKUP(Table1[[#This Row],[Customer ID]],Data_customers!$A$2:$A$1001,Data_customers!$I$2:$I$1001,,0)</f>
        <v>Yes</v>
      </c>
    </row>
    <row r="64" spans="1:16" x14ac:dyDescent="0.2">
      <c r="A64" s="2" t="s">
        <v>838</v>
      </c>
      <c r="B64" s="3">
        <v>43505</v>
      </c>
      <c r="C64" s="2" t="s">
        <v>839</v>
      </c>
      <c r="D64" t="s">
        <v>6145</v>
      </c>
      <c r="E64" s="2">
        <v>5</v>
      </c>
      <c r="F64" s="2" t="str">
        <f>_xlfn.XLOOKUP(Data_orders!C64,Data_customers!$A$1:$A$1001,Data_customers!$B$1:$B$1001,,0)</f>
        <v>Nona Linklater</v>
      </c>
      <c r="G64" s="2" t="str">
        <f>IF(_xlfn.XLOOKUP(C64,Data_customers!$A$1:$A$1001,Data_customers!$C$1:$C$1001,,0)=0,"",_xlfn.XLOOKUP(C64,Data_customers!$A$1:$A$1001,Data_customers!$C$1:$C$1001,,0))</f>
        <v/>
      </c>
      <c r="H64" s="2" t="str">
        <f>_xlfn.XLOOKUP(C64,Data_customers!$A$1:$A$1001,Data_customers!$G$1:$G$1001,"",0)</f>
        <v>United States</v>
      </c>
      <c r="I64" t="str">
        <f>INDEX(Data_products!$A$1:$G$49, MATCH(Data_orders!$D64,Data_products!$A$1:$A$49,0), MATCH(Data_orders!I$1,Data_products!$A$1:$G$1,0))</f>
        <v>Lib</v>
      </c>
      <c r="J64" t="str">
        <f>INDEX(Data_products!$A$1:$G$49, MATCH(Data_orders!$D64,Data_products!$A$1:$A$49,0), MATCH(Data_orders!J$1,Data_products!$A$1:$G$1,0))</f>
        <v>L</v>
      </c>
      <c r="K64" s="4">
        <f>INDEX(Data_products!$A$1:$G$49, MATCH(Data_orders!$D64,Data_products!$A$1:$A$49,0), MATCH(Data_orders!K$1,Data_products!$A$1:$G$1,0))</f>
        <v>0.2</v>
      </c>
      <c r="L64">
        <f>INDEX(Data_products!$A$1:$G$49, MATCH(Data_orders!$D64,Data_products!$A$1:$A$49,0), MATCH(Data_orders!L$1,Data_products!$A$1:$G$1,0))</f>
        <v>4.7549999999999999</v>
      </c>
      <c r="M64">
        <f t="shared" si="0"/>
        <v>23.774999999999999</v>
      </c>
      <c r="N64" t="str" cm="1">
        <f t="array" ref="N64">_xlfn.IFS(I64 = "Rob", "Robusta", I64 = "Exc", "Excelsa", I64 = "Ara", "Arabica", I64 = "Lib", "Liberica")</f>
        <v>Liberica</v>
      </c>
      <c r="O64" t="str">
        <f t="shared" si="1"/>
        <v>Light</v>
      </c>
      <c r="P64" t="str">
        <f>_xlfn.XLOOKUP(Table1[[#This Row],[Customer ID]],Data_customers!$A$2:$A$1001,Data_customers!$I$2:$I$1001,,0)</f>
        <v>Yes</v>
      </c>
    </row>
    <row r="65" spans="1:16" x14ac:dyDescent="0.2">
      <c r="A65" s="2" t="s">
        <v>843</v>
      </c>
      <c r="B65" s="3">
        <v>43868</v>
      </c>
      <c r="C65" s="2" t="s">
        <v>844</v>
      </c>
      <c r="D65" t="s">
        <v>6157</v>
      </c>
      <c r="E65" s="2">
        <v>1</v>
      </c>
      <c r="F65" s="2" t="str">
        <f>_xlfn.XLOOKUP(Data_orders!C65,Data_customers!$A$1:$A$1001,Data_customers!$B$1:$B$1001,,0)</f>
        <v>Annadiane Dykes</v>
      </c>
      <c r="G65" s="2" t="str">
        <f>IF(_xlfn.XLOOKUP(C65,Data_customers!$A$1:$A$1001,Data_customers!$C$1:$C$1001,,0)=0,"",_xlfn.XLOOKUP(C65,Data_customers!$A$1:$A$1001,Data_customers!$C$1:$C$1001,,0))</f>
        <v>adykes1r@eventbrite.com</v>
      </c>
      <c r="H65" s="2" t="str">
        <f>_xlfn.XLOOKUP(C65,Data_customers!$A$1:$A$1001,Data_customers!$G$1:$G$1001,"",0)</f>
        <v>United States</v>
      </c>
      <c r="I65" t="str">
        <f>INDEX(Data_products!$A$1:$G$49, MATCH(Data_orders!$D65,Data_products!$A$1:$A$49,0), MATCH(Data_orders!I$1,Data_products!$A$1:$G$1,0))</f>
        <v>Ara</v>
      </c>
      <c r="J65" t="str">
        <f>INDEX(Data_products!$A$1:$G$49, MATCH(Data_orders!$D65,Data_products!$A$1:$A$49,0), MATCH(Data_orders!J$1,Data_products!$A$1:$G$1,0))</f>
        <v>M</v>
      </c>
      <c r="K65" s="4">
        <f>INDEX(Data_products!$A$1:$G$49, MATCH(Data_orders!$D65,Data_products!$A$1:$A$49,0), MATCH(Data_orders!K$1,Data_products!$A$1:$G$1,0))</f>
        <v>0.5</v>
      </c>
      <c r="L65">
        <f>INDEX(Data_products!$A$1:$G$49, MATCH(Data_orders!$D65,Data_products!$A$1:$A$49,0), MATCH(Data_orders!L$1,Data_products!$A$1:$G$1,0))</f>
        <v>6.75</v>
      </c>
      <c r="M65">
        <f t="shared" si="0"/>
        <v>6.75</v>
      </c>
      <c r="N65" t="str" cm="1">
        <f t="array" ref="N65">_xlfn.IFS(I65 = "Rob", "Robusta", I65 = "Exc", "Excelsa", I65 = "Ara", "Arabica", I65 = "Lib", "Liberica")</f>
        <v>Arabica</v>
      </c>
      <c r="O65" t="str">
        <f t="shared" si="1"/>
        <v>Medium</v>
      </c>
      <c r="P65" t="str">
        <f>_xlfn.XLOOKUP(Table1[[#This Row],[Customer ID]],Data_customers!$A$2:$A$1001,Data_customers!$I$2:$I$1001,,0)</f>
        <v>No</v>
      </c>
    </row>
    <row r="66" spans="1:16" x14ac:dyDescent="0.2">
      <c r="A66" s="2" t="s">
        <v>849</v>
      </c>
      <c r="B66" s="3">
        <v>43913</v>
      </c>
      <c r="C66" s="2" t="s">
        <v>850</v>
      </c>
      <c r="D66" t="s">
        <v>6146</v>
      </c>
      <c r="E66" s="2">
        <v>6</v>
      </c>
      <c r="F66" s="2" t="str">
        <f>_xlfn.XLOOKUP(Data_orders!C66,Data_customers!$A$1:$A$1001,Data_customers!$B$1:$B$1001,,0)</f>
        <v>Felecia Dodgson</v>
      </c>
      <c r="G66" s="2" t="str">
        <f>IF(_xlfn.XLOOKUP(C66,Data_customers!$A$1:$A$1001,Data_customers!$C$1:$C$1001,,0)=0,"",_xlfn.XLOOKUP(C66,Data_customers!$A$1:$A$1001,Data_customers!$C$1:$C$1001,,0))</f>
        <v/>
      </c>
      <c r="H66" s="2" t="str">
        <f>_xlfn.XLOOKUP(C66,Data_customers!$A$1:$A$1001,Data_customers!$G$1:$G$1001,"",0)</f>
        <v>United States</v>
      </c>
      <c r="I66" t="str">
        <f>INDEX(Data_products!$A$1:$G$49, MATCH(Data_orders!$D66,Data_products!$A$1:$A$49,0), MATCH(Data_orders!I$1,Data_products!$A$1:$G$1,0))</f>
        <v>Rob</v>
      </c>
      <c r="J66" t="str">
        <f>INDEX(Data_products!$A$1:$G$49, MATCH(Data_orders!$D66,Data_products!$A$1:$A$49,0), MATCH(Data_orders!J$1,Data_products!$A$1:$G$1,0))</f>
        <v>M</v>
      </c>
      <c r="K66" s="4">
        <f>INDEX(Data_products!$A$1:$G$49, MATCH(Data_orders!$D66,Data_products!$A$1:$A$49,0), MATCH(Data_orders!K$1,Data_products!$A$1:$G$1,0))</f>
        <v>0.5</v>
      </c>
      <c r="L66">
        <f>INDEX(Data_products!$A$1:$G$49, MATCH(Data_orders!$D66,Data_products!$A$1:$A$49,0), MATCH(Data_orders!L$1,Data_products!$A$1:$G$1,0))</f>
        <v>5.97</v>
      </c>
      <c r="M66">
        <f t="shared" si="0"/>
        <v>35.82</v>
      </c>
      <c r="N66" t="str" cm="1">
        <f t="array" ref="N66">_xlfn.IFS(I66 = "Rob", "Robusta", I66 = "Exc", "Excelsa", I66 = "Ara", "Arabica", I66 = "Lib", "Liberica")</f>
        <v>Robusta</v>
      </c>
      <c r="O66" t="str">
        <f t="shared" si="1"/>
        <v>Medium</v>
      </c>
      <c r="P66" t="str">
        <f>_xlfn.XLOOKUP(Table1[[#This Row],[Customer ID]],Data_customers!$A$2:$A$1001,Data_customers!$I$2:$I$1001,,0)</f>
        <v>Yes</v>
      </c>
    </row>
    <row r="67" spans="1:16" x14ac:dyDescent="0.2">
      <c r="A67" s="2" t="s">
        <v>854</v>
      </c>
      <c r="B67" s="3">
        <v>44626</v>
      </c>
      <c r="C67" s="2" t="s">
        <v>855</v>
      </c>
      <c r="D67" t="s">
        <v>6149</v>
      </c>
      <c r="E67" s="2">
        <v>4</v>
      </c>
      <c r="F67" s="2" t="str">
        <f>_xlfn.XLOOKUP(Data_orders!C67,Data_customers!$A$1:$A$1001,Data_customers!$B$1:$B$1001,,0)</f>
        <v>Angelia Cockrem</v>
      </c>
      <c r="G67" s="2" t="str">
        <f>IF(_xlfn.XLOOKUP(C67,Data_customers!$A$1:$A$1001,Data_customers!$C$1:$C$1001,,0)=0,"",_xlfn.XLOOKUP(C67,Data_customers!$A$1:$A$1001,Data_customers!$C$1:$C$1001,,0))</f>
        <v>acockrem1t@engadget.com</v>
      </c>
      <c r="H67" s="2" t="str">
        <f>_xlfn.XLOOKUP(C67,Data_customers!$A$1:$A$1001,Data_customers!$G$1:$G$1001,"",0)</f>
        <v>United States</v>
      </c>
      <c r="I67" t="str">
        <f>INDEX(Data_products!$A$1:$G$49, MATCH(Data_orders!$D67,Data_products!$A$1:$A$49,0), MATCH(Data_orders!I$1,Data_products!$A$1:$G$1,0))</f>
        <v>Rob</v>
      </c>
      <c r="J67" t="str">
        <f>INDEX(Data_products!$A$1:$G$49, MATCH(Data_orders!$D67,Data_products!$A$1:$A$49,0), MATCH(Data_orders!J$1,Data_products!$A$1:$G$1,0))</f>
        <v>D</v>
      </c>
      <c r="K67" s="4">
        <f>INDEX(Data_products!$A$1:$G$49, MATCH(Data_orders!$D67,Data_products!$A$1:$A$49,0), MATCH(Data_orders!K$1,Data_products!$A$1:$G$1,0))</f>
        <v>2.5</v>
      </c>
      <c r="L67">
        <f>INDEX(Data_products!$A$1:$G$49, MATCH(Data_orders!$D67,Data_products!$A$1:$A$49,0), MATCH(Data_orders!L$1,Data_products!$A$1:$G$1,0))</f>
        <v>20.584999999999997</v>
      </c>
      <c r="M67">
        <f t="shared" ref="M67:M130" si="2">L67*E67</f>
        <v>82.339999999999989</v>
      </c>
      <c r="N67" t="str" cm="1">
        <f t="array" ref="N67">_xlfn.IFS(I67 = "Rob", "Robusta", I67 = "Exc", "Excelsa", I67 = "Ara", "Arabica", I67 = "Lib", "Liberica")</f>
        <v>Robusta</v>
      </c>
      <c r="O67" t="str">
        <f t="shared" ref="O67:O130" si="3">IF(J67 = "M", "Medium", IF(J67 =  "L", "Light", IF(J67 = "D", "Dark", "")))</f>
        <v>Dark</v>
      </c>
      <c r="P67" t="str">
        <f>_xlfn.XLOOKUP(Table1[[#This Row],[Customer ID]],Data_customers!$A$2:$A$1001,Data_customers!$I$2:$I$1001,,0)</f>
        <v>Yes</v>
      </c>
    </row>
    <row r="68" spans="1:16" x14ac:dyDescent="0.2">
      <c r="A68" s="2" t="s">
        <v>860</v>
      </c>
      <c r="B68" s="3">
        <v>44666</v>
      </c>
      <c r="C68" s="2" t="s">
        <v>861</v>
      </c>
      <c r="D68" t="s">
        <v>6173</v>
      </c>
      <c r="E68" s="2">
        <v>1</v>
      </c>
      <c r="F68" s="2" t="str">
        <f>_xlfn.XLOOKUP(Data_orders!C68,Data_customers!$A$1:$A$1001,Data_customers!$B$1:$B$1001,,0)</f>
        <v>Belvia Umpleby</v>
      </c>
      <c r="G68" s="2" t="str">
        <f>IF(_xlfn.XLOOKUP(C68,Data_customers!$A$1:$A$1001,Data_customers!$C$1:$C$1001,,0)=0,"",_xlfn.XLOOKUP(C68,Data_customers!$A$1:$A$1001,Data_customers!$C$1:$C$1001,,0))</f>
        <v>bumpleby1u@soundcloud.com</v>
      </c>
      <c r="H68" s="2" t="str">
        <f>_xlfn.XLOOKUP(C68,Data_customers!$A$1:$A$1001,Data_customers!$G$1:$G$1001,"",0)</f>
        <v>United States</v>
      </c>
      <c r="I68" t="str">
        <f>INDEX(Data_products!$A$1:$G$49, MATCH(Data_orders!$D68,Data_products!$A$1:$A$49,0), MATCH(Data_orders!I$1,Data_products!$A$1:$G$1,0))</f>
        <v>Rob</v>
      </c>
      <c r="J68" t="str">
        <f>INDEX(Data_products!$A$1:$G$49, MATCH(Data_orders!$D68,Data_products!$A$1:$A$49,0), MATCH(Data_orders!J$1,Data_products!$A$1:$G$1,0))</f>
        <v>L</v>
      </c>
      <c r="K68" s="4">
        <f>INDEX(Data_products!$A$1:$G$49, MATCH(Data_orders!$D68,Data_products!$A$1:$A$49,0), MATCH(Data_orders!K$1,Data_products!$A$1:$G$1,0))</f>
        <v>0.5</v>
      </c>
      <c r="L68">
        <f>INDEX(Data_products!$A$1:$G$49, MATCH(Data_orders!$D68,Data_products!$A$1:$A$49,0), MATCH(Data_orders!L$1,Data_products!$A$1:$G$1,0))</f>
        <v>7.169999999999999</v>
      </c>
      <c r="M68">
        <f t="shared" si="2"/>
        <v>7.169999999999999</v>
      </c>
      <c r="N68" t="str" cm="1">
        <f t="array" ref="N68">_xlfn.IFS(I68 = "Rob", "Robusta", I68 = "Exc", "Excelsa", I68 = "Ara", "Arabica", I68 = "Lib", "Liberica")</f>
        <v>Robusta</v>
      </c>
      <c r="O68" t="str">
        <f t="shared" si="3"/>
        <v>Light</v>
      </c>
      <c r="P68" t="str">
        <f>_xlfn.XLOOKUP(Table1[[#This Row],[Customer ID]],Data_customers!$A$2:$A$1001,Data_customers!$I$2:$I$1001,,0)</f>
        <v>Yes</v>
      </c>
    </row>
    <row r="69" spans="1:16" x14ac:dyDescent="0.2">
      <c r="A69" s="2" t="s">
        <v>866</v>
      </c>
      <c r="B69" s="3">
        <v>44519</v>
      </c>
      <c r="C69" s="2" t="s">
        <v>867</v>
      </c>
      <c r="D69" t="s">
        <v>6145</v>
      </c>
      <c r="E69" s="2">
        <v>2</v>
      </c>
      <c r="F69" s="2" t="str">
        <f>_xlfn.XLOOKUP(Data_orders!C69,Data_customers!$A$1:$A$1001,Data_customers!$B$1:$B$1001,,0)</f>
        <v>Nat Saleway</v>
      </c>
      <c r="G69" s="2" t="str">
        <f>IF(_xlfn.XLOOKUP(C69,Data_customers!$A$1:$A$1001,Data_customers!$C$1:$C$1001,,0)=0,"",_xlfn.XLOOKUP(C69,Data_customers!$A$1:$A$1001,Data_customers!$C$1:$C$1001,,0))</f>
        <v>nsaleway1v@dedecms.com</v>
      </c>
      <c r="H69" s="2" t="str">
        <f>_xlfn.XLOOKUP(C69,Data_customers!$A$1:$A$1001,Data_customers!$G$1:$G$1001,"",0)</f>
        <v>United States</v>
      </c>
      <c r="I69" t="str">
        <f>INDEX(Data_products!$A$1:$G$49, MATCH(Data_orders!$D69,Data_products!$A$1:$A$49,0), MATCH(Data_orders!I$1,Data_products!$A$1:$G$1,0))</f>
        <v>Lib</v>
      </c>
      <c r="J69" t="str">
        <f>INDEX(Data_products!$A$1:$G$49, MATCH(Data_orders!$D69,Data_products!$A$1:$A$49,0), MATCH(Data_orders!J$1,Data_products!$A$1:$G$1,0))</f>
        <v>L</v>
      </c>
      <c r="K69" s="4">
        <f>INDEX(Data_products!$A$1:$G$49, MATCH(Data_orders!$D69,Data_products!$A$1:$A$49,0), MATCH(Data_orders!K$1,Data_products!$A$1:$G$1,0))</f>
        <v>0.2</v>
      </c>
      <c r="L69">
        <f>INDEX(Data_products!$A$1:$G$49, MATCH(Data_orders!$D69,Data_products!$A$1:$A$49,0), MATCH(Data_orders!L$1,Data_products!$A$1:$G$1,0))</f>
        <v>4.7549999999999999</v>
      </c>
      <c r="M69">
        <f t="shared" si="2"/>
        <v>9.51</v>
      </c>
      <c r="N69" t="str" cm="1">
        <f t="array" ref="N69">_xlfn.IFS(I69 = "Rob", "Robusta", I69 = "Exc", "Excelsa", I69 = "Ara", "Arabica", I69 = "Lib", "Liberica")</f>
        <v>Liberica</v>
      </c>
      <c r="O69" t="str">
        <f t="shared" si="3"/>
        <v>Light</v>
      </c>
      <c r="P69" t="str">
        <f>_xlfn.XLOOKUP(Table1[[#This Row],[Customer ID]],Data_customers!$A$2:$A$1001,Data_customers!$I$2:$I$1001,,0)</f>
        <v>No</v>
      </c>
    </row>
    <row r="70" spans="1:16" x14ac:dyDescent="0.2">
      <c r="A70" s="2" t="s">
        <v>872</v>
      </c>
      <c r="B70" s="3">
        <v>43754</v>
      </c>
      <c r="C70" s="2" t="s">
        <v>873</v>
      </c>
      <c r="D70" t="s">
        <v>6174</v>
      </c>
      <c r="E70" s="2">
        <v>1</v>
      </c>
      <c r="F70" s="2" t="str">
        <f>_xlfn.XLOOKUP(Data_orders!C70,Data_customers!$A$1:$A$1001,Data_customers!$B$1:$B$1001,,0)</f>
        <v>Hayward Goulter</v>
      </c>
      <c r="G70" s="2" t="str">
        <f>IF(_xlfn.XLOOKUP(C70,Data_customers!$A$1:$A$1001,Data_customers!$C$1:$C$1001,,0)=0,"",_xlfn.XLOOKUP(C70,Data_customers!$A$1:$A$1001,Data_customers!$C$1:$C$1001,,0))</f>
        <v>hgoulter1w@abc.net.au</v>
      </c>
      <c r="H70" s="2" t="str">
        <f>_xlfn.XLOOKUP(C70,Data_customers!$A$1:$A$1001,Data_customers!$G$1:$G$1001,"",0)</f>
        <v>United States</v>
      </c>
      <c r="I70" t="str">
        <f>INDEX(Data_products!$A$1:$G$49, MATCH(Data_orders!$D70,Data_products!$A$1:$A$49,0), MATCH(Data_orders!I$1,Data_products!$A$1:$G$1,0))</f>
        <v>Rob</v>
      </c>
      <c r="J70" t="str">
        <f>INDEX(Data_products!$A$1:$G$49, MATCH(Data_orders!$D70,Data_products!$A$1:$A$49,0), MATCH(Data_orders!J$1,Data_products!$A$1:$G$1,0))</f>
        <v>M</v>
      </c>
      <c r="K70" s="4">
        <f>INDEX(Data_products!$A$1:$G$49, MATCH(Data_orders!$D70,Data_products!$A$1:$A$49,0), MATCH(Data_orders!K$1,Data_products!$A$1:$G$1,0))</f>
        <v>0.2</v>
      </c>
      <c r="L70">
        <f>INDEX(Data_products!$A$1:$G$49, MATCH(Data_orders!$D70,Data_products!$A$1:$A$49,0), MATCH(Data_orders!L$1,Data_products!$A$1:$G$1,0))</f>
        <v>2.9849999999999999</v>
      </c>
      <c r="M70">
        <f t="shared" si="2"/>
        <v>2.9849999999999999</v>
      </c>
      <c r="N70" t="str" cm="1">
        <f t="array" ref="N70">_xlfn.IFS(I70 = "Rob", "Robusta", I70 = "Exc", "Excelsa", I70 = "Ara", "Arabica", I70 = "Lib", "Liberica")</f>
        <v>Robusta</v>
      </c>
      <c r="O70" t="str">
        <f t="shared" si="3"/>
        <v>Medium</v>
      </c>
      <c r="P70" t="str">
        <f>_xlfn.XLOOKUP(Table1[[#This Row],[Customer ID]],Data_customers!$A$2:$A$1001,Data_customers!$I$2:$I$1001,,0)</f>
        <v>No</v>
      </c>
    </row>
    <row r="71" spans="1:16" x14ac:dyDescent="0.2">
      <c r="A71" s="2" t="s">
        <v>878</v>
      </c>
      <c r="B71" s="3">
        <v>43795</v>
      </c>
      <c r="C71" s="2" t="s">
        <v>879</v>
      </c>
      <c r="D71" t="s">
        <v>6138</v>
      </c>
      <c r="E71" s="2">
        <v>6</v>
      </c>
      <c r="F71" s="2" t="str">
        <f>_xlfn.XLOOKUP(Data_orders!C71,Data_customers!$A$1:$A$1001,Data_customers!$B$1:$B$1001,,0)</f>
        <v>Gay Rizzello</v>
      </c>
      <c r="G71" s="2" t="str">
        <f>IF(_xlfn.XLOOKUP(C71,Data_customers!$A$1:$A$1001,Data_customers!$C$1:$C$1001,,0)=0,"",_xlfn.XLOOKUP(C71,Data_customers!$A$1:$A$1001,Data_customers!$C$1:$C$1001,,0))</f>
        <v>grizzello1x@symantec.com</v>
      </c>
      <c r="H71" s="2" t="str">
        <f>_xlfn.XLOOKUP(C71,Data_customers!$A$1:$A$1001,Data_customers!$G$1:$G$1001,"",0)</f>
        <v>United Kingdom</v>
      </c>
      <c r="I71" t="str">
        <f>INDEX(Data_products!$A$1:$G$49, MATCH(Data_orders!$D71,Data_products!$A$1:$A$49,0), MATCH(Data_orders!I$1,Data_products!$A$1:$G$1,0))</f>
        <v>Rob</v>
      </c>
      <c r="J71" t="str">
        <f>INDEX(Data_products!$A$1:$G$49, MATCH(Data_orders!$D71,Data_products!$A$1:$A$49,0), MATCH(Data_orders!J$1,Data_products!$A$1:$G$1,0))</f>
        <v>M</v>
      </c>
      <c r="K71" s="4">
        <f>INDEX(Data_products!$A$1:$G$49, MATCH(Data_orders!$D71,Data_products!$A$1:$A$49,0), MATCH(Data_orders!K$1,Data_products!$A$1:$G$1,0))</f>
        <v>1</v>
      </c>
      <c r="L71">
        <f>INDEX(Data_products!$A$1:$G$49, MATCH(Data_orders!$D71,Data_products!$A$1:$A$49,0), MATCH(Data_orders!L$1,Data_products!$A$1:$G$1,0))</f>
        <v>9.9499999999999993</v>
      </c>
      <c r="M71">
        <f t="shared" si="2"/>
        <v>59.699999999999996</v>
      </c>
      <c r="N71" t="str" cm="1">
        <f t="array" ref="N71">_xlfn.IFS(I71 = "Rob", "Robusta", I71 = "Exc", "Excelsa", I71 = "Ara", "Arabica", I71 = "Lib", "Liberica")</f>
        <v>Robusta</v>
      </c>
      <c r="O71" t="str">
        <f t="shared" si="3"/>
        <v>Medium</v>
      </c>
      <c r="P71" t="str">
        <f>_xlfn.XLOOKUP(Table1[[#This Row],[Customer ID]],Data_customers!$A$2:$A$1001,Data_customers!$I$2:$I$1001,,0)</f>
        <v>Yes</v>
      </c>
    </row>
    <row r="72" spans="1:16" x14ac:dyDescent="0.2">
      <c r="A72" s="2" t="s">
        <v>885</v>
      </c>
      <c r="B72" s="3">
        <v>43646</v>
      </c>
      <c r="C72" s="2" t="s">
        <v>886</v>
      </c>
      <c r="D72" t="s">
        <v>6148</v>
      </c>
      <c r="E72" s="2">
        <v>4</v>
      </c>
      <c r="F72" s="2" t="str">
        <f>_xlfn.XLOOKUP(Data_orders!C72,Data_customers!$A$1:$A$1001,Data_customers!$B$1:$B$1001,,0)</f>
        <v>Shannon List</v>
      </c>
      <c r="G72" s="2" t="str">
        <f>IF(_xlfn.XLOOKUP(C72,Data_customers!$A$1:$A$1001,Data_customers!$C$1:$C$1001,,0)=0,"",_xlfn.XLOOKUP(C72,Data_customers!$A$1:$A$1001,Data_customers!$C$1:$C$1001,,0))</f>
        <v>slist1y@mapquest.com</v>
      </c>
      <c r="H72" s="2" t="str">
        <f>_xlfn.XLOOKUP(C72,Data_customers!$A$1:$A$1001,Data_customers!$G$1:$G$1001,"",0)</f>
        <v>United States</v>
      </c>
      <c r="I72" t="str">
        <f>INDEX(Data_products!$A$1:$G$49, MATCH(Data_orders!$D72,Data_products!$A$1:$A$49,0), MATCH(Data_orders!I$1,Data_products!$A$1:$G$1,0))</f>
        <v>Exc</v>
      </c>
      <c r="J72" t="str">
        <f>INDEX(Data_products!$A$1:$G$49, MATCH(Data_orders!$D72,Data_products!$A$1:$A$49,0), MATCH(Data_orders!J$1,Data_products!$A$1:$G$1,0))</f>
        <v>L</v>
      </c>
      <c r="K72" s="4">
        <f>INDEX(Data_products!$A$1:$G$49, MATCH(Data_orders!$D72,Data_products!$A$1:$A$49,0), MATCH(Data_orders!K$1,Data_products!$A$1:$G$1,0))</f>
        <v>2.5</v>
      </c>
      <c r="L72">
        <f>INDEX(Data_products!$A$1:$G$49, MATCH(Data_orders!$D72,Data_products!$A$1:$A$49,0), MATCH(Data_orders!L$1,Data_products!$A$1:$G$1,0))</f>
        <v>34.154999999999994</v>
      </c>
      <c r="M72">
        <f t="shared" si="2"/>
        <v>136.61999999999998</v>
      </c>
      <c r="N72" t="str" cm="1">
        <f t="array" ref="N72">_xlfn.IFS(I72 = "Rob", "Robusta", I72 = "Exc", "Excelsa", I72 = "Ara", "Arabica", I72 = "Lib", "Liberica")</f>
        <v>Excelsa</v>
      </c>
      <c r="O72" t="str">
        <f t="shared" si="3"/>
        <v>Light</v>
      </c>
      <c r="P72" t="str">
        <f>_xlfn.XLOOKUP(Table1[[#This Row],[Customer ID]],Data_customers!$A$2:$A$1001,Data_customers!$I$2:$I$1001,,0)</f>
        <v>No</v>
      </c>
    </row>
    <row r="73" spans="1:16" x14ac:dyDescent="0.2">
      <c r="A73" s="2" t="s">
        <v>891</v>
      </c>
      <c r="B73" s="3">
        <v>44200</v>
      </c>
      <c r="C73" s="2" t="s">
        <v>892</v>
      </c>
      <c r="D73" t="s">
        <v>6145</v>
      </c>
      <c r="E73" s="2">
        <v>2</v>
      </c>
      <c r="F73" s="2" t="str">
        <f>_xlfn.XLOOKUP(Data_orders!C73,Data_customers!$A$1:$A$1001,Data_customers!$B$1:$B$1001,,0)</f>
        <v>Shirlene Edmondson</v>
      </c>
      <c r="G73" s="2" t="str">
        <f>IF(_xlfn.XLOOKUP(C73,Data_customers!$A$1:$A$1001,Data_customers!$C$1:$C$1001,,0)=0,"",_xlfn.XLOOKUP(C73,Data_customers!$A$1:$A$1001,Data_customers!$C$1:$C$1001,,0))</f>
        <v>sedmondson1z@theguardian.com</v>
      </c>
      <c r="H73" s="2" t="str">
        <f>_xlfn.XLOOKUP(C73,Data_customers!$A$1:$A$1001,Data_customers!$G$1:$G$1001,"",0)</f>
        <v>Ireland</v>
      </c>
      <c r="I73" t="str">
        <f>INDEX(Data_products!$A$1:$G$49, MATCH(Data_orders!$D73,Data_products!$A$1:$A$49,0), MATCH(Data_orders!I$1,Data_products!$A$1:$G$1,0))</f>
        <v>Lib</v>
      </c>
      <c r="J73" t="str">
        <f>INDEX(Data_products!$A$1:$G$49, MATCH(Data_orders!$D73,Data_products!$A$1:$A$49,0), MATCH(Data_orders!J$1,Data_products!$A$1:$G$1,0))</f>
        <v>L</v>
      </c>
      <c r="K73" s="4">
        <f>INDEX(Data_products!$A$1:$G$49, MATCH(Data_orders!$D73,Data_products!$A$1:$A$49,0), MATCH(Data_orders!K$1,Data_products!$A$1:$G$1,0))</f>
        <v>0.2</v>
      </c>
      <c r="L73">
        <f>INDEX(Data_products!$A$1:$G$49, MATCH(Data_orders!$D73,Data_products!$A$1:$A$49,0), MATCH(Data_orders!L$1,Data_products!$A$1:$G$1,0))</f>
        <v>4.7549999999999999</v>
      </c>
      <c r="M73">
        <f t="shared" si="2"/>
        <v>9.51</v>
      </c>
      <c r="N73" t="str" cm="1">
        <f t="array" ref="N73">_xlfn.IFS(I73 = "Rob", "Robusta", I73 = "Exc", "Excelsa", I73 = "Ara", "Arabica", I73 = "Lib", "Liberica")</f>
        <v>Liberica</v>
      </c>
      <c r="O73" t="str">
        <f t="shared" si="3"/>
        <v>Light</v>
      </c>
      <c r="P73" t="str">
        <f>_xlfn.XLOOKUP(Table1[[#This Row],[Customer ID]],Data_customers!$A$2:$A$1001,Data_customers!$I$2:$I$1001,,0)</f>
        <v>No</v>
      </c>
    </row>
    <row r="74" spans="1:16" x14ac:dyDescent="0.2">
      <c r="A74" s="2" t="s">
        <v>897</v>
      </c>
      <c r="B74" s="3">
        <v>44131</v>
      </c>
      <c r="C74" s="2" t="s">
        <v>898</v>
      </c>
      <c r="D74" t="s">
        <v>6175</v>
      </c>
      <c r="E74" s="2">
        <v>3</v>
      </c>
      <c r="F74" s="2" t="str">
        <f>_xlfn.XLOOKUP(Data_orders!C74,Data_customers!$A$1:$A$1001,Data_customers!$B$1:$B$1001,,0)</f>
        <v>Aurlie McCarl</v>
      </c>
      <c r="G74" s="2" t="str">
        <f>IF(_xlfn.XLOOKUP(C74,Data_customers!$A$1:$A$1001,Data_customers!$C$1:$C$1001,,0)=0,"",_xlfn.XLOOKUP(C74,Data_customers!$A$1:$A$1001,Data_customers!$C$1:$C$1001,,0))</f>
        <v/>
      </c>
      <c r="H74" s="2" t="str">
        <f>_xlfn.XLOOKUP(C74,Data_customers!$A$1:$A$1001,Data_customers!$G$1:$G$1001,"",0)</f>
        <v>United States</v>
      </c>
      <c r="I74" t="str">
        <f>INDEX(Data_products!$A$1:$G$49, MATCH(Data_orders!$D74,Data_products!$A$1:$A$49,0), MATCH(Data_orders!I$1,Data_products!$A$1:$G$1,0))</f>
        <v>Ara</v>
      </c>
      <c r="J74" t="str">
        <f>INDEX(Data_products!$A$1:$G$49, MATCH(Data_orders!$D74,Data_products!$A$1:$A$49,0), MATCH(Data_orders!J$1,Data_products!$A$1:$G$1,0))</f>
        <v>M</v>
      </c>
      <c r="K74" s="4">
        <f>INDEX(Data_products!$A$1:$G$49, MATCH(Data_orders!$D74,Data_products!$A$1:$A$49,0), MATCH(Data_orders!K$1,Data_products!$A$1:$G$1,0))</f>
        <v>2.5</v>
      </c>
      <c r="L74">
        <f>INDEX(Data_products!$A$1:$G$49, MATCH(Data_orders!$D74,Data_products!$A$1:$A$49,0), MATCH(Data_orders!L$1,Data_products!$A$1:$G$1,0))</f>
        <v>25.874999999999996</v>
      </c>
      <c r="M74">
        <f t="shared" si="2"/>
        <v>77.624999999999986</v>
      </c>
      <c r="N74" t="str" cm="1">
        <f t="array" ref="N74">_xlfn.IFS(I74 = "Rob", "Robusta", I74 = "Exc", "Excelsa", I74 = "Ara", "Arabica", I74 = "Lib", "Liberica")</f>
        <v>Arabica</v>
      </c>
      <c r="O74" t="str">
        <f t="shared" si="3"/>
        <v>Medium</v>
      </c>
      <c r="P74" t="str">
        <f>_xlfn.XLOOKUP(Table1[[#This Row],[Customer ID]],Data_customers!$A$2:$A$1001,Data_customers!$I$2:$I$1001,,0)</f>
        <v>No</v>
      </c>
    </row>
    <row r="75" spans="1:16" x14ac:dyDescent="0.2">
      <c r="A75" s="2" t="s">
        <v>902</v>
      </c>
      <c r="B75" s="3">
        <v>44362</v>
      </c>
      <c r="C75" s="2" t="s">
        <v>903</v>
      </c>
      <c r="D75" t="s">
        <v>6159</v>
      </c>
      <c r="E75" s="2">
        <v>5</v>
      </c>
      <c r="F75" s="2" t="str">
        <f>_xlfn.XLOOKUP(Data_orders!C75,Data_customers!$A$1:$A$1001,Data_customers!$B$1:$B$1001,,0)</f>
        <v>Alikee Carryer</v>
      </c>
      <c r="G75" s="2" t="str">
        <f>IF(_xlfn.XLOOKUP(C75,Data_customers!$A$1:$A$1001,Data_customers!$C$1:$C$1001,,0)=0,"",_xlfn.XLOOKUP(C75,Data_customers!$A$1:$A$1001,Data_customers!$C$1:$C$1001,,0))</f>
        <v/>
      </c>
      <c r="H75" s="2" t="str">
        <f>_xlfn.XLOOKUP(C75,Data_customers!$A$1:$A$1001,Data_customers!$G$1:$G$1001,"",0)</f>
        <v>United States</v>
      </c>
      <c r="I75" t="str">
        <f>INDEX(Data_products!$A$1:$G$49, MATCH(Data_orders!$D75,Data_products!$A$1:$A$49,0), MATCH(Data_orders!I$1,Data_products!$A$1:$G$1,0))</f>
        <v>Lib</v>
      </c>
      <c r="J75" t="str">
        <f>INDEX(Data_products!$A$1:$G$49, MATCH(Data_orders!$D75,Data_products!$A$1:$A$49,0), MATCH(Data_orders!J$1,Data_products!$A$1:$G$1,0))</f>
        <v>M</v>
      </c>
      <c r="K75" s="4">
        <f>INDEX(Data_products!$A$1:$G$49, MATCH(Data_orders!$D75,Data_products!$A$1:$A$49,0), MATCH(Data_orders!K$1,Data_products!$A$1:$G$1,0))</f>
        <v>0.2</v>
      </c>
      <c r="L75">
        <f>INDEX(Data_products!$A$1:$G$49, MATCH(Data_orders!$D75,Data_products!$A$1:$A$49,0), MATCH(Data_orders!L$1,Data_products!$A$1:$G$1,0))</f>
        <v>4.3650000000000002</v>
      </c>
      <c r="M75">
        <f t="shared" si="2"/>
        <v>21.825000000000003</v>
      </c>
      <c r="N75" t="str" cm="1">
        <f t="array" ref="N75">_xlfn.IFS(I75 = "Rob", "Robusta", I75 = "Exc", "Excelsa", I75 = "Ara", "Arabica", I75 = "Lib", "Liberica")</f>
        <v>Liberica</v>
      </c>
      <c r="O75" t="str">
        <f t="shared" si="3"/>
        <v>Medium</v>
      </c>
      <c r="P75" t="str">
        <f>_xlfn.XLOOKUP(Table1[[#This Row],[Customer ID]],Data_customers!$A$2:$A$1001,Data_customers!$I$2:$I$1001,,0)</f>
        <v>Yes</v>
      </c>
    </row>
    <row r="76" spans="1:16" x14ac:dyDescent="0.2">
      <c r="A76" s="2" t="s">
        <v>907</v>
      </c>
      <c r="B76" s="3">
        <v>44396</v>
      </c>
      <c r="C76" s="2" t="s">
        <v>908</v>
      </c>
      <c r="D76" t="s">
        <v>6176</v>
      </c>
      <c r="E76" s="2">
        <v>2</v>
      </c>
      <c r="F76" s="2" t="str">
        <f>_xlfn.XLOOKUP(Data_orders!C76,Data_customers!$A$1:$A$1001,Data_customers!$B$1:$B$1001,,0)</f>
        <v>Jennifer Rangall</v>
      </c>
      <c r="G76" s="2" t="str">
        <f>IF(_xlfn.XLOOKUP(C76,Data_customers!$A$1:$A$1001,Data_customers!$C$1:$C$1001,,0)=0,"",_xlfn.XLOOKUP(C76,Data_customers!$A$1:$A$1001,Data_customers!$C$1:$C$1001,,0))</f>
        <v>jrangall22@newsvine.com</v>
      </c>
      <c r="H76" s="2" t="str">
        <f>_xlfn.XLOOKUP(C76,Data_customers!$A$1:$A$1001,Data_customers!$G$1:$G$1001,"",0)</f>
        <v>United States</v>
      </c>
      <c r="I76" t="str">
        <f>INDEX(Data_products!$A$1:$G$49, MATCH(Data_orders!$D76,Data_products!$A$1:$A$49,0), MATCH(Data_orders!I$1,Data_products!$A$1:$G$1,0))</f>
        <v>Exc</v>
      </c>
      <c r="J76" t="str">
        <f>INDEX(Data_products!$A$1:$G$49, MATCH(Data_orders!$D76,Data_products!$A$1:$A$49,0), MATCH(Data_orders!J$1,Data_products!$A$1:$G$1,0))</f>
        <v>L</v>
      </c>
      <c r="K76" s="4">
        <f>INDEX(Data_products!$A$1:$G$49, MATCH(Data_orders!$D76,Data_products!$A$1:$A$49,0), MATCH(Data_orders!K$1,Data_products!$A$1:$G$1,0))</f>
        <v>0.5</v>
      </c>
      <c r="L76">
        <f>INDEX(Data_products!$A$1:$G$49, MATCH(Data_orders!$D76,Data_products!$A$1:$A$49,0), MATCH(Data_orders!L$1,Data_products!$A$1:$G$1,0))</f>
        <v>8.91</v>
      </c>
      <c r="M76">
        <f t="shared" si="2"/>
        <v>17.82</v>
      </c>
      <c r="N76" t="str" cm="1">
        <f t="array" ref="N76">_xlfn.IFS(I76 = "Rob", "Robusta", I76 = "Exc", "Excelsa", I76 = "Ara", "Arabica", I76 = "Lib", "Liberica")</f>
        <v>Excelsa</v>
      </c>
      <c r="O76" t="str">
        <f t="shared" si="3"/>
        <v>Light</v>
      </c>
      <c r="P76" t="str">
        <f>_xlfn.XLOOKUP(Table1[[#This Row],[Customer ID]],Data_customers!$A$2:$A$1001,Data_customers!$I$2:$I$1001,,0)</f>
        <v>Yes</v>
      </c>
    </row>
    <row r="77" spans="1:16" x14ac:dyDescent="0.2">
      <c r="A77" s="2" t="s">
        <v>913</v>
      </c>
      <c r="B77" s="3">
        <v>44400</v>
      </c>
      <c r="C77" s="2" t="s">
        <v>914</v>
      </c>
      <c r="D77" t="s">
        <v>6177</v>
      </c>
      <c r="E77" s="2">
        <v>6</v>
      </c>
      <c r="F77" s="2" t="str">
        <f>_xlfn.XLOOKUP(Data_orders!C77,Data_customers!$A$1:$A$1001,Data_customers!$B$1:$B$1001,,0)</f>
        <v>Kipper Boorn</v>
      </c>
      <c r="G77" s="2" t="str">
        <f>IF(_xlfn.XLOOKUP(C77,Data_customers!$A$1:$A$1001,Data_customers!$C$1:$C$1001,,0)=0,"",_xlfn.XLOOKUP(C77,Data_customers!$A$1:$A$1001,Data_customers!$C$1:$C$1001,,0))</f>
        <v>kboorn23@ezinearticles.com</v>
      </c>
      <c r="H77" s="2" t="str">
        <f>_xlfn.XLOOKUP(C77,Data_customers!$A$1:$A$1001,Data_customers!$G$1:$G$1001,"",0)</f>
        <v>Ireland</v>
      </c>
      <c r="I77" t="str">
        <f>INDEX(Data_products!$A$1:$G$49, MATCH(Data_orders!$D77,Data_products!$A$1:$A$49,0), MATCH(Data_orders!I$1,Data_products!$A$1:$G$1,0))</f>
        <v>Rob</v>
      </c>
      <c r="J77" t="str">
        <f>INDEX(Data_products!$A$1:$G$49, MATCH(Data_orders!$D77,Data_products!$A$1:$A$49,0), MATCH(Data_orders!J$1,Data_products!$A$1:$G$1,0))</f>
        <v>D</v>
      </c>
      <c r="K77" s="4">
        <f>INDEX(Data_products!$A$1:$G$49, MATCH(Data_orders!$D77,Data_products!$A$1:$A$49,0), MATCH(Data_orders!K$1,Data_products!$A$1:$G$1,0))</f>
        <v>1</v>
      </c>
      <c r="L77">
        <f>INDEX(Data_products!$A$1:$G$49, MATCH(Data_orders!$D77,Data_products!$A$1:$A$49,0), MATCH(Data_orders!L$1,Data_products!$A$1:$G$1,0))</f>
        <v>8.9499999999999993</v>
      </c>
      <c r="M77">
        <f t="shared" si="2"/>
        <v>53.699999999999996</v>
      </c>
      <c r="N77" t="str" cm="1">
        <f t="array" ref="N77">_xlfn.IFS(I77 = "Rob", "Robusta", I77 = "Exc", "Excelsa", I77 = "Ara", "Arabica", I77 = "Lib", "Liberica")</f>
        <v>Robusta</v>
      </c>
      <c r="O77" t="str">
        <f t="shared" si="3"/>
        <v>Dark</v>
      </c>
      <c r="P77" t="str">
        <f>_xlfn.XLOOKUP(Table1[[#This Row],[Customer ID]],Data_customers!$A$2:$A$1001,Data_customers!$I$2:$I$1001,,0)</f>
        <v>Yes</v>
      </c>
    </row>
    <row r="78" spans="1:16" x14ac:dyDescent="0.2">
      <c r="A78" s="2" t="s">
        <v>919</v>
      </c>
      <c r="B78" s="3">
        <v>43855</v>
      </c>
      <c r="C78" s="2" t="s">
        <v>920</v>
      </c>
      <c r="D78" t="s">
        <v>6178</v>
      </c>
      <c r="E78" s="2">
        <v>1</v>
      </c>
      <c r="F78" s="2" t="str">
        <f>_xlfn.XLOOKUP(Data_orders!C78,Data_customers!$A$1:$A$1001,Data_customers!$B$1:$B$1001,,0)</f>
        <v>Melania Beadle</v>
      </c>
      <c r="G78" s="2" t="str">
        <f>IF(_xlfn.XLOOKUP(C78,Data_customers!$A$1:$A$1001,Data_customers!$C$1:$C$1001,,0)=0,"",_xlfn.XLOOKUP(C78,Data_customers!$A$1:$A$1001,Data_customers!$C$1:$C$1001,,0))</f>
        <v/>
      </c>
      <c r="H78" s="2" t="str">
        <f>_xlfn.XLOOKUP(C78,Data_customers!$A$1:$A$1001,Data_customers!$G$1:$G$1001,"",0)</f>
        <v>Ireland</v>
      </c>
      <c r="I78" t="str">
        <f>INDEX(Data_products!$A$1:$G$49, MATCH(Data_orders!$D78,Data_products!$A$1:$A$49,0), MATCH(Data_orders!I$1,Data_products!$A$1:$G$1,0))</f>
        <v>Rob</v>
      </c>
      <c r="J78" t="str">
        <f>INDEX(Data_products!$A$1:$G$49, MATCH(Data_orders!$D78,Data_products!$A$1:$A$49,0), MATCH(Data_orders!J$1,Data_products!$A$1:$G$1,0))</f>
        <v>L</v>
      </c>
      <c r="K78" s="4">
        <f>INDEX(Data_products!$A$1:$G$49, MATCH(Data_orders!$D78,Data_products!$A$1:$A$49,0), MATCH(Data_orders!K$1,Data_products!$A$1:$G$1,0))</f>
        <v>0.2</v>
      </c>
      <c r="L78">
        <f>INDEX(Data_products!$A$1:$G$49, MATCH(Data_orders!$D78,Data_products!$A$1:$A$49,0), MATCH(Data_orders!L$1,Data_products!$A$1:$G$1,0))</f>
        <v>3.5849999999999995</v>
      </c>
      <c r="M78">
        <f t="shared" si="2"/>
        <v>3.5849999999999995</v>
      </c>
      <c r="N78" t="str" cm="1">
        <f t="array" ref="N78">_xlfn.IFS(I78 = "Rob", "Robusta", I78 = "Exc", "Excelsa", I78 = "Ara", "Arabica", I78 = "Lib", "Liberica")</f>
        <v>Robusta</v>
      </c>
      <c r="O78" t="str">
        <f t="shared" si="3"/>
        <v>Light</v>
      </c>
      <c r="P78" t="str">
        <f>_xlfn.XLOOKUP(Table1[[#This Row],[Customer ID]],Data_customers!$A$2:$A$1001,Data_customers!$I$2:$I$1001,,0)</f>
        <v>Yes</v>
      </c>
    </row>
    <row r="79" spans="1:16" x14ac:dyDescent="0.2">
      <c r="A79" s="2" t="s">
        <v>924</v>
      </c>
      <c r="B79" s="3">
        <v>43594</v>
      </c>
      <c r="C79" s="2" t="s">
        <v>925</v>
      </c>
      <c r="D79" t="s">
        <v>6153</v>
      </c>
      <c r="E79" s="2">
        <v>2</v>
      </c>
      <c r="F79" s="2" t="str">
        <f>_xlfn.XLOOKUP(Data_orders!C79,Data_customers!$A$1:$A$1001,Data_customers!$B$1:$B$1001,,0)</f>
        <v>Colene Elgey</v>
      </c>
      <c r="G79" s="2" t="str">
        <f>IF(_xlfn.XLOOKUP(C79,Data_customers!$A$1:$A$1001,Data_customers!$C$1:$C$1001,,0)=0,"",_xlfn.XLOOKUP(C79,Data_customers!$A$1:$A$1001,Data_customers!$C$1:$C$1001,,0))</f>
        <v>celgey25@webs.com</v>
      </c>
      <c r="H79" s="2" t="str">
        <f>_xlfn.XLOOKUP(C79,Data_customers!$A$1:$A$1001,Data_customers!$G$1:$G$1001,"",0)</f>
        <v>United States</v>
      </c>
      <c r="I79" t="str">
        <f>INDEX(Data_products!$A$1:$G$49, MATCH(Data_orders!$D79,Data_products!$A$1:$A$49,0), MATCH(Data_orders!I$1,Data_products!$A$1:$G$1,0))</f>
        <v>Exc</v>
      </c>
      <c r="J79" t="str">
        <f>INDEX(Data_products!$A$1:$G$49, MATCH(Data_orders!$D79,Data_products!$A$1:$A$49,0), MATCH(Data_orders!J$1,Data_products!$A$1:$G$1,0))</f>
        <v>D</v>
      </c>
      <c r="K79" s="4">
        <f>INDEX(Data_products!$A$1:$G$49, MATCH(Data_orders!$D79,Data_products!$A$1:$A$49,0), MATCH(Data_orders!K$1,Data_products!$A$1:$G$1,0))</f>
        <v>0.2</v>
      </c>
      <c r="L79">
        <f>INDEX(Data_products!$A$1:$G$49, MATCH(Data_orders!$D79,Data_products!$A$1:$A$49,0), MATCH(Data_orders!L$1,Data_products!$A$1:$G$1,0))</f>
        <v>3.645</v>
      </c>
      <c r="M79">
        <f t="shared" si="2"/>
        <v>7.29</v>
      </c>
      <c r="N79" t="str" cm="1">
        <f t="array" ref="N79">_xlfn.IFS(I79 = "Rob", "Robusta", I79 = "Exc", "Excelsa", I79 = "Ara", "Arabica", I79 = "Lib", "Liberica")</f>
        <v>Excelsa</v>
      </c>
      <c r="O79" t="str">
        <f t="shared" si="3"/>
        <v>Dark</v>
      </c>
      <c r="P79" t="str">
        <f>_xlfn.XLOOKUP(Table1[[#This Row],[Customer ID]],Data_customers!$A$2:$A$1001,Data_customers!$I$2:$I$1001,,0)</f>
        <v>No</v>
      </c>
    </row>
    <row r="80" spans="1:16" x14ac:dyDescent="0.2">
      <c r="A80" s="2" t="s">
        <v>930</v>
      </c>
      <c r="B80" s="3">
        <v>43920</v>
      </c>
      <c r="C80" s="2" t="s">
        <v>931</v>
      </c>
      <c r="D80" t="s">
        <v>6157</v>
      </c>
      <c r="E80" s="2">
        <v>6</v>
      </c>
      <c r="F80" s="2" t="str">
        <f>_xlfn.XLOOKUP(Data_orders!C80,Data_customers!$A$1:$A$1001,Data_customers!$B$1:$B$1001,,0)</f>
        <v>Lothaire Mizzi</v>
      </c>
      <c r="G80" s="2" t="str">
        <f>IF(_xlfn.XLOOKUP(C80,Data_customers!$A$1:$A$1001,Data_customers!$C$1:$C$1001,,0)=0,"",_xlfn.XLOOKUP(C80,Data_customers!$A$1:$A$1001,Data_customers!$C$1:$C$1001,,0))</f>
        <v>lmizzi26@rakuten.co.jp</v>
      </c>
      <c r="H80" s="2" t="str">
        <f>_xlfn.XLOOKUP(C80,Data_customers!$A$1:$A$1001,Data_customers!$G$1:$G$1001,"",0)</f>
        <v>United States</v>
      </c>
      <c r="I80" t="str">
        <f>INDEX(Data_products!$A$1:$G$49, MATCH(Data_orders!$D80,Data_products!$A$1:$A$49,0), MATCH(Data_orders!I$1,Data_products!$A$1:$G$1,0))</f>
        <v>Ara</v>
      </c>
      <c r="J80" t="str">
        <f>INDEX(Data_products!$A$1:$G$49, MATCH(Data_orders!$D80,Data_products!$A$1:$A$49,0), MATCH(Data_orders!J$1,Data_products!$A$1:$G$1,0))</f>
        <v>M</v>
      </c>
      <c r="K80" s="4">
        <f>INDEX(Data_products!$A$1:$G$49, MATCH(Data_orders!$D80,Data_products!$A$1:$A$49,0), MATCH(Data_orders!K$1,Data_products!$A$1:$G$1,0))</f>
        <v>0.5</v>
      </c>
      <c r="L80">
        <f>INDEX(Data_products!$A$1:$G$49, MATCH(Data_orders!$D80,Data_products!$A$1:$A$49,0), MATCH(Data_orders!L$1,Data_products!$A$1:$G$1,0))</f>
        <v>6.75</v>
      </c>
      <c r="M80">
        <f t="shared" si="2"/>
        <v>40.5</v>
      </c>
      <c r="N80" t="str" cm="1">
        <f t="array" ref="N80">_xlfn.IFS(I80 = "Rob", "Robusta", I80 = "Exc", "Excelsa", I80 = "Ara", "Arabica", I80 = "Lib", "Liberica")</f>
        <v>Arabica</v>
      </c>
      <c r="O80" t="str">
        <f t="shared" si="3"/>
        <v>Medium</v>
      </c>
      <c r="P80" t="str">
        <f>_xlfn.XLOOKUP(Table1[[#This Row],[Customer ID]],Data_customers!$A$2:$A$1001,Data_customers!$I$2:$I$1001,,0)</f>
        <v>Yes</v>
      </c>
    </row>
    <row r="81" spans="1:16" x14ac:dyDescent="0.2">
      <c r="A81" s="2" t="s">
        <v>936</v>
      </c>
      <c r="B81" s="3">
        <v>44633</v>
      </c>
      <c r="C81" s="2" t="s">
        <v>937</v>
      </c>
      <c r="D81" t="s">
        <v>6179</v>
      </c>
      <c r="E81" s="2">
        <v>4</v>
      </c>
      <c r="F81" s="2" t="str">
        <f>_xlfn.XLOOKUP(Data_orders!C81,Data_customers!$A$1:$A$1001,Data_customers!$B$1:$B$1001,,0)</f>
        <v>Cletis Giacomazzo</v>
      </c>
      <c r="G81" s="2" t="str">
        <f>IF(_xlfn.XLOOKUP(C81,Data_customers!$A$1:$A$1001,Data_customers!$C$1:$C$1001,,0)=0,"",_xlfn.XLOOKUP(C81,Data_customers!$A$1:$A$1001,Data_customers!$C$1:$C$1001,,0))</f>
        <v>cgiacomazzo27@jigsy.com</v>
      </c>
      <c r="H81" s="2" t="str">
        <f>_xlfn.XLOOKUP(C81,Data_customers!$A$1:$A$1001,Data_customers!$G$1:$G$1001,"",0)</f>
        <v>United States</v>
      </c>
      <c r="I81" t="str">
        <f>INDEX(Data_products!$A$1:$G$49, MATCH(Data_orders!$D81,Data_products!$A$1:$A$49,0), MATCH(Data_orders!I$1,Data_products!$A$1:$G$1,0))</f>
        <v>Rob</v>
      </c>
      <c r="J81" t="str">
        <f>INDEX(Data_products!$A$1:$G$49, MATCH(Data_orders!$D81,Data_products!$A$1:$A$49,0), MATCH(Data_orders!J$1,Data_products!$A$1:$G$1,0))</f>
        <v>L</v>
      </c>
      <c r="K81" s="4">
        <f>INDEX(Data_products!$A$1:$G$49, MATCH(Data_orders!$D81,Data_products!$A$1:$A$49,0), MATCH(Data_orders!K$1,Data_products!$A$1:$G$1,0))</f>
        <v>1</v>
      </c>
      <c r="L81">
        <f>INDEX(Data_products!$A$1:$G$49, MATCH(Data_orders!$D81,Data_products!$A$1:$A$49,0), MATCH(Data_orders!L$1,Data_products!$A$1:$G$1,0))</f>
        <v>11.95</v>
      </c>
      <c r="M81">
        <f t="shared" si="2"/>
        <v>47.8</v>
      </c>
      <c r="N81" t="str" cm="1">
        <f t="array" ref="N81">_xlfn.IFS(I81 = "Rob", "Robusta", I81 = "Exc", "Excelsa", I81 = "Ara", "Arabica", I81 = "Lib", "Liberica")</f>
        <v>Robusta</v>
      </c>
      <c r="O81" t="str">
        <f t="shared" si="3"/>
        <v>Light</v>
      </c>
      <c r="P81" t="str">
        <f>_xlfn.XLOOKUP(Table1[[#This Row],[Customer ID]],Data_customers!$A$2:$A$1001,Data_customers!$I$2:$I$1001,,0)</f>
        <v>No</v>
      </c>
    </row>
    <row r="82" spans="1:16" x14ac:dyDescent="0.2">
      <c r="A82" s="2" t="s">
        <v>942</v>
      </c>
      <c r="B82" s="3">
        <v>43572</v>
      </c>
      <c r="C82" s="2" t="s">
        <v>943</v>
      </c>
      <c r="D82" t="s">
        <v>6180</v>
      </c>
      <c r="E82" s="2">
        <v>5</v>
      </c>
      <c r="F82" s="2" t="str">
        <f>_xlfn.XLOOKUP(Data_orders!C82,Data_customers!$A$1:$A$1001,Data_customers!$B$1:$B$1001,,0)</f>
        <v>Ami Arnow</v>
      </c>
      <c r="G82" s="2" t="str">
        <f>IF(_xlfn.XLOOKUP(C82,Data_customers!$A$1:$A$1001,Data_customers!$C$1:$C$1001,,0)=0,"",_xlfn.XLOOKUP(C82,Data_customers!$A$1:$A$1001,Data_customers!$C$1:$C$1001,,0))</f>
        <v>aarnow28@arizona.edu</v>
      </c>
      <c r="H82" s="2" t="str">
        <f>_xlfn.XLOOKUP(C82,Data_customers!$A$1:$A$1001,Data_customers!$G$1:$G$1001,"",0)</f>
        <v>United States</v>
      </c>
      <c r="I82" t="str">
        <f>INDEX(Data_products!$A$1:$G$49, MATCH(Data_orders!$D82,Data_products!$A$1:$A$49,0), MATCH(Data_orders!I$1,Data_products!$A$1:$G$1,0))</f>
        <v>Ara</v>
      </c>
      <c r="J82" t="str">
        <f>INDEX(Data_products!$A$1:$G$49, MATCH(Data_orders!$D82,Data_products!$A$1:$A$49,0), MATCH(Data_orders!J$1,Data_products!$A$1:$G$1,0))</f>
        <v>L</v>
      </c>
      <c r="K82" s="4">
        <f>INDEX(Data_products!$A$1:$G$49, MATCH(Data_orders!$D82,Data_products!$A$1:$A$49,0), MATCH(Data_orders!K$1,Data_products!$A$1:$G$1,0))</f>
        <v>0.5</v>
      </c>
      <c r="L82">
        <f>INDEX(Data_products!$A$1:$G$49, MATCH(Data_orders!$D82,Data_products!$A$1:$A$49,0), MATCH(Data_orders!L$1,Data_products!$A$1:$G$1,0))</f>
        <v>7.77</v>
      </c>
      <c r="M82">
        <f t="shared" si="2"/>
        <v>38.849999999999994</v>
      </c>
      <c r="N82" t="str" cm="1">
        <f t="array" ref="N82">_xlfn.IFS(I82 = "Rob", "Robusta", I82 = "Exc", "Excelsa", I82 = "Ara", "Arabica", I82 = "Lib", "Liberica")</f>
        <v>Arabica</v>
      </c>
      <c r="O82" t="str">
        <f t="shared" si="3"/>
        <v>Light</v>
      </c>
      <c r="P82" t="str">
        <f>_xlfn.XLOOKUP(Table1[[#This Row],[Customer ID]],Data_customers!$A$2:$A$1001,Data_customers!$I$2:$I$1001,,0)</f>
        <v>Yes</v>
      </c>
    </row>
    <row r="83" spans="1:16" x14ac:dyDescent="0.2">
      <c r="A83" s="2" t="s">
        <v>948</v>
      </c>
      <c r="B83" s="3">
        <v>43763</v>
      </c>
      <c r="C83" s="2" t="s">
        <v>949</v>
      </c>
      <c r="D83" t="s">
        <v>6164</v>
      </c>
      <c r="E83" s="2">
        <v>3</v>
      </c>
      <c r="F83" s="2" t="str">
        <f>_xlfn.XLOOKUP(Data_orders!C83,Data_customers!$A$1:$A$1001,Data_customers!$B$1:$B$1001,,0)</f>
        <v>Sheppard Yann</v>
      </c>
      <c r="G83" s="2" t="str">
        <f>IF(_xlfn.XLOOKUP(C83,Data_customers!$A$1:$A$1001,Data_customers!$C$1:$C$1001,,0)=0,"",_xlfn.XLOOKUP(C83,Data_customers!$A$1:$A$1001,Data_customers!$C$1:$C$1001,,0))</f>
        <v>syann29@senate.gov</v>
      </c>
      <c r="H83" s="2" t="str">
        <f>_xlfn.XLOOKUP(C83,Data_customers!$A$1:$A$1001,Data_customers!$G$1:$G$1001,"",0)</f>
        <v>United States</v>
      </c>
      <c r="I83" t="str">
        <f>INDEX(Data_products!$A$1:$G$49, MATCH(Data_orders!$D83,Data_products!$A$1:$A$49,0), MATCH(Data_orders!I$1,Data_products!$A$1:$G$1,0))</f>
        <v>Lib</v>
      </c>
      <c r="J83" t="str">
        <f>INDEX(Data_products!$A$1:$G$49, MATCH(Data_orders!$D83,Data_products!$A$1:$A$49,0), MATCH(Data_orders!J$1,Data_products!$A$1:$G$1,0))</f>
        <v>L</v>
      </c>
      <c r="K83" s="4">
        <f>INDEX(Data_products!$A$1:$G$49, MATCH(Data_orders!$D83,Data_products!$A$1:$A$49,0), MATCH(Data_orders!K$1,Data_products!$A$1:$G$1,0))</f>
        <v>2.5</v>
      </c>
      <c r="L83">
        <f>INDEX(Data_products!$A$1:$G$49, MATCH(Data_orders!$D83,Data_products!$A$1:$A$49,0), MATCH(Data_orders!L$1,Data_products!$A$1:$G$1,0))</f>
        <v>36.454999999999998</v>
      </c>
      <c r="M83">
        <f t="shared" si="2"/>
        <v>109.36499999999999</v>
      </c>
      <c r="N83" t="str" cm="1">
        <f t="array" ref="N83">_xlfn.IFS(I83 = "Rob", "Robusta", I83 = "Exc", "Excelsa", I83 = "Ara", "Arabica", I83 = "Lib", "Liberica")</f>
        <v>Liberica</v>
      </c>
      <c r="O83" t="str">
        <f t="shared" si="3"/>
        <v>Light</v>
      </c>
      <c r="P83" t="str">
        <f>_xlfn.XLOOKUP(Table1[[#This Row],[Customer ID]],Data_customers!$A$2:$A$1001,Data_customers!$I$2:$I$1001,,0)</f>
        <v>Yes</v>
      </c>
    </row>
    <row r="84" spans="1:16" x14ac:dyDescent="0.2">
      <c r="A84" s="2" t="s">
        <v>954</v>
      </c>
      <c r="B84" s="3">
        <v>43721</v>
      </c>
      <c r="C84" s="2" t="s">
        <v>955</v>
      </c>
      <c r="D84" t="s">
        <v>6181</v>
      </c>
      <c r="E84" s="2">
        <v>3</v>
      </c>
      <c r="F84" s="2" t="str">
        <f>_xlfn.XLOOKUP(Data_orders!C84,Data_customers!$A$1:$A$1001,Data_customers!$B$1:$B$1001,,0)</f>
        <v>Bunny Naulls</v>
      </c>
      <c r="G84" s="2" t="str">
        <f>IF(_xlfn.XLOOKUP(C84,Data_customers!$A$1:$A$1001,Data_customers!$C$1:$C$1001,,0)=0,"",_xlfn.XLOOKUP(C84,Data_customers!$A$1:$A$1001,Data_customers!$C$1:$C$1001,,0))</f>
        <v>bnaulls2a@tiny.cc</v>
      </c>
      <c r="H84" s="2" t="str">
        <f>_xlfn.XLOOKUP(C84,Data_customers!$A$1:$A$1001,Data_customers!$G$1:$G$1001,"",0)</f>
        <v>Ireland</v>
      </c>
      <c r="I84" t="str">
        <f>INDEX(Data_products!$A$1:$G$49, MATCH(Data_orders!$D84,Data_products!$A$1:$A$49,0), MATCH(Data_orders!I$1,Data_products!$A$1:$G$1,0))</f>
        <v>Lib</v>
      </c>
      <c r="J84" t="str">
        <f>INDEX(Data_products!$A$1:$G$49, MATCH(Data_orders!$D84,Data_products!$A$1:$A$49,0), MATCH(Data_orders!J$1,Data_products!$A$1:$G$1,0))</f>
        <v>M</v>
      </c>
      <c r="K84" s="4">
        <f>INDEX(Data_products!$A$1:$G$49, MATCH(Data_orders!$D84,Data_products!$A$1:$A$49,0), MATCH(Data_orders!K$1,Data_products!$A$1:$G$1,0))</f>
        <v>2.5</v>
      </c>
      <c r="L84">
        <f>INDEX(Data_products!$A$1:$G$49, MATCH(Data_orders!$D84,Data_products!$A$1:$A$49,0), MATCH(Data_orders!L$1,Data_products!$A$1:$G$1,0))</f>
        <v>33.464999999999996</v>
      </c>
      <c r="M84">
        <f t="shared" si="2"/>
        <v>100.39499999999998</v>
      </c>
      <c r="N84" t="str" cm="1">
        <f t="array" ref="N84">_xlfn.IFS(I84 = "Rob", "Robusta", I84 = "Exc", "Excelsa", I84 = "Ara", "Arabica", I84 = "Lib", "Liberica")</f>
        <v>Liberica</v>
      </c>
      <c r="O84" t="str">
        <f t="shared" si="3"/>
        <v>Medium</v>
      </c>
      <c r="P84" t="str">
        <f>_xlfn.XLOOKUP(Table1[[#This Row],[Customer ID]],Data_customers!$A$2:$A$1001,Data_customers!$I$2:$I$1001,,0)</f>
        <v>Yes</v>
      </c>
    </row>
    <row r="85" spans="1:16" x14ac:dyDescent="0.2">
      <c r="A85" s="2" t="s">
        <v>960</v>
      </c>
      <c r="B85" s="3">
        <v>43933</v>
      </c>
      <c r="C85" s="2" t="s">
        <v>961</v>
      </c>
      <c r="D85" t="s">
        <v>6149</v>
      </c>
      <c r="E85" s="2">
        <v>4</v>
      </c>
      <c r="F85" s="2" t="str">
        <f>_xlfn.XLOOKUP(Data_orders!C85,Data_customers!$A$1:$A$1001,Data_customers!$B$1:$B$1001,,0)</f>
        <v>Hally Lorait</v>
      </c>
      <c r="G85" s="2" t="str">
        <f>IF(_xlfn.XLOOKUP(C85,Data_customers!$A$1:$A$1001,Data_customers!$C$1:$C$1001,,0)=0,"",_xlfn.XLOOKUP(C85,Data_customers!$A$1:$A$1001,Data_customers!$C$1:$C$1001,,0))</f>
        <v/>
      </c>
      <c r="H85" s="2" t="str">
        <f>_xlfn.XLOOKUP(C85,Data_customers!$A$1:$A$1001,Data_customers!$G$1:$G$1001,"",0)</f>
        <v>United States</v>
      </c>
      <c r="I85" t="str">
        <f>INDEX(Data_products!$A$1:$G$49, MATCH(Data_orders!$D85,Data_products!$A$1:$A$49,0), MATCH(Data_orders!I$1,Data_products!$A$1:$G$1,0))</f>
        <v>Rob</v>
      </c>
      <c r="J85" t="str">
        <f>INDEX(Data_products!$A$1:$G$49, MATCH(Data_orders!$D85,Data_products!$A$1:$A$49,0), MATCH(Data_orders!J$1,Data_products!$A$1:$G$1,0))</f>
        <v>D</v>
      </c>
      <c r="K85" s="4">
        <f>INDEX(Data_products!$A$1:$G$49, MATCH(Data_orders!$D85,Data_products!$A$1:$A$49,0), MATCH(Data_orders!K$1,Data_products!$A$1:$G$1,0))</f>
        <v>2.5</v>
      </c>
      <c r="L85">
        <f>INDEX(Data_products!$A$1:$G$49, MATCH(Data_orders!$D85,Data_products!$A$1:$A$49,0), MATCH(Data_orders!L$1,Data_products!$A$1:$G$1,0))</f>
        <v>20.584999999999997</v>
      </c>
      <c r="M85">
        <f t="shared" si="2"/>
        <v>82.339999999999989</v>
      </c>
      <c r="N85" t="str" cm="1">
        <f t="array" ref="N85">_xlfn.IFS(I85 = "Rob", "Robusta", I85 = "Exc", "Excelsa", I85 = "Ara", "Arabica", I85 = "Lib", "Liberica")</f>
        <v>Robusta</v>
      </c>
      <c r="O85" t="str">
        <f t="shared" si="3"/>
        <v>Dark</v>
      </c>
      <c r="P85" t="str">
        <f>_xlfn.XLOOKUP(Table1[[#This Row],[Customer ID]],Data_customers!$A$2:$A$1001,Data_customers!$I$2:$I$1001,,0)</f>
        <v>Yes</v>
      </c>
    </row>
    <row r="86" spans="1:16" x14ac:dyDescent="0.2">
      <c r="A86" s="2" t="s">
        <v>965</v>
      </c>
      <c r="B86" s="3">
        <v>43783</v>
      </c>
      <c r="C86" s="2" t="s">
        <v>966</v>
      </c>
      <c r="D86" t="s">
        <v>6161</v>
      </c>
      <c r="E86" s="2">
        <v>1</v>
      </c>
      <c r="F86" s="2" t="str">
        <f>_xlfn.XLOOKUP(Data_orders!C86,Data_customers!$A$1:$A$1001,Data_customers!$B$1:$B$1001,,0)</f>
        <v>Zaccaria Sherewood</v>
      </c>
      <c r="G86" s="2" t="str">
        <f>IF(_xlfn.XLOOKUP(C86,Data_customers!$A$1:$A$1001,Data_customers!$C$1:$C$1001,,0)=0,"",_xlfn.XLOOKUP(C86,Data_customers!$A$1:$A$1001,Data_customers!$C$1:$C$1001,,0))</f>
        <v>zsherewood2c@apache.org</v>
      </c>
      <c r="H86" s="2" t="str">
        <f>_xlfn.XLOOKUP(C86,Data_customers!$A$1:$A$1001,Data_customers!$G$1:$G$1001,"",0)</f>
        <v>United States</v>
      </c>
      <c r="I86" t="str">
        <f>INDEX(Data_products!$A$1:$G$49, MATCH(Data_orders!$D86,Data_products!$A$1:$A$49,0), MATCH(Data_orders!I$1,Data_products!$A$1:$G$1,0))</f>
        <v>Lib</v>
      </c>
      <c r="J86" t="str">
        <f>INDEX(Data_products!$A$1:$G$49, MATCH(Data_orders!$D86,Data_products!$A$1:$A$49,0), MATCH(Data_orders!J$1,Data_products!$A$1:$G$1,0))</f>
        <v>L</v>
      </c>
      <c r="K86" s="4">
        <f>INDEX(Data_products!$A$1:$G$49, MATCH(Data_orders!$D86,Data_products!$A$1:$A$49,0), MATCH(Data_orders!K$1,Data_products!$A$1:$G$1,0))</f>
        <v>0.5</v>
      </c>
      <c r="L86">
        <f>INDEX(Data_products!$A$1:$G$49, MATCH(Data_orders!$D86,Data_products!$A$1:$A$49,0), MATCH(Data_orders!L$1,Data_products!$A$1:$G$1,0))</f>
        <v>9.51</v>
      </c>
      <c r="M86">
        <f t="shared" si="2"/>
        <v>9.51</v>
      </c>
      <c r="N86" t="str" cm="1">
        <f t="array" ref="N86">_xlfn.IFS(I86 = "Rob", "Robusta", I86 = "Exc", "Excelsa", I86 = "Ara", "Arabica", I86 = "Lib", "Liberica")</f>
        <v>Liberica</v>
      </c>
      <c r="O86" t="str">
        <f t="shared" si="3"/>
        <v>Light</v>
      </c>
      <c r="P86" t="str">
        <f>_xlfn.XLOOKUP(Table1[[#This Row],[Customer ID]],Data_customers!$A$2:$A$1001,Data_customers!$I$2:$I$1001,,0)</f>
        <v>No</v>
      </c>
    </row>
    <row r="87" spans="1:16" x14ac:dyDescent="0.2">
      <c r="A87" s="2" t="s">
        <v>971</v>
      </c>
      <c r="B87" s="3">
        <v>43664</v>
      </c>
      <c r="C87" s="2" t="s">
        <v>972</v>
      </c>
      <c r="D87" t="s">
        <v>6182</v>
      </c>
      <c r="E87" s="2">
        <v>3</v>
      </c>
      <c r="F87" s="2" t="str">
        <f>_xlfn.XLOOKUP(Data_orders!C87,Data_customers!$A$1:$A$1001,Data_customers!$B$1:$B$1001,,0)</f>
        <v>Jeffrey Dufaire</v>
      </c>
      <c r="G87" s="2" t="str">
        <f>IF(_xlfn.XLOOKUP(C87,Data_customers!$A$1:$A$1001,Data_customers!$C$1:$C$1001,,0)=0,"",_xlfn.XLOOKUP(C87,Data_customers!$A$1:$A$1001,Data_customers!$C$1:$C$1001,,0))</f>
        <v>jdufaire2d@fc2.com</v>
      </c>
      <c r="H87" s="2" t="str">
        <f>_xlfn.XLOOKUP(C87,Data_customers!$A$1:$A$1001,Data_customers!$G$1:$G$1001,"",0)</f>
        <v>United States</v>
      </c>
      <c r="I87" t="str">
        <f>INDEX(Data_products!$A$1:$G$49, MATCH(Data_orders!$D87,Data_products!$A$1:$A$49,0), MATCH(Data_orders!I$1,Data_products!$A$1:$G$1,0))</f>
        <v>Ara</v>
      </c>
      <c r="J87" t="str">
        <f>INDEX(Data_products!$A$1:$G$49, MATCH(Data_orders!$D87,Data_products!$A$1:$A$49,0), MATCH(Data_orders!J$1,Data_products!$A$1:$G$1,0))</f>
        <v>L</v>
      </c>
      <c r="K87" s="4">
        <f>INDEX(Data_products!$A$1:$G$49, MATCH(Data_orders!$D87,Data_products!$A$1:$A$49,0), MATCH(Data_orders!K$1,Data_products!$A$1:$G$1,0))</f>
        <v>2.5</v>
      </c>
      <c r="L87">
        <f>INDEX(Data_products!$A$1:$G$49, MATCH(Data_orders!$D87,Data_products!$A$1:$A$49,0), MATCH(Data_orders!L$1,Data_products!$A$1:$G$1,0))</f>
        <v>29.784999999999997</v>
      </c>
      <c r="M87">
        <f t="shared" si="2"/>
        <v>89.35499999999999</v>
      </c>
      <c r="N87" t="str" cm="1">
        <f t="array" ref="N87">_xlfn.IFS(I87 = "Rob", "Robusta", I87 = "Exc", "Excelsa", I87 = "Ara", "Arabica", I87 = "Lib", "Liberica")</f>
        <v>Arabica</v>
      </c>
      <c r="O87" t="str">
        <f t="shared" si="3"/>
        <v>Light</v>
      </c>
      <c r="P87" t="str">
        <f>_xlfn.XLOOKUP(Table1[[#This Row],[Customer ID]],Data_customers!$A$2:$A$1001,Data_customers!$I$2:$I$1001,,0)</f>
        <v>No</v>
      </c>
    </row>
    <row r="88" spans="1:16" x14ac:dyDescent="0.2">
      <c r="A88" s="2" t="s">
        <v>971</v>
      </c>
      <c r="B88" s="3">
        <v>43664</v>
      </c>
      <c r="C88" s="2" t="s">
        <v>972</v>
      </c>
      <c r="D88" t="s">
        <v>6154</v>
      </c>
      <c r="E88" s="2">
        <v>4</v>
      </c>
      <c r="F88" s="2" t="str">
        <f>_xlfn.XLOOKUP(Data_orders!C88,Data_customers!$A$1:$A$1001,Data_customers!$B$1:$B$1001,,0)</f>
        <v>Jeffrey Dufaire</v>
      </c>
      <c r="G88" s="2" t="str">
        <f>IF(_xlfn.XLOOKUP(C88,Data_customers!$A$1:$A$1001,Data_customers!$C$1:$C$1001,,0)=0,"",_xlfn.XLOOKUP(C88,Data_customers!$A$1:$A$1001,Data_customers!$C$1:$C$1001,,0))</f>
        <v>jdufaire2d@fc2.com</v>
      </c>
      <c r="H88" s="2" t="str">
        <f>_xlfn.XLOOKUP(C88,Data_customers!$A$1:$A$1001,Data_customers!$G$1:$G$1001,"",0)</f>
        <v>United States</v>
      </c>
      <c r="I88" t="str">
        <f>INDEX(Data_products!$A$1:$G$49, MATCH(Data_orders!$D88,Data_products!$A$1:$A$49,0), MATCH(Data_orders!I$1,Data_products!$A$1:$G$1,0))</f>
        <v>Ara</v>
      </c>
      <c r="J88" t="str">
        <f>INDEX(Data_products!$A$1:$G$49, MATCH(Data_orders!$D88,Data_products!$A$1:$A$49,0), MATCH(Data_orders!J$1,Data_products!$A$1:$G$1,0))</f>
        <v>D</v>
      </c>
      <c r="K88" s="4">
        <f>INDEX(Data_products!$A$1:$G$49, MATCH(Data_orders!$D88,Data_products!$A$1:$A$49,0), MATCH(Data_orders!K$1,Data_products!$A$1:$G$1,0))</f>
        <v>0.2</v>
      </c>
      <c r="L88">
        <f>INDEX(Data_products!$A$1:$G$49, MATCH(Data_orders!$D88,Data_products!$A$1:$A$49,0), MATCH(Data_orders!L$1,Data_products!$A$1:$G$1,0))</f>
        <v>2.9849999999999999</v>
      </c>
      <c r="M88">
        <f t="shared" si="2"/>
        <v>11.94</v>
      </c>
      <c r="N88" t="str" cm="1">
        <f t="array" ref="N88">_xlfn.IFS(I88 = "Rob", "Robusta", I88 = "Exc", "Excelsa", I88 = "Ara", "Arabica", I88 = "Lib", "Liberica")</f>
        <v>Arabica</v>
      </c>
      <c r="O88" t="str">
        <f t="shared" si="3"/>
        <v>Dark</v>
      </c>
      <c r="P88" t="str">
        <f>_xlfn.XLOOKUP(Table1[[#This Row],[Customer ID]],Data_customers!$A$2:$A$1001,Data_customers!$I$2:$I$1001,,0)</f>
        <v>No</v>
      </c>
    </row>
    <row r="89" spans="1:16" x14ac:dyDescent="0.2">
      <c r="A89" s="2" t="s">
        <v>980</v>
      </c>
      <c r="B89" s="3">
        <v>44289</v>
      </c>
      <c r="C89" s="2" t="s">
        <v>981</v>
      </c>
      <c r="D89" t="s">
        <v>6155</v>
      </c>
      <c r="E89" s="2">
        <v>3</v>
      </c>
      <c r="F89" s="2" t="str">
        <f>_xlfn.XLOOKUP(Data_orders!C89,Data_customers!$A$1:$A$1001,Data_customers!$B$1:$B$1001,,0)</f>
        <v>Beitris Keaveney</v>
      </c>
      <c r="G89" s="2" t="str">
        <f>IF(_xlfn.XLOOKUP(C89,Data_customers!$A$1:$A$1001,Data_customers!$C$1:$C$1001,,0)=0,"",_xlfn.XLOOKUP(C89,Data_customers!$A$1:$A$1001,Data_customers!$C$1:$C$1001,,0))</f>
        <v>bkeaveney2f@netlog.com</v>
      </c>
      <c r="H89" s="2" t="str">
        <f>_xlfn.XLOOKUP(C89,Data_customers!$A$1:$A$1001,Data_customers!$G$1:$G$1001,"",0)</f>
        <v>United States</v>
      </c>
      <c r="I89" t="str">
        <f>INDEX(Data_products!$A$1:$G$49, MATCH(Data_orders!$D89,Data_products!$A$1:$A$49,0), MATCH(Data_orders!I$1,Data_products!$A$1:$G$1,0))</f>
        <v>Ara</v>
      </c>
      <c r="J89" t="str">
        <f>INDEX(Data_products!$A$1:$G$49, MATCH(Data_orders!$D89,Data_products!$A$1:$A$49,0), MATCH(Data_orders!J$1,Data_products!$A$1:$G$1,0))</f>
        <v>M</v>
      </c>
      <c r="K89" s="4">
        <f>INDEX(Data_products!$A$1:$G$49, MATCH(Data_orders!$D89,Data_products!$A$1:$A$49,0), MATCH(Data_orders!K$1,Data_products!$A$1:$G$1,0))</f>
        <v>1</v>
      </c>
      <c r="L89">
        <f>INDEX(Data_products!$A$1:$G$49, MATCH(Data_orders!$D89,Data_products!$A$1:$A$49,0), MATCH(Data_orders!L$1,Data_products!$A$1:$G$1,0))</f>
        <v>11.25</v>
      </c>
      <c r="M89">
        <f t="shared" si="2"/>
        <v>33.75</v>
      </c>
      <c r="N89" t="str" cm="1">
        <f t="array" ref="N89">_xlfn.IFS(I89 = "Rob", "Robusta", I89 = "Exc", "Excelsa", I89 = "Ara", "Arabica", I89 = "Lib", "Liberica")</f>
        <v>Arabica</v>
      </c>
      <c r="O89" t="str">
        <f t="shared" si="3"/>
        <v>Medium</v>
      </c>
      <c r="P89" t="str">
        <f>_xlfn.XLOOKUP(Table1[[#This Row],[Customer ID]],Data_customers!$A$2:$A$1001,Data_customers!$I$2:$I$1001,,0)</f>
        <v>No</v>
      </c>
    </row>
    <row r="90" spans="1:16" x14ac:dyDescent="0.2">
      <c r="A90" s="2" t="s">
        <v>985</v>
      </c>
      <c r="B90" s="3">
        <v>44284</v>
      </c>
      <c r="C90" s="2" t="s">
        <v>986</v>
      </c>
      <c r="D90" t="s">
        <v>6179</v>
      </c>
      <c r="E90" s="2">
        <v>3</v>
      </c>
      <c r="F90" s="2" t="str">
        <f>_xlfn.XLOOKUP(Data_orders!C90,Data_customers!$A$1:$A$1001,Data_customers!$B$1:$B$1001,,0)</f>
        <v>Elna Grise</v>
      </c>
      <c r="G90" s="2" t="str">
        <f>IF(_xlfn.XLOOKUP(C90,Data_customers!$A$1:$A$1001,Data_customers!$C$1:$C$1001,,0)=0,"",_xlfn.XLOOKUP(C90,Data_customers!$A$1:$A$1001,Data_customers!$C$1:$C$1001,,0))</f>
        <v>egrise2g@cargocollective.com</v>
      </c>
      <c r="H90" s="2" t="str">
        <f>_xlfn.XLOOKUP(C90,Data_customers!$A$1:$A$1001,Data_customers!$G$1:$G$1001,"",0)</f>
        <v>United States</v>
      </c>
      <c r="I90" t="str">
        <f>INDEX(Data_products!$A$1:$G$49, MATCH(Data_orders!$D90,Data_products!$A$1:$A$49,0), MATCH(Data_orders!I$1,Data_products!$A$1:$G$1,0))</f>
        <v>Rob</v>
      </c>
      <c r="J90" t="str">
        <f>INDEX(Data_products!$A$1:$G$49, MATCH(Data_orders!$D90,Data_products!$A$1:$A$49,0), MATCH(Data_orders!J$1,Data_products!$A$1:$G$1,0))</f>
        <v>L</v>
      </c>
      <c r="K90" s="4">
        <f>INDEX(Data_products!$A$1:$G$49, MATCH(Data_orders!$D90,Data_products!$A$1:$A$49,0), MATCH(Data_orders!K$1,Data_products!$A$1:$G$1,0))</f>
        <v>1</v>
      </c>
      <c r="L90">
        <f>INDEX(Data_products!$A$1:$G$49, MATCH(Data_orders!$D90,Data_products!$A$1:$A$49,0), MATCH(Data_orders!L$1,Data_products!$A$1:$G$1,0))</f>
        <v>11.95</v>
      </c>
      <c r="M90">
        <f t="shared" si="2"/>
        <v>35.849999999999994</v>
      </c>
      <c r="N90" t="str" cm="1">
        <f t="array" ref="N90">_xlfn.IFS(I90 = "Rob", "Robusta", I90 = "Exc", "Excelsa", I90 = "Ara", "Arabica", I90 = "Lib", "Liberica")</f>
        <v>Robusta</v>
      </c>
      <c r="O90" t="str">
        <f t="shared" si="3"/>
        <v>Light</v>
      </c>
      <c r="P90" t="str">
        <f>_xlfn.XLOOKUP(Table1[[#This Row],[Customer ID]],Data_customers!$A$2:$A$1001,Data_customers!$I$2:$I$1001,,0)</f>
        <v>No</v>
      </c>
    </row>
    <row r="91" spans="1:16" x14ac:dyDescent="0.2">
      <c r="A91" s="2" t="s">
        <v>990</v>
      </c>
      <c r="B91" s="3">
        <v>44545</v>
      </c>
      <c r="C91" s="2" t="s">
        <v>991</v>
      </c>
      <c r="D91" t="s">
        <v>6140</v>
      </c>
      <c r="E91" s="2">
        <v>6</v>
      </c>
      <c r="F91" s="2" t="str">
        <f>_xlfn.XLOOKUP(Data_orders!C91,Data_customers!$A$1:$A$1001,Data_customers!$B$1:$B$1001,,0)</f>
        <v>Torie Gottelier</v>
      </c>
      <c r="G91" s="2" t="str">
        <f>IF(_xlfn.XLOOKUP(C91,Data_customers!$A$1:$A$1001,Data_customers!$C$1:$C$1001,,0)=0,"",_xlfn.XLOOKUP(C91,Data_customers!$A$1:$A$1001,Data_customers!$C$1:$C$1001,,0))</f>
        <v>tgottelier2h@vistaprint.com</v>
      </c>
      <c r="H91" s="2" t="str">
        <f>_xlfn.XLOOKUP(C91,Data_customers!$A$1:$A$1001,Data_customers!$G$1:$G$1001,"",0)</f>
        <v>United States</v>
      </c>
      <c r="I91" t="str">
        <f>INDEX(Data_products!$A$1:$G$49, MATCH(Data_orders!$D91,Data_products!$A$1:$A$49,0), MATCH(Data_orders!I$1,Data_products!$A$1:$G$1,0))</f>
        <v>Ara</v>
      </c>
      <c r="J91" t="str">
        <f>INDEX(Data_products!$A$1:$G$49, MATCH(Data_orders!$D91,Data_products!$A$1:$A$49,0), MATCH(Data_orders!J$1,Data_products!$A$1:$G$1,0))</f>
        <v>L</v>
      </c>
      <c r="K91" s="4">
        <f>INDEX(Data_products!$A$1:$G$49, MATCH(Data_orders!$D91,Data_products!$A$1:$A$49,0), MATCH(Data_orders!K$1,Data_products!$A$1:$G$1,0))</f>
        <v>1</v>
      </c>
      <c r="L91">
        <f>INDEX(Data_products!$A$1:$G$49, MATCH(Data_orders!$D91,Data_products!$A$1:$A$49,0), MATCH(Data_orders!L$1,Data_products!$A$1:$G$1,0))</f>
        <v>12.95</v>
      </c>
      <c r="M91">
        <f t="shared" si="2"/>
        <v>77.699999999999989</v>
      </c>
      <c r="N91" t="str" cm="1">
        <f t="array" ref="N91">_xlfn.IFS(I91 = "Rob", "Robusta", I91 = "Exc", "Excelsa", I91 = "Ara", "Arabica", I91 = "Lib", "Liberica")</f>
        <v>Arabica</v>
      </c>
      <c r="O91" t="str">
        <f t="shared" si="3"/>
        <v>Light</v>
      </c>
      <c r="P91" t="str">
        <f>_xlfn.XLOOKUP(Table1[[#This Row],[Customer ID]],Data_customers!$A$2:$A$1001,Data_customers!$I$2:$I$1001,,0)</f>
        <v>No</v>
      </c>
    </row>
    <row r="92" spans="1:16" x14ac:dyDescent="0.2">
      <c r="A92" s="2" t="s">
        <v>996</v>
      </c>
      <c r="B92" s="3">
        <v>43971</v>
      </c>
      <c r="C92" s="2" t="s">
        <v>997</v>
      </c>
      <c r="D92" t="s">
        <v>6140</v>
      </c>
      <c r="E92" s="2">
        <v>4</v>
      </c>
      <c r="F92" s="2" t="str">
        <f>_xlfn.XLOOKUP(Data_orders!C92,Data_customers!$A$1:$A$1001,Data_customers!$B$1:$B$1001,,0)</f>
        <v>Loydie Langlais</v>
      </c>
      <c r="G92" s="2" t="str">
        <f>IF(_xlfn.XLOOKUP(C92,Data_customers!$A$1:$A$1001,Data_customers!$C$1:$C$1001,,0)=0,"",_xlfn.XLOOKUP(C92,Data_customers!$A$1:$A$1001,Data_customers!$C$1:$C$1001,,0))</f>
        <v/>
      </c>
      <c r="H92" s="2" t="str">
        <f>_xlfn.XLOOKUP(C92,Data_customers!$A$1:$A$1001,Data_customers!$G$1:$G$1001,"",0)</f>
        <v>Ireland</v>
      </c>
      <c r="I92" t="str">
        <f>INDEX(Data_products!$A$1:$G$49, MATCH(Data_orders!$D92,Data_products!$A$1:$A$49,0), MATCH(Data_orders!I$1,Data_products!$A$1:$G$1,0))</f>
        <v>Ara</v>
      </c>
      <c r="J92" t="str">
        <f>INDEX(Data_products!$A$1:$G$49, MATCH(Data_orders!$D92,Data_products!$A$1:$A$49,0), MATCH(Data_orders!J$1,Data_products!$A$1:$G$1,0))</f>
        <v>L</v>
      </c>
      <c r="K92" s="4">
        <f>INDEX(Data_products!$A$1:$G$49, MATCH(Data_orders!$D92,Data_products!$A$1:$A$49,0), MATCH(Data_orders!K$1,Data_products!$A$1:$G$1,0))</f>
        <v>1</v>
      </c>
      <c r="L92">
        <f>INDEX(Data_products!$A$1:$G$49, MATCH(Data_orders!$D92,Data_products!$A$1:$A$49,0), MATCH(Data_orders!L$1,Data_products!$A$1:$G$1,0))</f>
        <v>12.95</v>
      </c>
      <c r="M92">
        <f t="shared" si="2"/>
        <v>51.8</v>
      </c>
      <c r="N92" t="str" cm="1">
        <f t="array" ref="N92">_xlfn.IFS(I92 = "Rob", "Robusta", I92 = "Exc", "Excelsa", I92 = "Ara", "Arabica", I92 = "Lib", "Liberica")</f>
        <v>Arabica</v>
      </c>
      <c r="O92" t="str">
        <f t="shared" si="3"/>
        <v>Light</v>
      </c>
      <c r="P92" t="str">
        <f>_xlfn.XLOOKUP(Table1[[#This Row],[Customer ID]],Data_customers!$A$2:$A$1001,Data_customers!$I$2:$I$1001,,0)</f>
        <v>Yes</v>
      </c>
    </row>
    <row r="93" spans="1:16" x14ac:dyDescent="0.2">
      <c r="A93" s="2" t="s">
        <v>1001</v>
      </c>
      <c r="B93" s="3">
        <v>44137</v>
      </c>
      <c r="C93" s="2" t="s">
        <v>1002</v>
      </c>
      <c r="D93" t="s">
        <v>6175</v>
      </c>
      <c r="E93" s="2">
        <v>4</v>
      </c>
      <c r="F93" s="2" t="str">
        <f>_xlfn.XLOOKUP(Data_orders!C93,Data_customers!$A$1:$A$1001,Data_customers!$B$1:$B$1001,,0)</f>
        <v>Adham Greenhead</v>
      </c>
      <c r="G93" s="2" t="str">
        <f>IF(_xlfn.XLOOKUP(C93,Data_customers!$A$1:$A$1001,Data_customers!$C$1:$C$1001,,0)=0,"",_xlfn.XLOOKUP(C93,Data_customers!$A$1:$A$1001,Data_customers!$C$1:$C$1001,,0))</f>
        <v>agreenhead2j@dailymail.co.uk</v>
      </c>
      <c r="H93" s="2" t="str">
        <f>_xlfn.XLOOKUP(C93,Data_customers!$A$1:$A$1001,Data_customers!$G$1:$G$1001,"",0)</f>
        <v>United States</v>
      </c>
      <c r="I93" t="str">
        <f>INDEX(Data_products!$A$1:$G$49, MATCH(Data_orders!$D93,Data_products!$A$1:$A$49,0), MATCH(Data_orders!I$1,Data_products!$A$1:$G$1,0))</f>
        <v>Ara</v>
      </c>
      <c r="J93" t="str">
        <f>INDEX(Data_products!$A$1:$G$49, MATCH(Data_orders!$D93,Data_products!$A$1:$A$49,0), MATCH(Data_orders!J$1,Data_products!$A$1:$G$1,0))</f>
        <v>M</v>
      </c>
      <c r="K93" s="4">
        <f>INDEX(Data_products!$A$1:$G$49, MATCH(Data_orders!$D93,Data_products!$A$1:$A$49,0), MATCH(Data_orders!K$1,Data_products!$A$1:$G$1,0))</f>
        <v>2.5</v>
      </c>
      <c r="L93">
        <f>INDEX(Data_products!$A$1:$G$49, MATCH(Data_orders!$D93,Data_products!$A$1:$A$49,0), MATCH(Data_orders!L$1,Data_products!$A$1:$G$1,0))</f>
        <v>25.874999999999996</v>
      </c>
      <c r="M93">
        <f t="shared" si="2"/>
        <v>103.49999999999999</v>
      </c>
      <c r="N93" t="str" cm="1">
        <f t="array" ref="N93">_xlfn.IFS(I93 = "Rob", "Robusta", I93 = "Exc", "Excelsa", I93 = "Ara", "Arabica", I93 = "Lib", "Liberica")</f>
        <v>Arabica</v>
      </c>
      <c r="O93" t="str">
        <f t="shared" si="3"/>
        <v>Medium</v>
      </c>
      <c r="P93" t="str">
        <f>_xlfn.XLOOKUP(Table1[[#This Row],[Customer ID]],Data_customers!$A$2:$A$1001,Data_customers!$I$2:$I$1001,,0)</f>
        <v>No</v>
      </c>
    </row>
    <row r="94" spans="1:16" x14ac:dyDescent="0.2">
      <c r="A94" s="2" t="s">
        <v>1007</v>
      </c>
      <c r="B94" s="3">
        <v>44037</v>
      </c>
      <c r="C94" s="2" t="s">
        <v>1008</v>
      </c>
      <c r="D94" t="s">
        <v>6171</v>
      </c>
      <c r="E94" s="2">
        <v>3</v>
      </c>
      <c r="F94" s="2" t="str">
        <f>_xlfn.XLOOKUP(Data_orders!C94,Data_customers!$A$1:$A$1001,Data_customers!$B$1:$B$1001,,0)</f>
        <v>Hamish MacSherry</v>
      </c>
      <c r="G94" s="2" t="str">
        <f>IF(_xlfn.XLOOKUP(C94,Data_customers!$A$1:$A$1001,Data_customers!$C$1:$C$1001,,0)=0,"",_xlfn.XLOOKUP(C94,Data_customers!$A$1:$A$1001,Data_customers!$C$1:$C$1001,,0))</f>
        <v/>
      </c>
      <c r="H94" s="2" t="str">
        <f>_xlfn.XLOOKUP(C94,Data_customers!$A$1:$A$1001,Data_customers!$G$1:$G$1001,"",0)</f>
        <v>United States</v>
      </c>
      <c r="I94" t="str">
        <f>INDEX(Data_products!$A$1:$G$49, MATCH(Data_orders!$D94,Data_products!$A$1:$A$49,0), MATCH(Data_orders!I$1,Data_products!$A$1:$G$1,0))</f>
        <v>Exc</v>
      </c>
      <c r="J94" t="str">
        <f>INDEX(Data_products!$A$1:$G$49, MATCH(Data_orders!$D94,Data_products!$A$1:$A$49,0), MATCH(Data_orders!J$1,Data_products!$A$1:$G$1,0))</f>
        <v>L</v>
      </c>
      <c r="K94" s="4">
        <f>INDEX(Data_products!$A$1:$G$49, MATCH(Data_orders!$D94,Data_products!$A$1:$A$49,0), MATCH(Data_orders!K$1,Data_products!$A$1:$G$1,0))</f>
        <v>1</v>
      </c>
      <c r="L94">
        <f>INDEX(Data_products!$A$1:$G$49, MATCH(Data_orders!$D94,Data_products!$A$1:$A$49,0), MATCH(Data_orders!L$1,Data_products!$A$1:$G$1,0))</f>
        <v>14.85</v>
      </c>
      <c r="M94">
        <f t="shared" si="2"/>
        <v>44.55</v>
      </c>
      <c r="N94" t="str" cm="1">
        <f t="array" ref="N94">_xlfn.IFS(I94 = "Rob", "Robusta", I94 = "Exc", "Excelsa", I94 = "Ara", "Arabica", I94 = "Lib", "Liberica")</f>
        <v>Excelsa</v>
      </c>
      <c r="O94" t="str">
        <f t="shared" si="3"/>
        <v>Light</v>
      </c>
      <c r="P94" t="str">
        <f>_xlfn.XLOOKUP(Table1[[#This Row],[Customer ID]],Data_customers!$A$2:$A$1001,Data_customers!$I$2:$I$1001,,0)</f>
        <v>Yes</v>
      </c>
    </row>
    <row r="95" spans="1:16" x14ac:dyDescent="0.2">
      <c r="A95" s="2" t="s">
        <v>1012</v>
      </c>
      <c r="B95" s="3">
        <v>43538</v>
      </c>
      <c r="C95" s="2" t="s">
        <v>1013</v>
      </c>
      <c r="D95" t="s">
        <v>6176</v>
      </c>
      <c r="E95" s="2">
        <v>4</v>
      </c>
      <c r="F95" s="2" t="str">
        <f>_xlfn.XLOOKUP(Data_orders!C95,Data_customers!$A$1:$A$1001,Data_customers!$B$1:$B$1001,,0)</f>
        <v>Else Langcaster</v>
      </c>
      <c r="G95" s="2" t="str">
        <f>IF(_xlfn.XLOOKUP(C95,Data_customers!$A$1:$A$1001,Data_customers!$C$1:$C$1001,,0)=0,"",_xlfn.XLOOKUP(C95,Data_customers!$A$1:$A$1001,Data_customers!$C$1:$C$1001,,0))</f>
        <v>elangcaster2l@spotify.com</v>
      </c>
      <c r="H95" s="2" t="str">
        <f>_xlfn.XLOOKUP(C95,Data_customers!$A$1:$A$1001,Data_customers!$G$1:$G$1001,"",0)</f>
        <v>United Kingdom</v>
      </c>
      <c r="I95" t="str">
        <f>INDEX(Data_products!$A$1:$G$49, MATCH(Data_orders!$D95,Data_products!$A$1:$A$49,0), MATCH(Data_orders!I$1,Data_products!$A$1:$G$1,0))</f>
        <v>Exc</v>
      </c>
      <c r="J95" t="str">
        <f>INDEX(Data_products!$A$1:$G$49, MATCH(Data_orders!$D95,Data_products!$A$1:$A$49,0), MATCH(Data_orders!J$1,Data_products!$A$1:$G$1,0))</f>
        <v>L</v>
      </c>
      <c r="K95" s="4">
        <f>INDEX(Data_products!$A$1:$G$49, MATCH(Data_orders!$D95,Data_products!$A$1:$A$49,0), MATCH(Data_orders!K$1,Data_products!$A$1:$G$1,0))</f>
        <v>0.5</v>
      </c>
      <c r="L95">
        <f>INDEX(Data_products!$A$1:$G$49, MATCH(Data_orders!$D95,Data_products!$A$1:$A$49,0), MATCH(Data_orders!L$1,Data_products!$A$1:$G$1,0))</f>
        <v>8.91</v>
      </c>
      <c r="M95">
        <f t="shared" si="2"/>
        <v>35.64</v>
      </c>
      <c r="N95" t="str" cm="1">
        <f t="array" ref="N95">_xlfn.IFS(I95 = "Rob", "Robusta", I95 = "Exc", "Excelsa", I95 = "Ara", "Arabica", I95 = "Lib", "Liberica")</f>
        <v>Excelsa</v>
      </c>
      <c r="O95" t="str">
        <f t="shared" si="3"/>
        <v>Light</v>
      </c>
      <c r="P95" t="str">
        <f>_xlfn.XLOOKUP(Table1[[#This Row],[Customer ID]],Data_customers!$A$2:$A$1001,Data_customers!$I$2:$I$1001,,0)</f>
        <v>Yes</v>
      </c>
    </row>
    <row r="96" spans="1:16" x14ac:dyDescent="0.2">
      <c r="A96" s="2" t="s">
        <v>1018</v>
      </c>
      <c r="B96" s="3">
        <v>44014</v>
      </c>
      <c r="C96" s="2" t="s">
        <v>1019</v>
      </c>
      <c r="D96" t="s">
        <v>6154</v>
      </c>
      <c r="E96" s="2">
        <v>6</v>
      </c>
      <c r="F96" s="2" t="str">
        <f>_xlfn.XLOOKUP(Data_orders!C96,Data_customers!$A$1:$A$1001,Data_customers!$B$1:$B$1001,,0)</f>
        <v>Rudy Farquharson</v>
      </c>
      <c r="G96" s="2" t="str">
        <f>IF(_xlfn.XLOOKUP(C96,Data_customers!$A$1:$A$1001,Data_customers!$C$1:$C$1001,,0)=0,"",_xlfn.XLOOKUP(C96,Data_customers!$A$1:$A$1001,Data_customers!$C$1:$C$1001,,0))</f>
        <v/>
      </c>
      <c r="H96" s="2" t="str">
        <f>_xlfn.XLOOKUP(C96,Data_customers!$A$1:$A$1001,Data_customers!$G$1:$G$1001,"",0)</f>
        <v>Ireland</v>
      </c>
      <c r="I96" t="str">
        <f>INDEX(Data_products!$A$1:$G$49, MATCH(Data_orders!$D96,Data_products!$A$1:$A$49,0), MATCH(Data_orders!I$1,Data_products!$A$1:$G$1,0))</f>
        <v>Ara</v>
      </c>
      <c r="J96" t="str">
        <f>INDEX(Data_products!$A$1:$G$49, MATCH(Data_orders!$D96,Data_products!$A$1:$A$49,0), MATCH(Data_orders!J$1,Data_products!$A$1:$G$1,0))</f>
        <v>D</v>
      </c>
      <c r="K96" s="4">
        <f>INDEX(Data_products!$A$1:$G$49, MATCH(Data_orders!$D96,Data_products!$A$1:$A$49,0), MATCH(Data_orders!K$1,Data_products!$A$1:$G$1,0))</f>
        <v>0.2</v>
      </c>
      <c r="L96">
        <f>INDEX(Data_products!$A$1:$G$49, MATCH(Data_orders!$D96,Data_products!$A$1:$A$49,0), MATCH(Data_orders!L$1,Data_products!$A$1:$G$1,0))</f>
        <v>2.9849999999999999</v>
      </c>
      <c r="M96">
        <f t="shared" si="2"/>
        <v>17.91</v>
      </c>
      <c r="N96" t="str" cm="1">
        <f t="array" ref="N96">_xlfn.IFS(I96 = "Rob", "Robusta", I96 = "Exc", "Excelsa", I96 = "Ara", "Arabica", I96 = "Lib", "Liberica")</f>
        <v>Arabica</v>
      </c>
      <c r="O96" t="str">
        <f t="shared" si="3"/>
        <v>Dark</v>
      </c>
      <c r="P96" t="str">
        <f>_xlfn.XLOOKUP(Table1[[#This Row],[Customer ID]],Data_customers!$A$2:$A$1001,Data_customers!$I$2:$I$1001,,0)</f>
        <v>Yes</v>
      </c>
    </row>
    <row r="97" spans="1:16" x14ac:dyDescent="0.2">
      <c r="A97" s="2" t="s">
        <v>1022</v>
      </c>
      <c r="B97" s="3">
        <v>43816</v>
      </c>
      <c r="C97" s="2" t="s">
        <v>1023</v>
      </c>
      <c r="D97" t="s">
        <v>6175</v>
      </c>
      <c r="E97" s="2">
        <v>6</v>
      </c>
      <c r="F97" s="2" t="str">
        <f>_xlfn.XLOOKUP(Data_orders!C97,Data_customers!$A$1:$A$1001,Data_customers!$B$1:$B$1001,,0)</f>
        <v>Norene Magauran</v>
      </c>
      <c r="G97" s="2" t="str">
        <f>IF(_xlfn.XLOOKUP(C97,Data_customers!$A$1:$A$1001,Data_customers!$C$1:$C$1001,,0)=0,"",_xlfn.XLOOKUP(C97,Data_customers!$A$1:$A$1001,Data_customers!$C$1:$C$1001,,0))</f>
        <v>nmagauran2n@51.la</v>
      </c>
      <c r="H97" s="2" t="str">
        <f>_xlfn.XLOOKUP(C97,Data_customers!$A$1:$A$1001,Data_customers!$G$1:$G$1001,"",0)</f>
        <v>United States</v>
      </c>
      <c r="I97" t="str">
        <f>INDEX(Data_products!$A$1:$G$49, MATCH(Data_orders!$D97,Data_products!$A$1:$A$49,0), MATCH(Data_orders!I$1,Data_products!$A$1:$G$1,0))</f>
        <v>Ara</v>
      </c>
      <c r="J97" t="str">
        <f>INDEX(Data_products!$A$1:$G$49, MATCH(Data_orders!$D97,Data_products!$A$1:$A$49,0), MATCH(Data_orders!J$1,Data_products!$A$1:$G$1,0))</f>
        <v>M</v>
      </c>
      <c r="K97" s="4">
        <f>INDEX(Data_products!$A$1:$G$49, MATCH(Data_orders!$D97,Data_products!$A$1:$A$49,0), MATCH(Data_orders!K$1,Data_products!$A$1:$G$1,0))</f>
        <v>2.5</v>
      </c>
      <c r="L97">
        <f>INDEX(Data_products!$A$1:$G$49, MATCH(Data_orders!$D97,Data_products!$A$1:$A$49,0), MATCH(Data_orders!L$1,Data_products!$A$1:$G$1,0))</f>
        <v>25.874999999999996</v>
      </c>
      <c r="M97">
        <f t="shared" si="2"/>
        <v>155.24999999999997</v>
      </c>
      <c r="N97" t="str" cm="1">
        <f t="array" ref="N97">_xlfn.IFS(I97 = "Rob", "Robusta", I97 = "Exc", "Excelsa", I97 = "Ara", "Arabica", I97 = "Lib", "Liberica")</f>
        <v>Arabica</v>
      </c>
      <c r="O97" t="str">
        <f t="shared" si="3"/>
        <v>Medium</v>
      </c>
      <c r="P97" t="str">
        <f>_xlfn.XLOOKUP(Table1[[#This Row],[Customer ID]],Data_customers!$A$2:$A$1001,Data_customers!$I$2:$I$1001,,0)</f>
        <v>No</v>
      </c>
    </row>
    <row r="98" spans="1:16" x14ac:dyDescent="0.2">
      <c r="A98" s="2" t="s">
        <v>1027</v>
      </c>
      <c r="B98" s="3">
        <v>44171</v>
      </c>
      <c r="C98" s="2" t="s">
        <v>1028</v>
      </c>
      <c r="D98" t="s">
        <v>6154</v>
      </c>
      <c r="E98" s="2">
        <v>2</v>
      </c>
      <c r="F98" s="2" t="str">
        <f>_xlfn.XLOOKUP(Data_orders!C98,Data_customers!$A$1:$A$1001,Data_customers!$B$1:$B$1001,,0)</f>
        <v>Vicki Kirdsch</v>
      </c>
      <c r="G98" s="2" t="str">
        <f>IF(_xlfn.XLOOKUP(C98,Data_customers!$A$1:$A$1001,Data_customers!$C$1:$C$1001,,0)=0,"",_xlfn.XLOOKUP(C98,Data_customers!$A$1:$A$1001,Data_customers!$C$1:$C$1001,,0))</f>
        <v>vkirdsch2o@google.fr</v>
      </c>
      <c r="H98" s="2" t="str">
        <f>_xlfn.XLOOKUP(C98,Data_customers!$A$1:$A$1001,Data_customers!$G$1:$G$1001,"",0)</f>
        <v>United States</v>
      </c>
      <c r="I98" t="str">
        <f>INDEX(Data_products!$A$1:$G$49, MATCH(Data_orders!$D98,Data_products!$A$1:$A$49,0), MATCH(Data_orders!I$1,Data_products!$A$1:$G$1,0))</f>
        <v>Ara</v>
      </c>
      <c r="J98" t="str">
        <f>INDEX(Data_products!$A$1:$G$49, MATCH(Data_orders!$D98,Data_products!$A$1:$A$49,0), MATCH(Data_orders!J$1,Data_products!$A$1:$G$1,0))</f>
        <v>D</v>
      </c>
      <c r="K98" s="4">
        <f>INDEX(Data_products!$A$1:$G$49, MATCH(Data_orders!$D98,Data_products!$A$1:$A$49,0), MATCH(Data_orders!K$1,Data_products!$A$1:$G$1,0))</f>
        <v>0.2</v>
      </c>
      <c r="L98">
        <f>INDEX(Data_products!$A$1:$G$49, MATCH(Data_orders!$D98,Data_products!$A$1:$A$49,0), MATCH(Data_orders!L$1,Data_products!$A$1:$G$1,0))</f>
        <v>2.9849999999999999</v>
      </c>
      <c r="M98">
        <f t="shared" si="2"/>
        <v>5.97</v>
      </c>
      <c r="N98" t="str" cm="1">
        <f t="array" ref="N98">_xlfn.IFS(I98 = "Rob", "Robusta", I98 = "Exc", "Excelsa", I98 = "Ara", "Arabica", I98 = "Lib", "Liberica")</f>
        <v>Arabica</v>
      </c>
      <c r="O98" t="str">
        <f t="shared" si="3"/>
        <v>Dark</v>
      </c>
      <c r="P98" t="str">
        <f>_xlfn.XLOOKUP(Table1[[#This Row],[Customer ID]],Data_customers!$A$2:$A$1001,Data_customers!$I$2:$I$1001,,0)</f>
        <v>No</v>
      </c>
    </row>
    <row r="99" spans="1:16" x14ac:dyDescent="0.2">
      <c r="A99" s="2" t="s">
        <v>1032</v>
      </c>
      <c r="B99" s="3">
        <v>44259</v>
      </c>
      <c r="C99" s="2" t="s">
        <v>1033</v>
      </c>
      <c r="D99" t="s">
        <v>6157</v>
      </c>
      <c r="E99" s="2">
        <v>2</v>
      </c>
      <c r="F99" s="2" t="str">
        <f>_xlfn.XLOOKUP(Data_orders!C99,Data_customers!$A$1:$A$1001,Data_customers!$B$1:$B$1001,,0)</f>
        <v>Ilysa Whapple</v>
      </c>
      <c r="G99" s="2" t="str">
        <f>IF(_xlfn.XLOOKUP(C99,Data_customers!$A$1:$A$1001,Data_customers!$C$1:$C$1001,,0)=0,"",_xlfn.XLOOKUP(C99,Data_customers!$A$1:$A$1001,Data_customers!$C$1:$C$1001,,0))</f>
        <v>iwhapple2p@com.com</v>
      </c>
      <c r="H99" s="2" t="str">
        <f>_xlfn.XLOOKUP(C99,Data_customers!$A$1:$A$1001,Data_customers!$G$1:$G$1001,"",0)</f>
        <v>United States</v>
      </c>
      <c r="I99" t="str">
        <f>INDEX(Data_products!$A$1:$G$49, MATCH(Data_orders!$D99,Data_products!$A$1:$A$49,0), MATCH(Data_orders!I$1,Data_products!$A$1:$G$1,0))</f>
        <v>Ara</v>
      </c>
      <c r="J99" t="str">
        <f>INDEX(Data_products!$A$1:$G$49, MATCH(Data_orders!$D99,Data_products!$A$1:$A$49,0), MATCH(Data_orders!J$1,Data_products!$A$1:$G$1,0))</f>
        <v>M</v>
      </c>
      <c r="K99" s="4">
        <f>INDEX(Data_products!$A$1:$G$49, MATCH(Data_orders!$D99,Data_products!$A$1:$A$49,0), MATCH(Data_orders!K$1,Data_products!$A$1:$G$1,0))</f>
        <v>0.5</v>
      </c>
      <c r="L99">
        <f>INDEX(Data_products!$A$1:$G$49, MATCH(Data_orders!$D99,Data_products!$A$1:$A$49,0), MATCH(Data_orders!L$1,Data_products!$A$1:$G$1,0))</f>
        <v>6.75</v>
      </c>
      <c r="M99">
        <f t="shared" si="2"/>
        <v>13.5</v>
      </c>
      <c r="N99" t="str" cm="1">
        <f t="array" ref="N99">_xlfn.IFS(I99 = "Rob", "Robusta", I99 = "Exc", "Excelsa", I99 = "Ara", "Arabica", I99 = "Lib", "Liberica")</f>
        <v>Arabica</v>
      </c>
      <c r="O99" t="str">
        <f t="shared" si="3"/>
        <v>Medium</v>
      </c>
      <c r="P99" t="str">
        <f>_xlfn.XLOOKUP(Table1[[#This Row],[Customer ID]],Data_customers!$A$2:$A$1001,Data_customers!$I$2:$I$1001,,0)</f>
        <v>No</v>
      </c>
    </row>
    <row r="100" spans="1:16" x14ac:dyDescent="0.2">
      <c r="A100" s="2" t="s">
        <v>1038</v>
      </c>
      <c r="B100" s="3">
        <v>44394</v>
      </c>
      <c r="C100" s="2" t="s">
        <v>1039</v>
      </c>
      <c r="D100" t="s">
        <v>6154</v>
      </c>
      <c r="E100" s="2">
        <v>1</v>
      </c>
      <c r="F100" s="2" t="str">
        <f>_xlfn.XLOOKUP(Data_orders!C100,Data_customers!$A$1:$A$1001,Data_customers!$B$1:$B$1001,,0)</f>
        <v>Ruy Cancellieri</v>
      </c>
      <c r="G100" s="2" t="str">
        <f>IF(_xlfn.XLOOKUP(C100,Data_customers!$A$1:$A$1001,Data_customers!$C$1:$C$1001,,0)=0,"",_xlfn.XLOOKUP(C100,Data_customers!$A$1:$A$1001,Data_customers!$C$1:$C$1001,,0))</f>
        <v/>
      </c>
      <c r="H100" s="2" t="str">
        <f>_xlfn.XLOOKUP(C100,Data_customers!$A$1:$A$1001,Data_customers!$G$1:$G$1001,"",0)</f>
        <v>Ireland</v>
      </c>
      <c r="I100" t="str">
        <f>INDEX(Data_products!$A$1:$G$49, MATCH(Data_orders!$D100,Data_products!$A$1:$A$49,0), MATCH(Data_orders!I$1,Data_products!$A$1:$G$1,0))</f>
        <v>Ara</v>
      </c>
      <c r="J100" t="str">
        <f>INDEX(Data_products!$A$1:$G$49, MATCH(Data_orders!$D100,Data_products!$A$1:$A$49,0), MATCH(Data_orders!J$1,Data_products!$A$1:$G$1,0))</f>
        <v>D</v>
      </c>
      <c r="K100" s="4">
        <f>INDEX(Data_products!$A$1:$G$49, MATCH(Data_orders!$D100,Data_products!$A$1:$A$49,0), MATCH(Data_orders!K$1,Data_products!$A$1:$G$1,0))</f>
        <v>0.2</v>
      </c>
      <c r="L100">
        <f>INDEX(Data_products!$A$1:$G$49, MATCH(Data_orders!$D100,Data_products!$A$1:$A$49,0), MATCH(Data_orders!L$1,Data_products!$A$1:$G$1,0))</f>
        <v>2.9849999999999999</v>
      </c>
      <c r="M100">
        <f t="shared" si="2"/>
        <v>2.9849999999999999</v>
      </c>
      <c r="N100" t="str" cm="1">
        <f t="array" ref="N100">_xlfn.IFS(I100 = "Rob", "Robusta", I100 = "Exc", "Excelsa", I100 = "Ara", "Arabica", I100 = "Lib", "Liberica")</f>
        <v>Arabica</v>
      </c>
      <c r="O100" t="str">
        <f t="shared" si="3"/>
        <v>Dark</v>
      </c>
      <c r="P100" t="str">
        <f>_xlfn.XLOOKUP(Table1[[#This Row],[Customer ID]],Data_customers!$A$2:$A$1001,Data_customers!$I$2:$I$1001,,0)</f>
        <v>No</v>
      </c>
    </row>
    <row r="101" spans="1:16" x14ac:dyDescent="0.2">
      <c r="A101" s="2" t="s">
        <v>1043</v>
      </c>
      <c r="B101" s="3">
        <v>44139</v>
      </c>
      <c r="C101" s="2" t="s">
        <v>1044</v>
      </c>
      <c r="D101" t="s">
        <v>6159</v>
      </c>
      <c r="E101" s="2">
        <v>3</v>
      </c>
      <c r="F101" s="2" t="str">
        <f>_xlfn.XLOOKUP(Data_orders!C101,Data_customers!$A$1:$A$1001,Data_customers!$B$1:$B$1001,,0)</f>
        <v>Aube Follett</v>
      </c>
      <c r="G101" s="2" t="str">
        <f>IF(_xlfn.XLOOKUP(C101,Data_customers!$A$1:$A$1001,Data_customers!$C$1:$C$1001,,0)=0,"",_xlfn.XLOOKUP(C101,Data_customers!$A$1:$A$1001,Data_customers!$C$1:$C$1001,,0))</f>
        <v/>
      </c>
      <c r="H101" s="2" t="str">
        <f>_xlfn.XLOOKUP(C101,Data_customers!$A$1:$A$1001,Data_customers!$G$1:$G$1001,"",0)</f>
        <v>United States</v>
      </c>
      <c r="I101" t="str">
        <f>INDEX(Data_products!$A$1:$G$49, MATCH(Data_orders!$D101,Data_products!$A$1:$A$49,0), MATCH(Data_orders!I$1,Data_products!$A$1:$G$1,0))</f>
        <v>Lib</v>
      </c>
      <c r="J101" t="str">
        <f>INDEX(Data_products!$A$1:$G$49, MATCH(Data_orders!$D101,Data_products!$A$1:$A$49,0), MATCH(Data_orders!J$1,Data_products!$A$1:$G$1,0))</f>
        <v>M</v>
      </c>
      <c r="K101" s="4">
        <f>INDEX(Data_products!$A$1:$G$49, MATCH(Data_orders!$D101,Data_products!$A$1:$A$49,0), MATCH(Data_orders!K$1,Data_products!$A$1:$G$1,0))</f>
        <v>0.2</v>
      </c>
      <c r="L101">
        <f>INDEX(Data_products!$A$1:$G$49, MATCH(Data_orders!$D101,Data_products!$A$1:$A$49,0), MATCH(Data_orders!L$1,Data_products!$A$1:$G$1,0))</f>
        <v>4.3650000000000002</v>
      </c>
      <c r="M101">
        <f t="shared" si="2"/>
        <v>13.095000000000001</v>
      </c>
      <c r="N101" t="str" cm="1">
        <f t="array" ref="N101">_xlfn.IFS(I101 = "Rob", "Robusta", I101 = "Exc", "Excelsa", I101 = "Ara", "Arabica", I101 = "Lib", "Liberica")</f>
        <v>Liberica</v>
      </c>
      <c r="O101" t="str">
        <f t="shared" si="3"/>
        <v>Medium</v>
      </c>
      <c r="P101" t="str">
        <f>_xlfn.XLOOKUP(Table1[[#This Row],[Customer ID]],Data_customers!$A$2:$A$1001,Data_customers!$I$2:$I$1001,,0)</f>
        <v>Yes</v>
      </c>
    </row>
    <row r="102" spans="1:16" x14ac:dyDescent="0.2">
      <c r="A102" s="2" t="s">
        <v>1048</v>
      </c>
      <c r="B102" s="3">
        <v>44291</v>
      </c>
      <c r="C102" s="2" t="s">
        <v>1049</v>
      </c>
      <c r="D102" t="s">
        <v>6167</v>
      </c>
      <c r="E102" s="2">
        <v>2</v>
      </c>
      <c r="F102" s="2" t="str">
        <f>_xlfn.XLOOKUP(Data_orders!C102,Data_customers!$A$1:$A$1001,Data_customers!$B$1:$B$1001,,0)</f>
        <v>Rudiger Di Bartolomeo</v>
      </c>
      <c r="G102" s="2" t="str">
        <f>IF(_xlfn.XLOOKUP(C102,Data_customers!$A$1:$A$1001,Data_customers!$C$1:$C$1001,,0)=0,"",_xlfn.XLOOKUP(C102,Data_customers!$A$1:$A$1001,Data_customers!$C$1:$C$1001,,0))</f>
        <v/>
      </c>
      <c r="H102" s="2" t="str">
        <f>_xlfn.XLOOKUP(C102,Data_customers!$A$1:$A$1001,Data_customers!$G$1:$G$1001,"",0)</f>
        <v>United States</v>
      </c>
      <c r="I102" t="str">
        <f>INDEX(Data_products!$A$1:$G$49, MATCH(Data_orders!$D102,Data_products!$A$1:$A$49,0), MATCH(Data_orders!I$1,Data_products!$A$1:$G$1,0))</f>
        <v>Ara</v>
      </c>
      <c r="J102" t="str">
        <f>INDEX(Data_products!$A$1:$G$49, MATCH(Data_orders!$D102,Data_products!$A$1:$A$49,0), MATCH(Data_orders!J$1,Data_products!$A$1:$G$1,0))</f>
        <v>L</v>
      </c>
      <c r="K102" s="4">
        <f>INDEX(Data_products!$A$1:$G$49, MATCH(Data_orders!$D102,Data_products!$A$1:$A$49,0), MATCH(Data_orders!K$1,Data_products!$A$1:$G$1,0))</f>
        <v>0.2</v>
      </c>
      <c r="L102">
        <f>INDEX(Data_products!$A$1:$G$49, MATCH(Data_orders!$D102,Data_products!$A$1:$A$49,0), MATCH(Data_orders!L$1,Data_products!$A$1:$G$1,0))</f>
        <v>3.8849999999999998</v>
      </c>
      <c r="M102">
        <f t="shared" si="2"/>
        <v>7.77</v>
      </c>
      <c r="N102" t="str" cm="1">
        <f t="array" ref="N102">_xlfn.IFS(I102 = "Rob", "Robusta", I102 = "Exc", "Excelsa", I102 = "Ara", "Arabica", I102 = "Lib", "Liberica")</f>
        <v>Arabica</v>
      </c>
      <c r="O102" t="str">
        <f t="shared" si="3"/>
        <v>Light</v>
      </c>
      <c r="P102" t="str">
        <f>_xlfn.XLOOKUP(Table1[[#This Row],[Customer ID]],Data_customers!$A$2:$A$1001,Data_customers!$I$2:$I$1001,,0)</f>
        <v>Yes</v>
      </c>
    </row>
    <row r="103" spans="1:16" x14ac:dyDescent="0.2">
      <c r="A103" s="2" t="s">
        <v>1053</v>
      </c>
      <c r="B103" s="3">
        <v>43891</v>
      </c>
      <c r="C103" s="2" t="s">
        <v>1054</v>
      </c>
      <c r="D103" t="s">
        <v>6165</v>
      </c>
      <c r="E103" s="2">
        <v>5</v>
      </c>
      <c r="F103" s="2" t="str">
        <f>_xlfn.XLOOKUP(Data_orders!C103,Data_customers!$A$1:$A$1001,Data_customers!$B$1:$B$1001,,0)</f>
        <v>Nickey Youles</v>
      </c>
      <c r="G103" s="2" t="str">
        <f>IF(_xlfn.XLOOKUP(C103,Data_customers!$A$1:$A$1001,Data_customers!$C$1:$C$1001,,0)=0,"",_xlfn.XLOOKUP(C103,Data_customers!$A$1:$A$1001,Data_customers!$C$1:$C$1001,,0))</f>
        <v>nyoules2t@reference.com</v>
      </c>
      <c r="H103" s="2" t="str">
        <f>_xlfn.XLOOKUP(C103,Data_customers!$A$1:$A$1001,Data_customers!$G$1:$G$1001,"",0)</f>
        <v>Ireland</v>
      </c>
      <c r="I103" t="str">
        <f>INDEX(Data_products!$A$1:$G$49, MATCH(Data_orders!$D103,Data_products!$A$1:$A$49,0), MATCH(Data_orders!I$1,Data_products!$A$1:$G$1,0))</f>
        <v>Lib</v>
      </c>
      <c r="J103" t="str">
        <f>INDEX(Data_products!$A$1:$G$49, MATCH(Data_orders!$D103,Data_products!$A$1:$A$49,0), MATCH(Data_orders!J$1,Data_products!$A$1:$G$1,0))</f>
        <v>D</v>
      </c>
      <c r="K103" s="4">
        <f>INDEX(Data_products!$A$1:$G$49, MATCH(Data_orders!$D103,Data_products!$A$1:$A$49,0), MATCH(Data_orders!K$1,Data_products!$A$1:$G$1,0))</f>
        <v>2.5</v>
      </c>
      <c r="L103">
        <f>INDEX(Data_products!$A$1:$G$49, MATCH(Data_orders!$D103,Data_products!$A$1:$A$49,0), MATCH(Data_orders!L$1,Data_products!$A$1:$G$1,0))</f>
        <v>29.784999999999997</v>
      </c>
      <c r="M103">
        <f t="shared" si="2"/>
        <v>148.92499999999998</v>
      </c>
      <c r="N103" t="str" cm="1">
        <f t="array" ref="N103">_xlfn.IFS(I103 = "Rob", "Robusta", I103 = "Exc", "Excelsa", I103 = "Ara", "Arabica", I103 = "Lib", "Liberica")</f>
        <v>Liberica</v>
      </c>
      <c r="O103" t="str">
        <f t="shared" si="3"/>
        <v>Dark</v>
      </c>
      <c r="P103" t="str">
        <f>_xlfn.XLOOKUP(Table1[[#This Row],[Customer ID]],Data_customers!$A$2:$A$1001,Data_customers!$I$2:$I$1001,,0)</f>
        <v>Yes</v>
      </c>
    </row>
    <row r="104" spans="1:16" x14ac:dyDescent="0.2">
      <c r="A104" s="2" t="s">
        <v>1059</v>
      </c>
      <c r="B104" s="3">
        <v>44488</v>
      </c>
      <c r="C104" s="2" t="s">
        <v>1060</v>
      </c>
      <c r="D104" t="s">
        <v>6143</v>
      </c>
      <c r="E104" s="2">
        <v>3</v>
      </c>
      <c r="F104" s="2" t="str">
        <f>_xlfn.XLOOKUP(Data_orders!C104,Data_customers!$A$1:$A$1001,Data_customers!$B$1:$B$1001,,0)</f>
        <v>Dyanna Aizikovitz</v>
      </c>
      <c r="G104" s="2" t="str">
        <f>IF(_xlfn.XLOOKUP(C104,Data_customers!$A$1:$A$1001,Data_customers!$C$1:$C$1001,,0)=0,"",_xlfn.XLOOKUP(C104,Data_customers!$A$1:$A$1001,Data_customers!$C$1:$C$1001,,0))</f>
        <v>daizikovitz2u@answers.com</v>
      </c>
      <c r="H104" s="2" t="str">
        <f>_xlfn.XLOOKUP(C104,Data_customers!$A$1:$A$1001,Data_customers!$G$1:$G$1001,"",0)</f>
        <v>Ireland</v>
      </c>
      <c r="I104" t="str">
        <f>INDEX(Data_products!$A$1:$G$49, MATCH(Data_orders!$D104,Data_products!$A$1:$A$49,0), MATCH(Data_orders!I$1,Data_products!$A$1:$G$1,0))</f>
        <v>Lib</v>
      </c>
      <c r="J104" t="str">
        <f>INDEX(Data_products!$A$1:$G$49, MATCH(Data_orders!$D104,Data_products!$A$1:$A$49,0), MATCH(Data_orders!J$1,Data_products!$A$1:$G$1,0))</f>
        <v>D</v>
      </c>
      <c r="K104" s="4">
        <f>INDEX(Data_products!$A$1:$G$49, MATCH(Data_orders!$D104,Data_products!$A$1:$A$49,0), MATCH(Data_orders!K$1,Data_products!$A$1:$G$1,0))</f>
        <v>1</v>
      </c>
      <c r="L104">
        <f>INDEX(Data_products!$A$1:$G$49, MATCH(Data_orders!$D104,Data_products!$A$1:$A$49,0), MATCH(Data_orders!L$1,Data_products!$A$1:$G$1,0))</f>
        <v>12.95</v>
      </c>
      <c r="M104">
        <f t="shared" si="2"/>
        <v>38.849999999999994</v>
      </c>
      <c r="N104" t="str" cm="1">
        <f t="array" ref="N104">_xlfn.IFS(I104 = "Rob", "Robusta", I104 = "Exc", "Excelsa", I104 = "Ara", "Arabica", I104 = "Lib", "Liberica")</f>
        <v>Liberica</v>
      </c>
      <c r="O104" t="str">
        <f t="shared" si="3"/>
        <v>Dark</v>
      </c>
      <c r="P104" t="str">
        <f>_xlfn.XLOOKUP(Table1[[#This Row],[Customer ID]],Data_customers!$A$2:$A$1001,Data_customers!$I$2:$I$1001,,0)</f>
        <v>Yes</v>
      </c>
    </row>
    <row r="105" spans="1:16" x14ac:dyDescent="0.2">
      <c r="A105" s="2" t="s">
        <v>1065</v>
      </c>
      <c r="B105" s="3">
        <v>44750</v>
      </c>
      <c r="C105" s="2" t="s">
        <v>1066</v>
      </c>
      <c r="D105" t="s">
        <v>6174</v>
      </c>
      <c r="E105" s="2">
        <v>4</v>
      </c>
      <c r="F105" s="2" t="str">
        <f>_xlfn.XLOOKUP(Data_orders!C105,Data_customers!$A$1:$A$1001,Data_customers!$B$1:$B$1001,,0)</f>
        <v>Bram Revel</v>
      </c>
      <c r="G105" s="2" t="str">
        <f>IF(_xlfn.XLOOKUP(C105,Data_customers!$A$1:$A$1001,Data_customers!$C$1:$C$1001,,0)=0,"",_xlfn.XLOOKUP(C105,Data_customers!$A$1:$A$1001,Data_customers!$C$1:$C$1001,,0))</f>
        <v>brevel2v@fastcompany.com</v>
      </c>
      <c r="H105" s="2" t="str">
        <f>_xlfn.XLOOKUP(C105,Data_customers!$A$1:$A$1001,Data_customers!$G$1:$G$1001,"",0)</f>
        <v>United States</v>
      </c>
      <c r="I105" t="str">
        <f>INDEX(Data_products!$A$1:$G$49, MATCH(Data_orders!$D105,Data_products!$A$1:$A$49,0), MATCH(Data_orders!I$1,Data_products!$A$1:$G$1,0))</f>
        <v>Rob</v>
      </c>
      <c r="J105" t="str">
        <f>INDEX(Data_products!$A$1:$G$49, MATCH(Data_orders!$D105,Data_products!$A$1:$A$49,0), MATCH(Data_orders!J$1,Data_products!$A$1:$G$1,0))</f>
        <v>M</v>
      </c>
      <c r="K105" s="4">
        <f>INDEX(Data_products!$A$1:$G$49, MATCH(Data_orders!$D105,Data_products!$A$1:$A$49,0), MATCH(Data_orders!K$1,Data_products!$A$1:$G$1,0))</f>
        <v>0.2</v>
      </c>
      <c r="L105">
        <f>INDEX(Data_products!$A$1:$G$49, MATCH(Data_orders!$D105,Data_products!$A$1:$A$49,0), MATCH(Data_orders!L$1,Data_products!$A$1:$G$1,0))</f>
        <v>2.9849999999999999</v>
      </c>
      <c r="M105">
        <f t="shared" si="2"/>
        <v>11.94</v>
      </c>
      <c r="N105" t="str" cm="1">
        <f t="array" ref="N105">_xlfn.IFS(I105 = "Rob", "Robusta", I105 = "Exc", "Excelsa", I105 = "Ara", "Arabica", I105 = "Lib", "Liberica")</f>
        <v>Robusta</v>
      </c>
      <c r="O105" t="str">
        <f t="shared" si="3"/>
        <v>Medium</v>
      </c>
      <c r="P105" t="str">
        <f>_xlfn.XLOOKUP(Table1[[#This Row],[Customer ID]],Data_customers!$A$2:$A$1001,Data_customers!$I$2:$I$1001,,0)</f>
        <v>No</v>
      </c>
    </row>
    <row r="106" spans="1:16" x14ac:dyDescent="0.2">
      <c r="A106" s="2" t="s">
        <v>1071</v>
      </c>
      <c r="B106" s="3">
        <v>43694</v>
      </c>
      <c r="C106" s="2" t="s">
        <v>1072</v>
      </c>
      <c r="D106" t="s">
        <v>6162</v>
      </c>
      <c r="E106" s="2">
        <v>6</v>
      </c>
      <c r="F106" s="2" t="str">
        <f>_xlfn.XLOOKUP(Data_orders!C106,Data_customers!$A$1:$A$1001,Data_customers!$B$1:$B$1001,,0)</f>
        <v>Emiline Priddis</v>
      </c>
      <c r="G106" s="2" t="str">
        <f>IF(_xlfn.XLOOKUP(C106,Data_customers!$A$1:$A$1001,Data_customers!$C$1:$C$1001,,0)=0,"",_xlfn.XLOOKUP(C106,Data_customers!$A$1:$A$1001,Data_customers!$C$1:$C$1001,,0))</f>
        <v>epriddis2w@nationalgeographic.com</v>
      </c>
      <c r="H106" s="2" t="str">
        <f>_xlfn.XLOOKUP(C106,Data_customers!$A$1:$A$1001,Data_customers!$G$1:$G$1001,"",0)</f>
        <v>United States</v>
      </c>
      <c r="I106" t="str">
        <f>INDEX(Data_products!$A$1:$G$49, MATCH(Data_orders!$D106,Data_products!$A$1:$A$49,0), MATCH(Data_orders!I$1,Data_products!$A$1:$G$1,0))</f>
        <v>Lib</v>
      </c>
      <c r="J106" t="str">
        <f>INDEX(Data_products!$A$1:$G$49, MATCH(Data_orders!$D106,Data_products!$A$1:$A$49,0), MATCH(Data_orders!J$1,Data_products!$A$1:$G$1,0))</f>
        <v>M</v>
      </c>
      <c r="K106" s="4">
        <f>INDEX(Data_products!$A$1:$G$49, MATCH(Data_orders!$D106,Data_products!$A$1:$A$49,0), MATCH(Data_orders!K$1,Data_products!$A$1:$G$1,0))</f>
        <v>1</v>
      </c>
      <c r="L106">
        <f>INDEX(Data_products!$A$1:$G$49, MATCH(Data_orders!$D106,Data_products!$A$1:$A$49,0), MATCH(Data_orders!L$1,Data_products!$A$1:$G$1,0))</f>
        <v>14.55</v>
      </c>
      <c r="M106">
        <f t="shared" si="2"/>
        <v>87.300000000000011</v>
      </c>
      <c r="N106" t="str" cm="1">
        <f t="array" ref="N106">_xlfn.IFS(I106 = "Rob", "Robusta", I106 = "Exc", "Excelsa", I106 = "Ara", "Arabica", I106 = "Lib", "Liberica")</f>
        <v>Liberica</v>
      </c>
      <c r="O106" t="str">
        <f t="shared" si="3"/>
        <v>Medium</v>
      </c>
      <c r="P106" t="str">
        <f>_xlfn.XLOOKUP(Table1[[#This Row],[Customer ID]],Data_customers!$A$2:$A$1001,Data_customers!$I$2:$I$1001,,0)</f>
        <v>No</v>
      </c>
    </row>
    <row r="107" spans="1:16" x14ac:dyDescent="0.2">
      <c r="A107" s="2" t="s">
        <v>1077</v>
      </c>
      <c r="B107" s="3">
        <v>43982</v>
      </c>
      <c r="C107" s="2" t="s">
        <v>1078</v>
      </c>
      <c r="D107" t="s">
        <v>6157</v>
      </c>
      <c r="E107" s="2">
        <v>6</v>
      </c>
      <c r="F107" s="2" t="str">
        <f>_xlfn.XLOOKUP(Data_orders!C107,Data_customers!$A$1:$A$1001,Data_customers!$B$1:$B$1001,,0)</f>
        <v>Queenie Veel</v>
      </c>
      <c r="G107" s="2" t="str">
        <f>IF(_xlfn.XLOOKUP(C107,Data_customers!$A$1:$A$1001,Data_customers!$C$1:$C$1001,,0)=0,"",_xlfn.XLOOKUP(C107,Data_customers!$A$1:$A$1001,Data_customers!$C$1:$C$1001,,0))</f>
        <v>qveel2x@jugem.jp</v>
      </c>
      <c r="H107" s="2" t="str">
        <f>_xlfn.XLOOKUP(C107,Data_customers!$A$1:$A$1001,Data_customers!$G$1:$G$1001,"",0)</f>
        <v>United States</v>
      </c>
      <c r="I107" t="str">
        <f>INDEX(Data_products!$A$1:$G$49, MATCH(Data_orders!$D107,Data_products!$A$1:$A$49,0), MATCH(Data_orders!I$1,Data_products!$A$1:$G$1,0))</f>
        <v>Ara</v>
      </c>
      <c r="J107" t="str">
        <f>INDEX(Data_products!$A$1:$G$49, MATCH(Data_orders!$D107,Data_products!$A$1:$A$49,0), MATCH(Data_orders!J$1,Data_products!$A$1:$G$1,0))</f>
        <v>M</v>
      </c>
      <c r="K107" s="4">
        <f>INDEX(Data_products!$A$1:$G$49, MATCH(Data_orders!$D107,Data_products!$A$1:$A$49,0), MATCH(Data_orders!K$1,Data_products!$A$1:$G$1,0))</f>
        <v>0.5</v>
      </c>
      <c r="L107">
        <f>INDEX(Data_products!$A$1:$G$49, MATCH(Data_orders!$D107,Data_products!$A$1:$A$49,0), MATCH(Data_orders!L$1,Data_products!$A$1:$G$1,0))</f>
        <v>6.75</v>
      </c>
      <c r="M107">
        <f t="shared" si="2"/>
        <v>40.5</v>
      </c>
      <c r="N107" t="str" cm="1">
        <f t="array" ref="N107">_xlfn.IFS(I107 = "Rob", "Robusta", I107 = "Exc", "Excelsa", I107 = "Ara", "Arabica", I107 = "Lib", "Liberica")</f>
        <v>Arabica</v>
      </c>
      <c r="O107" t="str">
        <f t="shared" si="3"/>
        <v>Medium</v>
      </c>
      <c r="P107" t="str">
        <f>_xlfn.XLOOKUP(Table1[[#This Row],[Customer ID]],Data_customers!$A$2:$A$1001,Data_customers!$I$2:$I$1001,,0)</f>
        <v>Yes</v>
      </c>
    </row>
    <row r="108" spans="1:16" x14ac:dyDescent="0.2">
      <c r="A108" s="2" t="s">
        <v>1083</v>
      </c>
      <c r="B108" s="3">
        <v>43956</v>
      </c>
      <c r="C108" s="2" t="s">
        <v>1084</v>
      </c>
      <c r="D108" t="s">
        <v>6183</v>
      </c>
      <c r="E108" s="2">
        <v>2</v>
      </c>
      <c r="F108" s="2" t="str">
        <f>_xlfn.XLOOKUP(Data_orders!C108,Data_customers!$A$1:$A$1001,Data_customers!$B$1:$B$1001,,0)</f>
        <v>Lind Conyers</v>
      </c>
      <c r="G108" s="2" t="str">
        <f>IF(_xlfn.XLOOKUP(C108,Data_customers!$A$1:$A$1001,Data_customers!$C$1:$C$1001,,0)=0,"",_xlfn.XLOOKUP(C108,Data_customers!$A$1:$A$1001,Data_customers!$C$1:$C$1001,,0))</f>
        <v>lconyers2y@twitter.com</v>
      </c>
      <c r="H108" s="2" t="str">
        <f>_xlfn.XLOOKUP(C108,Data_customers!$A$1:$A$1001,Data_customers!$G$1:$G$1001,"",0)</f>
        <v>United States</v>
      </c>
      <c r="I108" t="str">
        <f>INDEX(Data_products!$A$1:$G$49, MATCH(Data_orders!$D108,Data_products!$A$1:$A$49,0), MATCH(Data_orders!I$1,Data_products!$A$1:$G$1,0))</f>
        <v>Exc</v>
      </c>
      <c r="J108" t="str">
        <f>INDEX(Data_products!$A$1:$G$49, MATCH(Data_orders!$D108,Data_products!$A$1:$A$49,0), MATCH(Data_orders!J$1,Data_products!$A$1:$G$1,0))</f>
        <v>D</v>
      </c>
      <c r="K108" s="4">
        <f>INDEX(Data_products!$A$1:$G$49, MATCH(Data_orders!$D108,Data_products!$A$1:$A$49,0), MATCH(Data_orders!K$1,Data_products!$A$1:$G$1,0))</f>
        <v>1</v>
      </c>
      <c r="L108">
        <f>INDEX(Data_products!$A$1:$G$49, MATCH(Data_orders!$D108,Data_products!$A$1:$A$49,0), MATCH(Data_orders!L$1,Data_products!$A$1:$G$1,0))</f>
        <v>12.15</v>
      </c>
      <c r="M108">
        <f t="shared" si="2"/>
        <v>24.3</v>
      </c>
      <c r="N108" t="str" cm="1">
        <f t="array" ref="N108">_xlfn.IFS(I108 = "Rob", "Robusta", I108 = "Exc", "Excelsa", I108 = "Ara", "Arabica", I108 = "Lib", "Liberica")</f>
        <v>Excelsa</v>
      </c>
      <c r="O108" t="str">
        <f t="shared" si="3"/>
        <v>Dark</v>
      </c>
      <c r="P108" t="str">
        <f>_xlfn.XLOOKUP(Table1[[#This Row],[Customer ID]],Data_customers!$A$2:$A$1001,Data_customers!$I$2:$I$1001,,0)</f>
        <v>No</v>
      </c>
    </row>
    <row r="109" spans="1:16" x14ac:dyDescent="0.2">
      <c r="A109" s="2" t="s">
        <v>1089</v>
      </c>
      <c r="B109" s="3">
        <v>43569</v>
      </c>
      <c r="C109" s="2" t="s">
        <v>1090</v>
      </c>
      <c r="D109" t="s">
        <v>6146</v>
      </c>
      <c r="E109" s="2">
        <v>3</v>
      </c>
      <c r="F109" s="2" t="str">
        <f>_xlfn.XLOOKUP(Data_orders!C109,Data_customers!$A$1:$A$1001,Data_customers!$B$1:$B$1001,,0)</f>
        <v>Pen Wye</v>
      </c>
      <c r="G109" s="2" t="str">
        <f>IF(_xlfn.XLOOKUP(C109,Data_customers!$A$1:$A$1001,Data_customers!$C$1:$C$1001,,0)=0,"",_xlfn.XLOOKUP(C109,Data_customers!$A$1:$A$1001,Data_customers!$C$1:$C$1001,,0))</f>
        <v>pwye2z@dagondesign.com</v>
      </c>
      <c r="H109" s="2" t="str">
        <f>_xlfn.XLOOKUP(C109,Data_customers!$A$1:$A$1001,Data_customers!$G$1:$G$1001,"",0)</f>
        <v>United States</v>
      </c>
      <c r="I109" t="str">
        <f>INDEX(Data_products!$A$1:$G$49, MATCH(Data_orders!$D109,Data_products!$A$1:$A$49,0), MATCH(Data_orders!I$1,Data_products!$A$1:$G$1,0))</f>
        <v>Rob</v>
      </c>
      <c r="J109" t="str">
        <f>INDEX(Data_products!$A$1:$G$49, MATCH(Data_orders!$D109,Data_products!$A$1:$A$49,0), MATCH(Data_orders!J$1,Data_products!$A$1:$G$1,0))</f>
        <v>M</v>
      </c>
      <c r="K109" s="4">
        <f>INDEX(Data_products!$A$1:$G$49, MATCH(Data_orders!$D109,Data_products!$A$1:$A$49,0), MATCH(Data_orders!K$1,Data_products!$A$1:$G$1,0))</f>
        <v>0.5</v>
      </c>
      <c r="L109">
        <f>INDEX(Data_products!$A$1:$G$49, MATCH(Data_orders!$D109,Data_products!$A$1:$A$49,0), MATCH(Data_orders!L$1,Data_products!$A$1:$G$1,0))</f>
        <v>5.97</v>
      </c>
      <c r="M109">
        <f t="shared" si="2"/>
        <v>17.91</v>
      </c>
      <c r="N109" t="str" cm="1">
        <f t="array" ref="N109">_xlfn.IFS(I109 = "Rob", "Robusta", I109 = "Exc", "Excelsa", I109 = "Ara", "Arabica", I109 = "Lib", "Liberica")</f>
        <v>Robusta</v>
      </c>
      <c r="O109" t="str">
        <f t="shared" si="3"/>
        <v>Medium</v>
      </c>
      <c r="P109" t="str">
        <f>_xlfn.XLOOKUP(Table1[[#This Row],[Customer ID]],Data_customers!$A$2:$A$1001,Data_customers!$I$2:$I$1001,,0)</f>
        <v>Yes</v>
      </c>
    </row>
    <row r="110" spans="1:16" x14ac:dyDescent="0.2">
      <c r="A110" s="2" t="s">
        <v>1095</v>
      </c>
      <c r="B110" s="3">
        <v>44041</v>
      </c>
      <c r="C110" s="2" t="s">
        <v>1096</v>
      </c>
      <c r="D110" t="s">
        <v>6157</v>
      </c>
      <c r="E110" s="2">
        <v>4</v>
      </c>
      <c r="F110" s="2" t="str">
        <f>_xlfn.XLOOKUP(Data_orders!C110,Data_customers!$A$1:$A$1001,Data_customers!$B$1:$B$1001,,0)</f>
        <v>Isahella Hagland</v>
      </c>
      <c r="G110" s="2" t="str">
        <f>IF(_xlfn.XLOOKUP(C110,Data_customers!$A$1:$A$1001,Data_customers!$C$1:$C$1001,,0)=0,"",_xlfn.XLOOKUP(C110,Data_customers!$A$1:$A$1001,Data_customers!$C$1:$C$1001,,0))</f>
        <v/>
      </c>
      <c r="H110" s="2" t="str">
        <f>_xlfn.XLOOKUP(C110,Data_customers!$A$1:$A$1001,Data_customers!$G$1:$G$1001,"",0)</f>
        <v>United States</v>
      </c>
      <c r="I110" t="str">
        <f>INDEX(Data_products!$A$1:$G$49, MATCH(Data_orders!$D110,Data_products!$A$1:$A$49,0), MATCH(Data_orders!I$1,Data_products!$A$1:$G$1,0))</f>
        <v>Ara</v>
      </c>
      <c r="J110" t="str">
        <f>INDEX(Data_products!$A$1:$G$49, MATCH(Data_orders!$D110,Data_products!$A$1:$A$49,0), MATCH(Data_orders!J$1,Data_products!$A$1:$G$1,0))</f>
        <v>M</v>
      </c>
      <c r="K110" s="4">
        <f>INDEX(Data_products!$A$1:$G$49, MATCH(Data_orders!$D110,Data_products!$A$1:$A$49,0), MATCH(Data_orders!K$1,Data_products!$A$1:$G$1,0))</f>
        <v>0.5</v>
      </c>
      <c r="L110">
        <f>INDEX(Data_products!$A$1:$G$49, MATCH(Data_orders!$D110,Data_products!$A$1:$A$49,0), MATCH(Data_orders!L$1,Data_products!$A$1:$G$1,0))</f>
        <v>6.75</v>
      </c>
      <c r="M110">
        <f t="shared" si="2"/>
        <v>27</v>
      </c>
      <c r="N110" t="str" cm="1">
        <f t="array" ref="N110">_xlfn.IFS(I110 = "Rob", "Robusta", I110 = "Exc", "Excelsa", I110 = "Ara", "Arabica", I110 = "Lib", "Liberica")</f>
        <v>Arabica</v>
      </c>
      <c r="O110" t="str">
        <f t="shared" si="3"/>
        <v>Medium</v>
      </c>
      <c r="P110" t="str">
        <f>_xlfn.XLOOKUP(Table1[[#This Row],[Customer ID]],Data_customers!$A$2:$A$1001,Data_customers!$I$2:$I$1001,,0)</f>
        <v>No</v>
      </c>
    </row>
    <row r="111" spans="1:16" x14ac:dyDescent="0.2">
      <c r="A111" s="2" t="s">
        <v>1100</v>
      </c>
      <c r="B111" s="3">
        <v>43811</v>
      </c>
      <c r="C111" s="2" t="s">
        <v>1101</v>
      </c>
      <c r="D111" t="s">
        <v>6169</v>
      </c>
      <c r="E111" s="2">
        <v>1</v>
      </c>
      <c r="F111" s="2" t="str">
        <f>_xlfn.XLOOKUP(Data_orders!C111,Data_customers!$A$1:$A$1001,Data_customers!$B$1:$B$1001,,0)</f>
        <v>Terry Sheryn</v>
      </c>
      <c r="G111" s="2" t="str">
        <f>IF(_xlfn.XLOOKUP(C111,Data_customers!$A$1:$A$1001,Data_customers!$C$1:$C$1001,,0)=0,"",_xlfn.XLOOKUP(C111,Data_customers!$A$1:$A$1001,Data_customers!$C$1:$C$1001,,0))</f>
        <v>tsheryn31@mtv.com</v>
      </c>
      <c r="H111" s="2" t="str">
        <f>_xlfn.XLOOKUP(C111,Data_customers!$A$1:$A$1001,Data_customers!$G$1:$G$1001,"",0)</f>
        <v>United States</v>
      </c>
      <c r="I111" t="str">
        <f>INDEX(Data_products!$A$1:$G$49, MATCH(Data_orders!$D111,Data_products!$A$1:$A$49,0), MATCH(Data_orders!I$1,Data_products!$A$1:$G$1,0))</f>
        <v>Lib</v>
      </c>
      <c r="J111" t="str">
        <f>INDEX(Data_products!$A$1:$G$49, MATCH(Data_orders!$D111,Data_products!$A$1:$A$49,0), MATCH(Data_orders!J$1,Data_products!$A$1:$G$1,0))</f>
        <v>D</v>
      </c>
      <c r="K111" s="4">
        <f>INDEX(Data_products!$A$1:$G$49, MATCH(Data_orders!$D111,Data_products!$A$1:$A$49,0), MATCH(Data_orders!K$1,Data_products!$A$1:$G$1,0))</f>
        <v>0.5</v>
      </c>
      <c r="L111">
        <f>INDEX(Data_products!$A$1:$G$49, MATCH(Data_orders!$D111,Data_products!$A$1:$A$49,0), MATCH(Data_orders!L$1,Data_products!$A$1:$G$1,0))</f>
        <v>7.77</v>
      </c>
      <c r="M111">
        <f t="shared" si="2"/>
        <v>7.77</v>
      </c>
      <c r="N111" t="str" cm="1">
        <f t="array" ref="N111">_xlfn.IFS(I111 = "Rob", "Robusta", I111 = "Exc", "Excelsa", I111 = "Ara", "Arabica", I111 = "Lib", "Liberica")</f>
        <v>Liberica</v>
      </c>
      <c r="O111" t="str">
        <f t="shared" si="3"/>
        <v>Dark</v>
      </c>
      <c r="P111" t="str">
        <f>_xlfn.XLOOKUP(Table1[[#This Row],[Customer ID]],Data_customers!$A$2:$A$1001,Data_customers!$I$2:$I$1001,,0)</f>
        <v>Yes</v>
      </c>
    </row>
    <row r="112" spans="1:16" x14ac:dyDescent="0.2">
      <c r="A112" s="2" t="s">
        <v>1106</v>
      </c>
      <c r="B112" s="3">
        <v>44727</v>
      </c>
      <c r="C112" s="2" t="s">
        <v>1107</v>
      </c>
      <c r="D112" t="s">
        <v>6184</v>
      </c>
      <c r="E112" s="2">
        <v>3</v>
      </c>
      <c r="F112" s="2" t="str">
        <f>_xlfn.XLOOKUP(Data_orders!C112,Data_customers!$A$1:$A$1001,Data_customers!$B$1:$B$1001,,0)</f>
        <v>Marie-jeanne Redgrave</v>
      </c>
      <c r="G112" s="2" t="str">
        <f>IF(_xlfn.XLOOKUP(C112,Data_customers!$A$1:$A$1001,Data_customers!$C$1:$C$1001,,0)=0,"",_xlfn.XLOOKUP(C112,Data_customers!$A$1:$A$1001,Data_customers!$C$1:$C$1001,,0))</f>
        <v>mredgrave32@cargocollective.com</v>
      </c>
      <c r="H112" s="2" t="str">
        <f>_xlfn.XLOOKUP(C112,Data_customers!$A$1:$A$1001,Data_customers!$G$1:$G$1001,"",0)</f>
        <v>United States</v>
      </c>
      <c r="I112" t="str">
        <f>INDEX(Data_products!$A$1:$G$49, MATCH(Data_orders!$D112,Data_products!$A$1:$A$49,0), MATCH(Data_orders!I$1,Data_products!$A$1:$G$1,0))</f>
        <v>Exc</v>
      </c>
      <c r="J112" t="str">
        <f>INDEX(Data_products!$A$1:$G$49, MATCH(Data_orders!$D112,Data_products!$A$1:$A$49,0), MATCH(Data_orders!J$1,Data_products!$A$1:$G$1,0))</f>
        <v>L</v>
      </c>
      <c r="K112" s="4">
        <f>INDEX(Data_products!$A$1:$G$49, MATCH(Data_orders!$D112,Data_products!$A$1:$A$49,0), MATCH(Data_orders!K$1,Data_products!$A$1:$G$1,0))</f>
        <v>0.2</v>
      </c>
      <c r="L112">
        <f>INDEX(Data_products!$A$1:$G$49, MATCH(Data_orders!$D112,Data_products!$A$1:$A$49,0), MATCH(Data_orders!L$1,Data_products!$A$1:$G$1,0))</f>
        <v>4.4550000000000001</v>
      </c>
      <c r="M112">
        <f t="shared" si="2"/>
        <v>13.365</v>
      </c>
      <c r="N112" t="str" cm="1">
        <f t="array" ref="N112">_xlfn.IFS(I112 = "Rob", "Robusta", I112 = "Exc", "Excelsa", I112 = "Ara", "Arabica", I112 = "Lib", "Liberica")</f>
        <v>Excelsa</v>
      </c>
      <c r="O112" t="str">
        <f t="shared" si="3"/>
        <v>Light</v>
      </c>
      <c r="P112" t="str">
        <f>_xlfn.XLOOKUP(Table1[[#This Row],[Customer ID]],Data_customers!$A$2:$A$1001,Data_customers!$I$2:$I$1001,,0)</f>
        <v>Yes</v>
      </c>
    </row>
    <row r="113" spans="1:16" x14ac:dyDescent="0.2">
      <c r="A113" s="2" t="s">
        <v>1112</v>
      </c>
      <c r="B113" s="3">
        <v>43642</v>
      </c>
      <c r="C113" s="2" t="s">
        <v>1113</v>
      </c>
      <c r="D113" t="s">
        <v>6172</v>
      </c>
      <c r="E113" s="2">
        <v>5</v>
      </c>
      <c r="F113" s="2" t="str">
        <f>_xlfn.XLOOKUP(Data_orders!C113,Data_customers!$A$1:$A$1001,Data_customers!$B$1:$B$1001,,0)</f>
        <v>Betty Fominov</v>
      </c>
      <c r="G113" s="2" t="str">
        <f>IF(_xlfn.XLOOKUP(C113,Data_customers!$A$1:$A$1001,Data_customers!$C$1:$C$1001,,0)=0,"",_xlfn.XLOOKUP(C113,Data_customers!$A$1:$A$1001,Data_customers!$C$1:$C$1001,,0))</f>
        <v>bfominov33@yale.edu</v>
      </c>
      <c r="H113" s="2" t="str">
        <f>_xlfn.XLOOKUP(C113,Data_customers!$A$1:$A$1001,Data_customers!$G$1:$G$1001,"",0)</f>
        <v>United States</v>
      </c>
      <c r="I113" t="str">
        <f>INDEX(Data_products!$A$1:$G$49, MATCH(Data_orders!$D113,Data_products!$A$1:$A$49,0), MATCH(Data_orders!I$1,Data_products!$A$1:$G$1,0))</f>
        <v>Rob</v>
      </c>
      <c r="J113" t="str">
        <f>INDEX(Data_products!$A$1:$G$49, MATCH(Data_orders!$D113,Data_products!$A$1:$A$49,0), MATCH(Data_orders!J$1,Data_products!$A$1:$G$1,0))</f>
        <v>D</v>
      </c>
      <c r="K113" s="4">
        <f>INDEX(Data_products!$A$1:$G$49, MATCH(Data_orders!$D113,Data_products!$A$1:$A$49,0), MATCH(Data_orders!K$1,Data_products!$A$1:$G$1,0))</f>
        <v>0.5</v>
      </c>
      <c r="L113">
        <f>INDEX(Data_products!$A$1:$G$49, MATCH(Data_orders!$D113,Data_products!$A$1:$A$49,0), MATCH(Data_orders!L$1,Data_products!$A$1:$G$1,0))</f>
        <v>5.3699999999999992</v>
      </c>
      <c r="M113">
        <f t="shared" si="2"/>
        <v>26.849999999999994</v>
      </c>
      <c r="N113" t="str" cm="1">
        <f t="array" ref="N113">_xlfn.IFS(I113 = "Rob", "Robusta", I113 = "Exc", "Excelsa", I113 = "Ara", "Arabica", I113 = "Lib", "Liberica")</f>
        <v>Robusta</v>
      </c>
      <c r="O113" t="str">
        <f t="shared" si="3"/>
        <v>Dark</v>
      </c>
      <c r="P113" t="str">
        <f>_xlfn.XLOOKUP(Table1[[#This Row],[Customer ID]],Data_customers!$A$2:$A$1001,Data_customers!$I$2:$I$1001,,0)</f>
        <v>No</v>
      </c>
    </row>
    <row r="114" spans="1:16" x14ac:dyDescent="0.2">
      <c r="A114" s="2" t="s">
        <v>1117</v>
      </c>
      <c r="B114" s="3">
        <v>44481</v>
      </c>
      <c r="C114" s="2" t="s">
        <v>1118</v>
      </c>
      <c r="D114" t="s">
        <v>6155</v>
      </c>
      <c r="E114" s="2">
        <v>1</v>
      </c>
      <c r="F114" s="2" t="str">
        <f>_xlfn.XLOOKUP(Data_orders!C114,Data_customers!$A$1:$A$1001,Data_customers!$B$1:$B$1001,,0)</f>
        <v>Shawnee Critchlow</v>
      </c>
      <c r="G114" s="2" t="str">
        <f>IF(_xlfn.XLOOKUP(C114,Data_customers!$A$1:$A$1001,Data_customers!$C$1:$C$1001,,0)=0,"",_xlfn.XLOOKUP(C114,Data_customers!$A$1:$A$1001,Data_customers!$C$1:$C$1001,,0))</f>
        <v>scritchlow34@un.org</v>
      </c>
      <c r="H114" s="2" t="str">
        <f>_xlfn.XLOOKUP(C114,Data_customers!$A$1:$A$1001,Data_customers!$G$1:$G$1001,"",0)</f>
        <v>United States</v>
      </c>
      <c r="I114" t="str">
        <f>INDEX(Data_products!$A$1:$G$49, MATCH(Data_orders!$D114,Data_products!$A$1:$A$49,0), MATCH(Data_orders!I$1,Data_products!$A$1:$G$1,0))</f>
        <v>Ara</v>
      </c>
      <c r="J114" t="str">
        <f>INDEX(Data_products!$A$1:$G$49, MATCH(Data_orders!$D114,Data_products!$A$1:$A$49,0), MATCH(Data_orders!J$1,Data_products!$A$1:$G$1,0))</f>
        <v>M</v>
      </c>
      <c r="K114" s="4">
        <f>INDEX(Data_products!$A$1:$G$49, MATCH(Data_orders!$D114,Data_products!$A$1:$A$49,0), MATCH(Data_orders!K$1,Data_products!$A$1:$G$1,0))</f>
        <v>1</v>
      </c>
      <c r="L114">
        <f>INDEX(Data_products!$A$1:$G$49, MATCH(Data_orders!$D114,Data_products!$A$1:$A$49,0), MATCH(Data_orders!L$1,Data_products!$A$1:$G$1,0))</f>
        <v>11.25</v>
      </c>
      <c r="M114">
        <f t="shared" si="2"/>
        <v>11.25</v>
      </c>
      <c r="N114" t="str" cm="1">
        <f t="array" ref="N114">_xlfn.IFS(I114 = "Rob", "Robusta", I114 = "Exc", "Excelsa", I114 = "Ara", "Arabica", I114 = "Lib", "Liberica")</f>
        <v>Arabica</v>
      </c>
      <c r="O114" t="str">
        <f t="shared" si="3"/>
        <v>Medium</v>
      </c>
      <c r="P114" t="str">
        <f>_xlfn.XLOOKUP(Table1[[#This Row],[Customer ID]],Data_customers!$A$2:$A$1001,Data_customers!$I$2:$I$1001,,0)</f>
        <v>No</v>
      </c>
    </row>
    <row r="115" spans="1:16" x14ac:dyDescent="0.2">
      <c r="A115" s="2" t="s">
        <v>1123</v>
      </c>
      <c r="B115" s="3">
        <v>43556</v>
      </c>
      <c r="C115" s="2" t="s">
        <v>1124</v>
      </c>
      <c r="D115" t="s">
        <v>6162</v>
      </c>
      <c r="E115" s="2">
        <v>1</v>
      </c>
      <c r="F115" s="2" t="str">
        <f>_xlfn.XLOOKUP(Data_orders!C115,Data_customers!$A$1:$A$1001,Data_customers!$B$1:$B$1001,,0)</f>
        <v>Merrel Steptow</v>
      </c>
      <c r="G115" s="2" t="str">
        <f>IF(_xlfn.XLOOKUP(C115,Data_customers!$A$1:$A$1001,Data_customers!$C$1:$C$1001,,0)=0,"",_xlfn.XLOOKUP(C115,Data_customers!$A$1:$A$1001,Data_customers!$C$1:$C$1001,,0))</f>
        <v>msteptow35@earthlink.net</v>
      </c>
      <c r="H115" s="2" t="str">
        <f>_xlfn.XLOOKUP(C115,Data_customers!$A$1:$A$1001,Data_customers!$G$1:$G$1001,"",0)</f>
        <v>Ireland</v>
      </c>
      <c r="I115" t="str">
        <f>INDEX(Data_products!$A$1:$G$49, MATCH(Data_orders!$D115,Data_products!$A$1:$A$49,0), MATCH(Data_orders!I$1,Data_products!$A$1:$G$1,0))</f>
        <v>Lib</v>
      </c>
      <c r="J115" t="str">
        <f>INDEX(Data_products!$A$1:$G$49, MATCH(Data_orders!$D115,Data_products!$A$1:$A$49,0), MATCH(Data_orders!J$1,Data_products!$A$1:$G$1,0))</f>
        <v>M</v>
      </c>
      <c r="K115" s="4">
        <f>INDEX(Data_products!$A$1:$G$49, MATCH(Data_orders!$D115,Data_products!$A$1:$A$49,0), MATCH(Data_orders!K$1,Data_products!$A$1:$G$1,0))</f>
        <v>1</v>
      </c>
      <c r="L115">
        <f>INDEX(Data_products!$A$1:$G$49, MATCH(Data_orders!$D115,Data_products!$A$1:$A$49,0), MATCH(Data_orders!L$1,Data_products!$A$1:$G$1,0))</f>
        <v>14.55</v>
      </c>
      <c r="M115">
        <f t="shared" si="2"/>
        <v>14.55</v>
      </c>
      <c r="N115" t="str" cm="1">
        <f t="array" ref="N115">_xlfn.IFS(I115 = "Rob", "Robusta", I115 = "Exc", "Excelsa", I115 = "Ara", "Arabica", I115 = "Lib", "Liberica")</f>
        <v>Liberica</v>
      </c>
      <c r="O115" t="str">
        <f t="shared" si="3"/>
        <v>Medium</v>
      </c>
      <c r="P115" t="str">
        <f>_xlfn.XLOOKUP(Table1[[#This Row],[Customer ID]],Data_customers!$A$2:$A$1001,Data_customers!$I$2:$I$1001,,0)</f>
        <v>No</v>
      </c>
    </row>
    <row r="116" spans="1:16" x14ac:dyDescent="0.2">
      <c r="A116" s="2" t="s">
        <v>1129</v>
      </c>
      <c r="B116" s="3">
        <v>44265</v>
      </c>
      <c r="C116" s="2" t="s">
        <v>1130</v>
      </c>
      <c r="D116" t="s">
        <v>6178</v>
      </c>
      <c r="E116" s="2">
        <v>4</v>
      </c>
      <c r="F116" s="2" t="str">
        <f>_xlfn.XLOOKUP(Data_orders!C116,Data_customers!$A$1:$A$1001,Data_customers!$B$1:$B$1001,,0)</f>
        <v>Carmina Hubbuck</v>
      </c>
      <c r="G116" s="2" t="str">
        <f>IF(_xlfn.XLOOKUP(C116,Data_customers!$A$1:$A$1001,Data_customers!$C$1:$C$1001,,0)=0,"",_xlfn.XLOOKUP(C116,Data_customers!$A$1:$A$1001,Data_customers!$C$1:$C$1001,,0))</f>
        <v/>
      </c>
      <c r="H116" s="2" t="str">
        <f>_xlfn.XLOOKUP(C116,Data_customers!$A$1:$A$1001,Data_customers!$G$1:$G$1001,"",0)</f>
        <v>United States</v>
      </c>
      <c r="I116" t="str">
        <f>INDEX(Data_products!$A$1:$G$49, MATCH(Data_orders!$D116,Data_products!$A$1:$A$49,0), MATCH(Data_orders!I$1,Data_products!$A$1:$G$1,0))</f>
        <v>Rob</v>
      </c>
      <c r="J116" t="str">
        <f>INDEX(Data_products!$A$1:$G$49, MATCH(Data_orders!$D116,Data_products!$A$1:$A$49,0), MATCH(Data_orders!J$1,Data_products!$A$1:$G$1,0))</f>
        <v>L</v>
      </c>
      <c r="K116" s="4">
        <f>INDEX(Data_products!$A$1:$G$49, MATCH(Data_orders!$D116,Data_products!$A$1:$A$49,0), MATCH(Data_orders!K$1,Data_products!$A$1:$G$1,0))</f>
        <v>0.2</v>
      </c>
      <c r="L116">
        <f>INDEX(Data_products!$A$1:$G$49, MATCH(Data_orders!$D116,Data_products!$A$1:$A$49,0), MATCH(Data_orders!L$1,Data_products!$A$1:$G$1,0))</f>
        <v>3.5849999999999995</v>
      </c>
      <c r="M116">
        <f t="shared" si="2"/>
        <v>14.339999999999998</v>
      </c>
      <c r="N116" t="str" cm="1">
        <f t="array" ref="N116">_xlfn.IFS(I116 = "Rob", "Robusta", I116 = "Exc", "Excelsa", I116 = "Ara", "Arabica", I116 = "Lib", "Liberica")</f>
        <v>Robusta</v>
      </c>
      <c r="O116" t="str">
        <f t="shared" si="3"/>
        <v>Light</v>
      </c>
      <c r="P116" t="str">
        <f>_xlfn.XLOOKUP(Table1[[#This Row],[Customer ID]],Data_customers!$A$2:$A$1001,Data_customers!$I$2:$I$1001,,0)</f>
        <v>No</v>
      </c>
    </row>
    <row r="117" spans="1:16" x14ac:dyDescent="0.2">
      <c r="A117" s="2" t="s">
        <v>1134</v>
      </c>
      <c r="B117" s="3">
        <v>43693</v>
      </c>
      <c r="C117" s="2" t="s">
        <v>1135</v>
      </c>
      <c r="D117" t="s">
        <v>6170</v>
      </c>
      <c r="E117" s="2">
        <v>1</v>
      </c>
      <c r="F117" s="2" t="str">
        <f>_xlfn.XLOOKUP(Data_orders!C117,Data_customers!$A$1:$A$1001,Data_customers!$B$1:$B$1001,,0)</f>
        <v>Ingeberg Mulliner</v>
      </c>
      <c r="G117" s="2" t="str">
        <f>IF(_xlfn.XLOOKUP(C117,Data_customers!$A$1:$A$1001,Data_customers!$C$1:$C$1001,,0)=0,"",_xlfn.XLOOKUP(C117,Data_customers!$A$1:$A$1001,Data_customers!$C$1:$C$1001,,0))</f>
        <v>imulliner37@pinterest.com</v>
      </c>
      <c r="H117" s="2" t="str">
        <f>_xlfn.XLOOKUP(C117,Data_customers!$A$1:$A$1001,Data_customers!$G$1:$G$1001,"",0)</f>
        <v>United Kingdom</v>
      </c>
      <c r="I117" t="str">
        <f>INDEX(Data_products!$A$1:$G$49, MATCH(Data_orders!$D117,Data_products!$A$1:$A$49,0), MATCH(Data_orders!I$1,Data_products!$A$1:$G$1,0))</f>
        <v>Lib</v>
      </c>
      <c r="J117" t="str">
        <f>INDEX(Data_products!$A$1:$G$49, MATCH(Data_orders!$D117,Data_products!$A$1:$A$49,0), MATCH(Data_orders!J$1,Data_products!$A$1:$G$1,0))</f>
        <v>L</v>
      </c>
      <c r="K117" s="4">
        <f>INDEX(Data_products!$A$1:$G$49, MATCH(Data_orders!$D117,Data_products!$A$1:$A$49,0), MATCH(Data_orders!K$1,Data_products!$A$1:$G$1,0))</f>
        <v>1</v>
      </c>
      <c r="L117">
        <f>INDEX(Data_products!$A$1:$G$49, MATCH(Data_orders!$D117,Data_products!$A$1:$A$49,0), MATCH(Data_orders!L$1,Data_products!$A$1:$G$1,0))</f>
        <v>15.85</v>
      </c>
      <c r="M117">
        <f t="shared" si="2"/>
        <v>15.85</v>
      </c>
      <c r="N117" t="str" cm="1">
        <f t="array" ref="N117">_xlfn.IFS(I117 = "Rob", "Robusta", I117 = "Exc", "Excelsa", I117 = "Ara", "Arabica", I117 = "Lib", "Liberica")</f>
        <v>Liberica</v>
      </c>
      <c r="O117" t="str">
        <f t="shared" si="3"/>
        <v>Light</v>
      </c>
      <c r="P117" t="str">
        <f>_xlfn.XLOOKUP(Table1[[#This Row],[Customer ID]],Data_customers!$A$2:$A$1001,Data_customers!$I$2:$I$1001,,0)</f>
        <v>No</v>
      </c>
    </row>
    <row r="118" spans="1:16" x14ac:dyDescent="0.2">
      <c r="A118" s="2" t="s">
        <v>1140</v>
      </c>
      <c r="B118" s="3">
        <v>44054</v>
      </c>
      <c r="C118" s="2" t="s">
        <v>1141</v>
      </c>
      <c r="D118" t="s">
        <v>6145</v>
      </c>
      <c r="E118" s="2">
        <v>4</v>
      </c>
      <c r="F118" s="2" t="str">
        <f>_xlfn.XLOOKUP(Data_orders!C118,Data_customers!$A$1:$A$1001,Data_customers!$B$1:$B$1001,,0)</f>
        <v>Geneva Standley</v>
      </c>
      <c r="G118" s="2" t="str">
        <f>IF(_xlfn.XLOOKUP(C118,Data_customers!$A$1:$A$1001,Data_customers!$C$1:$C$1001,,0)=0,"",_xlfn.XLOOKUP(C118,Data_customers!$A$1:$A$1001,Data_customers!$C$1:$C$1001,,0))</f>
        <v>gstandley38@dion.ne.jp</v>
      </c>
      <c r="H118" s="2" t="str">
        <f>_xlfn.XLOOKUP(C118,Data_customers!$A$1:$A$1001,Data_customers!$G$1:$G$1001,"",0)</f>
        <v>Ireland</v>
      </c>
      <c r="I118" t="str">
        <f>INDEX(Data_products!$A$1:$G$49, MATCH(Data_orders!$D118,Data_products!$A$1:$A$49,0), MATCH(Data_orders!I$1,Data_products!$A$1:$G$1,0))</f>
        <v>Lib</v>
      </c>
      <c r="J118" t="str">
        <f>INDEX(Data_products!$A$1:$G$49, MATCH(Data_orders!$D118,Data_products!$A$1:$A$49,0), MATCH(Data_orders!J$1,Data_products!$A$1:$G$1,0))</f>
        <v>L</v>
      </c>
      <c r="K118" s="4">
        <f>INDEX(Data_products!$A$1:$G$49, MATCH(Data_orders!$D118,Data_products!$A$1:$A$49,0), MATCH(Data_orders!K$1,Data_products!$A$1:$G$1,0))</f>
        <v>0.2</v>
      </c>
      <c r="L118">
        <f>INDEX(Data_products!$A$1:$G$49, MATCH(Data_orders!$D118,Data_products!$A$1:$A$49,0), MATCH(Data_orders!L$1,Data_products!$A$1:$G$1,0))</f>
        <v>4.7549999999999999</v>
      </c>
      <c r="M118">
        <f t="shared" si="2"/>
        <v>19.02</v>
      </c>
      <c r="N118" t="str" cm="1">
        <f t="array" ref="N118">_xlfn.IFS(I118 = "Rob", "Robusta", I118 = "Exc", "Excelsa", I118 = "Ara", "Arabica", I118 = "Lib", "Liberica")</f>
        <v>Liberica</v>
      </c>
      <c r="O118" t="str">
        <f t="shared" si="3"/>
        <v>Light</v>
      </c>
      <c r="P118" t="str">
        <f>_xlfn.XLOOKUP(Table1[[#This Row],[Customer ID]],Data_customers!$A$2:$A$1001,Data_customers!$I$2:$I$1001,,0)</f>
        <v>Yes</v>
      </c>
    </row>
    <row r="119" spans="1:16" x14ac:dyDescent="0.2">
      <c r="A119" s="2" t="s">
        <v>1146</v>
      </c>
      <c r="B119" s="3">
        <v>44656</v>
      </c>
      <c r="C119" s="2" t="s">
        <v>1147</v>
      </c>
      <c r="D119" t="s">
        <v>6161</v>
      </c>
      <c r="E119" s="2">
        <v>4</v>
      </c>
      <c r="F119" s="2" t="str">
        <f>_xlfn.XLOOKUP(Data_orders!C119,Data_customers!$A$1:$A$1001,Data_customers!$B$1:$B$1001,,0)</f>
        <v>Brook Drage</v>
      </c>
      <c r="G119" s="2" t="str">
        <f>IF(_xlfn.XLOOKUP(C119,Data_customers!$A$1:$A$1001,Data_customers!$C$1:$C$1001,,0)=0,"",_xlfn.XLOOKUP(C119,Data_customers!$A$1:$A$1001,Data_customers!$C$1:$C$1001,,0))</f>
        <v>bdrage39@youku.com</v>
      </c>
      <c r="H119" s="2" t="str">
        <f>_xlfn.XLOOKUP(C119,Data_customers!$A$1:$A$1001,Data_customers!$G$1:$G$1001,"",0)</f>
        <v>United States</v>
      </c>
      <c r="I119" t="str">
        <f>INDEX(Data_products!$A$1:$G$49, MATCH(Data_orders!$D119,Data_products!$A$1:$A$49,0), MATCH(Data_orders!I$1,Data_products!$A$1:$G$1,0))</f>
        <v>Lib</v>
      </c>
      <c r="J119" t="str">
        <f>INDEX(Data_products!$A$1:$G$49, MATCH(Data_orders!$D119,Data_products!$A$1:$A$49,0), MATCH(Data_orders!J$1,Data_products!$A$1:$G$1,0))</f>
        <v>L</v>
      </c>
      <c r="K119" s="4">
        <f>INDEX(Data_products!$A$1:$G$49, MATCH(Data_orders!$D119,Data_products!$A$1:$A$49,0), MATCH(Data_orders!K$1,Data_products!$A$1:$G$1,0))</f>
        <v>0.5</v>
      </c>
      <c r="L119">
        <f>INDEX(Data_products!$A$1:$G$49, MATCH(Data_orders!$D119,Data_products!$A$1:$A$49,0), MATCH(Data_orders!L$1,Data_products!$A$1:$G$1,0))</f>
        <v>9.51</v>
      </c>
      <c r="M119">
        <f t="shared" si="2"/>
        <v>38.04</v>
      </c>
      <c r="N119" t="str" cm="1">
        <f t="array" ref="N119">_xlfn.IFS(I119 = "Rob", "Robusta", I119 = "Exc", "Excelsa", I119 = "Ara", "Arabica", I119 = "Lib", "Liberica")</f>
        <v>Liberica</v>
      </c>
      <c r="O119" t="str">
        <f t="shared" si="3"/>
        <v>Light</v>
      </c>
      <c r="P119" t="str">
        <f>_xlfn.XLOOKUP(Table1[[#This Row],[Customer ID]],Data_customers!$A$2:$A$1001,Data_customers!$I$2:$I$1001,,0)</f>
        <v>No</v>
      </c>
    </row>
    <row r="120" spans="1:16" x14ac:dyDescent="0.2">
      <c r="A120" s="2" t="s">
        <v>1152</v>
      </c>
      <c r="B120" s="3">
        <v>43760</v>
      </c>
      <c r="C120" s="2" t="s">
        <v>1153</v>
      </c>
      <c r="D120" t="s">
        <v>6144</v>
      </c>
      <c r="E120" s="2">
        <v>3</v>
      </c>
      <c r="F120" s="2" t="str">
        <f>_xlfn.XLOOKUP(Data_orders!C120,Data_customers!$A$1:$A$1001,Data_customers!$B$1:$B$1001,,0)</f>
        <v>Muffin Yallop</v>
      </c>
      <c r="G120" s="2" t="str">
        <f>IF(_xlfn.XLOOKUP(C120,Data_customers!$A$1:$A$1001,Data_customers!$C$1:$C$1001,,0)=0,"",_xlfn.XLOOKUP(C120,Data_customers!$A$1:$A$1001,Data_customers!$C$1:$C$1001,,0))</f>
        <v>myallop3a@fema.gov</v>
      </c>
      <c r="H120" s="2" t="str">
        <f>_xlfn.XLOOKUP(C120,Data_customers!$A$1:$A$1001,Data_customers!$G$1:$G$1001,"",0)</f>
        <v>United States</v>
      </c>
      <c r="I120" t="str">
        <f>INDEX(Data_products!$A$1:$G$49, MATCH(Data_orders!$D120,Data_products!$A$1:$A$49,0), MATCH(Data_orders!I$1,Data_products!$A$1:$G$1,0))</f>
        <v>Exc</v>
      </c>
      <c r="J120" t="str">
        <f>INDEX(Data_products!$A$1:$G$49, MATCH(Data_orders!$D120,Data_products!$A$1:$A$49,0), MATCH(Data_orders!J$1,Data_products!$A$1:$G$1,0))</f>
        <v>D</v>
      </c>
      <c r="K120" s="4">
        <f>INDEX(Data_products!$A$1:$G$49, MATCH(Data_orders!$D120,Data_products!$A$1:$A$49,0), MATCH(Data_orders!K$1,Data_products!$A$1:$G$1,0))</f>
        <v>0.5</v>
      </c>
      <c r="L120">
        <f>INDEX(Data_products!$A$1:$G$49, MATCH(Data_orders!$D120,Data_products!$A$1:$A$49,0), MATCH(Data_orders!L$1,Data_products!$A$1:$G$1,0))</f>
        <v>7.29</v>
      </c>
      <c r="M120">
        <f t="shared" si="2"/>
        <v>21.87</v>
      </c>
      <c r="N120" t="str" cm="1">
        <f t="array" ref="N120">_xlfn.IFS(I120 = "Rob", "Robusta", I120 = "Exc", "Excelsa", I120 = "Ara", "Arabica", I120 = "Lib", "Liberica")</f>
        <v>Excelsa</v>
      </c>
      <c r="O120" t="str">
        <f t="shared" si="3"/>
        <v>Dark</v>
      </c>
      <c r="P120" t="str">
        <f>_xlfn.XLOOKUP(Table1[[#This Row],[Customer ID]],Data_customers!$A$2:$A$1001,Data_customers!$I$2:$I$1001,,0)</f>
        <v>Yes</v>
      </c>
    </row>
    <row r="121" spans="1:16" x14ac:dyDescent="0.2">
      <c r="A121" s="2" t="s">
        <v>1158</v>
      </c>
      <c r="B121" s="3">
        <v>44471</v>
      </c>
      <c r="C121" s="2" t="s">
        <v>1159</v>
      </c>
      <c r="D121" t="s">
        <v>6156</v>
      </c>
      <c r="E121" s="2">
        <v>1</v>
      </c>
      <c r="F121" s="2" t="str">
        <f>_xlfn.XLOOKUP(Data_orders!C121,Data_customers!$A$1:$A$1001,Data_customers!$B$1:$B$1001,,0)</f>
        <v>Cordi Switsur</v>
      </c>
      <c r="G121" s="2" t="str">
        <f>IF(_xlfn.XLOOKUP(C121,Data_customers!$A$1:$A$1001,Data_customers!$C$1:$C$1001,,0)=0,"",_xlfn.XLOOKUP(C121,Data_customers!$A$1:$A$1001,Data_customers!$C$1:$C$1001,,0))</f>
        <v>cswitsur3b@chronoengine.com</v>
      </c>
      <c r="H121" s="2" t="str">
        <f>_xlfn.XLOOKUP(C121,Data_customers!$A$1:$A$1001,Data_customers!$G$1:$G$1001,"",0)</f>
        <v>United States</v>
      </c>
      <c r="I121" t="str">
        <f>INDEX(Data_products!$A$1:$G$49, MATCH(Data_orders!$D121,Data_products!$A$1:$A$49,0), MATCH(Data_orders!I$1,Data_products!$A$1:$G$1,0))</f>
        <v>Exc</v>
      </c>
      <c r="J121" t="str">
        <f>INDEX(Data_products!$A$1:$G$49, MATCH(Data_orders!$D121,Data_products!$A$1:$A$49,0), MATCH(Data_orders!J$1,Data_products!$A$1:$G$1,0))</f>
        <v>M</v>
      </c>
      <c r="K121" s="4">
        <f>INDEX(Data_products!$A$1:$G$49, MATCH(Data_orders!$D121,Data_products!$A$1:$A$49,0), MATCH(Data_orders!K$1,Data_products!$A$1:$G$1,0))</f>
        <v>0.2</v>
      </c>
      <c r="L121">
        <f>INDEX(Data_products!$A$1:$G$49, MATCH(Data_orders!$D121,Data_products!$A$1:$A$49,0), MATCH(Data_orders!L$1,Data_products!$A$1:$G$1,0))</f>
        <v>4.125</v>
      </c>
      <c r="M121">
        <f t="shared" si="2"/>
        <v>4.125</v>
      </c>
      <c r="N121" t="str" cm="1">
        <f t="array" ref="N121">_xlfn.IFS(I121 = "Rob", "Robusta", I121 = "Exc", "Excelsa", I121 = "Ara", "Arabica", I121 = "Lib", "Liberica")</f>
        <v>Excelsa</v>
      </c>
      <c r="O121" t="str">
        <f t="shared" si="3"/>
        <v>Medium</v>
      </c>
      <c r="P121" t="str">
        <f>_xlfn.XLOOKUP(Table1[[#This Row],[Customer ID]],Data_customers!$A$2:$A$1001,Data_customers!$I$2:$I$1001,,0)</f>
        <v>No</v>
      </c>
    </row>
    <row r="122" spans="1:16" x14ac:dyDescent="0.2">
      <c r="A122" s="2" t="s">
        <v>1158</v>
      </c>
      <c r="B122" s="3">
        <v>44471</v>
      </c>
      <c r="C122" s="2" t="s">
        <v>1159</v>
      </c>
      <c r="D122" t="s">
        <v>6167</v>
      </c>
      <c r="E122" s="2">
        <v>1</v>
      </c>
      <c r="F122" s="2" t="str">
        <f>_xlfn.XLOOKUP(Data_orders!C122,Data_customers!$A$1:$A$1001,Data_customers!$B$1:$B$1001,,0)</f>
        <v>Cordi Switsur</v>
      </c>
      <c r="G122" s="2" t="str">
        <f>IF(_xlfn.XLOOKUP(C122,Data_customers!$A$1:$A$1001,Data_customers!$C$1:$C$1001,,0)=0,"",_xlfn.XLOOKUP(C122,Data_customers!$A$1:$A$1001,Data_customers!$C$1:$C$1001,,0))</f>
        <v>cswitsur3b@chronoengine.com</v>
      </c>
      <c r="H122" s="2" t="str">
        <f>_xlfn.XLOOKUP(C122,Data_customers!$A$1:$A$1001,Data_customers!$G$1:$G$1001,"",0)</f>
        <v>United States</v>
      </c>
      <c r="I122" t="str">
        <f>INDEX(Data_products!$A$1:$G$49, MATCH(Data_orders!$D122,Data_products!$A$1:$A$49,0), MATCH(Data_orders!I$1,Data_products!$A$1:$G$1,0))</f>
        <v>Ara</v>
      </c>
      <c r="J122" t="str">
        <f>INDEX(Data_products!$A$1:$G$49, MATCH(Data_orders!$D122,Data_products!$A$1:$A$49,0), MATCH(Data_orders!J$1,Data_products!$A$1:$G$1,0))</f>
        <v>L</v>
      </c>
      <c r="K122" s="4">
        <f>INDEX(Data_products!$A$1:$G$49, MATCH(Data_orders!$D122,Data_products!$A$1:$A$49,0), MATCH(Data_orders!K$1,Data_products!$A$1:$G$1,0))</f>
        <v>0.2</v>
      </c>
      <c r="L122">
        <f>INDEX(Data_products!$A$1:$G$49, MATCH(Data_orders!$D122,Data_products!$A$1:$A$49,0), MATCH(Data_orders!L$1,Data_products!$A$1:$G$1,0))</f>
        <v>3.8849999999999998</v>
      </c>
      <c r="M122">
        <f t="shared" si="2"/>
        <v>3.8849999999999998</v>
      </c>
      <c r="N122" t="str" cm="1">
        <f t="array" ref="N122">_xlfn.IFS(I122 = "Rob", "Robusta", I122 = "Exc", "Excelsa", I122 = "Ara", "Arabica", I122 = "Lib", "Liberica")</f>
        <v>Arabica</v>
      </c>
      <c r="O122" t="str">
        <f t="shared" si="3"/>
        <v>Light</v>
      </c>
      <c r="P122" t="str">
        <f>_xlfn.XLOOKUP(Table1[[#This Row],[Customer ID]],Data_customers!$A$2:$A$1001,Data_customers!$I$2:$I$1001,,0)</f>
        <v>No</v>
      </c>
    </row>
    <row r="123" spans="1:16" x14ac:dyDescent="0.2">
      <c r="A123" s="2" t="s">
        <v>1158</v>
      </c>
      <c r="B123" s="3">
        <v>44471</v>
      </c>
      <c r="C123" s="2" t="s">
        <v>1159</v>
      </c>
      <c r="D123" t="s">
        <v>6141</v>
      </c>
      <c r="E123" s="2">
        <v>5</v>
      </c>
      <c r="F123" s="2" t="str">
        <f>_xlfn.XLOOKUP(Data_orders!C123,Data_customers!$A$1:$A$1001,Data_customers!$B$1:$B$1001,,0)</f>
        <v>Cordi Switsur</v>
      </c>
      <c r="G123" s="2" t="str">
        <f>IF(_xlfn.XLOOKUP(C123,Data_customers!$A$1:$A$1001,Data_customers!$C$1:$C$1001,,0)=0,"",_xlfn.XLOOKUP(C123,Data_customers!$A$1:$A$1001,Data_customers!$C$1:$C$1001,,0))</f>
        <v>cswitsur3b@chronoengine.com</v>
      </c>
      <c r="H123" s="2" t="str">
        <f>_xlfn.XLOOKUP(C123,Data_customers!$A$1:$A$1001,Data_customers!$G$1:$G$1001,"",0)</f>
        <v>United States</v>
      </c>
      <c r="I123" t="str">
        <f>INDEX(Data_products!$A$1:$G$49, MATCH(Data_orders!$D123,Data_products!$A$1:$A$49,0), MATCH(Data_orders!I$1,Data_products!$A$1:$G$1,0))</f>
        <v>Exc</v>
      </c>
      <c r="J123" t="str">
        <f>INDEX(Data_products!$A$1:$G$49, MATCH(Data_orders!$D123,Data_products!$A$1:$A$49,0), MATCH(Data_orders!J$1,Data_products!$A$1:$G$1,0))</f>
        <v>M</v>
      </c>
      <c r="K123" s="4">
        <f>INDEX(Data_products!$A$1:$G$49, MATCH(Data_orders!$D123,Data_products!$A$1:$A$49,0), MATCH(Data_orders!K$1,Data_products!$A$1:$G$1,0))</f>
        <v>1</v>
      </c>
      <c r="L123">
        <f>INDEX(Data_products!$A$1:$G$49, MATCH(Data_orders!$D123,Data_products!$A$1:$A$49,0), MATCH(Data_orders!L$1,Data_products!$A$1:$G$1,0))</f>
        <v>13.75</v>
      </c>
      <c r="M123">
        <f t="shared" si="2"/>
        <v>68.75</v>
      </c>
      <c r="N123" t="str" cm="1">
        <f t="array" ref="N123">_xlfn.IFS(I123 = "Rob", "Robusta", I123 = "Exc", "Excelsa", I123 = "Ara", "Arabica", I123 = "Lib", "Liberica")</f>
        <v>Excelsa</v>
      </c>
      <c r="O123" t="str">
        <f t="shared" si="3"/>
        <v>Medium</v>
      </c>
      <c r="P123" t="str">
        <f>_xlfn.XLOOKUP(Table1[[#This Row],[Customer ID]],Data_customers!$A$2:$A$1001,Data_customers!$I$2:$I$1001,,0)</f>
        <v>No</v>
      </c>
    </row>
    <row r="124" spans="1:16" x14ac:dyDescent="0.2">
      <c r="A124" s="2" t="s">
        <v>1174</v>
      </c>
      <c r="B124" s="3">
        <v>44268</v>
      </c>
      <c r="C124" s="2" t="s">
        <v>1175</v>
      </c>
      <c r="D124" t="s">
        <v>6158</v>
      </c>
      <c r="E124" s="2">
        <v>4</v>
      </c>
      <c r="F124" s="2" t="str">
        <f>_xlfn.XLOOKUP(Data_orders!C124,Data_customers!$A$1:$A$1001,Data_customers!$B$1:$B$1001,,0)</f>
        <v>Mahala Ludwell</v>
      </c>
      <c r="G124" s="2" t="str">
        <f>IF(_xlfn.XLOOKUP(C124,Data_customers!$A$1:$A$1001,Data_customers!$C$1:$C$1001,,0)=0,"",_xlfn.XLOOKUP(C124,Data_customers!$A$1:$A$1001,Data_customers!$C$1:$C$1001,,0))</f>
        <v>mludwell3e@blogger.com</v>
      </c>
      <c r="H124" s="2" t="str">
        <f>_xlfn.XLOOKUP(C124,Data_customers!$A$1:$A$1001,Data_customers!$G$1:$G$1001,"",0)</f>
        <v>United States</v>
      </c>
      <c r="I124" t="str">
        <f>INDEX(Data_products!$A$1:$G$49, MATCH(Data_orders!$D124,Data_products!$A$1:$A$49,0), MATCH(Data_orders!I$1,Data_products!$A$1:$G$1,0))</f>
        <v>Ara</v>
      </c>
      <c r="J124" t="str">
        <f>INDEX(Data_products!$A$1:$G$49, MATCH(Data_orders!$D124,Data_products!$A$1:$A$49,0), MATCH(Data_orders!J$1,Data_products!$A$1:$G$1,0))</f>
        <v>D</v>
      </c>
      <c r="K124" s="4">
        <f>INDEX(Data_products!$A$1:$G$49, MATCH(Data_orders!$D124,Data_products!$A$1:$A$49,0), MATCH(Data_orders!K$1,Data_products!$A$1:$G$1,0))</f>
        <v>0.5</v>
      </c>
      <c r="L124">
        <f>INDEX(Data_products!$A$1:$G$49, MATCH(Data_orders!$D124,Data_products!$A$1:$A$49,0), MATCH(Data_orders!L$1,Data_products!$A$1:$G$1,0))</f>
        <v>5.97</v>
      </c>
      <c r="M124">
        <f t="shared" si="2"/>
        <v>23.88</v>
      </c>
      <c r="N124" t="str" cm="1">
        <f t="array" ref="N124">_xlfn.IFS(I124 = "Rob", "Robusta", I124 = "Exc", "Excelsa", I124 = "Ara", "Arabica", I124 = "Lib", "Liberica")</f>
        <v>Arabica</v>
      </c>
      <c r="O124" t="str">
        <f t="shared" si="3"/>
        <v>Dark</v>
      </c>
      <c r="P124" t="str">
        <f>_xlfn.XLOOKUP(Table1[[#This Row],[Customer ID]],Data_customers!$A$2:$A$1001,Data_customers!$I$2:$I$1001,,0)</f>
        <v>Yes</v>
      </c>
    </row>
    <row r="125" spans="1:16" x14ac:dyDescent="0.2">
      <c r="A125" s="2" t="s">
        <v>1180</v>
      </c>
      <c r="B125" s="3">
        <v>44724</v>
      </c>
      <c r="C125" s="2" t="s">
        <v>1181</v>
      </c>
      <c r="D125" t="s">
        <v>6164</v>
      </c>
      <c r="E125" s="2">
        <v>4</v>
      </c>
      <c r="F125" s="2" t="str">
        <f>_xlfn.XLOOKUP(Data_orders!C125,Data_customers!$A$1:$A$1001,Data_customers!$B$1:$B$1001,,0)</f>
        <v>Doll Beauchamp</v>
      </c>
      <c r="G125" s="2" t="str">
        <f>IF(_xlfn.XLOOKUP(C125,Data_customers!$A$1:$A$1001,Data_customers!$C$1:$C$1001,,0)=0,"",_xlfn.XLOOKUP(C125,Data_customers!$A$1:$A$1001,Data_customers!$C$1:$C$1001,,0))</f>
        <v>dbeauchamp3f@usda.gov</v>
      </c>
      <c r="H125" s="2" t="str">
        <f>_xlfn.XLOOKUP(C125,Data_customers!$A$1:$A$1001,Data_customers!$G$1:$G$1001,"",0)</f>
        <v>United States</v>
      </c>
      <c r="I125" t="str">
        <f>INDEX(Data_products!$A$1:$G$49, MATCH(Data_orders!$D125,Data_products!$A$1:$A$49,0), MATCH(Data_orders!I$1,Data_products!$A$1:$G$1,0))</f>
        <v>Lib</v>
      </c>
      <c r="J125" t="str">
        <f>INDEX(Data_products!$A$1:$G$49, MATCH(Data_orders!$D125,Data_products!$A$1:$A$49,0), MATCH(Data_orders!J$1,Data_products!$A$1:$G$1,0))</f>
        <v>L</v>
      </c>
      <c r="K125" s="4">
        <f>INDEX(Data_products!$A$1:$G$49, MATCH(Data_orders!$D125,Data_products!$A$1:$A$49,0), MATCH(Data_orders!K$1,Data_products!$A$1:$G$1,0))</f>
        <v>2.5</v>
      </c>
      <c r="L125">
        <f>INDEX(Data_products!$A$1:$G$49, MATCH(Data_orders!$D125,Data_products!$A$1:$A$49,0), MATCH(Data_orders!L$1,Data_products!$A$1:$G$1,0))</f>
        <v>36.454999999999998</v>
      </c>
      <c r="M125">
        <f t="shared" si="2"/>
        <v>145.82</v>
      </c>
      <c r="N125" t="str" cm="1">
        <f t="array" ref="N125">_xlfn.IFS(I125 = "Rob", "Robusta", I125 = "Exc", "Excelsa", I125 = "Ara", "Arabica", I125 = "Lib", "Liberica")</f>
        <v>Liberica</v>
      </c>
      <c r="O125" t="str">
        <f t="shared" si="3"/>
        <v>Light</v>
      </c>
      <c r="P125" t="str">
        <f>_xlfn.XLOOKUP(Table1[[#This Row],[Customer ID]],Data_customers!$A$2:$A$1001,Data_customers!$I$2:$I$1001,,0)</f>
        <v>No</v>
      </c>
    </row>
    <row r="126" spans="1:16" x14ac:dyDescent="0.2">
      <c r="A126" s="2" t="s">
        <v>1186</v>
      </c>
      <c r="B126" s="3">
        <v>43582</v>
      </c>
      <c r="C126" s="2" t="s">
        <v>1187</v>
      </c>
      <c r="D126" t="s">
        <v>6159</v>
      </c>
      <c r="E126" s="2">
        <v>5</v>
      </c>
      <c r="F126" s="2" t="str">
        <f>_xlfn.XLOOKUP(Data_orders!C126,Data_customers!$A$1:$A$1001,Data_customers!$B$1:$B$1001,,0)</f>
        <v>Stanford Rodliff</v>
      </c>
      <c r="G126" s="2" t="str">
        <f>IF(_xlfn.XLOOKUP(C126,Data_customers!$A$1:$A$1001,Data_customers!$C$1:$C$1001,,0)=0,"",_xlfn.XLOOKUP(C126,Data_customers!$A$1:$A$1001,Data_customers!$C$1:$C$1001,,0))</f>
        <v>srodliff3g@ted.com</v>
      </c>
      <c r="H126" s="2" t="str">
        <f>_xlfn.XLOOKUP(C126,Data_customers!$A$1:$A$1001,Data_customers!$G$1:$G$1001,"",0)</f>
        <v>United States</v>
      </c>
      <c r="I126" t="str">
        <f>INDEX(Data_products!$A$1:$G$49, MATCH(Data_orders!$D126,Data_products!$A$1:$A$49,0), MATCH(Data_orders!I$1,Data_products!$A$1:$G$1,0))</f>
        <v>Lib</v>
      </c>
      <c r="J126" t="str">
        <f>INDEX(Data_products!$A$1:$G$49, MATCH(Data_orders!$D126,Data_products!$A$1:$A$49,0), MATCH(Data_orders!J$1,Data_products!$A$1:$G$1,0))</f>
        <v>M</v>
      </c>
      <c r="K126" s="4">
        <f>INDEX(Data_products!$A$1:$G$49, MATCH(Data_orders!$D126,Data_products!$A$1:$A$49,0), MATCH(Data_orders!K$1,Data_products!$A$1:$G$1,0))</f>
        <v>0.2</v>
      </c>
      <c r="L126">
        <f>INDEX(Data_products!$A$1:$G$49, MATCH(Data_orders!$D126,Data_products!$A$1:$A$49,0), MATCH(Data_orders!L$1,Data_products!$A$1:$G$1,0))</f>
        <v>4.3650000000000002</v>
      </c>
      <c r="M126">
        <f t="shared" si="2"/>
        <v>21.825000000000003</v>
      </c>
      <c r="N126" t="str" cm="1">
        <f t="array" ref="N126">_xlfn.IFS(I126 = "Rob", "Robusta", I126 = "Exc", "Excelsa", I126 = "Ara", "Arabica", I126 = "Lib", "Liberica")</f>
        <v>Liberica</v>
      </c>
      <c r="O126" t="str">
        <f t="shared" si="3"/>
        <v>Medium</v>
      </c>
      <c r="P126" t="str">
        <f>_xlfn.XLOOKUP(Table1[[#This Row],[Customer ID]],Data_customers!$A$2:$A$1001,Data_customers!$I$2:$I$1001,,0)</f>
        <v>Yes</v>
      </c>
    </row>
    <row r="127" spans="1:16" x14ac:dyDescent="0.2">
      <c r="A127" s="2" t="s">
        <v>1192</v>
      </c>
      <c r="B127" s="3">
        <v>43608</v>
      </c>
      <c r="C127" s="2" t="s">
        <v>1193</v>
      </c>
      <c r="D127" t="s">
        <v>6160</v>
      </c>
      <c r="E127" s="2">
        <v>3</v>
      </c>
      <c r="F127" s="2" t="str">
        <f>_xlfn.XLOOKUP(Data_orders!C127,Data_customers!$A$1:$A$1001,Data_customers!$B$1:$B$1001,,0)</f>
        <v>Stevana Woodham</v>
      </c>
      <c r="G127" s="2" t="str">
        <f>IF(_xlfn.XLOOKUP(C127,Data_customers!$A$1:$A$1001,Data_customers!$C$1:$C$1001,,0)=0,"",_xlfn.XLOOKUP(C127,Data_customers!$A$1:$A$1001,Data_customers!$C$1:$C$1001,,0))</f>
        <v>swoodham3h@businesswire.com</v>
      </c>
      <c r="H127" s="2" t="str">
        <f>_xlfn.XLOOKUP(C127,Data_customers!$A$1:$A$1001,Data_customers!$G$1:$G$1001,"",0)</f>
        <v>Ireland</v>
      </c>
      <c r="I127" t="str">
        <f>INDEX(Data_products!$A$1:$G$49, MATCH(Data_orders!$D127,Data_products!$A$1:$A$49,0), MATCH(Data_orders!I$1,Data_products!$A$1:$G$1,0))</f>
        <v>Lib</v>
      </c>
      <c r="J127" t="str">
        <f>INDEX(Data_products!$A$1:$G$49, MATCH(Data_orders!$D127,Data_products!$A$1:$A$49,0), MATCH(Data_orders!J$1,Data_products!$A$1:$G$1,0))</f>
        <v>M</v>
      </c>
      <c r="K127" s="4">
        <f>INDEX(Data_products!$A$1:$G$49, MATCH(Data_orders!$D127,Data_products!$A$1:$A$49,0), MATCH(Data_orders!K$1,Data_products!$A$1:$G$1,0))</f>
        <v>0.5</v>
      </c>
      <c r="L127">
        <f>INDEX(Data_products!$A$1:$G$49, MATCH(Data_orders!$D127,Data_products!$A$1:$A$49,0), MATCH(Data_orders!L$1,Data_products!$A$1:$G$1,0))</f>
        <v>8.73</v>
      </c>
      <c r="M127">
        <f t="shared" si="2"/>
        <v>26.19</v>
      </c>
      <c r="N127" t="str" cm="1">
        <f t="array" ref="N127">_xlfn.IFS(I127 = "Rob", "Robusta", I127 = "Exc", "Excelsa", I127 = "Ara", "Arabica", I127 = "Lib", "Liberica")</f>
        <v>Liberica</v>
      </c>
      <c r="O127" t="str">
        <f t="shared" si="3"/>
        <v>Medium</v>
      </c>
      <c r="P127" t="str">
        <f>_xlfn.XLOOKUP(Table1[[#This Row],[Customer ID]],Data_customers!$A$2:$A$1001,Data_customers!$I$2:$I$1001,,0)</f>
        <v>Yes</v>
      </c>
    </row>
    <row r="128" spans="1:16" x14ac:dyDescent="0.2">
      <c r="A128" s="2" t="s">
        <v>1198</v>
      </c>
      <c r="B128" s="3">
        <v>44026</v>
      </c>
      <c r="C128" s="2" t="s">
        <v>1199</v>
      </c>
      <c r="D128" t="s">
        <v>6155</v>
      </c>
      <c r="E128" s="2">
        <v>1</v>
      </c>
      <c r="F128" s="2" t="str">
        <f>_xlfn.XLOOKUP(Data_orders!C128,Data_customers!$A$1:$A$1001,Data_customers!$B$1:$B$1001,,0)</f>
        <v>Hewet Synnot</v>
      </c>
      <c r="G128" s="2" t="str">
        <f>IF(_xlfn.XLOOKUP(C128,Data_customers!$A$1:$A$1001,Data_customers!$C$1:$C$1001,,0)=0,"",_xlfn.XLOOKUP(C128,Data_customers!$A$1:$A$1001,Data_customers!$C$1:$C$1001,,0))</f>
        <v>hsynnot3i@about.com</v>
      </c>
      <c r="H128" s="2" t="str">
        <f>_xlfn.XLOOKUP(C128,Data_customers!$A$1:$A$1001,Data_customers!$G$1:$G$1001,"",0)</f>
        <v>United States</v>
      </c>
      <c r="I128" t="str">
        <f>INDEX(Data_products!$A$1:$G$49, MATCH(Data_orders!$D128,Data_products!$A$1:$A$49,0), MATCH(Data_orders!I$1,Data_products!$A$1:$G$1,0))</f>
        <v>Ara</v>
      </c>
      <c r="J128" t="str">
        <f>INDEX(Data_products!$A$1:$G$49, MATCH(Data_orders!$D128,Data_products!$A$1:$A$49,0), MATCH(Data_orders!J$1,Data_products!$A$1:$G$1,0))</f>
        <v>M</v>
      </c>
      <c r="K128" s="4">
        <f>INDEX(Data_products!$A$1:$G$49, MATCH(Data_orders!$D128,Data_products!$A$1:$A$49,0), MATCH(Data_orders!K$1,Data_products!$A$1:$G$1,0))</f>
        <v>1</v>
      </c>
      <c r="L128">
        <f>INDEX(Data_products!$A$1:$G$49, MATCH(Data_orders!$D128,Data_products!$A$1:$A$49,0), MATCH(Data_orders!L$1,Data_products!$A$1:$G$1,0))</f>
        <v>11.25</v>
      </c>
      <c r="M128">
        <f t="shared" si="2"/>
        <v>11.25</v>
      </c>
      <c r="N128" t="str" cm="1">
        <f t="array" ref="N128">_xlfn.IFS(I128 = "Rob", "Robusta", I128 = "Exc", "Excelsa", I128 = "Ara", "Arabica", I128 = "Lib", "Liberica")</f>
        <v>Arabica</v>
      </c>
      <c r="O128" t="str">
        <f t="shared" si="3"/>
        <v>Medium</v>
      </c>
      <c r="P128" t="str">
        <f>_xlfn.XLOOKUP(Table1[[#This Row],[Customer ID]],Data_customers!$A$2:$A$1001,Data_customers!$I$2:$I$1001,,0)</f>
        <v>No</v>
      </c>
    </row>
    <row r="129" spans="1:16" x14ac:dyDescent="0.2">
      <c r="A129" s="2" t="s">
        <v>1204</v>
      </c>
      <c r="B129" s="3">
        <v>44510</v>
      </c>
      <c r="C129" s="2" t="s">
        <v>1205</v>
      </c>
      <c r="D129" t="s">
        <v>6143</v>
      </c>
      <c r="E129" s="2">
        <v>6</v>
      </c>
      <c r="F129" s="2" t="str">
        <f>_xlfn.XLOOKUP(Data_orders!C129,Data_customers!$A$1:$A$1001,Data_customers!$B$1:$B$1001,,0)</f>
        <v>Raleigh Lepere</v>
      </c>
      <c r="G129" s="2" t="str">
        <f>IF(_xlfn.XLOOKUP(C129,Data_customers!$A$1:$A$1001,Data_customers!$C$1:$C$1001,,0)=0,"",_xlfn.XLOOKUP(C129,Data_customers!$A$1:$A$1001,Data_customers!$C$1:$C$1001,,0))</f>
        <v>rlepere3j@shop-pro.jp</v>
      </c>
      <c r="H129" s="2" t="str">
        <f>_xlfn.XLOOKUP(C129,Data_customers!$A$1:$A$1001,Data_customers!$G$1:$G$1001,"",0)</f>
        <v>Ireland</v>
      </c>
      <c r="I129" t="str">
        <f>INDEX(Data_products!$A$1:$G$49, MATCH(Data_orders!$D129,Data_products!$A$1:$A$49,0), MATCH(Data_orders!I$1,Data_products!$A$1:$G$1,0))</f>
        <v>Lib</v>
      </c>
      <c r="J129" t="str">
        <f>INDEX(Data_products!$A$1:$G$49, MATCH(Data_orders!$D129,Data_products!$A$1:$A$49,0), MATCH(Data_orders!J$1,Data_products!$A$1:$G$1,0))</f>
        <v>D</v>
      </c>
      <c r="K129" s="4">
        <f>INDEX(Data_products!$A$1:$G$49, MATCH(Data_orders!$D129,Data_products!$A$1:$A$49,0), MATCH(Data_orders!K$1,Data_products!$A$1:$G$1,0))</f>
        <v>1</v>
      </c>
      <c r="L129">
        <f>INDEX(Data_products!$A$1:$G$49, MATCH(Data_orders!$D129,Data_products!$A$1:$A$49,0), MATCH(Data_orders!L$1,Data_products!$A$1:$G$1,0))</f>
        <v>12.95</v>
      </c>
      <c r="M129">
        <f t="shared" si="2"/>
        <v>77.699999999999989</v>
      </c>
      <c r="N129" t="str" cm="1">
        <f t="array" ref="N129">_xlfn.IFS(I129 = "Rob", "Robusta", I129 = "Exc", "Excelsa", I129 = "Ara", "Arabica", I129 = "Lib", "Liberica")</f>
        <v>Liberica</v>
      </c>
      <c r="O129" t="str">
        <f t="shared" si="3"/>
        <v>Dark</v>
      </c>
      <c r="P129" t="str">
        <f>_xlfn.XLOOKUP(Table1[[#This Row],[Customer ID]],Data_customers!$A$2:$A$1001,Data_customers!$I$2:$I$1001,,0)</f>
        <v>No</v>
      </c>
    </row>
    <row r="130" spans="1:16" x14ac:dyDescent="0.2">
      <c r="A130" s="2" t="s">
        <v>1210</v>
      </c>
      <c r="B130" s="3">
        <v>44439</v>
      </c>
      <c r="C130" s="2" t="s">
        <v>1211</v>
      </c>
      <c r="D130" t="s">
        <v>6157</v>
      </c>
      <c r="E130" s="2">
        <v>1</v>
      </c>
      <c r="F130" s="2" t="str">
        <f>_xlfn.XLOOKUP(Data_orders!C130,Data_customers!$A$1:$A$1001,Data_customers!$B$1:$B$1001,,0)</f>
        <v>Timofei Woofinden</v>
      </c>
      <c r="G130" s="2" t="str">
        <f>IF(_xlfn.XLOOKUP(C130,Data_customers!$A$1:$A$1001,Data_customers!$C$1:$C$1001,,0)=0,"",_xlfn.XLOOKUP(C130,Data_customers!$A$1:$A$1001,Data_customers!$C$1:$C$1001,,0))</f>
        <v>twoofinden3k@businesswire.com</v>
      </c>
      <c r="H130" s="2" t="str">
        <f>_xlfn.XLOOKUP(C130,Data_customers!$A$1:$A$1001,Data_customers!$G$1:$G$1001,"",0)</f>
        <v>United States</v>
      </c>
      <c r="I130" t="str">
        <f>INDEX(Data_products!$A$1:$G$49, MATCH(Data_orders!$D130,Data_products!$A$1:$A$49,0), MATCH(Data_orders!I$1,Data_products!$A$1:$G$1,0))</f>
        <v>Ara</v>
      </c>
      <c r="J130" t="str">
        <f>INDEX(Data_products!$A$1:$G$49, MATCH(Data_orders!$D130,Data_products!$A$1:$A$49,0), MATCH(Data_orders!J$1,Data_products!$A$1:$G$1,0))</f>
        <v>M</v>
      </c>
      <c r="K130" s="4">
        <f>INDEX(Data_products!$A$1:$G$49, MATCH(Data_orders!$D130,Data_products!$A$1:$A$49,0), MATCH(Data_orders!K$1,Data_products!$A$1:$G$1,0))</f>
        <v>0.5</v>
      </c>
      <c r="L130">
        <f>INDEX(Data_products!$A$1:$G$49, MATCH(Data_orders!$D130,Data_products!$A$1:$A$49,0), MATCH(Data_orders!L$1,Data_products!$A$1:$G$1,0))</f>
        <v>6.75</v>
      </c>
      <c r="M130">
        <f t="shared" si="2"/>
        <v>6.75</v>
      </c>
      <c r="N130" t="str" cm="1">
        <f t="array" ref="N130">_xlfn.IFS(I130 = "Rob", "Robusta", I130 = "Exc", "Excelsa", I130 = "Ara", "Arabica", I130 = "Lib", "Liberica")</f>
        <v>Arabica</v>
      </c>
      <c r="O130" t="str">
        <f t="shared" si="3"/>
        <v>Medium</v>
      </c>
      <c r="P130" t="str">
        <f>_xlfn.XLOOKUP(Table1[[#This Row],[Customer ID]],Data_customers!$A$2:$A$1001,Data_customers!$I$2:$I$1001,,0)</f>
        <v>No</v>
      </c>
    </row>
    <row r="131" spans="1:16" x14ac:dyDescent="0.2">
      <c r="A131" s="2" t="s">
        <v>1216</v>
      </c>
      <c r="B131" s="3">
        <v>43652</v>
      </c>
      <c r="C131" s="2" t="s">
        <v>1217</v>
      </c>
      <c r="D131" t="s">
        <v>6183</v>
      </c>
      <c r="E131" s="2">
        <v>1</v>
      </c>
      <c r="F131" s="2" t="str">
        <f>_xlfn.XLOOKUP(Data_orders!C131,Data_customers!$A$1:$A$1001,Data_customers!$B$1:$B$1001,,0)</f>
        <v>Evelina Dacca</v>
      </c>
      <c r="G131" s="2" t="str">
        <f>IF(_xlfn.XLOOKUP(C131,Data_customers!$A$1:$A$1001,Data_customers!$C$1:$C$1001,,0)=0,"",_xlfn.XLOOKUP(C131,Data_customers!$A$1:$A$1001,Data_customers!$C$1:$C$1001,,0))</f>
        <v>edacca3l@google.pl</v>
      </c>
      <c r="H131" s="2" t="str">
        <f>_xlfn.XLOOKUP(C131,Data_customers!$A$1:$A$1001,Data_customers!$G$1:$G$1001,"",0)</f>
        <v>United States</v>
      </c>
      <c r="I131" t="str">
        <f>INDEX(Data_products!$A$1:$G$49, MATCH(Data_orders!$D131,Data_products!$A$1:$A$49,0), MATCH(Data_orders!I$1,Data_products!$A$1:$G$1,0))</f>
        <v>Exc</v>
      </c>
      <c r="J131" t="str">
        <f>INDEX(Data_products!$A$1:$G$49, MATCH(Data_orders!$D131,Data_products!$A$1:$A$49,0), MATCH(Data_orders!J$1,Data_products!$A$1:$G$1,0))</f>
        <v>D</v>
      </c>
      <c r="K131" s="4">
        <f>INDEX(Data_products!$A$1:$G$49, MATCH(Data_orders!$D131,Data_products!$A$1:$A$49,0), MATCH(Data_orders!K$1,Data_products!$A$1:$G$1,0))</f>
        <v>1</v>
      </c>
      <c r="L131">
        <f>INDEX(Data_products!$A$1:$G$49, MATCH(Data_orders!$D131,Data_products!$A$1:$A$49,0), MATCH(Data_orders!L$1,Data_products!$A$1:$G$1,0))</f>
        <v>12.15</v>
      </c>
      <c r="M131">
        <f t="shared" ref="M131:M194" si="4">L131*E131</f>
        <v>12.15</v>
      </c>
      <c r="N131" t="str" cm="1">
        <f t="array" ref="N131">_xlfn.IFS(I131 = "Rob", "Robusta", I131 = "Exc", "Excelsa", I131 = "Ara", "Arabica", I131 = "Lib", "Liberica")</f>
        <v>Excelsa</v>
      </c>
      <c r="O131" t="str">
        <f t="shared" ref="O131:O194" si="5">IF(J131 = "M", "Medium", IF(J131 =  "L", "Light", IF(J131 = "D", "Dark", "")))</f>
        <v>Dark</v>
      </c>
      <c r="P131" t="str">
        <f>_xlfn.XLOOKUP(Table1[[#This Row],[Customer ID]],Data_customers!$A$2:$A$1001,Data_customers!$I$2:$I$1001,,0)</f>
        <v>Yes</v>
      </c>
    </row>
    <row r="132" spans="1:16" x14ac:dyDescent="0.2">
      <c r="A132" s="2" t="s">
        <v>1222</v>
      </c>
      <c r="B132" s="3">
        <v>44624</v>
      </c>
      <c r="C132" s="2" t="s">
        <v>1223</v>
      </c>
      <c r="D132" t="s">
        <v>6182</v>
      </c>
      <c r="E132" s="2">
        <v>5</v>
      </c>
      <c r="F132" s="2" t="str">
        <f>_xlfn.XLOOKUP(Data_orders!C132,Data_customers!$A$1:$A$1001,Data_customers!$B$1:$B$1001,,0)</f>
        <v>Bidget Tremellier</v>
      </c>
      <c r="G132" s="2" t="str">
        <f>IF(_xlfn.XLOOKUP(C132,Data_customers!$A$1:$A$1001,Data_customers!$C$1:$C$1001,,0)=0,"",_xlfn.XLOOKUP(C132,Data_customers!$A$1:$A$1001,Data_customers!$C$1:$C$1001,,0))</f>
        <v/>
      </c>
      <c r="H132" s="2" t="str">
        <f>_xlfn.XLOOKUP(C132,Data_customers!$A$1:$A$1001,Data_customers!$G$1:$G$1001,"",0)</f>
        <v>Ireland</v>
      </c>
      <c r="I132" t="str">
        <f>INDEX(Data_products!$A$1:$G$49, MATCH(Data_orders!$D132,Data_products!$A$1:$A$49,0), MATCH(Data_orders!I$1,Data_products!$A$1:$G$1,0))</f>
        <v>Ara</v>
      </c>
      <c r="J132" t="str">
        <f>INDEX(Data_products!$A$1:$G$49, MATCH(Data_orders!$D132,Data_products!$A$1:$A$49,0), MATCH(Data_orders!J$1,Data_products!$A$1:$G$1,0))</f>
        <v>L</v>
      </c>
      <c r="K132" s="4">
        <f>INDEX(Data_products!$A$1:$G$49, MATCH(Data_orders!$D132,Data_products!$A$1:$A$49,0), MATCH(Data_orders!K$1,Data_products!$A$1:$G$1,0))</f>
        <v>2.5</v>
      </c>
      <c r="L132">
        <f>INDEX(Data_products!$A$1:$G$49, MATCH(Data_orders!$D132,Data_products!$A$1:$A$49,0), MATCH(Data_orders!L$1,Data_products!$A$1:$G$1,0))</f>
        <v>29.784999999999997</v>
      </c>
      <c r="M132">
        <f t="shared" si="4"/>
        <v>148.92499999999998</v>
      </c>
      <c r="N132" t="str" cm="1">
        <f t="array" ref="N132">_xlfn.IFS(I132 = "Rob", "Robusta", I132 = "Exc", "Excelsa", I132 = "Ara", "Arabica", I132 = "Lib", "Liberica")</f>
        <v>Arabica</v>
      </c>
      <c r="O132" t="str">
        <f t="shared" si="5"/>
        <v>Light</v>
      </c>
      <c r="P132" t="str">
        <f>_xlfn.XLOOKUP(Table1[[#This Row],[Customer ID]],Data_customers!$A$2:$A$1001,Data_customers!$I$2:$I$1001,,0)</f>
        <v>Yes</v>
      </c>
    </row>
    <row r="133" spans="1:16" x14ac:dyDescent="0.2">
      <c r="A133" s="2" t="s">
        <v>1227</v>
      </c>
      <c r="B133" s="3">
        <v>44196</v>
      </c>
      <c r="C133" s="2" t="s">
        <v>1228</v>
      </c>
      <c r="D133" t="s">
        <v>6144</v>
      </c>
      <c r="E133" s="2">
        <v>2</v>
      </c>
      <c r="F133" s="2" t="str">
        <f>_xlfn.XLOOKUP(Data_orders!C133,Data_customers!$A$1:$A$1001,Data_customers!$B$1:$B$1001,,0)</f>
        <v>Bobinette Hindsberg</v>
      </c>
      <c r="G133" s="2" t="str">
        <f>IF(_xlfn.XLOOKUP(C133,Data_customers!$A$1:$A$1001,Data_customers!$C$1:$C$1001,,0)=0,"",_xlfn.XLOOKUP(C133,Data_customers!$A$1:$A$1001,Data_customers!$C$1:$C$1001,,0))</f>
        <v>bhindsberg3n@blogs.com</v>
      </c>
      <c r="H133" s="2" t="str">
        <f>_xlfn.XLOOKUP(C133,Data_customers!$A$1:$A$1001,Data_customers!$G$1:$G$1001,"",0)</f>
        <v>United States</v>
      </c>
      <c r="I133" t="str">
        <f>INDEX(Data_products!$A$1:$G$49, MATCH(Data_orders!$D133,Data_products!$A$1:$A$49,0), MATCH(Data_orders!I$1,Data_products!$A$1:$G$1,0))</f>
        <v>Exc</v>
      </c>
      <c r="J133" t="str">
        <f>INDEX(Data_products!$A$1:$G$49, MATCH(Data_orders!$D133,Data_products!$A$1:$A$49,0), MATCH(Data_orders!J$1,Data_products!$A$1:$G$1,0))</f>
        <v>D</v>
      </c>
      <c r="K133" s="4">
        <f>INDEX(Data_products!$A$1:$G$49, MATCH(Data_orders!$D133,Data_products!$A$1:$A$49,0), MATCH(Data_orders!K$1,Data_products!$A$1:$G$1,0))</f>
        <v>0.5</v>
      </c>
      <c r="L133">
        <f>INDEX(Data_products!$A$1:$G$49, MATCH(Data_orders!$D133,Data_products!$A$1:$A$49,0), MATCH(Data_orders!L$1,Data_products!$A$1:$G$1,0))</f>
        <v>7.29</v>
      </c>
      <c r="M133">
        <f t="shared" si="4"/>
        <v>14.58</v>
      </c>
      <c r="N133" t="str" cm="1">
        <f t="array" ref="N133">_xlfn.IFS(I133 = "Rob", "Robusta", I133 = "Exc", "Excelsa", I133 = "Ara", "Arabica", I133 = "Lib", "Liberica")</f>
        <v>Excelsa</v>
      </c>
      <c r="O133" t="str">
        <f t="shared" si="5"/>
        <v>Dark</v>
      </c>
      <c r="P133" t="str">
        <f>_xlfn.XLOOKUP(Table1[[#This Row],[Customer ID]],Data_customers!$A$2:$A$1001,Data_customers!$I$2:$I$1001,,0)</f>
        <v>Yes</v>
      </c>
    </row>
    <row r="134" spans="1:16" x14ac:dyDescent="0.2">
      <c r="A134" s="2" t="s">
        <v>1233</v>
      </c>
      <c r="B134" s="3">
        <v>44043</v>
      </c>
      <c r="C134" s="2" t="s">
        <v>1234</v>
      </c>
      <c r="D134" t="s">
        <v>6182</v>
      </c>
      <c r="E134" s="2">
        <v>5</v>
      </c>
      <c r="F134" s="2" t="str">
        <f>_xlfn.XLOOKUP(Data_orders!C134,Data_customers!$A$1:$A$1001,Data_customers!$B$1:$B$1001,,0)</f>
        <v>Osbert Robins</v>
      </c>
      <c r="G134" s="2" t="str">
        <f>IF(_xlfn.XLOOKUP(C134,Data_customers!$A$1:$A$1001,Data_customers!$C$1:$C$1001,,0)=0,"",_xlfn.XLOOKUP(C134,Data_customers!$A$1:$A$1001,Data_customers!$C$1:$C$1001,,0))</f>
        <v>orobins3o@salon.com</v>
      </c>
      <c r="H134" s="2" t="str">
        <f>_xlfn.XLOOKUP(C134,Data_customers!$A$1:$A$1001,Data_customers!$G$1:$G$1001,"",0)</f>
        <v>United States</v>
      </c>
      <c r="I134" t="str">
        <f>INDEX(Data_products!$A$1:$G$49, MATCH(Data_orders!$D134,Data_products!$A$1:$A$49,0), MATCH(Data_orders!I$1,Data_products!$A$1:$G$1,0))</f>
        <v>Ara</v>
      </c>
      <c r="J134" t="str">
        <f>INDEX(Data_products!$A$1:$G$49, MATCH(Data_orders!$D134,Data_products!$A$1:$A$49,0), MATCH(Data_orders!J$1,Data_products!$A$1:$G$1,0))</f>
        <v>L</v>
      </c>
      <c r="K134" s="4">
        <f>INDEX(Data_products!$A$1:$G$49, MATCH(Data_orders!$D134,Data_products!$A$1:$A$49,0), MATCH(Data_orders!K$1,Data_products!$A$1:$G$1,0))</f>
        <v>2.5</v>
      </c>
      <c r="L134">
        <f>INDEX(Data_products!$A$1:$G$49, MATCH(Data_orders!$D134,Data_products!$A$1:$A$49,0), MATCH(Data_orders!L$1,Data_products!$A$1:$G$1,0))</f>
        <v>29.784999999999997</v>
      </c>
      <c r="M134">
        <f t="shared" si="4"/>
        <v>148.92499999999998</v>
      </c>
      <c r="N134" t="str" cm="1">
        <f t="array" ref="N134">_xlfn.IFS(I134 = "Rob", "Robusta", I134 = "Exc", "Excelsa", I134 = "Ara", "Arabica", I134 = "Lib", "Liberica")</f>
        <v>Arabica</v>
      </c>
      <c r="O134" t="str">
        <f t="shared" si="5"/>
        <v>Light</v>
      </c>
      <c r="P134" t="str">
        <f>_xlfn.XLOOKUP(Table1[[#This Row],[Customer ID]],Data_customers!$A$2:$A$1001,Data_customers!$I$2:$I$1001,,0)</f>
        <v>Yes</v>
      </c>
    </row>
    <row r="135" spans="1:16" x14ac:dyDescent="0.2">
      <c r="A135" s="2" t="s">
        <v>1239</v>
      </c>
      <c r="B135" s="3">
        <v>44340</v>
      </c>
      <c r="C135" s="2" t="s">
        <v>1240</v>
      </c>
      <c r="D135" t="s">
        <v>6143</v>
      </c>
      <c r="E135" s="2">
        <v>1</v>
      </c>
      <c r="F135" s="2" t="str">
        <f>_xlfn.XLOOKUP(Data_orders!C135,Data_customers!$A$1:$A$1001,Data_customers!$B$1:$B$1001,,0)</f>
        <v>Othello Syseland</v>
      </c>
      <c r="G135" s="2" t="str">
        <f>IF(_xlfn.XLOOKUP(C135,Data_customers!$A$1:$A$1001,Data_customers!$C$1:$C$1001,,0)=0,"",_xlfn.XLOOKUP(C135,Data_customers!$A$1:$A$1001,Data_customers!$C$1:$C$1001,,0))</f>
        <v>osyseland3p@independent.co.uk</v>
      </c>
      <c r="H135" s="2" t="str">
        <f>_xlfn.XLOOKUP(C135,Data_customers!$A$1:$A$1001,Data_customers!$G$1:$G$1001,"",0)</f>
        <v>United States</v>
      </c>
      <c r="I135" t="str">
        <f>INDEX(Data_products!$A$1:$G$49, MATCH(Data_orders!$D135,Data_products!$A$1:$A$49,0), MATCH(Data_orders!I$1,Data_products!$A$1:$G$1,0))</f>
        <v>Lib</v>
      </c>
      <c r="J135" t="str">
        <f>INDEX(Data_products!$A$1:$G$49, MATCH(Data_orders!$D135,Data_products!$A$1:$A$49,0), MATCH(Data_orders!J$1,Data_products!$A$1:$G$1,0))</f>
        <v>D</v>
      </c>
      <c r="K135" s="4">
        <f>INDEX(Data_products!$A$1:$G$49, MATCH(Data_orders!$D135,Data_products!$A$1:$A$49,0), MATCH(Data_orders!K$1,Data_products!$A$1:$G$1,0))</f>
        <v>1</v>
      </c>
      <c r="L135">
        <f>INDEX(Data_products!$A$1:$G$49, MATCH(Data_orders!$D135,Data_products!$A$1:$A$49,0), MATCH(Data_orders!L$1,Data_products!$A$1:$G$1,0))</f>
        <v>12.95</v>
      </c>
      <c r="M135">
        <f t="shared" si="4"/>
        <v>12.95</v>
      </c>
      <c r="N135" t="str" cm="1">
        <f t="array" ref="N135">_xlfn.IFS(I135 = "Rob", "Robusta", I135 = "Exc", "Excelsa", I135 = "Ara", "Arabica", I135 = "Lib", "Liberica")</f>
        <v>Liberica</v>
      </c>
      <c r="O135" t="str">
        <f t="shared" si="5"/>
        <v>Dark</v>
      </c>
      <c r="P135" t="str">
        <f>_xlfn.XLOOKUP(Table1[[#This Row],[Customer ID]],Data_customers!$A$2:$A$1001,Data_customers!$I$2:$I$1001,,0)</f>
        <v>No</v>
      </c>
    </row>
    <row r="136" spans="1:16" x14ac:dyDescent="0.2">
      <c r="A136" s="2" t="s">
        <v>1245</v>
      </c>
      <c r="B136" s="3">
        <v>44758</v>
      </c>
      <c r="C136" s="2" t="s">
        <v>1246</v>
      </c>
      <c r="D136" t="s">
        <v>6166</v>
      </c>
      <c r="E136" s="2">
        <v>3</v>
      </c>
      <c r="F136" s="2" t="str">
        <f>_xlfn.XLOOKUP(Data_orders!C136,Data_customers!$A$1:$A$1001,Data_customers!$B$1:$B$1001,,0)</f>
        <v>Ewell Hanby</v>
      </c>
      <c r="G136" s="2" t="str">
        <f>IF(_xlfn.XLOOKUP(C136,Data_customers!$A$1:$A$1001,Data_customers!$C$1:$C$1001,,0)=0,"",_xlfn.XLOOKUP(C136,Data_customers!$A$1:$A$1001,Data_customers!$C$1:$C$1001,,0))</f>
        <v/>
      </c>
      <c r="H136" s="2" t="str">
        <f>_xlfn.XLOOKUP(C136,Data_customers!$A$1:$A$1001,Data_customers!$G$1:$G$1001,"",0)</f>
        <v>United States</v>
      </c>
      <c r="I136" t="str">
        <f>INDEX(Data_products!$A$1:$G$49, MATCH(Data_orders!$D136,Data_products!$A$1:$A$49,0), MATCH(Data_orders!I$1,Data_products!$A$1:$G$1,0))</f>
        <v>Exc</v>
      </c>
      <c r="J136" t="str">
        <f>INDEX(Data_products!$A$1:$G$49, MATCH(Data_orders!$D136,Data_products!$A$1:$A$49,0), MATCH(Data_orders!J$1,Data_products!$A$1:$G$1,0))</f>
        <v>M</v>
      </c>
      <c r="K136" s="4">
        <f>INDEX(Data_products!$A$1:$G$49, MATCH(Data_orders!$D136,Data_products!$A$1:$A$49,0), MATCH(Data_orders!K$1,Data_products!$A$1:$G$1,0))</f>
        <v>2.5</v>
      </c>
      <c r="L136">
        <f>INDEX(Data_products!$A$1:$G$49, MATCH(Data_orders!$D136,Data_products!$A$1:$A$49,0), MATCH(Data_orders!L$1,Data_products!$A$1:$G$1,0))</f>
        <v>31.624999999999996</v>
      </c>
      <c r="M136">
        <f t="shared" si="4"/>
        <v>94.874999999999986</v>
      </c>
      <c r="N136" t="str" cm="1">
        <f t="array" ref="N136">_xlfn.IFS(I136 = "Rob", "Robusta", I136 = "Exc", "Excelsa", I136 = "Ara", "Arabica", I136 = "Lib", "Liberica")</f>
        <v>Excelsa</v>
      </c>
      <c r="O136" t="str">
        <f t="shared" si="5"/>
        <v>Medium</v>
      </c>
      <c r="P136" t="str">
        <f>_xlfn.XLOOKUP(Table1[[#This Row],[Customer ID]],Data_customers!$A$2:$A$1001,Data_customers!$I$2:$I$1001,,0)</f>
        <v>Yes</v>
      </c>
    </row>
    <row r="137" spans="1:16" x14ac:dyDescent="0.2">
      <c r="A137" s="2" t="s">
        <v>1249</v>
      </c>
      <c r="B137" s="3">
        <v>44232</v>
      </c>
      <c r="C137" s="2" t="s">
        <v>976</v>
      </c>
      <c r="D137" t="s">
        <v>6180</v>
      </c>
      <c r="E137" s="2">
        <v>5</v>
      </c>
      <c r="F137" s="2" t="str">
        <f>_xlfn.XLOOKUP(Data_orders!C137,Data_customers!$A$1:$A$1001,Data_customers!$B$1:$B$1001,,0)</f>
        <v>Blancha McAmish</v>
      </c>
      <c r="G137" s="2" t="str">
        <f>IF(_xlfn.XLOOKUP(C137,Data_customers!$A$1:$A$1001,Data_customers!$C$1:$C$1001,,0)=0,"",_xlfn.XLOOKUP(C137,Data_customers!$A$1:$A$1001,Data_customers!$C$1:$C$1001,,0))</f>
        <v>bmcamish2e@tripadvisor.com</v>
      </c>
      <c r="H137" s="2" t="str">
        <f>_xlfn.XLOOKUP(C137,Data_customers!$A$1:$A$1001,Data_customers!$G$1:$G$1001,"",0)</f>
        <v>United States</v>
      </c>
      <c r="I137" t="str">
        <f>INDEX(Data_products!$A$1:$G$49, MATCH(Data_orders!$D137,Data_products!$A$1:$A$49,0), MATCH(Data_orders!I$1,Data_products!$A$1:$G$1,0))</f>
        <v>Ara</v>
      </c>
      <c r="J137" t="str">
        <f>INDEX(Data_products!$A$1:$G$49, MATCH(Data_orders!$D137,Data_products!$A$1:$A$49,0), MATCH(Data_orders!J$1,Data_products!$A$1:$G$1,0))</f>
        <v>L</v>
      </c>
      <c r="K137" s="4">
        <f>INDEX(Data_products!$A$1:$G$49, MATCH(Data_orders!$D137,Data_products!$A$1:$A$49,0), MATCH(Data_orders!K$1,Data_products!$A$1:$G$1,0))</f>
        <v>0.5</v>
      </c>
      <c r="L137">
        <f>INDEX(Data_products!$A$1:$G$49, MATCH(Data_orders!$D137,Data_products!$A$1:$A$49,0), MATCH(Data_orders!L$1,Data_products!$A$1:$G$1,0))</f>
        <v>7.77</v>
      </c>
      <c r="M137">
        <f t="shared" si="4"/>
        <v>38.849999999999994</v>
      </c>
      <c r="N137" t="str" cm="1">
        <f t="array" ref="N137">_xlfn.IFS(I137 = "Rob", "Robusta", I137 = "Exc", "Excelsa", I137 = "Ara", "Arabica", I137 = "Lib", "Liberica")</f>
        <v>Arabica</v>
      </c>
      <c r="O137" t="str">
        <f t="shared" si="5"/>
        <v>Light</v>
      </c>
      <c r="P137" t="str">
        <f>_xlfn.XLOOKUP(Table1[[#This Row],[Customer ID]],Data_customers!$A$2:$A$1001,Data_customers!$I$2:$I$1001,,0)</f>
        <v>Yes</v>
      </c>
    </row>
    <row r="138" spans="1:16" x14ac:dyDescent="0.2">
      <c r="A138" s="2" t="s">
        <v>1255</v>
      </c>
      <c r="B138" s="3">
        <v>44406</v>
      </c>
      <c r="C138" s="2" t="s">
        <v>1256</v>
      </c>
      <c r="D138" t="s">
        <v>6154</v>
      </c>
      <c r="E138" s="2">
        <v>4</v>
      </c>
      <c r="F138" s="2" t="str">
        <f>_xlfn.XLOOKUP(Data_orders!C138,Data_customers!$A$1:$A$1001,Data_customers!$B$1:$B$1001,,0)</f>
        <v>Lowell Keenleyside</v>
      </c>
      <c r="G138" s="2" t="str">
        <f>IF(_xlfn.XLOOKUP(C138,Data_customers!$A$1:$A$1001,Data_customers!$C$1:$C$1001,,0)=0,"",_xlfn.XLOOKUP(C138,Data_customers!$A$1:$A$1001,Data_customers!$C$1:$C$1001,,0))</f>
        <v>lkeenleyside3s@topsy.com</v>
      </c>
      <c r="H138" s="2" t="str">
        <f>_xlfn.XLOOKUP(C138,Data_customers!$A$1:$A$1001,Data_customers!$G$1:$G$1001,"",0)</f>
        <v>United States</v>
      </c>
      <c r="I138" t="str">
        <f>INDEX(Data_products!$A$1:$G$49, MATCH(Data_orders!$D138,Data_products!$A$1:$A$49,0), MATCH(Data_orders!I$1,Data_products!$A$1:$G$1,0))</f>
        <v>Ara</v>
      </c>
      <c r="J138" t="str">
        <f>INDEX(Data_products!$A$1:$G$49, MATCH(Data_orders!$D138,Data_products!$A$1:$A$49,0), MATCH(Data_orders!J$1,Data_products!$A$1:$G$1,0))</f>
        <v>D</v>
      </c>
      <c r="K138" s="4">
        <f>INDEX(Data_products!$A$1:$G$49, MATCH(Data_orders!$D138,Data_products!$A$1:$A$49,0), MATCH(Data_orders!K$1,Data_products!$A$1:$G$1,0))</f>
        <v>0.2</v>
      </c>
      <c r="L138">
        <f>INDEX(Data_products!$A$1:$G$49, MATCH(Data_orders!$D138,Data_products!$A$1:$A$49,0), MATCH(Data_orders!L$1,Data_products!$A$1:$G$1,0))</f>
        <v>2.9849999999999999</v>
      </c>
      <c r="M138">
        <f t="shared" si="4"/>
        <v>11.94</v>
      </c>
      <c r="N138" t="str" cm="1">
        <f t="array" ref="N138">_xlfn.IFS(I138 = "Rob", "Robusta", I138 = "Exc", "Excelsa", I138 = "Ara", "Arabica", I138 = "Lib", "Liberica")</f>
        <v>Arabica</v>
      </c>
      <c r="O138" t="str">
        <f t="shared" si="5"/>
        <v>Dark</v>
      </c>
      <c r="P138" t="str">
        <f>_xlfn.XLOOKUP(Table1[[#This Row],[Customer ID]],Data_customers!$A$2:$A$1001,Data_customers!$I$2:$I$1001,,0)</f>
        <v>No</v>
      </c>
    </row>
    <row r="139" spans="1:16" x14ac:dyDescent="0.2">
      <c r="A139" s="2" t="s">
        <v>1261</v>
      </c>
      <c r="B139" s="3">
        <v>44637</v>
      </c>
      <c r="C139" s="2" t="s">
        <v>1262</v>
      </c>
      <c r="D139" t="s">
        <v>6148</v>
      </c>
      <c r="E139" s="2">
        <v>3</v>
      </c>
      <c r="F139" s="2" t="str">
        <f>_xlfn.XLOOKUP(Data_orders!C139,Data_customers!$A$1:$A$1001,Data_customers!$B$1:$B$1001,,0)</f>
        <v>Elonore Joliffe</v>
      </c>
      <c r="G139" s="2" t="str">
        <f>IF(_xlfn.XLOOKUP(C139,Data_customers!$A$1:$A$1001,Data_customers!$C$1:$C$1001,,0)=0,"",_xlfn.XLOOKUP(C139,Data_customers!$A$1:$A$1001,Data_customers!$C$1:$C$1001,,0))</f>
        <v/>
      </c>
      <c r="H139" s="2" t="str">
        <f>_xlfn.XLOOKUP(C139,Data_customers!$A$1:$A$1001,Data_customers!$G$1:$G$1001,"",0)</f>
        <v>Ireland</v>
      </c>
      <c r="I139" t="str">
        <f>INDEX(Data_products!$A$1:$G$49, MATCH(Data_orders!$D139,Data_products!$A$1:$A$49,0), MATCH(Data_orders!I$1,Data_products!$A$1:$G$1,0))</f>
        <v>Exc</v>
      </c>
      <c r="J139" t="str">
        <f>INDEX(Data_products!$A$1:$G$49, MATCH(Data_orders!$D139,Data_products!$A$1:$A$49,0), MATCH(Data_orders!J$1,Data_products!$A$1:$G$1,0))</f>
        <v>L</v>
      </c>
      <c r="K139" s="4">
        <f>INDEX(Data_products!$A$1:$G$49, MATCH(Data_orders!$D139,Data_products!$A$1:$A$49,0), MATCH(Data_orders!K$1,Data_products!$A$1:$G$1,0))</f>
        <v>2.5</v>
      </c>
      <c r="L139">
        <f>INDEX(Data_products!$A$1:$G$49, MATCH(Data_orders!$D139,Data_products!$A$1:$A$49,0), MATCH(Data_orders!L$1,Data_products!$A$1:$G$1,0))</f>
        <v>34.154999999999994</v>
      </c>
      <c r="M139">
        <f t="shared" si="4"/>
        <v>102.46499999999997</v>
      </c>
      <c r="N139" t="str" cm="1">
        <f t="array" ref="N139">_xlfn.IFS(I139 = "Rob", "Robusta", I139 = "Exc", "Excelsa", I139 = "Ara", "Arabica", I139 = "Lib", "Liberica")</f>
        <v>Excelsa</v>
      </c>
      <c r="O139" t="str">
        <f t="shared" si="5"/>
        <v>Light</v>
      </c>
      <c r="P139" t="str">
        <f>_xlfn.XLOOKUP(Table1[[#This Row],[Customer ID]],Data_customers!$A$2:$A$1001,Data_customers!$I$2:$I$1001,,0)</f>
        <v>No</v>
      </c>
    </row>
    <row r="140" spans="1:16" x14ac:dyDescent="0.2">
      <c r="A140" s="2" t="s">
        <v>1266</v>
      </c>
      <c r="B140" s="3">
        <v>44238</v>
      </c>
      <c r="C140" s="2" t="s">
        <v>1267</v>
      </c>
      <c r="D140" t="s">
        <v>6183</v>
      </c>
      <c r="E140" s="2">
        <v>4</v>
      </c>
      <c r="F140" s="2" t="str">
        <f>_xlfn.XLOOKUP(Data_orders!C140,Data_customers!$A$1:$A$1001,Data_customers!$B$1:$B$1001,,0)</f>
        <v>Abraham Coleman</v>
      </c>
      <c r="G140" s="2" t="str">
        <f>IF(_xlfn.XLOOKUP(C140,Data_customers!$A$1:$A$1001,Data_customers!$C$1:$C$1001,,0)=0,"",_xlfn.XLOOKUP(C140,Data_customers!$A$1:$A$1001,Data_customers!$C$1:$C$1001,,0))</f>
        <v/>
      </c>
      <c r="H140" s="2" t="str">
        <f>_xlfn.XLOOKUP(C140,Data_customers!$A$1:$A$1001,Data_customers!$G$1:$G$1001,"",0)</f>
        <v>United States</v>
      </c>
      <c r="I140" t="str">
        <f>INDEX(Data_products!$A$1:$G$49, MATCH(Data_orders!$D140,Data_products!$A$1:$A$49,0), MATCH(Data_orders!I$1,Data_products!$A$1:$G$1,0))</f>
        <v>Exc</v>
      </c>
      <c r="J140" t="str">
        <f>INDEX(Data_products!$A$1:$G$49, MATCH(Data_orders!$D140,Data_products!$A$1:$A$49,0), MATCH(Data_orders!J$1,Data_products!$A$1:$G$1,0))</f>
        <v>D</v>
      </c>
      <c r="K140" s="4">
        <f>INDEX(Data_products!$A$1:$G$49, MATCH(Data_orders!$D140,Data_products!$A$1:$A$49,0), MATCH(Data_orders!K$1,Data_products!$A$1:$G$1,0))</f>
        <v>1</v>
      </c>
      <c r="L140">
        <f>INDEX(Data_products!$A$1:$G$49, MATCH(Data_orders!$D140,Data_products!$A$1:$A$49,0), MATCH(Data_orders!L$1,Data_products!$A$1:$G$1,0))</f>
        <v>12.15</v>
      </c>
      <c r="M140">
        <f t="shared" si="4"/>
        <v>48.6</v>
      </c>
      <c r="N140" t="str" cm="1">
        <f t="array" ref="N140">_xlfn.IFS(I140 = "Rob", "Robusta", I140 = "Exc", "Excelsa", I140 = "Ara", "Arabica", I140 = "Lib", "Liberica")</f>
        <v>Excelsa</v>
      </c>
      <c r="O140" t="str">
        <f t="shared" si="5"/>
        <v>Dark</v>
      </c>
      <c r="P140" t="str">
        <f>_xlfn.XLOOKUP(Table1[[#This Row],[Customer ID]],Data_customers!$A$2:$A$1001,Data_customers!$I$2:$I$1001,,0)</f>
        <v>No</v>
      </c>
    </row>
    <row r="141" spans="1:16" x14ac:dyDescent="0.2">
      <c r="A141" s="2" t="s">
        <v>1271</v>
      </c>
      <c r="B141" s="3">
        <v>43509</v>
      </c>
      <c r="C141" s="2" t="s">
        <v>1272</v>
      </c>
      <c r="D141" t="s">
        <v>6143</v>
      </c>
      <c r="E141" s="2">
        <v>6</v>
      </c>
      <c r="F141" s="2" t="str">
        <f>_xlfn.XLOOKUP(Data_orders!C141,Data_customers!$A$1:$A$1001,Data_customers!$B$1:$B$1001,,0)</f>
        <v>Rivy Farington</v>
      </c>
      <c r="G141" s="2" t="str">
        <f>IF(_xlfn.XLOOKUP(C141,Data_customers!$A$1:$A$1001,Data_customers!$C$1:$C$1001,,0)=0,"",_xlfn.XLOOKUP(C141,Data_customers!$A$1:$A$1001,Data_customers!$C$1:$C$1001,,0))</f>
        <v/>
      </c>
      <c r="H141" s="2" t="str">
        <f>_xlfn.XLOOKUP(C141,Data_customers!$A$1:$A$1001,Data_customers!$G$1:$G$1001,"",0)</f>
        <v>United States</v>
      </c>
      <c r="I141" t="str">
        <f>INDEX(Data_products!$A$1:$G$49, MATCH(Data_orders!$D141,Data_products!$A$1:$A$49,0), MATCH(Data_orders!I$1,Data_products!$A$1:$G$1,0))</f>
        <v>Lib</v>
      </c>
      <c r="J141" t="str">
        <f>INDEX(Data_products!$A$1:$G$49, MATCH(Data_orders!$D141,Data_products!$A$1:$A$49,0), MATCH(Data_orders!J$1,Data_products!$A$1:$G$1,0))</f>
        <v>D</v>
      </c>
      <c r="K141" s="4">
        <f>INDEX(Data_products!$A$1:$G$49, MATCH(Data_orders!$D141,Data_products!$A$1:$A$49,0), MATCH(Data_orders!K$1,Data_products!$A$1:$G$1,0))</f>
        <v>1</v>
      </c>
      <c r="L141">
        <f>INDEX(Data_products!$A$1:$G$49, MATCH(Data_orders!$D141,Data_products!$A$1:$A$49,0), MATCH(Data_orders!L$1,Data_products!$A$1:$G$1,0))</f>
        <v>12.95</v>
      </c>
      <c r="M141">
        <f t="shared" si="4"/>
        <v>77.699999999999989</v>
      </c>
      <c r="N141" t="str" cm="1">
        <f t="array" ref="N141">_xlfn.IFS(I141 = "Rob", "Robusta", I141 = "Exc", "Excelsa", I141 = "Ara", "Arabica", I141 = "Lib", "Liberica")</f>
        <v>Liberica</v>
      </c>
      <c r="O141" t="str">
        <f t="shared" si="5"/>
        <v>Dark</v>
      </c>
      <c r="P141" t="str">
        <f>_xlfn.XLOOKUP(Table1[[#This Row],[Customer ID]],Data_customers!$A$2:$A$1001,Data_customers!$I$2:$I$1001,,0)</f>
        <v>Yes</v>
      </c>
    </row>
    <row r="142" spans="1:16" x14ac:dyDescent="0.2">
      <c r="A142" s="2" t="s">
        <v>1276</v>
      </c>
      <c r="B142" s="3">
        <v>44694</v>
      </c>
      <c r="C142" s="2" t="s">
        <v>1277</v>
      </c>
      <c r="D142" t="s">
        <v>6165</v>
      </c>
      <c r="E142" s="2">
        <v>1</v>
      </c>
      <c r="F142" s="2" t="str">
        <f>_xlfn.XLOOKUP(Data_orders!C142,Data_customers!$A$1:$A$1001,Data_customers!$B$1:$B$1001,,0)</f>
        <v>Vallie Kundt</v>
      </c>
      <c r="G142" s="2" t="str">
        <f>IF(_xlfn.XLOOKUP(C142,Data_customers!$A$1:$A$1001,Data_customers!$C$1:$C$1001,,0)=0,"",_xlfn.XLOOKUP(C142,Data_customers!$A$1:$A$1001,Data_customers!$C$1:$C$1001,,0))</f>
        <v>vkundt3w@bigcartel.com</v>
      </c>
      <c r="H142" s="2" t="str">
        <f>_xlfn.XLOOKUP(C142,Data_customers!$A$1:$A$1001,Data_customers!$G$1:$G$1001,"",0)</f>
        <v>Ireland</v>
      </c>
      <c r="I142" t="str">
        <f>INDEX(Data_products!$A$1:$G$49, MATCH(Data_orders!$D142,Data_products!$A$1:$A$49,0), MATCH(Data_orders!I$1,Data_products!$A$1:$G$1,0))</f>
        <v>Lib</v>
      </c>
      <c r="J142" t="str">
        <f>INDEX(Data_products!$A$1:$G$49, MATCH(Data_orders!$D142,Data_products!$A$1:$A$49,0), MATCH(Data_orders!J$1,Data_products!$A$1:$G$1,0))</f>
        <v>D</v>
      </c>
      <c r="K142" s="4">
        <f>INDEX(Data_products!$A$1:$G$49, MATCH(Data_orders!$D142,Data_products!$A$1:$A$49,0), MATCH(Data_orders!K$1,Data_products!$A$1:$G$1,0))</f>
        <v>2.5</v>
      </c>
      <c r="L142">
        <f>INDEX(Data_products!$A$1:$G$49, MATCH(Data_orders!$D142,Data_products!$A$1:$A$49,0), MATCH(Data_orders!L$1,Data_products!$A$1:$G$1,0))</f>
        <v>29.784999999999997</v>
      </c>
      <c r="M142">
        <f t="shared" si="4"/>
        <v>29.784999999999997</v>
      </c>
      <c r="N142" t="str" cm="1">
        <f t="array" ref="N142">_xlfn.IFS(I142 = "Rob", "Robusta", I142 = "Exc", "Excelsa", I142 = "Ara", "Arabica", I142 = "Lib", "Liberica")</f>
        <v>Liberica</v>
      </c>
      <c r="O142" t="str">
        <f t="shared" si="5"/>
        <v>Dark</v>
      </c>
      <c r="P142" t="str">
        <f>_xlfn.XLOOKUP(Table1[[#This Row],[Customer ID]],Data_customers!$A$2:$A$1001,Data_customers!$I$2:$I$1001,,0)</f>
        <v>Yes</v>
      </c>
    </row>
    <row r="143" spans="1:16" x14ac:dyDescent="0.2">
      <c r="A143" s="2" t="s">
        <v>1283</v>
      </c>
      <c r="B143" s="3">
        <v>43970</v>
      </c>
      <c r="C143" s="2" t="s">
        <v>1284</v>
      </c>
      <c r="D143" t="s">
        <v>6167</v>
      </c>
      <c r="E143" s="2">
        <v>4</v>
      </c>
      <c r="F143" s="2" t="str">
        <f>_xlfn.XLOOKUP(Data_orders!C143,Data_customers!$A$1:$A$1001,Data_customers!$B$1:$B$1001,,0)</f>
        <v>Boyd Bett</v>
      </c>
      <c r="G143" s="2" t="str">
        <f>IF(_xlfn.XLOOKUP(C143,Data_customers!$A$1:$A$1001,Data_customers!$C$1:$C$1001,,0)=0,"",_xlfn.XLOOKUP(C143,Data_customers!$A$1:$A$1001,Data_customers!$C$1:$C$1001,,0))</f>
        <v>bbett3x@google.de</v>
      </c>
      <c r="H143" s="2" t="str">
        <f>_xlfn.XLOOKUP(C143,Data_customers!$A$1:$A$1001,Data_customers!$G$1:$G$1001,"",0)</f>
        <v>United States</v>
      </c>
      <c r="I143" t="str">
        <f>INDEX(Data_products!$A$1:$G$49, MATCH(Data_orders!$D143,Data_products!$A$1:$A$49,0), MATCH(Data_orders!I$1,Data_products!$A$1:$G$1,0))</f>
        <v>Ara</v>
      </c>
      <c r="J143" t="str">
        <f>INDEX(Data_products!$A$1:$G$49, MATCH(Data_orders!$D143,Data_products!$A$1:$A$49,0), MATCH(Data_orders!J$1,Data_products!$A$1:$G$1,0))</f>
        <v>L</v>
      </c>
      <c r="K143" s="4">
        <f>INDEX(Data_products!$A$1:$G$49, MATCH(Data_orders!$D143,Data_products!$A$1:$A$49,0), MATCH(Data_orders!K$1,Data_products!$A$1:$G$1,0))</f>
        <v>0.2</v>
      </c>
      <c r="L143">
        <f>INDEX(Data_products!$A$1:$G$49, MATCH(Data_orders!$D143,Data_products!$A$1:$A$49,0), MATCH(Data_orders!L$1,Data_products!$A$1:$G$1,0))</f>
        <v>3.8849999999999998</v>
      </c>
      <c r="M143">
        <f t="shared" si="4"/>
        <v>15.54</v>
      </c>
      <c r="N143" t="str" cm="1">
        <f t="array" ref="N143">_xlfn.IFS(I143 = "Rob", "Robusta", I143 = "Exc", "Excelsa", I143 = "Ara", "Arabica", I143 = "Lib", "Liberica")</f>
        <v>Arabica</v>
      </c>
      <c r="O143" t="str">
        <f t="shared" si="5"/>
        <v>Light</v>
      </c>
      <c r="P143" t="str">
        <f>_xlfn.XLOOKUP(Table1[[#This Row],[Customer ID]],Data_customers!$A$2:$A$1001,Data_customers!$I$2:$I$1001,,0)</f>
        <v>Yes</v>
      </c>
    </row>
    <row r="144" spans="1:16" x14ac:dyDescent="0.2">
      <c r="A144" s="2" t="s">
        <v>1289</v>
      </c>
      <c r="B144" s="3">
        <v>44678</v>
      </c>
      <c r="C144" s="2" t="s">
        <v>1290</v>
      </c>
      <c r="D144" t="s">
        <v>6148</v>
      </c>
      <c r="E144" s="2">
        <v>4</v>
      </c>
      <c r="F144" s="2" t="str">
        <f>_xlfn.XLOOKUP(Data_orders!C144,Data_customers!$A$1:$A$1001,Data_customers!$B$1:$B$1001,,0)</f>
        <v>Julio Armytage</v>
      </c>
      <c r="G144" s="2" t="str">
        <f>IF(_xlfn.XLOOKUP(C144,Data_customers!$A$1:$A$1001,Data_customers!$C$1:$C$1001,,0)=0,"",_xlfn.XLOOKUP(C144,Data_customers!$A$1:$A$1001,Data_customers!$C$1:$C$1001,,0))</f>
        <v/>
      </c>
      <c r="H144" s="2" t="str">
        <f>_xlfn.XLOOKUP(C144,Data_customers!$A$1:$A$1001,Data_customers!$G$1:$G$1001,"",0)</f>
        <v>Ireland</v>
      </c>
      <c r="I144" t="str">
        <f>INDEX(Data_products!$A$1:$G$49, MATCH(Data_orders!$D144,Data_products!$A$1:$A$49,0), MATCH(Data_orders!I$1,Data_products!$A$1:$G$1,0))</f>
        <v>Exc</v>
      </c>
      <c r="J144" t="str">
        <f>INDEX(Data_products!$A$1:$G$49, MATCH(Data_orders!$D144,Data_products!$A$1:$A$49,0), MATCH(Data_orders!J$1,Data_products!$A$1:$G$1,0))</f>
        <v>L</v>
      </c>
      <c r="K144" s="4">
        <f>INDEX(Data_products!$A$1:$G$49, MATCH(Data_orders!$D144,Data_products!$A$1:$A$49,0), MATCH(Data_orders!K$1,Data_products!$A$1:$G$1,0))</f>
        <v>2.5</v>
      </c>
      <c r="L144">
        <f>INDEX(Data_products!$A$1:$G$49, MATCH(Data_orders!$D144,Data_products!$A$1:$A$49,0), MATCH(Data_orders!L$1,Data_products!$A$1:$G$1,0))</f>
        <v>34.154999999999994</v>
      </c>
      <c r="M144">
        <f t="shared" si="4"/>
        <v>136.61999999999998</v>
      </c>
      <c r="N144" t="str" cm="1">
        <f t="array" ref="N144">_xlfn.IFS(I144 = "Rob", "Robusta", I144 = "Exc", "Excelsa", I144 = "Ara", "Arabica", I144 = "Lib", "Liberica")</f>
        <v>Excelsa</v>
      </c>
      <c r="O144" t="str">
        <f t="shared" si="5"/>
        <v>Light</v>
      </c>
      <c r="P144" t="str">
        <f>_xlfn.XLOOKUP(Table1[[#This Row],[Customer ID]],Data_customers!$A$2:$A$1001,Data_customers!$I$2:$I$1001,,0)</f>
        <v>Yes</v>
      </c>
    </row>
    <row r="145" spans="1:16" x14ac:dyDescent="0.2">
      <c r="A145" s="2" t="s">
        <v>1293</v>
      </c>
      <c r="B145" s="3">
        <v>44083</v>
      </c>
      <c r="C145" s="2" t="s">
        <v>1294</v>
      </c>
      <c r="D145" t="s">
        <v>6160</v>
      </c>
      <c r="E145" s="2">
        <v>2</v>
      </c>
      <c r="F145" s="2" t="str">
        <f>_xlfn.XLOOKUP(Data_orders!C145,Data_customers!$A$1:$A$1001,Data_customers!$B$1:$B$1001,,0)</f>
        <v>Deana Staite</v>
      </c>
      <c r="G145" s="2" t="str">
        <f>IF(_xlfn.XLOOKUP(C145,Data_customers!$A$1:$A$1001,Data_customers!$C$1:$C$1001,,0)=0,"",_xlfn.XLOOKUP(C145,Data_customers!$A$1:$A$1001,Data_customers!$C$1:$C$1001,,0))</f>
        <v>dstaite3z@scientificamerican.com</v>
      </c>
      <c r="H145" s="2" t="str">
        <f>_xlfn.XLOOKUP(C145,Data_customers!$A$1:$A$1001,Data_customers!$G$1:$G$1001,"",0)</f>
        <v>United States</v>
      </c>
      <c r="I145" t="str">
        <f>INDEX(Data_products!$A$1:$G$49, MATCH(Data_orders!$D145,Data_products!$A$1:$A$49,0), MATCH(Data_orders!I$1,Data_products!$A$1:$G$1,0))</f>
        <v>Lib</v>
      </c>
      <c r="J145" t="str">
        <f>INDEX(Data_products!$A$1:$G$49, MATCH(Data_orders!$D145,Data_products!$A$1:$A$49,0), MATCH(Data_orders!J$1,Data_products!$A$1:$G$1,0))</f>
        <v>M</v>
      </c>
      <c r="K145" s="4">
        <f>INDEX(Data_products!$A$1:$G$49, MATCH(Data_orders!$D145,Data_products!$A$1:$A$49,0), MATCH(Data_orders!K$1,Data_products!$A$1:$G$1,0))</f>
        <v>0.5</v>
      </c>
      <c r="L145">
        <f>INDEX(Data_products!$A$1:$G$49, MATCH(Data_orders!$D145,Data_products!$A$1:$A$49,0), MATCH(Data_orders!L$1,Data_products!$A$1:$G$1,0))</f>
        <v>8.73</v>
      </c>
      <c r="M145">
        <f t="shared" si="4"/>
        <v>17.46</v>
      </c>
      <c r="N145" t="str" cm="1">
        <f t="array" ref="N145">_xlfn.IFS(I145 = "Rob", "Robusta", I145 = "Exc", "Excelsa", I145 = "Ara", "Arabica", I145 = "Lib", "Liberica")</f>
        <v>Liberica</v>
      </c>
      <c r="O145" t="str">
        <f t="shared" si="5"/>
        <v>Medium</v>
      </c>
      <c r="P145" t="str">
        <f>_xlfn.XLOOKUP(Table1[[#This Row],[Customer ID]],Data_customers!$A$2:$A$1001,Data_customers!$I$2:$I$1001,,0)</f>
        <v>No</v>
      </c>
    </row>
    <row r="146" spans="1:16" x14ac:dyDescent="0.2">
      <c r="A146" s="2" t="s">
        <v>1299</v>
      </c>
      <c r="B146" s="3">
        <v>44265</v>
      </c>
      <c r="C146" s="2" t="s">
        <v>1300</v>
      </c>
      <c r="D146" t="s">
        <v>6148</v>
      </c>
      <c r="E146" s="2">
        <v>2</v>
      </c>
      <c r="F146" s="2" t="str">
        <f>_xlfn.XLOOKUP(Data_orders!C146,Data_customers!$A$1:$A$1001,Data_customers!$B$1:$B$1001,,0)</f>
        <v>Winn Keyse</v>
      </c>
      <c r="G146" s="2" t="str">
        <f>IF(_xlfn.XLOOKUP(C146,Data_customers!$A$1:$A$1001,Data_customers!$C$1:$C$1001,,0)=0,"",_xlfn.XLOOKUP(C146,Data_customers!$A$1:$A$1001,Data_customers!$C$1:$C$1001,,0))</f>
        <v>wkeyse40@apple.com</v>
      </c>
      <c r="H146" s="2" t="str">
        <f>_xlfn.XLOOKUP(C146,Data_customers!$A$1:$A$1001,Data_customers!$G$1:$G$1001,"",0)</f>
        <v>United States</v>
      </c>
      <c r="I146" t="str">
        <f>INDEX(Data_products!$A$1:$G$49, MATCH(Data_orders!$D146,Data_products!$A$1:$A$49,0), MATCH(Data_orders!I$1,Data_products!$A$1:$G$1,0))</f>
        <v>Exc</v>
      </c>
      <c r="J146" t="str">
        <f>INDEX(Data_products!$A$1:$G$49, MATCH(Data_orders!$D146,Data_products!$A$1:$A$49,0), MATCH(Data_orders!J$1,Data_products!$A$1:$G$1,0))</f>
        <v>L</v>
      </c>
      <c r="K146" s="4">
        <f>INDEX(Data_products!$A$1:$G$49, MATCH(Data_orders!$D146,Data_products!$A$1:$A$49,0), MATCH(Data_orders!K$1,Data_products!$A$1:$G$1,0))</f>
        <v>2.5</v>
      </c>
      <c r="L146">
        <f>INDEX(Data_products!$A$1:$G$49, MATCH(Data_orders!$D146,Data_products!$A$1:$A$49,0), MATCH(Data_orders!L$1,Data_products!$A$1:$G$1,0))</f>
        <v>34.154999999999994</v>
      </c>
      <c r="M146">
        <f t="shared" si="4"/>
        <v>68.309999999999988</v>
      </c>
      <c r="N146" t="str" cm="1">
        <f t="array" ref="N146">_xlfn.IFS(I146 = "Rob", "Robusta", I146 = "Exc", "Excelsa", I146 = "Ara", "Arabica", I146 = "Lib", "Liberica")</f>
        <v>Excelsa</v>
      </c>
      <c r="O146" t="str">
        <f t="shared" si="5"/>
        <v>Light</v>
      </c>
      <c r="P146" t="str">
        <f>_xlfn.XLOOKUP(Table1[[#This Row],[Customer ID]],Data_customers!$A$2:$A$1001,Data_customers!$I$2:$I$1001,,0)</f>
        <v>Yes</v>
      </c>
    </row>
    <row r="147" spans="1:16" x14ac:dyDescent="0.2">
      <c r="A147" s="2" t="s">
        <v>1305</v>
      </c>
      <c r="B147" s="3">
        <v>43562</v>
      </c>
      <c r="C147" s="2" t="s">
        <v>1306</v>
      </c>
      <c r="D147" t="s">
        <v>6159</v>
      </c>
      <c r="E147" s="2">
        <v>4</v>
      </c>
      <c r="F147" s="2" t="str">
        <f>_xlfn.XLOOKUP(Data_orders!C147,Data_customers!$A$1:$A$1001,Data_customers!$B$1:$B$1001,,0)</f>
        <v>Osmund Clausen-Thue</v>
      </c>
      <c r="G147" s="2" t="str">
        <f>IF(_xlfn.XLOOKUP(C147,Data_customers!$A$1:$A$1001,Data_customers!$C$1:$C$1001,,0)=0,"",_xlfn.XLOOKUP(C147,Data_customers!$A$1:$A$1001,Data_customers!$C$1:$C$1001,,0))</f>
        <v>oclausenthue41@marriott.com</v>
      </c>
      <c r="H147" s="2" t="str">
        <f>_xlfn.XLOOKUP(C147,Data_customers!$A$1:$A$1001,Data_customers!$G$1:$G$1001,"",0)</f>
        <v>United States</v>
      </c>
      <c r="I147" t="str">
        <f>INDEX(Data_products!$A$1:$G$49, MATCH(Data_orders!$D147,Data_products!$A$1:$A$49,0), MATCH(Data_orders!I$1,Data_products!$A$1:$G$1,0))</f>
        <v>Lib</v>
      </c>
      <c r="J147" t="str">
        <f>INDEX(Data_products!$A$1:$G$49, MATCH(Data_orders!$D147,Data_products!$A$1:$A$49,0), MATCH(Data_orders!J$1,Data_products!$A$1:$G$1,0))</f>
        <v>M</v>
      </c>
      <c r="K147" s="4">
        <f>INDEX(Data_products!$A$1:$G$49, MATCH(Data_orders!$D147,Data_products!$A$1:$A$49,0), MATCH(Data_orders!K$1,Data_products!$A$1:$G$1,0))</f>
        <v>0.2</v>
      </c>
      <c r="L147">
        <f>INDEX(Data_products!$A$1:$G$49, MATCH(Data_orders!$D147,Data_products!$A$1:$A$49,0), MATCH(Data_orders!L$1,Data_products!$A$1:$G$1,0))</f>
        <v>4.3650000000000002</v>
      </c>
      <c r="M147">
        <f t="shared" si="4"/>
        <v>17.46</v>
      </c>
      <c r="N147" t="str" cm="1">
        <f t="array" ref="N147">_xlfn.IFS(I147 = "Rob", "Robusta", I147 = "Exc", "Excelsa", I147 = "Ara", "Arabica", I147 = "Lib", "Liberica")</f>
        <v>Liberica</v>
      </c>
      <c r="O147" t="str">
        <f t="shared" si="5"/>
        <v>Medium</v>
      </c>
      <c r="P147" t="str">
        <f>_xlfn.XLOOKUP(Table1[[#This Row],[Customer ID]],Data_customers!$A$2:$A$1001,Data_customers!$I$2:$I$1001,,0)</f>
        <v>No</v>
      </c>
    </row>
    <row r="148" spans="1:16" x14ac:dyDescent="0.2">
      <c r="A148" s="2" t="s">
        <v>1311</v>
      </c>
      <c r="B148" s="3">
        <v>44024</v>
      </c>
      <c r="C148" s="2" t="s">
        <v>1312</v>
      </c>
      <c r="D148" t="s">
        <v>6162</v>
      </c>
      <c r="E148" s="2">
        <v>3</v>
      </c>
      <c r="F148" s="2" t="str">
        <f>_xlfn.XLOOKUP(Data_orders!C148,Data_customers!$A$1:$A$1001,Data_customers!$B$1:$B$1001,,0)</f>
        <v>Leonore Francisco</v>
      </c>
      <c r="G148" s="2" t="str">
        <f>IF(_xlfn.XLOOKUP(C148,Data_customers!$A$1:$A$1001,Data_customers!$C$1:$C$1001,,0)=0,"",_xlfn.XLOOKUP(C148,Data_customers!$A$1:$A$1001,Data_customers!$C$1:$C$1001,,0))</f>
        <v>lfrancisco42@fema.gov</v>
      </c>
      <c r="H148" s="2" t="str">
        <f>_xlfn.XLOOKUP(C148,Data_customers!$A$1:$A$1001,Data_customers!$G$1:$G$1001,"",0)</f>
        <v>United States</v>
      </c>
      <c r="I148" t="str">
        <f>INDEX(Data_products!$A$1:$G$49, MATCH(Data_orders!$D148,Data_products!$A$1:$A$49,0), MATCH(Data_orders!I$1,Data_products!$A$1:$G$1,0))</f>
        <v>Lib</v>
      </c>
      <c r="J148" t="str">
        <f>INDEX(Data_products!$A$1:$G$49, MATCH(Data_orders!$D148,Data_products!$A$1:$A$49,0), MATCH(Data_orders!J$1,Data_products!$A$1:$G$1,0))</f>
        <v>M</v>
      </c>
      <c r="K148" s="4">
        <f>INDEX(Data_products!$A$1:$G$49, MATCH(Data_orders!$D148,Data_products!$A$1:$A$49,0), MATCH(Data_orders!K$1,Data_products!$A$1:$G$1,0))</f>
        <v>1</v>
      </c>
      <c r="L148">
        <f>INDEX(Data_products!$A$1:$G$49, MATCH(Data_orders!$D148,Data_products!$A$1:$A$49,0), MATCH(Data_orders!L$1,Data_products!$A$1:$G$1,0))</f>
        <v>14.55</v>
      </c>
      <c r="M148">
        <f t="shared" si="4"/>
        <v>43.650000000000006</v>
      </c>
      <c r="N148" t="str" cm="1">
        <f t="array" ref="N148">_xlfn.IFS(I148 = "Rob", "Robusta", I148 = "Exc", "Excelsa", I148 = "Ara", "Arabica", I148 = "Lib", "Liberica")</f>
        <v>Liberica</v>
      </c>
      <c r="O148" t="str">
        <f t="shared" si="5"/>
        <v>Medium</v>
      </c>
      <c r="P148" t="str">
        <f>_xlfn.XLOOKUP(Table1[[#This Row],[Customer ID]],Data_customers!$A$2:$A$1001,Data_customers!$I$2:$I$1001,,0)</f>
        <v>No</v>
      </c>
    </row>
    <row r="149" spans="1:16" x14ac:dyDescent="0.2">
      <c r="A149" s="2" t="s">
        <v>1311</v>
      </c>
      <c r="B149" s="3">
        <v>44024</v>
      </c>
      <c r="C149" s="2" t="s">
        <v>1312</v>
      </c>
      <c r="D149" t="s">
        <v>6141</v>
      </c>
      <c r="E149" s="2">
        <v>2</v>
      </c>
      <c r="F149" s="2" t="str">
        <f>_xlfn.XLOOKUP(Data_orders!C149,Data_customers!$A$1:$A$1001,Data_customers!$B$1:$B$1001,,0)</f>
        <v>Leonore Francisco</v>
      </c>
      <c r="G149" s="2" t="str">
        <f>IF(_xlfn.XLOOKUP(C149,Data_customers!$A$1:$A$1001,Data_customers!$C$1:$C$1001,,0)=0,"",_xlfn.XLOOKUP(C149,Data_customers!$A$1:$A$1001,Data_customers!$C$1:$C$1001,,0))</f>
        <v>lfrancisco42@fema.gov</v>
      </c>
      <c r="H149" s="2" t="str">
        <f>_xlfn.XLOOKUP(C149,Data_customers!$A$1:$A$1001,Data_customers!$G$1:$G$1001,"",0)</f>
        <v>United States</v>
      </c>
      <c r="I149" t="str">
        <f>INDEX(Data_products!$A$1:$G$49, MATCH(Data_orders!$D149,Data_products!$A$1:$A$49,0), MATCH(Data_orders!I$1,Data_products!$A$1:$G$1,0))</f>
        <v>Exc</v>
      </c>
      <c r="J149" t="str">
        <f>INDEX(Data_products!$A$1:$G$49, MATCH(Data_orders!$D149,Data_products!$A$1:$A$49,0), MATCH(Data_orders!J$1,Data_products!$A$1:$G$1,0))</f>
        <v>M</v>
      </c>
      <c r="K149" s="4">
        <f>INDEX(Data_products!$A$1:$G$49, MATCH(Data_orders!$D149,Data_products!$A$1:$A$49,0), MATCH(Data_orders!K$1,Data_products!$A$1:$G$1,0))</f>
        <v>1</v>
      </c>
      <c r="L149">
        <f>INDEX(Data_products!$A$1:$G$49, MATCH(Data_orders!$D149,Data_products!$A$1:$A$49,0), MATCH(Data_orders!L$1,Data_products!$A$1:$G$1,0))</f>
        <v>13.75</v>
      </c>
      <c r="M149">
        <f t="shared" si="4"/>
        <v>27.5</v>
      </c>
      <c r="N149" t="str" cm="1">
        <f t="array" ref="N149">_xlfn.IFS(I149 = "Rob", "Robusta", I149 = "Exc", "Excelsa", I149 = "Ara", "Arabica", I149 = "Lib", "Liberica")</f>
        <v>Excelsa</v>
      </c>
      <c r="O149" t="str">
        <f t="shared" si="5"/>
        <v>Medium</v>
      </c>
      <c r="P149" t="str">
        <f>_xlfn.XLOOKUP(Table1[[#This Row],[Customer ID]],Data_customers!$A$2:$A$1001,Data_customers!$I$2:$I$1001,,0)</f>
        <v>No</v>
      </c>
    </row>
    <row r="150" spans="1:16" x14ac:dyDescent="0.2">
      <c r="A150" s="2" t="s">
        <v>1322</v>
      </c>
      <c r="B150" s="3">
        <v>44551</v>
      </c>
      <c r="C150" s="2" t="s">
        <v>1323</v>
      </c>
      <c r="D150" t="s">
        <v>6153</v>
      </c>
      <c r="E150" s="2">
        <v>5</v>
      </c>
      <c r="F150" s="2" t="str">
        <f>_xlfn.XLOOKUP(Data_orders!C150,Data_customers!$A$1:$A$1001,Data_customers!$B$1:$B$1001,,0)</f>
        <v>Giacobo Skingle</v>
      </c>
      <c r="G150" s="2" t="str">
        <f>IF(_xlfn.XLOOKUP(C150,Data_customers!$A$1:$A$1001,Data_customers!$C$1:$C$1001,,0)=0,"",_xlfn.XLOOKUP(C150,Data_customers!$A$1:$A$1001,Data_customers!$C$1:$C$1001,,0))</f>
        <v>gskingle44@clickbank.net</v>
      </c>
      <c r="H150" s="2" t="str">
        <f>_xlfn.XLOOKUP(C150,Data_customers!$A$1:$A$1001,Data_customers!$G$1:$G$1001,"",0)</f>
        <v>United States</v>
      </c>
      <c r="I150" t="str">
        <f>INDEX(Data_products!$A$1:$G$49, MATCH(Data_orders!$D150,Data_products!$A$1:$A$49,0), MATCH(Data_orders!I$1,Data_products!$A$1:$G$1,0))</f>
        <v>Exc</v>
      </c>
      <c r="J150" t="str">
        <f>INDEX(Data_products!$A$1:$G$49, MATCH(Data_orders!$D150,Data_products!$A$1:$A$49,0), MATCH(Data_orders!J$1,Data_products!$A$1:$G$1,0))</f>
        <v>D</v>
      </c>
      <c r="K150" s="4">
        <f>INDEX(Data_products!$A$1:$G$49, MATCH(Data_orders!$D150,Data_products!$A$1:$A$49,0), MATCH(Data_orders!K$1,Data_products!$A$1:$G$1,0))</f>
        <v>0.2</v>
      </c>
      <c r="L150">
        <f>INDEX(Data_products!$A$1:$G$49, MATCH(Data_orders!$D150,Data_products!$A$1:$A$49,0), MATCH(Data_orders!L$1,Data_products!$A$1:$G$1,0))</f>
        <v>3.645</v>
      </c>
      <c r="M150">
        <f t="shared" si="4"/>
        <v>18.225000000000001</v>
      </c>
      <c r="N150" t="str" cm="1">
        <f t="array" ref="N150">_xlfn.IFS(I150 = "Rob", "Robusta", I150 = "Exc", "Excelsa", I150 = "Ara", "Arabica", I150 = "Lib", "Liberica")</f>
        <v>Excelsa</v>
      </c>
      <c r="O150" t="str">
        <f t="shared" si="5"/>
        <v>Dark</v>
      </c>
      <c r="P150" t="str">
        <f>_xlfn.XLOOKUP(Table1[[#This Row],[Customer ID]],Data_customers!$A$2:$A$1001,Data_customers!$I$2:$I$1001,,0)</f>
        <v>Yes</v>
      </c>
    </row>
    <row r="151" spans="1:16" x14ac:dyDescent="0.2">
      <c r="A151" s="2" t="s">
        <v>1328</v>
      </c>
      <c r="B151" s="3">
        <v>44108</v>
      </c>
      <c r="C151" s="2" t="s">
        <v>1329</v>
      </c>
      <c r="D151" t="s">
        <v>6175</v>
      </c>
      <c r="E151" s="2">
        <v>2</v>
      </c>
      <c r="F151" s="2" t="str">
        <f>_xlfn.XLOOKUP(Data_orders!C151,Data_customers!$A$1:$A$1001,Data_customers!$B$1:$B$1001,,0)</f>
        <v>Gerard Pirdy</v>
      </c>
      <c r="G151" s="2" t="str">
        <f>IF(_xlfn.XLOOKUP(C151,Data_customers!$A$1:$A$1001,Data_customers!$C$1:$C$1001,,0)=0,"",_xlfn.XLOOKUP(C151,Data_customers!$A$1:$A$1001,Data_customers!$C$1:$C$1001,,0))</f>
        <v/>
      </c>
      <c r="H151" s="2" t="str">
        <f>_xlfn.XLOOKUP(C151,Data_customers!$A$1:$A$1001,Data_customers!$G$1:$G$1001,"",0)</f>
        <v>United States</v>
      </c>
      <c r="I151" t="str">
        <f>INDEX(Data_products!$A$1:$G$49, MATCH(Data_orders!$D151,Data_products!$A$1:$A$49,0), MATCH(Data_orders!I$1,Data_products!$A$1:$G$1,0))</f>
        <v>Ara</v>
      </c>
      <c r="J151" t="str">
        <f>INDEX(Data_products!$A$1:$G$49, MATCH(Data_orders!$D151,Data_products!$A$1:$A$49,0), MATCH(Data_orders!J$1,Data_products!$A$1:$G$1,0))</f>
        <v>M</v>
      </c>
      <c r="K151" s="4">
        <f>INDEX(Data_products!$A$1:$G$49, MATCH(Data_orders!$D151,Data_products!$A$1:$A$49,0), MATCH(Data_orders!K$1,Data_products!$A$1:$G$1,0))</f>
        <v>2.5</v>
      </c>
      <c r="L151">
        <f>INDEX(Data_products!$A$1:$G$49, MATCH(Data_orders!$D151,Data_products!$A$1:$A$49,0), MATCH(Data_orders!L$1,Data_products!$A$1:$G$1,0))</f>
        <v>25.874999999999996</v>
      </c>
      <c r="M151">
        <f t="shared" si="4"/>
        <v>51.749999999999993</v>
      </c>
      <c r="N151" t="str" cm="1">
        <f t="array" ref="N151">_xlfn.IFS(I151 = "Rob", "Robusta", I151 = "Exc", "Excelsa", I151 = "Ara", "Arabica", I151 = "Lib", "Liberica")</f>
        <v>Arabica</v>
      </c>
      <c r="O151" t="str">
        <f t="shared" si="5"/>
        <v>Medium</v>
      </c>
      <c r="P151" t="str">
        <f>_xlfn.XLOOKUP(Table1[[#This Row],[Customer ID]],Data_customers!$A$2:$A$1001,Data_customers!$I$2:$I$1001,,0)</f>
        <v>Yes</v>
      </c>
    </row>
    <row r="152" spans="1:16" x14ac:dyDescent="0.2">
      <c r="A152" s="2" t="s">
        <v>1333</v>
      </c>
      <c r="B152" s="3">
        <v>44051</v>
      </c>
      <c r="C152" s="2" t="s">
        <v>1334</v>
      </c>
      <c r="D152" t="s">
        <v>6143</v>
      </c>
      <c r="E152" s="2">
        <v>1</v>
      </c>
      <c r="F152" s="2" t="str">
        <f>_xlfn.XLOOKUP(Data_orders!C152,Data_customers!$A$1:$A$1001,Data_customers!$B$1:$B$1001,,0)</f>
        <v>Jacinthe Balsillie</v>
      </c>
      <c r="G152" s="2" t="str">
        <f>IF(_xlfn.XLOOKUP(C152,Data_customers!$A$1:$A$1001,Data_customers!$C$1:$C$1001,,0)=0,"",_xlfn.XLOOKUP(C152,Data_customers!$A$1:$A$1001,Data_customers!$C$1:$C$1001,,0))</f>
        <v>jbalsillie46@princeton.edu</v>
      </c>
      <c r="H152" s="2" t="str">
        <f>_xlfn.XLOOKUP(C152,Data_customers!$A$1:$A$1001,Data_customers!$G$1:$G$1001,"",0)</f>
        <v>United States</v>
      </c>
      <c r="I152" t="str">
        <f>INDEX(Data_products!$A$1:$G$49, MATCH(Data_orders!$D152,Data_products!$A$1:$A$49,0), MATCH(Data_orders!I$1,Data_products!$A$1:$G$1,0))</f>
        <v>Lib</v>
      </c>
      <c r="J152" t="str">
        <f>INDEX(Data_products!$A$1:$G$49, MATCH(Data_orders!$D152,Data_products!$A$1:$A$49,0), MATCH(Data_orders!J$1,Data_products!$A$1:$G$1,0))</f>
        <v>D</v>
      </c>
      <c r="K152" s="4">
        <f>INDEX(Data_products!$A$1:$G$49, MATCH(Data_orders!$D152,Data_products!$A$1:$A$49,0), MATCH(Data_orders!K$1,Data_products!$A$1:$G$1,0))</f>
        <v>1</v>
      </c>
      <c r="L152">
        <f>INDEX(Data_products!$A$1:$G$49, MATCH(Data_orders!$D152,Data_products!$A$1:$A$49,0), MATCH(Data_orders!L$1,Data_products!$A$1:$G$1,0))</f>
        <v>12.95</v>
      </c>
      <c r="M152">
        <f t="shared" si="4"/>
        <v>12.95</v>
      </c>
      <c r="N152" t="str" cm="1">
        <f t="array" ref="N152">_xlfn.IFS(I152 = "Rob", "Robusta", I152 = "Exc", "Excelsa", I152 = "Ara", "Arabica", I152 = "Lib", "Liberica")</f>
        <v>Liberica</v>
      </c>
      <c r="O152" t="str">
        <f t="shared" si="5"/>
        <v>Dark</v>
      </c>
      <c r="P152" t="str">
        <f>_xlfn.XLOOKUP(Table1[[#This Row],[Customer ID]],Data_customers!$A$2:$A$1001,Data_customers!$I$2:$I$1001,,0)</f>
        <v>Yes</v>
      </c>
    </row>
    <row r="153" spans="1:16" x14ac:dyDescent="0.2">
      <c r="A153" s="2" t="s">
        <v>1339</v>
      </c>
      <c r="B153" s="3">
        <v>44115</v>
      </c>
      <c r="C153" s="2" t="s">
        <v>1340</v>
      </c>
      <c r="D153" t="s">
        <v>6155</v>
      </c>
      <c r="E153" s="2">
        <v>3</v>
      </c>
      <c r="F153" s="2" t="str">
        <f>_xlfn.XLOOKUP(Data_orders!C153,Data_customers!$A$1:$A$1001,Data_customers!$B$1:$B$1001,,0)</f>
        <v>Quinton Fouracres</v>
      </c>
      <c r="G153" s="2" t="str">
        <f>IF(_xlfn.XLOOKUP(C153,Data_customers!$A$1:$A$1001,Data_customers!$C$1:$C$1001,,0)=0,"",_xlfn.XLOOKUP(C153,Data_customers!$A$1:$A$1001,Data_customers!$C$1:$C$1001,,0))</f>
        <v/>
      </c>
      <c r="H153" s="2" t="str">
        <f>_xlfn.XLOOKUP(C153,Data_customers!$A$1:$A$1001,Data_customers!$G$1:$G$1001,"",0)</f>
        <v>United States</v>
      </c>
      <c r="I153" t="str">
        <f>INDEX(Data_products!$A$1:$G$49, MATCH(Data_orders!$D153,Data_products!$A$1:$A$49,0), MATCH(Data_orders!I$1,Data_products!$A$1:$G$1,0))</f>
        <v>Ara</v>
      </c>
      <c r="J153" t="str">
        <f>INDEX(Data_products!$A$1:$G$49, MATCH(Data_orders!$D153,Data_products!$A$1:$A$49,0), MATCH(Data_orders!J$1,Data_products!$A$1:$G$1,0))</f>
        <v>M</v>
      </c>
      <c r="K153" s="4">
        <f>INDEX(Data_products!$A$1:$G$49, MATCH(Data_orders!$D153,Data_products!$A$1:$A$49,0), MATCH(Data_orders!K$1,Data_products!$A$1:$G$1,0))</f>
        <v>1</v>
      </c>
      <c r="L153">
        <f>INDEX(Data_products!$A$1:$G$49, MATCH(Data_orders!$D153,Data_products!$A$1:$A$49,0), MATCH(Data_orders!L$1,Data_products!$A$1:$G$1,0))</f>
        <v>11.25</v>
      </c>
      <c r="M153">
        <f t="shared" si="4"/>
        <v>33.75</v>
      </c>
      <c r="N153" t="str" cm="1">
        <f t="array" ref="N153">_xlfn.IFS(I153 = "Rob", "Robusta", I153 = "Exc", "Excelsa", I153 = "Ara", "Arabica", I153 = "Lib", "Liberica")</f>
        <v>Arabica</v>
      </c>
      <c r="O153" t="str">
        <f t="shared" si="5"/>
        <v>Medium</v>
      </c>
      <c r="P153" t="str">
        <f>_xlfn.XLOOKUP(Table1[[#This Row],[Customer ID]],Data_customers!$A$2:$A$1001,Data_customers!$I$2:$I$1001,,0)</f>
        <v>Yes</v>
      </c>
    </row>
    <row r="154" spans="1:16" x14ac:dyDescent="0.2">
      <c r="A154" s="2" t="s">
        <v>1344</v>
      </c>
      <c r="B154" s="3">
        <v>44510</v>
      </c>
      <c r="C154" s="2" t="s">
        <v>1345</v>
      </c>
      <c r="D154" t="s">
        <v>6151</v>
      </c>
      <c r="E154" s="2">
        <v>3</v>
      </c>
      <c r="F154" s="2" t="str">
        <f>_xlfn.XLOOKUP(Data_orders!C154,Data_customers!$A$1:$A$1001,Data_customers!$B$1:$B$1001,,0)</f>
        <v>Bettina Leffek</v>
      </c>
      <c r="G154" s="2" t="str">
        <f>IF(_xlfn.XLOOKUP(C154,Data_customers!$A$1:$A$1001,Data_customers!$C$1:$C$1001,,0)=0,"",_xlfn.XLOOKUP(C154,Data_customers!$A$1:$A$1001,Data_customers!$C$1:$C$1001,,0))</f>
        <v>bleffek48@ning.com</v>
      </c>
      <c r="H154" s="2" t="str">
        <f>_xlfn.XLOOKUP(C154,Data_customers!$A$1:$A$1001,Data_customers!$G$1:$G$1001,"",0)</f>
        <v>United States</v>
      </c>
      <c r="I154" t="str">
        <f>INDEX(Data_products!$A$1:$G$49, MATCH(Data_orders!$D154,Data_products!$A$1:$A$49,0), MATCH(Data_orders!I$1,Data_products!$A$1:$G$1,0))</f>
        <v>Rob</v>
      </c>
      <c r="J154" t="str">
        <f>INDEX(Data_products!$A$1:$G$49, MATCH(Data_orders!$D154,Data_products!$A$1:$A$49,0), MATCH(Data_orders!J$1,Data_products!$A$1:$G$1,0))</f>
        <v>M</v>
      </c>
      <c r="K154" s="4">
        <f>INDEX(Data_products!$A$1:$G$49, MATCH(Data_orders!$D154,Data_products!$A$1:$A$49,0), MATCH(Data_orders!K$1,Data_products!$A$1:$G$1,0))</f>
        <v>2.5</v>
      </c>
      <c r="L154">
        <f>INDEX(Data_products!$A$1:$G$49, MATCH(Data_orders!$D154,Data_products!$A$1:$A$49,0), MATCH(Data_orders!L$1,Data_products!$A$1:$G$1,0))</f>
        <v>22.884999999999998</v>
      </c>
      <c r="M154">
        <f t="shared" si="4"/>
        <v>68.655000000000001</v>
      </c>
      <c r="N154" t="str" cm="1">
        <f t="array" ref="N154">_xlfn.IFS(I154 = "Rob", "Robusta", I154 = "Exc", "Excelsa", I154 = "Ara", "Arabica", I154 = "Lib", "Liberica")</f>
        <v>Robusta</v>
      </c>
      <c r="O154" t="str">
        <f t="shared" si="5"/>
        <v>Medium</v>
      </c>
      <c r="P154" t="str">
        <f>_xlfn.XLOOKUP(Table1[[#This Row],[Customer ID]],Data_customers!$A$2:$A$1001,Data_customers!$I$2:$I$1001,,0)</f>
        <v>Yes</v>
      </c>
    </row>
    <row r="155" spans="1:16" x14ac:dyDescent="0.2">
      <c r="A155" s="2" t="s">
        <v>1350</v>
      </c>
      <c r="B155" s="3">
        <v>44367</v>
      </c>
      <c r="C155" s="2" t="s">
        <v>1351</v>
      </c>
      <c r="D155" t="s">
        <v>6163</v>
      </c>
      <c r="E155" s="2">
        <v>1</v>
      </c>
      <c r="F155" s="2" t="str">
        <f>_xlfn.XLOOKUP(Data_orders!C155,Data_customers!$A$1:$A$1001,Data_customers!$B$1:$B$1001,,0)</f>
        <v>Hetti Penson</v>
      </c>
      <c r="G155" s="2" t="str">
        <f>IF(_xlfn.XLOOKUP(C155,Data_customers!$A$1:$A$1001,Data_customers!$C$1:$C$1001,,0)=0,"",_xlfn.XLOOKUP(C155,Data_customers!$A$1:$A$1001,Data_customers!$C$1:$C$1001,,0))</f>
        <v/>
      </c>
      <c r="H155" s="2" t="str">
        <f>_xlfn.XLOOKUP(C155,Data_customers!$A$1:$A$1001,Data_customers!$G$1:$G$1001,"",0)</f>
        <v>United States</v>
      </c>
      <c r="I155" t="str">
        <f>INDEX(Data_products!$A$1:$G$49, MATCH(Data_orders!$D155,Data_products!$A$1:$A$49,0), MATCH(Data_orders!I$1,Data_products!$A$1:$G$1,0))</f>
        <v>Rob</v>
      </c>
      <c r="J155" t="str">
        <f>INDEX(Data_products!$A$1:$G$49, MATCH(Data_orders!$D155,Data_products!$A$1:$A$49,0), MATCH(Data_orders!J$1,Data_products!$A$1:$G$1,0))</f>
        <v>D</v>
      </c>
      <c r="K155" s="4">
        <f>INDEX(Data_products!$A$1:$G$49, MATCH(Data_orders!$D155,Data_products!$A$1:$A$49,0), MATCH(Data_orders!K$1,Data_products!$A$1:$G$1,0))</f>
        <v>0.2</v>
      </c>
      <c r="L155">
        <f>INDEX(Data_products!$A$1:$G$49, MATCH(Data_orders!$D155,Data_products!$A$1:$A$49,0), MATCH(Data_orders!L$1,Data_products!$A$1:$G$1,0))</f>
        <v>2.6849999999999996</v>
      </c>
      <c r="M155">
        <f t="shared" si="4"/>
        <v>2.6849999999999996</v>
      </c>
      <c r="N155" t="str" cm="1">
        <f t="array" ref="N155">_xlfn.IFS(I155 = "Rob", "Robusta", I155 = "Exc", "Excelsa", I155 = "Ara", "Arabica", I155 = "Lib", "Liberica")</f>
        <v>Robusta</v>
      </c>
      <c r="O155" t="str">
        <f t="shared" si="5"/>
        <v>Dark</v>
      </c>
      <c r="P155" t="str">
        <f>_xlfn.XLOOKUP(Table1[[#This Row],[Customer ID]],Data_customers!$A$2:$A$1001,Data_customers!$I$2:$I$1001,,0)</f>
        <v>No</v>
      </c>
    </row>
    <row r="156" spans="1:16" x14ac:dyDescent="0.2">
      <c r="A156" s="2" t="s">
        <v>1355</v>
      </c>
      <c r="B156" s="3">
        <v>44473</v>
      </c>
      <c r="C156" s="2" t="s">
        <v>1356</v>
      </c>
      <c r="D156" t="s">
        <v>6168</v>
      </c>
      <c r="E156" s="2">
        <v>5</v>
      </c>
      <c r="F156" s="2" t="str">
        <f>_xlfn.XLOOKUP(Data_orders!C156,Data_customers!$A$1:$A$1001,Data_customers!$B$1:$B$1001,,0)</f>
        <v>Jocko Pray</v>
      </c>
      <c r="G156" s="2" t="str">
        <f>IF(_xlfn.XLOOKUP(C156,Data_customers!$A$1:$A$1001,Data_customers!$C$1:$C$1001,,0)=0,"",_xlfn.XLOOKUP(C156,Data_customers!$A$1:$A$1001,Data_customers!$C$1:$C$1001,,0))</f>
        <v>jpray4a@youtube.com</v>
      </c>
      <c r="H156" s="2" t="str">
        <f>_xlfn.XLOOKUP(C156,Data_customers!$A$1:$A$1001,Data_customers!$G$1:$G$1001,"",0)</f>
        <v>United States</v>
      </c>
      <c r="I156" t="str">
        <f>INDEX(Data_products!$A$1:$G$49, MATCH(Data_orders!$D156,Data_products!$A$1:$A$49,0), MATCH(Data_orders!I$1,Data_products!$A$1:$G$1,0))</f>
        <v>Ara</v>
      </c>
      <c r="J156" t="str">
        <f>INDEX(Data_products!$A$1:$G$49, MATCH(Data_orders!$D156,Data_products!$A$1:$A$49,0), MATCH(Data_orders!J$1,Data_products!$A$1:$G$1,0))</f>
        <v>D</v>
      </c>
      <c r="K156" s="4">
        <f>INDEX(Data_products!$A$1:$G$49, MATCH(Data_orders!$D156,Data_products!$A$1:$A$49,0), MATCH(Data_orders!K$1,Data_products!$A$1:$G$1,0))</f>
        <v>2.5</v>
      </c>
      <c r="L156">
        <f>INDEX(Data_products!$A$1:$G$49, MATCH(Data_orders!$D156,Data_products!$A$1:$A$49,0), MATCH(Data_orders!L$1,Data_products!$A$1:$G$1,0))</f>
        <v>22.884999999999998</v>
      </c>
      <c r="M156">
        <f t="shared" si="4"/>
        <v>114.42499999999998</v>
      </c>
      <c r="N156" t="str" cm="1">
        <f t="array" ref="N156">_xlfn.IFS(I156 = "Rob", "Robusta", I156 = "Exc", "Excelsa", I156 = "Ara", "Arabica", I156 = "Lib", "Liberica")</f>
        <v>Arabica</v>
      </c>
      <c r="O156" t="str">
        <f t="shared" si="5"/>
        <v>Dark</v>
      </c>
      <c r="P156" t="str">
        <f>_xlfn.XLOOKUP(Table1[[#This Row],[Customer ID]],Data_customers!$A$2:$A$1001,Data_customers!$I$2:$I$1001,,0)</f>
        <v>No</v>
      </c>
    </row>
    <row r="157" spans="1:16" x14ac:dyDescent="0.2">
      <c r="A157" s="2" t="s">
        <v>1361</v>
      </c>
      <c r="B157" s="3">
        <v>43640</v>
      </c>
      <c r="C157" s="2" t="s">
        <v>1362</v>
      </c>
      <c r="D157" t="s">
        <v>6175</v>
      </c>
      <c r="E157" s="2">
        <v>6</v>
      </c>
      <c r="F157" s="2" t="str">
        <f>_xlfn.XLOOKUP(Data_orders!C157,Data_customers!$A$1:$A$1001,Data_customers!$B$1:$B$1001,,0)</f>
        <v>Grete Holborn</v>
      </c>
      <c r="G157" s="2" t="str">
        <f>IF(_xlfn.XLOOKUP(C157,Data_customers!$A$1:$A$1001,Data_customers!$C$1:$C$1001,,0)=0,"",_xlfn.XLOOKUP(C157,Data_customers!$A$1:$A$1001,Data_customers!$C$1:$C$1001,,0))</f>
        <v>gholborn4b@ow.ly</v>
      </c>
      <c r="H157" s="2" t="str">
        <f>_xlfn.XLOOKUP(C157,Data_customers!$A$1:$A$1001,Data_customers!$G$1:$G$1001,"",0)</f>
        <v>United States</v>
      </c>
      <c r="I157" t="str">
        <f>INDEX(Data_products!$A$1:$G$49, MATCH(Data_orders!$D157,Data_products!$A$1:$A$49,0), MATCH(Data_orders!I$1,Data_products!$A$1:$G$1,0))</f>
        <v>Ara</v>
      </c>
      <c r="J157" t="str">
        <f>INDEX(Data_products!$A$1:$G$49, MATCH(Data_orders!$D157,Data_products!$A$1:$A$49,0), MATCH(Data_orders!J$1,Data_products!$A$1:$G$1,0))</f>
        <v>M</v>
      </c>
      <c r="K157" s="4">
        <f>INDEX(Data_products!$A$1:$G$49, MATCH(Data_orders!$D157,Data_products!$A$1:$A$49,0), MATCH(Data_orders!K$1,Data_products!$A$1:$G$1,0))</f>
        <v>2.5</v>
      </c>
      <c r="L157">
        <f>INDEX(Data_products!$A$1:$G$49, MATCH(Data_orders!$D157,Data_products!$A$1:$A$49,0), MATCH(Data_orders!L$1,Data_products!$A$1:$G$1,0))</f>
        <v>25.874999999999996</v>
      </c>
      <c r="M157">
        <f t="shared" si="4"/>
        <v>155.24999999999997</v>
      </c>
      <c r="N157" t="str" cm="1">
        <f t="array" ref="N157">_xlfn.IFS(I157 = "Rob", "Robusta", I157 = "Exc", "Excelsa", I157 = "Ara", "Arabica", I157 = "Lib", "Liberica")</f>
        <v>Arabica</v>
      </c>
      <c r="O157" t="str">
        <f t="shared" si="5"/>
        <v>Medium</v>
      </c>
      <c r="P157" t="str">
        <f>_xlfn.XLOOKUP(Table1[[#This Row],[Customer ID]],Data_customers!$A$2:$A$1001,Data_customers!$I$2:$I$1001,,0)</f>
        <v>Yes</v>
      </c>
    </row>
    <row r="158" spans="1:16" x14ac:dyDescent="0.2">
      <c r="A158" s="2" t="s">
        <v>1367</v>
      </c>
      <c r="B158" s="3">
        <v>43764</v>
      </c>
      <c r="C158" s="2" t="s">
        <v>1368</v>
      </c>
      <c r="D158" t="s">
        <v>6175</v>
      </c>
      <c r="E158" s="2">
        <v>3</v>
      </c>
      <c r="F158" s="2" t="str">
        <f>_xlfn.XLOOKUP(Data_orders!C158,Data_customers!$A$1:$A$1001,Data_customers!$B$1:$B$1001,,0)</f>
        <v>Fielding Keinrat</v>
      </c>
      <c r="G158" s="2" t="str">
        <f>IF(_xlfn.XLOOKUP(C158,Data_customers!$A$1:$A$1001,Data_customers!$C$1:$C$1001,,0)=0,"",_xlfn.XLOOKUP(C158,Data_customers!$A$1:$A$1001,Data_customers!$C$1:$C$1001,,0))</f>
        <v>fkeinrat4c@dailymail.co.uk</v>
      </c>
      <c r="H158" s="2" t="str">
        <f>_xlfn.XLOOKUP(C158,Data_customers!$A$1:$A$1001,Data_customers!$G$1:$G$1001,"",0)</f>
        <v>United States</v>
      </c>
      <c r="I158" t="str">
        <f>INDEX(Data_products!$A$1:$G$49, MATCH(Data_orders!$D158,Data_products!$A$1:$A$49,0), MATCH(Data_orders!I$1,Data_products!$A$1:$G$1,0))</f>
        <v>Ara</v>
      </c>
      <c r="J158" t="str">
        <f>INDEX(Data_products!$A$1:$G$49, MATCH(Data_orders!$D158,Data_products!$A$1:$A$49,0), MATCH(Data_orders!J$1,Data_products!$A$1:$G$1,0))</f>
        <v>M</v>
      </c>
      <c r="K158" s="4">
        <f>INDEX(Data_products!$A$1:$G$49, MATCH(Data_orders!$D158,Data_products!$A$1:$A$49,0), MATCH(Data_orders!K$1,Data_products!$A$1:$G$1,0))</f>
        <v>2.5</v>
      </c>
      <c r="L158">
        <f>INDEX(Data_products!$A$1:$G$49, MATCH(Data_orders!$D158,Data_products!$A$1:$A$49,0), MATCH(Data_orders!L$1,Data_products!$A$1:$G$1,0))</f>
        <v>25.874999999999996</v>
      </c>
      <c r="M158">
        <f t="shared" si="4"/>
        <v>77.624999999999986</v>
      </c>
      <c r="N158" t="str" cm="1">
        <f t="array" ref="N158">_xlfn.IFS(I158 = "Rob", "Robusta", I158 = "Exc", "Excelsa", I158 = "Ara", "Arabica", I158 = "Lib", "Liberica")</f>
        <v>Arabica</v>
      </c>
      <c r="O158" t="str">
        <f t="shared" si="5"/>
        <v>Medium</v>
      </c>
      <c r="P158" t="str">
        <f>_xlfn.XLOOKUP(Table1[[#This Row],[Customer ID]],Data_customers!$A$2:$A$1001,Data_customers!$I$2:$I$1001,,0)</f>
        <v>Yes</v>
      </c>
    </row>
    <row r="159" spans="1:16" x14ac:dyDescent="0.2">
      <c r="A159" s="2" t="s">
        <v>1373</v>
      </c>
      <c r="B159" s="3">
        <v>44374</v>
      </c>
      <c r="C159" s="2" t="s">
        <v>1374</v>
      </c>
      <c r="D159" t="s">
        <v>6149</v>
      </c>
      <c r="E159" s="2">
        <v>3</v>
      </c>
      <c r="F159" s="2" t="str">
        <f>_xlfn.XLOOKUP(Data_orders!C159,Data_customers!$A$1:$A$1001,Data_customers!$B$1:$B$1001,,0)</f>
        <v>Paulo Yea</v>
      </c>
      <c r="G159" s="2" t="str">
        <f>IF(_xlfn.XLOOKUP(C159,Data_customers!$A$1:$A$1001,Data_customers!$C$1:$C$1001,,0)=0,"",_xlfn.XLOOKUP(C159,Data_customers!$A$1:$A$1001,Data_customers!$C$1:$C$1001,,0))</f>
        <v>pyea4d@aol.com</v>
      </c>
      <c r="H159" s="2" t="str">
        <f>_xlfn.XLOOKUP(C159,Data_customers!$A$1:$A$1001,Data_customers!$G$1:$G$1001,"",0)</f>
        <v>Ireland</v>
      </c>
      <c r="I159" t="str">
        <f>INDEX(Data_products!$A$1:$G$49, MATCH(Data_orders!$D159,Data_products!$A$1:$A$49,0), MATCH(Data_orders!I$1,Data_products!$A$1:$G$1,0))</f>
        <v>Rob</v>
      </c>
      <c r="J159" t="str">
        <f>INDEX(Data_products!$A$1:$G$49, MATCH(Data_orders!$D159,Data_products!$A$1:$A$49,0), MATCH(Data_orders!J$1,Data_products!$A$1:$G$1,0))</f>
        <v>D</v>
      </c>
      <c r="K159" s="4">
        <f>INDEX(Data_products!$A$1:$G$49, MATCH(Data_orders!$D159,Data_products!$A$1:$A$49,0), MATCH(Data_orders!K$1,Data_products!$A$1:$G$1,0))</f>
        <v>2.5</v>
      </c>
      <c r="L159">
        <f>INDEX(Data_products!$A$1:$G$49, MATCH(Data_orders!$D159,Data_products!$A$1:$A$49,0), MATCH(Data_orders!L$1,Data_products!$A$1:$G$1,0))</f>
        <v>20.584999999999997</v>
      </c>
      <c r="M159">
        <f t="shared" si="4"/>
        <v>61.754999999999995</v>
      </c>
      <c r="N159" t="str" cm="1">
        <f t="array" ref="N159">_xlfn.IFS(I159 = "Rob", "Robusta", I159 = "Exc", "Excelsa", I159 = "Ara", "Arabica", I159 = "Lib", "Liberica")</f>
        <v>Robusta</v>
      </c>
      <c r="O159" t="str">
        <f t="shared" si="5"/>
        <v>Dark</v>
      </c>
      <c r="P159" t="str">
        <f>_xlfn.XLOOKUP(Table1[[#This Row],[Customer ID]],Data_customers!$A$2:$A$1001,Data_customers!$I$2:$I$1001,,0)</f>
        <v>No</v>
      </c>
    </row>
    <row r="160" spans="1:16" x14ac:dyDescent="0.2">
      <c r="A160" s="2" t="s">
        <v>1379</v>
      </c>
      <c r="B160" s="3">
        <v>43714</v>
      </c>
      <c r="C160" s="2" t="s">
        <v>1380</v>
      </c>
      <c r="D160" t="s">
        <v>6149</v>
      </c>
      <c r="E160" s="2">
        <v>6</v>
      </c>
      <c r="F160" s="2" t="str">
        <f>_xlfn.XLOOKUP(Data_orders!C160,Data_customers!$A$1:$A$1001,Data_customers!$B$1:$B$1001,,0)</f>
        <v>Say Risborough</v>
      </c>
      <c r="G160" s="2" t="str">
        <f>IF(_xlfn.XLOOKUP(C160,Data_customers!$A$1:$A$1001,Data_customers!$C$1:$C$1001,,0)=0,"",_xlfn.XLOOKUP(C160,Data_customers!$A$1:$A$1001,Data_customers!$C$1:$C$1001,,0))</f>
        <v/>
      </c>
      <c r="H160" s="2" t="str">
        <f>_xlfn.XLOOKUP(C160,Data_customers!$A$1:$A$1001,Data_customers!$G$1:$G$1001,"",0)</f>
        <v>United States</v>
      </c>
      <c r="I160" t="str">
        <f>INDEX(Data_products!$A$1:$G$49, MATCH(Data_orders!$D160,Data_products!$A$1:$A$49,0), MATCH(Data_orders!I$1,Data_products!$A$1:$G$1,0))</f>
        <v>Rob</v>
      </c>
      <c r="J160" t="str">
        <f>INDEX(Data_products!$A$1:$G$49, MATCH(Data_orders!$D160,Data_products!$A$1:$A$49,0), MATCH(Data_orders!J$1,Data_products!$A$1:$G$1,0))</f>
        <v>D</v>
      </c>
      <c r="K160" s="4">
        <f>INDEX(Data_products!$A$1:$G$49, MATCH(Data_orders!$D160,Data_products!$A$1:$A$49,0), MATCH(Data_orders!K$1,Data_products!$A$1:$G$1,0))</f>
        <v>2.5</v>
      </c>
      <c r="L160">
        <f>INDEX(Data_products!$A$1:$G$49, MATCH(Data_orders!$D160,Data_products!$A$1:$A$49,0), MATCH(Data_orders!L$1,Data_products!$A$1:$G$1,0))</f>
        <v>20.584999999999997</v>
      </c>
      <c r="M160">
        <f t="shared" si="4"/>
        <v>123.50999999999999</v>
      </c>
      <c r="N160" t="str" cm="1">
        <f t="array" ref="N160">_xlfn.IFS(I160 = "Rob", "Robusta", I160 = "Exc", "Excelsa", I160 = "Ara", "Arabica", I160 = "Lib", "Liberica")</f>
        <v>Robusta</v>
      </c>
      <c r="O160" t="str">
        <f t="shared" si="5"/>
        <v>Dark</v>
      </c>
      <c r="P160" t="str">
        <f>_xlfn.XLOOKUP(Table1[[#This Row],[Customer ID]],Data_customers!$A$2:$A$1001,Data_customers!$I$2:$I$1001,,0)</f>
        <v>Yes</v>
      </c>
    </row>
    <row r="161" spans="1:16" x14ac:dyDescent="0.2">
      <c r="A161" s="2" t="s">
        <v>1384</v>
      </c>
      <c r="B161" s="3">
        <v>44316</v>
      </c>
      <c r="C161" s="2" t="s">
        <v>1385</v>
      </c>
      <c r="D161" t="s">
        <v>6164</v>
      </c>
      <c r="E161" s="2">
        <v>6</v>
      </c>
      <c r="F161" s="2" t="str">
        <f>_xlfn.XLOOKUP(Data_orders!C161,Data_customers!$A$1:$A$1001,Data_customers!$B$1:$B$1001,,0)</f>
        <v>Alexa Sizey</v>
      </c>
      <c r="G161" s="2" t="str">
        <f>IF(_xlfn.XLOOKUP(C161,Data_customers!$A$1:$A$1001,Data_customers!$C$1:$C$1001,,0)=0,"",_xlfn.XLOOKUP(C161,Data_customers!$A$1:$A$1001,Data_customers!$C$1:$C$1001,,0))</f>
        <v/>
      </c>
      <c r="H161" s="2" t="str">
        <f>_xlfn.XLOOKUP(C161,Data_customers!$A$1:$A$1001,Data_customers!$G$1:$G$1001,"",0)</f>
        <v>United States</v>
      </c>
      <c r="I161" t="str">
        <f>INDEX(Data_products!$A$1:$G$49, MATCH(Data_orders!$D161,Data_products!$A$1:$A$49,0), MATCH(Data_orders!I$1,Data_products!$A$1:$G$1,0))</f>
        <v>Lib</v>
      </c>
      <c r="J161" t="str">
        <f>INDEX(Data_products!$A$1:$G$49, MATCH(Data_orders!$D161,Data_products!$A$1:$A$49,0), MATCH(Data_orders!J$1,Data_products!$A$1:$G$1,0))</f>
        <v>L</v>
      </c>
      <c r="K161" s="4">
        <f>INDEX(Data_products!$A$1:$G$49, MATCH(Data_orders!$D161,Data_products!$A$1:$A$49,0), MATCH(Data_orders!K$1,Data_products!$A$1:$G$1,0))</f>
        <v>2.5</v>
      </c>
      <c r="L161">
        <f>INDEX(Data_products!$A$1:$G$49, MATCH(Data_orders!$D161,Data_products!$A$1:$A$49,0), MATCH(Data_orders!L$1,Data_products!$A$1:$G$1,0))</f>
        <v>36.454999999999998</v>
      </c>
      <c r="M161">
        <f t="shared" si="4"/>
        <v>218.73</v>
      </c>
      <c r="N161" t="str" cm="1">
        <f t="array" ref="N161">_xlfn.IFS(I161 = "Rob", "Robusta", I161 = "Exc", "Excelsa", I161 = "Ara", "Arabica", I161 = "Lib", "Liberica")</f>
        <v>Liberica</v>
      </c>
      <c r="O161" t="str">
        <f t="shared" si="5"/>
        <v>Light</v>
      </c>
      <c r="P161" t="str">
        <f>_xlfn.XLOOKUP(Table1[[#This Row],[Customer ID]],Data_customers!$A$2:$A$1001,Data_customers!$I$2:$I$1001,,0)</f>
        <v>No</v>
      </c>
    </row>
    <row r="162" spans="1:16" x14ac:dyDescent="0.2">
      <c r="A162" s="2" t="s">
        <v>1389</v>
      </c>
      <c r="B162" s="3">
        <v>43837</v>
      </c>
      <c r="C162" s="2" t="s">
        <v>1390</v>
      </c>
      <c r="D162" t="s">
        <v>6139</v>
      </c>
      <c r="E162" s="2">
        <v>4</v>
      </c>
      <c r="F162" s="2" t="str">
        <f>_xlfn.XLOOKUP(Data_orders!C162,Data_customers!$A$1:$A$1001,Data_customers!$B$1:$B$1001,,0)</f>
        <v>Kari Swede</v>
      </c>
      <c r="G162" s="2" t="str">
        <f>IF(_xlfn.XLOOKUP(C162,Data_customers!$A$1:$A$1001,Data_customers!$C$1:$C$1001,,0)=0,"",_xlfn.XLOOKUP(C162,Data_customers!$A$1:$A$1001,Data_customers!$C$1:$C$1001,,0))</f>
        <v>kswede4g@addthis.com</v>
      </c>
      <c r="H162" s="2" t="str">
        <f>_xlfn.XLOOKUP(C162,Data_customers!$A$1:$A$1001,Data_customers!$G$1:$G$1001,"",0)</f>
        <v>United States</v>
      </c>
      <c r="I162" t="str">
        <f>INDEX(Data_products!$A$1:$G$49, MATCH(Data_orders!$D162,Data_products!$A$1:$A$49,0), MATCH(Data_orders!I$1,Data_products!$A$1:$G$1,0))</f>
        <v>Exc</v>
      </c>
      <c r="J162" t="str">
        <f>INDEX(Data_products!$A$1:$G$49, MATCH(Data_orders!$D162,Data_products!$A$1:$A$49,0), MATCH(Data_orders!J$1,Data_products!$A$1:$G$1,0))</f>
        <v>M</v>
      </c>
      <c r="K162" s="4">
        <f>INDEX(Data_products!$A$1:$G$49, MATCH(Data_orders!$D162,Data_products!$A$1:$A$49,0), MATCH(Data_orders!K$1,Data_products!$A$1:$G$1,0))</f>
        <v>0.5</v>
      </c>
      <c r="L162">
        <f>INDEX(Data_products!$A$1:$G$49, MATCH(Data_orders!$D162,Data_products!$A$1:$A$49,0), MATCH(Data_orders!L$1,Data_products!$A$1:$G$1,0))</f>
        <v>8.25</v>
      </c>
      <c r="M162">
        <f t="shared" si="4"/>
        <v>33</v>
      </c>
      <c r="N162" t="str" cm="1">
        <f t="array" ref="N162">_xlfn.IFS(I162 = "Rob", "Robusta", I162 = "Exc", "Excelsa", I162 = "Ara", "Arabica", I162 = "Lib", "Liberica")</f>
        <v>Excelsa</v>
      </c>
      <c r="O162" t="str">
        <f t="shared" si="5"/>
        <v>Medium</v>
      </c>
      <c r="P162" t="str">
        <f>_xlfn.XLOOKUP(Table1[[#This Row],[Customer ID]],Data_customers!$A$2:$A$1001,Data_customers!$I$2:$I$1001,,0)</f>
        <v>No</v>
      </c>
    </row>
    <row r="163" spans="1:16" x14ac:dyDescent="0.2">
      <c r="A163" s="2" t="s">
        <v>1395</v>
      </c>
      <c r="B163" s="3">
        <v>44207</v>
      </c>
      <c r="C163" s="2" t="s">
        <v>1396</v>
      </c>
      <c r="D163" t="s">
        <v>6180</v>
      </c>
      <c r="E163" s="2">
        <v>3</v>
      </c>
      <c r="F163" s="2" t="str">
        <f>_xlfn.XLOOKUP(Data_orders!C163,Data_customers!$A$1:$A$1001,Data_customers!$B$1:$B$1001,,0)</f>
        <v>Leontine Rubrow</v>
      </c>
      <c r="G163" s="2" t="str">
        <f>IF(_xlfn.XLOOKUP(C163,Data_customers!$A$1:$A$1001,Data_customers!$C$1:$C$1001,,0)=0,"",_xlfn.XLOOKUP(C163,Data_customers!$A$1:$A$1001,Data_customers!$C$1:$C$1001,,0))</f>
        <v>lrubrow4h@microsoft.com</v>
      </c>
      <c r="H163" s="2" t="str">
        <f>_xlfn.XLOOKUP(C163,Data_customers!$A$1:$A$1001,Data_customers!$G$1:$G$1001,"",0)</f>
        <v>United States</v>
      </c>
      <c r="I163" t="str">
        <f>INDEX(Data_products!$A$1:$G$49, MATCH(Data_orders!$D163,Data_products!$A$1:$A$49,0), MATCH(Data_orders!I$1,Data_products!$A$1:$G$1,0))</f>
        <v>Ara</v>
      </c>
      <c r="J163" t="str">
        <f>INDEX(Data_products!$A$1:$G$49, MATCH(Data_orders!$D163,Data_products!$A$1:$A$49,0), MATCH(Data_orders!J$1,Data_products!$A$1:$G$1,0))</f>
        <v>L</v>
      </c>
      <c r="K163" s="4">
        <f>INDEX(Data_products!$A$1:$G$49, MATCH(Data_orders!$D163,Data_products!$A$1:$A$49,0), MATCH(Data_orders!K$1,Data_products!$A$1:$G$1,0))</f>
        <v>0.5</v>
      </c>
      <c r="L163">
        <f>INDEX(Data_products!$A$1:$G$49, MATCH(Data_orders!$D163,Data_products!$A$1:$A$49,0), MATCH(Data_orders!L$1,Data_products!$A$1:$G$1,0))</f>
        <v>7.77</v>
      </c>
      <c r="M163">
        <f t="shared" si="4"/>
        <v>23.31</v>
      </c>
      <c r="N163" t="str" cm="1">
        <f t="array" ref="N163">_xlfn.IFS(I163 = "Rob", "Robusta", I163 = "Exc", "Excelsa", I163 = "Ara", "Arabica", I163 = "Lib", "Liberica")</f>
        <v>Arabica</v>
      </c>
      <c r="O163" t="str">
        <f t="shared" si="5"/>
        <v>Light</v>
      </c>
      <c r="P163" t="str">
        <f>_xlfn.XLOOKUP(Table1[[#This Row],[Customer ID]],Data_customers!$A$2:$A$1001,Data_customers!$I$2:$I$1001,,0)</f>
        <v>No</v>
      </c>
    </row>
    <row r="164" spans="1:16" x14ac:dyDescent="0.2">
      <c r="A164" s="2" t="s">
        <v>1401</v>
      </c>
      <c r="B164" s="3">
        <v>44515</v>
      </c>
      <c r="C164" s="2" t="s">
        <v>1402</v>
      </c>
      <c r="D164" t="s">
        <v>6144</v>
      </c>
      <c r="E164" s="2">
        <v>3</v>
      </c>
      <c r="F164" s="2" t="str">
        <f>_xlfn.XLOOKUP(Data_orders!C164,Data_customers!$A$1:$A$1001,Data_customers!$B$1:$B$1001,,0)</f>
        <v>Dottie Tift</v>
      </c>
      <c r="G164" s="2" t="str">
        <f>IF(_xlfn.XLOOKUP(C164,Data_customers!$A$1:$A$1001,Data_customers!$C$1:$C$1001,,0)=0,"",_xlfn.XLOOKUP(C164,Data_customers!$A$1:$A$1001,Data_customers!$C$1:$C$1001,,0))</f>
        <v>dtift4i@netvibes.com</v>
      </c>
      <c r="H164" s="2" t="str">
        <f>_xlfn.XLOOKUP(C164,Data_customers!$A$1:$A$1001,Data_customers!$G$1:$G$1001,"",0)</f>
        <v>United States</v>
      </c>
      <c r="I164" t="str">
        <f>INDEX(Data_products!$A$1:$G$49, MATCH(Data_orders!$D164,Data_products!$A$1:$A$49,0), MATCH(Data_orders!I$1,Data_products!$A$1:$G$1,0))</f>
        <v>Exc</v>
      </c>
      <c r="J164" t="str">
        <f>INDEX(Data_products!$A$1:$G$49, MATCH(Data_orders!$D164,Data_products!$A$1:$A$49,0), MATCH(Data_orders!J$1,Data_products!$A$1:$G$1,0))</f>
        <v>D</v>
      </c>
      <c r="K164" s="4">
        <f>INDEX(Data_products!$A$1:$G$49, MATCH(Data_orders!$D164,Data_products!$A$1:$A$49,0), MATCH(Data_orders!K$1,Data_products!$A$1:$G$1,0))</f>
        <v>0.5</v>
      </c>
      <c r="L164">
        <f>INDEX(Data_products!$A$1:$G$49, MATCH(Data_orders!$D164,Data_products!$A$1:$A$49,0), MATCH(Data_orders!L$1,Data_products!$A$1:$G$1,0))</f>
        <v>7.29</v>
      </c>
      <c r="M164">
        <f t="shared" si="4"/>
        <v>21.87</v>
      </c>
      <c r="N164" t="str" cm="1">
        <f t="array" ref="N164">_xlfn.IFS(I164 = "Rob", "Robusta", I164 = "Exc", "Excelsa", I164 = "Ara", "Arabica", I164 = "Lib", "Liberica")</f>
        <v>Excelsa</v>
      </c>
      <c r="O164" t="str">
        <f t="shared" si="5"/>
        <v>Dark</v>
      </c>
      <c r="P164" t="str">
        <f>_xlfn.XLOOKUP(Table1[[#This Row],[Customer ID]],Data_customers!$A$2:$A$1001,Data_customers!$I$2:$I$1001,,0)</f>
        <v>Yes</v>
      </c>
    </row>
    <row r="165" spans="1:16" x14ac:dyDescent="0.2">
      <c r="A165" s="2" t="s">
        <v>1407</v>
      </c>
      <c r="B165" s="3">
        <v>43619</v>
      </c>
      <c r="C165" s="2" t="s">
        <v>1408</v>
      </c>
      <c r="D165" t="s">
        <v>6163</v>
      </c>
      <c r="E165" s="2">
        <v>6</v>
      </c>
      <c r="F165" s="2" t="str">
        <f>_xlfn.XLOOKUP(Data_orders!C165,Data_customers!$A$1:$A$1001,Data_customers!$B$1:$B$1001,,0)</f>
        <v>Gerardo Schonfeld</v>
      </c>
      <c r="G165" s="2" t="str">
        <f>IF(_xlfn.XLOOKUP(C165,Data_customers!$A$1:$A$1001,Data_customers!$C$1:$C$1001,,0)=0,"",_xlfn.XLOOKUP(C165,Data_customers!$A$1:$A$1001,Data_customers!$C$1:$C$1001,,0))</f>
        <v>gschonfeld4j@oracle.com</v>
      </c>
      <c r="H165" s="2" t="str">
        <f>_xlfn.XLOOKUP(C165,Data_customers!$A$1:$A$1001,Data_customers!$G$1:$G$1001,"",0)</f>
        <v>United States</v>
      </c>
      <c r="I165" t="str">
        <f>INDEX(Data_products!$A$1:$G$49, MATCH(Data_orders!$D165,Data_products!$A$1:$A$49,0), MATCH(Data_orders!I$1,Data_products!$A$1:$G$1,0))</f>
        <v>Rob</v>
      </c>
      <c r="J165" t="str">
        <f>INDEX(Data_products!$A$1:$G$49, MATCH(Data_orders!$D165,Data_products!$A$1:$A$49,0), MATCH(Data_orders!J$1,Data_products!$A$1:$G$1,0))</f>
        <v>D</v>
      </c>
      <c r="K165" s="4">
        <f>INDEX(Data_products!$A$1:$G$49, MATCH(Data_orders!$D165,Data_products!$A$1:$A$49,0), MATCH(Data_orders!K$1,Data_products!$A$1:$G$1,0))</f>
        <v>0.2</v>
      </c>
      <c r="L165">
        <f>INDEX(Data_products!$A$1:$G$49, MATCH(Data_orders!$D165,Data_products!$A$1:$A$49,0), MATCH(Data_orders!L$1,Data_products!$A$1:$G$1,0))</f>
        <v>2.6849999999999996</v>
      </c>
      <c r="M165">
        <f t="shared" si="4"/>
        <v>16.11</v>
      </c>
      <c r="N165" t="str" cm="1">
        <f t="array" ref="N165">_xlfn.IFS(I165 = "Rob", "Robusta", I165 = "Exc", "Excelsa", I165 = "Ara", "Arabica", I165 = "Lib", "Liberica")</f>
        <v>Robusta</v>
      </c>
      <c r="O165" t="str">
        <f t="shared" si="5"/>
        <v>Dark</v>
      </c>
      <c r="P165" t="str">
        <f>_xlfn.XLOOKUP(Table1[[#This Row],[Customer ID]],Data_customers!$A$2:$A$1001,Data_customers!$I$2:$I$1001,,0)</f>
        <v>No</v>
      </c>
    </row>
    <row r="166" spans="1:16" x14ac:dyDescent="0.2">
      <c r="A166" s="2" t="s">
        <v>1413</v>
      </c>
      <c r="B166" s="3">
        <v>44182</v>
      </c>
      <c r="C166" s="2" t="s">
        <v>1414</v>
      </c>
      <c r="D166" t="s">
        <v>6144</v>
      </c>
      <c r="E166" s="2">
        <v>4</v>
      </c>
      <c r="F166" s="2" t="str">
        <f>_xlfn.XLOOKUP(Data_orders!C166,Data_customers!$A$1:$A$1001,Data_customers!$B$1:$B$1001,,0)</f>
        <v>Claiborne Feye</v>
      </c>
      <c r="G166" s="2" t="str">
        <f>IF(_xlfn.XLOOKUP(C166,Data_customers!$A$1:$A$1001,Data_customers!$C$1:$C$1001,,0)=0,"",_xlfn.XLOOKUP(C166,Data_customers!$A$1:$A$1001,Data_customers!$C$1:$C$1001,,0))</f>
        <v>cfeye4k@google.co.jp</v>
      </c>
      <c r="H166" s="2" t="str">
        <f>_xlfn.XLOOKUP(C166,Data_customers!$A$1:$A$1001,Data_customers!$G$1:$G$1001,"",0)</f>
        <v>Ireland</v>
      </c>
      <c r="I166" t="str">
        <f>INDEX(Data_products!$A$1:$G$49, MATCH(Data_orders!$D166,Data_products!$A$1:$A$49,0), MATCH(Data_orders!I$1,Data_products!$A$1:$G$1,0))</f>
        <v>Exc</v>
      </c>
      <c r="J166" t="str">
        <f>INDEX(Data_products!$A$1:$G$49, MATCH(Data_orders!$D166,Data_products!$A$1:$A$49,0), MATCH(Data_orders!J$1,Data_products!$A$1:$G$1,0))</f>
        <v>D</v>
      </c>
      <c r="K166" s="4">
        <f>INDEX(Data_products!$A$1:$G$49, MATCH(Data_orders!$D166,Data_products!$A$1:$A$49,0), MATCH(Data_orders!K$1,Data_products!$A$1:$G$1,0))</f>
        <v>0.5</v>
      </c>
      <c r="L166">
        <f>INDEX(Data_products!$A$1:$G$49, MATCH(Data_orders!$D166,Data_products!$A$1:$A$49,0), MATCH(Data_orders!L$1,Data_products!$A$1:$G$1,0))</f>
        <v>7.29</v>
      </c>
      <c r="M166">
        <f t="shared" si="4"/>
        <v>29.16</v>
      </c>
      <c r="N166" t="str" cm="1">
        <f t="array" ref="N166">_xlfn.IFS(I166 = "Rob", "Robusta", I166 = "Exc", "Excelsa", I166 = "Ara", "Arabica", I166 = "Lib", "Liberica")</f>
        <v>Excelsa</v>
      </c>
      <c r="O166" t="str">
        <f t="shared" si="5"/>
        <v>Dark</v>
      </c>
      <c r="P166" t="str">
        <f>_xlfn.XLOOKUP(Table1[[#This Row],[Customer ID]],Data_customers!$A$2:$A$1001,Data_customers!$I$2:$I$1001,,0)</f>
        <v>No</v>
      </c>
    </row>
    <row r="167" spans="1:16" x14ac:dyDescent="0.2">
      <c r="A167" s="2" t="s">
        <v>1420</v>
      </c>
      <c r="B167" s="3">
        <v>44234</v>
      </c>
      <c r="C167" s="2" t="s">
        <v>1421</v>
      </c>
      <c r="D167" t="s">
        <v>6177</v>
      </c>
      <c r="E167" s="2">
        <v>6</v>
      </c>
      <c r="F167" s="2" t="str">
        <f>_xlfn.XLOOKUP(Data_orders!C167,Data_customers!$A$1:$A$1001,Data_customers!$B$1:$B$1001,,0)</f>
        <v>Mina Elstone</v>
      </c>
      <c r="G167" s="2" t="str">
        <f>IF(_xlfn.XLOOKUP(C167,Data_customers!$A$1:$A$1001,Data_customers!$C$1:$C$1001,,0)=0,"",_xlfn.XLOOKUP(C167,Data_customers!$A$1:$A$1001,Data_customers!$C$1:$C$1001,,0))</f>
        <v/>
      </c>
      <c r="H167" s="2" t="str">
        <f>_xlfn.XLOOKUP(C167,Data_customers!$A$1:$A$1001,Data_customers!$G$1:$G$1001,"",0)</f>
        <v>United States</v>
      </c>
      <c r="I167" t="str">
        <f>INDEX(Data_products!$A$1:$G$49, MATCH(Data_orders!$D167,Data_products!$A$1:$A$49,0), MATCH(Data_orders!I$1,Data_products!$A$1:$G$1,0))</f>
        <v>Rob</v>
      </c>
      <c r="J167" t="str">
        <f>INDEX(Data_products!$A$1:$G$49, MATCH(Data_orders!$D167,Data_products!$A$1:$A$49,0), MATCH(Data_orders!J$1,Data_products!$A$1:$G$1,0))</f>
        <v>D</v>
      </c>
      <c r="K167" s="4">
        <f>INDEX(Data_products!$A$1:$G$49, MATCH(Data_orders!$D167,Data_products!$A$1:$A$49,0), MATCH(Data_orders!K$1,Data_products!$A$1:$G$1,0))</f>
        <v>1</v>
      </c>
      <c r="L167">
        <f>INDEX(Data_products!$A$1:$G$49, MATCH(Data_orders!$D167,Data_products!$A$1:$A$49,0), MATCH(Data_orders!L$1,Data_products!$A$1:$G$1,0))</f>
        <v>8.9499999999999993</v>
      </c>
      <c r="M167">
        <f t="shared" si="4"/>
        <v>53.699999999999996</v>
      </c>
      <c r="N167" t="str" cm="1">
        <f t="array" ref="N167">_xlfn.IFS(I167 = "Rob", "Robusta", I167 = "Exc", "Excelsa", I167 = "Ara", "Arabica", I167 = "Lib", "Liberica")</f>
        <v>Robusta</v>
      </c>
      <c r="O167" t="str">
        <f t="shared" si="5"/>
        <v>Dark</v>
      </c>
      <c r="P167" t="str">
        <f>_xlfn.XLOOKUP(Table1[[#This Row],[Customer ID]],Data_customers!$A$2:$A$1001,Data_customers!$I$2:$I$1001,,0)</f>
        <v>Yes</v>
      </c>
    </row>
    <row r="168" spans="1:16" x14ac:dyDescent="0.2">
      <c r="A168" s="2" t="s">
        <v>1425</v>
      </c>
      <c r="B168" s="3">
        <v>44270</v>
      </c>
      <c r="C168" s="2" t="s">
        <v>1426</v>
      </c>
      <c r="D168" t="s">
        <v>6172</v>
      </c>
      <c r="E168" s="2">
        <v>5</v>
      </c>
      <c r="F168" s="2" t="str">
        <f>_xlfn.XLOOKUP(Data_orders!C168,Data_customers!$A$1:$A$1001,Data_customers!$B$1:$B$1001,,0)</f>
        <v>Sherman Mewrcik</v>
      </c>
      <c r="G168" s="2" t="str">
        <f>IF(_xlfn.XLOOKUP(C168,Data_customers!$A$1:$A$1001,Data_customers!$C$1:$C$1001,,0)=0,"",_xlfn.XLOOKUP(C168,Data_customers!$A$1:$A$1001,Data_customers!$C$1:$C$1001,,0))</f>
        <v/>
      </c>
      <c r="H168" s="2" t="str">
        <f>_xlfn.XLOOKUP(C168,Data_customers!$A$1:$A$1001,Data_customers!$G$1:$G$1001,"",0)</f>
        <v>United States</v>
      </c>
      <c r="I168" t="str">
        <f>INDEX(Data_products!$A$1:$G$49, MATCH(Data_orders!$D168,Data_products!$A$1:$A$49,0), MATCH(Data_orders!I$1,Data_products!$A$1:$G$1,0))</f>
        <v>Rob</v>
      </c>
      <c r="J168" t="str">
        <f>INDEX(Data_products!$A$1:$G$49, MATCH(Data_orders!$D168,Data_products!$A$1:$A$49,0), MATCH(Data_orders!J$1,Data_products!$A$1:$G$1,0))</f>
        <v>D</v>
      </c>
      <c r="K168" s="4">
        <f>INDEX(Data_products!$A$1:$G$49, MATCH(Data_orders!$D168,Data_products!$A$1:$A$49,0), MATCH(Data_orders!K$1,Data_products!$A$1:$G$1,0))</f>
        <v>0.5</v>
      </c>
      <c r="L168">
        <f>INDEX(Data_products!$A$1:$G$49, MATCH(Data_orders!$D168,Data_products!$A$1:$A$49,0), MATCH(Data_orders!L$1,Data_products!$A$1:$G$1,0))</f>
        <v>5.3699999999999992</v>
      </c>
      <c r="M168">
        <f t="shared" si="4"/>
        <v>26.849999999999994</v>
      </c>
      <c r="N168" t="str" cm="1">
        <f t="array" ref="N168">_xlfn.IFS(I168 = "Rob", "Robusta", I168 = "Exc", "Excelsa", I168 = "Ara", "Arabica", I168 = "Lib", "Liberica")</f>
        <v>Robusta</v>
      </c>
      <c r="O168" t="str">
        <f t="shared" si="5"/>
        <v>Dark</v>
      </c>
      <c r="P168" t="str">
        <f>_xlfn.XLOOKUP(Table1[[#This Row],[Customer ID]],Data_customers!$A$2:$A$1001,Data_customers!$I$2:$I$1001,,0)</f>
        <v>Yes</v>
      </c>
    </row>
    <row r="169" spans="1:16" x14ac:dyDescent="0.2">
      <c r="A169" s="2" t="s">
        <v>1430</v>
      </c>
      <c r="B169" s="3">
        <v>44777</v>
      </c>
      <c r="C169" s="2" t="s">
        <v>1431</v>
      </c>
      <c r="D169" t="s">
        <v>6139</v>
      </c>
      <c r="E169" s="2">
        <v>5</v>
      </c>
      <c r="F169" s="2" t="str">
        <f>_xlfn.XLOOKUP(Data_orders!C169,Data_customers!$A$1:$A$1001,Data_customers!$B$1:$B$1001,,0)</f>
        <v>Tamarah Fero</v>
      </c>
      <c r="G169" s="2" t="str">
        <f>IF(_xlfn.XLOOKUP(C169,Data_customers!$A$1:$A$1001,Data_customers!$C$1:$C$1001,,0)=0,"",_xlfn.XLOOKUP(C169,Data_customers!$A$1:$A$1001,Data_customers!$C$1:$C$1001,,0))</f>
        <v>tfero4n@comsenz.com</v>
      </c>
      <c r="H169" s="2" t="str">
        <f>_xlfn.XLOOKUP(C169,Data_customers!$A$1:$A$1001,Data_customers!$G$1:$G$1001,"",0)</f>
        <v>United States</v>
      </c>
      <c r="I169" t="str">
        <f>INDEX(Data_products!$A$1:$G$49, MATCH(Data_orders!$D169,Data_products!$A$1:$A$49,0), MATCH(Data_orders!I$1,Data_products!$A$1:$G$1,0))</f>
        <v>Exc</v>
      </c>
      <c r="J169" t="str">
        <f>INDEX(Data_products!$A$1:$G$49, MATCH(Data_orders!$D169,Data_products!$A$1:$A$49,0), MATCH(Data_orders!J$1,Data_products!$A$1:$G$1,0))</f>
        <v>M</v>
      </c>
      <c r="K169" s="4">
        <f>INDEX(Data_products!$A$1:$G$49, MATCH(Data_orders!$D169,Data_products!$A$1:$A$49,0), MATCH(Data_orders!K$1,Data_products!$A$1:$G$1,0))</f>
        <v>0.5</v>
      </c>
      <c r="L169">
        <f>INDEX(Data_products!$A$1:$G$49, MATCH(Data_orders!$D169,Data_products!$A$1:$A$49,0), MATCH(Data_orders!L$1,Data_products!$A$1:$G$1,0))</f>
        <v>8.25</v>
      </c>
      <c r="M169">
        <f t="shared" si="4"/>
        <v>41.25</v>
      </c>
      <c r="N169" t="str" cm="1">
        <f t="array" ref="N169">_xlfn.IFS(I169 = "Rob", "Robusta", I169 = "Exc", "Excelsa", I169 = "Ara", "Arabica", I169 = "Lib", "Liberica")</f>
        <v>Excelsa</v>
      </c>
      <c r="O169" t="str">
        <f t="shared" si="5"/>
        <v>Medium</v>
      </c>
      <c r="P169" t="str">
        <f>_xlfn.XLOOKUP(Table1[[#This Row],[Customer ID]],Data_customers!$A$2:$A$1001,Data_customers!$I$2:$I$1001,,0)</f>
        <v>Yes</v>
      </c>
    </row>
    <row r="170" spans="1:16" x14ac:dyDescent="0.2">
      <c r="A170" s="2" t="s">
        <v>1436</v>
      </c>
      <c r="B170" s="3">
        <v>43484</v>
      </c>
      <c r="C170" s="2" t="s">
        <v>1437</v>
      </c>
      <c r="D170" t="s">
        <v>6157</v>
      </c>
      <c r="E170" s="2">
        <v>6</v>
      </c>
      <c r="F170" s="2" t="str">
        <f>_xlfn.XLOOKUP(Data_orders!C170,Data_customers!$A$1:$A$1001,Data_customers!$B$1:$B$1001,,0)</f>
        <v>Stanislaus Valsler</v>
      </c>
      <c r="G170" s="2" t="str">
        <f>IF(_xlfn.XLOOKUP(C170,Data_customers!$A$1:$A$1001,Data_customers!$C$1:$C$1001,,0)=0,"",_xlfn.XLOOKUP(C170,Data_customers!$A$1:$A$1001,Data_customers!$C$1:$C$1001,,0))</f>
        <v/>
      </c>
      <c r="H170" s="2" t="str">
        <f>_xlfn.XLOOKUP(C170,Data_customers!$A$1:$A$1001,Data_customers!$G$1:$G$1001,"",0)</f>
        <v>Ireland</v>
      </c>
      <c r="I170" t="str">
        <f>INDEX(Data_products!$A$1:$G$49, MATCH(Data_orders!$D170,Data_products!$A$1:$A$49,0), MATCH(Data_orders!I$1,Data_products!$A$1:$G$1,0))</f>
        <v>Ara</v>
      </c>
      <c r="J170" t="str">
        <f>INDEX(Data_products!$A$1:$G$49, MATCH(Data_orders!$D170,Data_products!$A$1:$A$49,0), MATCH(Data_orders!J$1,Data_products!$A$1:$G$1,0))</f>
        <v>M</v>
      </c>
      <c r="K170" s="4">
        <f>INDEX(Data_products!$A$1:$G$49, MATCH(Data_orders!$D170,Data_products!$A$1:$A$49,0), MATCH(Data_orders!K$1,Data_products!$A$1:$G$1,0))</f>
        <v>0.5</v>
      </c>
      <c r="L170">
        <f>INDEX(Data_products!$A$1:$G$49, MATCH(Data_orders!$D170,Data_products!$A$1:$A$49,0), MATCH(Data_orders!L$1,Data_products!$A$1:$G$1,0))</f>
        <v>6.75</v>
      </c>
      <c r="M170">
        <f t="shared" si="4"/>
        <v>40.5</v>
      </c>
      <c r="N170" t="str" cm="1">
        <f t="array" ref="N170">_xlfn.IFS(I170 = "Rob", "Robusta", I170 = "Exc", "Excelsa", I170 = "Ara", "Arabica", I170 = "Lib", "Liberica")</f>
        <v>Arabica</v>
      </c>
      <c r="O170" t="str">
        <f t="shared" si="5"/>
        <v>Medium</v>
      </c>
      <c r="P170" t="str">
        <f>_xlfn.XLOOKUP(Table1[[#This Row],[Customer ID]],Data_customers!$A$2:$A$1001,Data_customers!$I$2:$I$1001,,0)</f>
        <v>No</v>
      </c>
    </row>
    <row r="171" spans="1:16" x14ac:dyDescent="0.2">
      <c r="A171" s="2" t="s">
        <v>1441</v>
      </c>
      <c r="B171" s="3">
        <v>44643</v>
      </c>
      <c r="C171" s="2" t="s">
        <v>1442</v>
      </c>
      <c r="D171" t="s">
        <v>6177</v>
      </c>
      <c r="E171" s="2">
        <v>2</v>
      </c>
      <c r="F171" s="2" t="str">
        <f>_xlfn.XLOOKUP(Data_orders!C171,Data_customers!$A$1:$A$1001,Data_customers!$B$1:$B$1001,,0)</f>
        <v>Felita Dauney</v>
      </c>
      <c r="G171" s="2" t="str">
        <f>IF(_xlfn.XLOOKUP(C171,Data_customers!$A$1:$A$1001,Data_customers!$C$1:$C$1001,,0)=0,"",_xlfn.XLOOKUP(C171,Data_customers!$A$1:$A$1001,Data_customers!$C$1:$C$1001,,0))</f>
        <v>fdauney4p@sphinn.com</v>
      </c>
      <c r="H171" s="2" t="str">
        <f>_xlfn.XLOOKUP(C171,Data_customers!$A$1:$A$1001,Data_customers!$G$1:$G$1001,"",0)</f>
        <v>Ireland</v>
      </c>
      <c r="I171" t="str">
        <f>INDEX(Data_products!$A$1:$G$49, MATCH(Data_orders!$D171,Data_products!$A$1:$A$49,0), MATCH(Data_orders!I$1,Data_products!$A$1:$G$1,0))</f>
        <v>Rob</v>
      </c>
      <c r="J171" t="str">
        <f>INDEX(Data_products!$A$1:$G$49, MATCH(Data_orders!$D171,Data_products!$A$1:$A$49,0), MATCH(Data_orders!J$1,Data_products!$A$1:$G$1,0))</f>
        <v>D</v>
      </c>
      <c r="K171" s="4">
        <f>INDEX(Data_products!$A$1:$G$49, MATCH(Data_orders!$D171,Data_products!$A$1:$A$49,0), MATCH(Data_orders!K$1,Data_products!$A$1:$G$1,0))</f>
        <v>1</v>
      </c>
      <c r="L171">
        <f>INDEX(Data_products!$A$1:$G$49, MATCH(Data_orders!$D171,Data_products!$A$1:$A$49,0), MATCH(Data_orders!L$1,Data_products!$A$1:$G$1,0))</f>
        <v>8.9499999999999993</v>
      </c>
      <c r="M171">
        <f t="shared" si="4"/>
        <v>17.899999999999999</v>
      </c>
      <c r="N171" t="str" cm="1">
        <f t="array" ref="N171">_xlfn.IFS(I171 = "Rob", "Robusta", I171 = "Exc", "Excelsa", I171 = "Ara", "Arabica", I171 = "Lib", "Liberica")</f>
        <v>Robusta</v>
      </c>
      <c r="O171" t="str">
        <f t="shared" si="5"/>
        <v>Dark</v>
      </c>
      <c r="P171" t="str">
        <f>_xlfn.XLOOKUP(Table1[[#This Row],[Customer ID]],Data_customers!$A$2:$A$1001,Data_customers!$I$2:$I$1001,,0)</f>
        <v>No</v>
      </c>
    </row>
    <row r="172" spans="1:16" x14ac:dyDescent="0.2">
      <c r="A172" s="2" t="s">
        <v>1448</v>
      </c>
      <c r="B172" s="3">
        <v>44476</v>
      </c>
      <c r="C172" s="2" t="s">
        <v>1449</v>
      </c>
      <c r="D172" t="s">
        <v>6148</v>
      </c>
      <c r="E172" s="2">
        <v>2</v>
      </c>
      <c r="F172" s="2" t="str">
        <f>_xlfn.XLOOKUP(Data_orders!C172,Data_customers!$A$1:$A$1001,Data_customers!$B$1:$B$1001,,0)</f>
        <v>Serena Earley</v>
      </c>
      <c r="G172" s="2" t="str">
        <f>IF(_xlfn.XLOOKUP(C172,Data_customers!$A$1:$A$1001,Data_customers!$C$1:$C$1001,,0)=0,"",_xlfn.XLOOKUP(C172,Data_customers!$A$1:$A$1001,Data_customers!$C$1:$C$1001,,0))</f>
        <v>searley4q@youku.com</v>
      </c>
      <c r="H172" s="2" t="str">
        <f>_xlfn.XLOOKUP(C172,Data_customers!$A$1:$A$1001,Data_customers!$G$1:$G$1001,"",0)</f>
        <v>United Kingdom</v>
      </c>
      <c r="I172" t="str">
        <f>INDEX(Data_products!$A$1:$G$49, MATCH(Data_orders!$D172,Data_products!$A$1:$A$49,0), MATCH(Data_orders!I$1,Data_products!$A$1:$G$1,0))</f>
        <v>Exc</v>
      </c>
      <c r="J172" t="str">
        <f>INDEX(Data_products!$A$1:$G$49, MATCH(Data_orders!$D172,Data_products!$A$1:$A$49,0), MATCH(Data_orders!J$1,Data_products!$A$1:$G$1,0))</f>
        <v>L</v>
      </c>
      <c r="K172" s="4">
        <f>INDEX(Data_products!$A$1:$G$49, MATCH(Data_orders!$D172,Data_products!$A$1:$A$49,0), MATCH(Data_orders!K$1,Data_products!$A$1:$G$1,0))</f>
        <v>2.5</v>
      </c>
      <c r="L172">
        <f>INDEX(Data_products!$A$1:$G$49, MATCH(Data_orders!$D172,Data_products!$A$1:$A$49,0), MATCH(Data_orders!L$1,Data_products!$A$1:$G$1,0))</f>
        <v>34.154999999999994</v>
      </c>
      <c r="M172">
        <f t="shared" si="4"/>
        <v>68.309999999999988</v>
      </c>
      <c r="N172" t="str" cm="1">
        <f t="array" ref="N172">_xlfn.IFS(I172 = "Rob", "Robusta", I172 = "Exc", "Excelsa", I172 = "Ara", "Arabica", I172 = "Lib", "Liberica")</f>
        <v>Excelsa</v>
      </c>
      <c r="O172" t="str">
        <f t="shared" si="5"/>
        <v>Light</v>
      </c>
      <c r="P172" t="str">
        <f>_xlfn.XLOOKUP(Table1[[#This Row],[Customer ID]],Data_customers!$A$2:$A$1001,Data_customers!$I$2:$I$1001,,0)</f>
        <v>No</v>
      </c>
    </row>
    <row r="173" spans="1:16" x14ac:dyDescent="0.2">
      <c r="A173" s="2" t="s">
        <v>1453</v>
      </c>
      <c r="B173" s="3">
        <v>43544</v>
      </c>
      <c r="C173" s="2" t="s">
        <v>1454</v>
      </c>
      <c r="D173" t="s">
        <v>6166</v>
      </c>
      <c r="E173" s="2">
        <v>2</v>
      </c>
      <c r="F173" s="2" t="str">
        <f>_xlfn.XLOOKUP(Data_orders!C173,Data_customers!$A$1:$A$1001,Data_customers!$B$1:$B$1001,,0)</f>
        <v>Minny Chamberlayne</v>
      </c>
      <c r="G173" s="2" t="str">
        <f>IF(_xlfn.XLOOKUP(C173,Data_customers!$A$1:$A$1001,Data_customers!$C$1:$C$1001,,0)=0,"",_xlfn.XLOOKUP(C173,Data_customers!$A$1:$A$1001,Data_customers!$C$1:$C$1001,,0))</f>
        <v>mchamberlayne4r@bigcartel.com</v>
      </c>
      <c r="H173" s="2" t="str">
        <f>_xlfn.XLOOKUP(C173,Data_customers!$A$1:$A$1001,Data_customers!$G$1:$G$1001,"",0)</f>
        <v>United States</v>
      </c>
      <c r="I173" t="str">
        <f>INDEX(Data_products!$A$1:$G$49, MATCH(Data_orders!$D173,Data_products!$A$1:$A$49,0), MATCH(Data_orders!I$1,Data_products!$A$1:$G$1,0))</f>
        <v>Exc</v>
      </c>
      <c r="J173" t="str">
        <f>INDEX(Data_products!$A$1:$G$49, MATCH(Data_orders!$D173,Data_products!$A$1:$A$49,0), MATCH(Data_orders!J$1,Data_products!$A$1:$G$1,0))</f>
        <v>M</v>
      </c>
      <c r="K173" s="4">
        <f>INDEX(Data_products!$A$1:$G$49, MATCH(Data_orders!$D173,Data_products!$A$1:$A$49,0), MATCH(Data_orders!K$1,Data_products!$A$1:$G$1,0))</f>
        <v>2.5</v>
      </c>
      <c r="L173">
        <f>INDEX(Data_products!$A$1:$G$49, MATCH(Data_orders!$D173,Data_products!$A$1:$A$49,0), MATCH(Data_orders!L$1,Data_products!$A$1:$G$1,0))</f>
        <v>31.624999999999996</v>
      </c>
      <c r="M173">
        <f t="shared" si="4"/>
        <v>63.249999999999993</v>
      </c>
      <c r="N173" t="str" cm="1">
        <f t="array" ref="N173">_xlfn.IFS(I173 = "Rob", "Robusta", I173 = "Exc", "Excelsa", I173 = "Ara", "Arabica", I173 = "Lib", "Liberica")</f>
        <v>Excelsa</v>
      </c>
      <c r="O173" t="str">
        <f t="shared" si="5"/>
        <v>Medium</v>
      </c>
      <c r="P173" t="str">
        <f>_xlfn.XLOOKUP(Table1[[#This Row],[Customer ID]],Data_customers!$A$2:$A$1001,Data_customers!$I$2:$I$1001,,0)</f>
        <v>Yes</v>
      </c>
    </row>
    <row r="174" spans="1:16" x14ac:dyDescent="0.2">
      <c r="A174" s="2" t="s">
        <v>1459</v>
      </c>
      <c r="B174" s="3">
        <v>44545</v>
      </c>
      <c r="C174" s="2" t="s">
        <v>1460</v>
      </c>
      <c r="D174" t="s">
        <v>6144</v>
      </c>
      <c r="E174" s="2">
        <v>3</v>
      </c>
      <c r="F174" s="2" t="str">
        <f>_xlfn.XLOOKUP(Data_orders!C174,Data_customers!$A$1:$A$1001,Data_customers!$B$1:$B$1001,,0)</f>
        <v>Bartholemy Flaherty</v>
      </c>
      <c r="G174" s="2" t="str">
        <f>IF(_xlfn.XLOOKUP(C174,Data_customers!$A$1:$A$1001,Data_customers!$C$1:$C$1001,,0)=0,"",_xlfn.XLOOKUP(C174,Data_customers!$A$1:$A$1001,Data_customers!$C$1:$C$1001,,0))</f>
        <v>bflaherty4s@moonfruit.com</v>
      </c>
      <c r="H174" s="2" t="str">
        <f>_xlfn.XLOOKUP(C174,Data_customers!$A$1:$A$1001,Data_customers!$G$1:$G$1001,"",0)</f>
        <v>Ireland</v>
      </c>
      <c r="I174" t="str">
        <f>INDEX(Data_products!$A$1:$G$49, MATCH(Data_orders!$D174,Data_products!$A$1:$A$49,0), MATCH(Data_orders!I$1,Data_products!$A$1:$G$1,0))</f>
        <v>Exc</v>
      </c>
      <c r="J174" t="str">
        <f>INDEX(Data_products!$A$1:$G$49, MATCH(Data_orders!$D174,Data_products!$A$1:$A$49,0), MATCH(Data_orders!J$1,Data_products!$A$1:$G$1,0))</f>
        <v>D</v>
      </c>
      <c r="K174" s="4">
        <f>INDEX(Data_products!$A$1:$G$49, MATCH(Data_orders!$D174,Data_products!$A$1:$A$49,0), MATCH(Data_orders!K$1,Data_products!$A$1:$G$1,0))</f>
        <v>0.5</v>
      </c>
      <c r="L174">
        <f>INDEX(Data_products!$A$1:$G$49, MATCH(Data_orders!$D174,Data_products!$A$1:$A$49,0), MATCH(Data_orders!L$1,Data_products!$A$1:$G$1,0))</f>
        <v>7.29</v>
      </c>
      <c r="M174">
        <f t="shared" si="4"/>
        <v>21.87</v>
      </c>
      <c r="N174" t="str" cm="1">
        <f t="array" ref="N174">_xlfn.IFS(I174 = "Rob", "Robusta", I174 = "Exc", "Excelsa", I174 = "Ara", "Arabica", I174 = "Lib", "Liberica")</f>
        <v>Excelsa</v>
      </c>
      <c r="O174" t="str">
        <f t="shared" si="5"/>
        <v>Dark</v>
      </c>
      <c r="P174" t="str">
        <f>_xlfn.XLOOKUP(Table1[[#This Row],[Customer ID]],Data_customers!$A$2:$A$1001,Data_customers!$I$2:$I$1001,,0)</f>
        <v>No</v>
      </c>
    </row>
    <row r="175" spans="1:16" x14ac:dyDescent="0.2">
      <c r="A175" s="2" t="s">
        <v>1464</v>
      </c>
      <c r="B175" s="3">
        <v>44720</v>
      </c>
      <c r="C175" s="2" t="s">
        <v>1465</v>
      </c>
      <c r="D175" t="s">
        <v>6151</v>
      </c>
      <c r="E175" s="2">
        <v>4</v>
      </c>
      <c r="F175" s="2" t="str">
        <f>_xlfn.XLOOKUP(Data_orders!C175,Data_customers!$A$1:$A$1001,Data_customers!$B$1:$B$1001,,0)</f>
        <v>Oran Colbeck</v>
      </c>
      <c r="G175" s="2" t="str">
        <f>IF(_xlfn.XLOOKUP(C175,Data_customers!$A$1:$A$1001,Data_customers!$C$1:$C$1001,,0)=0,"",_xlfn.XLOOKUP(C175,Data_customers!$A$1:$A$1001,Data_customers!$C$1:$C$1001,,0))</f>
        <v>ocolbeck4t@sina.com.cn</v>
      </c>
      <c r="H175" s="2" t="str">
        <f>_xlfn.XLOOKUP(C175,Data_customers!$A$1:$A$1001,Data_customers!$G$1:$G$1001,"",0)</f>
        <v>United States</v>
      </c>
      <c r="I175" t="str">
        <f>INDEX(Data_products!$A$1:$G$49, MATCH(Data_orders!$D175,Data_products!$A$1:$A$49,0), MATCH(Data_orders!I$1,Data_products!$A$1:$G$1,0))</f>
        <v>Rob</v>
      </c>
      <c r="J175" t="str">
        <f>INDEX(Data_products!$A$1:$G$49, MATCH(Data_orders!$D175,Data_products!$A$1:$A$49,0), MATCH(Data_orders!J$1,Data_products!$A$1:$G$1,0))</f>
        <v>M</v>
      </c>
      <c r="K175" s="4">
        <f>INDEX(Data_products!$A$1:$G$49, MATCH(Data_orders!$D175,Data_products!$A$1:$A$49,0), MATCH(Data_orders!K$1,Data_products!$A$1:$G$1,0))</f>
        <v>2.5</v>
      </c>
      <c r="L175">
        <f>INDEX(Data_products!$A$1:$G$49, MATCH(Data_orders!$D175,Data_products!$A$1:$A$49,0), MATCH(Data_orders!L$1,Data_products!$A$1:$G$1,0))</f>
        <v>22.884999999999998</v>
      </c>
      <c r="M175">
        <f t="shared" si="4"/>
        <v>91.539999999999992</v>
      </c>
      <c r="N175" t="str" cm="1">
        <f t="array" ref="N175">_xlfn.IFS(I175 = "Rob", "Robusta", I175 = "Exc", "Excelsa", I175 = "Ara", "Arabica", I175 = "Lib", "Liberica")</f>
        <v>Robusta</v>
      </c>
      <c r="O175" t="str">
        <f t="shared" si="5"/>
        <v>Medium</v>
      </c>
      <c r="P175" t="str">
        <f>_xlfn.XLOOKUP(Table1[[#This Row],[Customer ID]],Data_customers!$A$2:$A$1001,Data_customers!$I$2:$I$1001,,0)</f>
        <v>No</v>
      </c>
    </row>
    <row r="176" spans="1:16" x14ac:dyDescent="0.2">
      <c r="A176" s="2" t="s">
        <v>1470</v>
      </c>
      <c r="B176" s="3">
        <v>43813</v>
      </c>
      <c r="C176" s="2" t="s">
        <v>1471</v>
      </c>
      <c r="D176" t="s">
        <v>6148</v>
      </c>
      <c r="E176" s="2">
        <v>6</v>
      </c>
      <c r="F176" s="2" t="str">
        <f>_xlfn.XLOOKUP(Data_orders!C176,Data_customers!$A$1:$A$1001,Data_customers!$B$1:$B$1001,,0)</f>
        <v>Elysee Sketch</v>
      </c>
      <c r="G176" s="2" t="str">
        <f>IF(_xlfn.XLOOKUP(C176,Data_customers!$A$1:$A$1001,Data_customers!$C$1:$C$1001,,0)=0,"",_xlfn.XLOOKUP(C176,Data_customers!$A$1:$A$1001,Data_customers!$C$1:$C$1001,,0))</f>
        <v/>
      </c>
      <c r="H176" s="2" t="str">
        <f>_xlfn.XLOOKUP(C176,Data_customers!$A$1:$A$1001,Data_customers!$G$1:$G$1001,"",0)</f>
        <v>United States</v>
      </c>
      <c r="I176" t="str">
        <f>INDEX(Data_products!$A$1:$G$49, MATCH(Data_orders!$D176,Data_products!$A$1:$A$49,0), MATCH(Data_orders!I$1,Data_products!$A$1:$G$1,0))</f>
        <v>Exc</v>
      </c>
      <c r="J176" t="str">
        <f>INDEX(Data_products!$A$1:$G$49, MATCH(Data_orders!$D176,Data_products!$A$1:$A$49,0), MATCH(Data_orders!J$1,Data_products!$A$1:$G$1,0))</f>
        <v>L</v>
      </c>
      <c r="K176" s="4">
        <f>INDEX(Data_products!$A$1:$G$49, MATCH(Data_orders!$D176,Data_products!$A$1:$A$49,0), MATCH(Data_orders!K$1,Data_products!$A$1:$G$1,0))</f>
        <v>2.5</v>
      </c>
      <c r="L176">
        <f>INDEX(Data_products!$A$1:$G$49, MATCH(Data_orders!$D176,Data_products!$A$1:$A$49,0), MATCH(Data_orders!L$1,Data_products!$A$1:$G$1,0))</f>
        <v>34.154999999999994</v>
      </c>
      <c r="M176">
        <f t="shared" si="4"/>
        <v>204.92999999999995</v>
      </c>
      <c r="N176" t="str" cm="1">
        <f t="array" ref="N176">_xlfn.IFS(I176 = "Rob", "Robusta", I176 = "Exc", "Excelsa", I176 = "Ara", "Arabica", I176 = "Lib", "Liberica")</f>
        <v>Excelsa</v>
      </c>
      <c r="O176" t="str">
        <f t="shared" si="5"/>
        <v>Light</v>
      </c>
      <c r="P176" t="str">
        <f>_xlfn.XLOOKUP(Table1[[#This Row],[Customer ID]],Data_customers!$A$2:$A$1001,Data_customers!$I$2:$I$1001,,0)</f>
        <v>Yes</v>
      </c>
    </row>
    <row r="177" spans="1:16" x14ac:dyDescent="0.2">
      <c r="A177" s="2" t="s">
        <v>1475</v>
      </c>
      <c r="B177" s="3">
        <v>44296</v>
      </c>
      <c r="C177" s="2" t="s">
        <v>1476</v>
      </c>
      <c r="D177" t="s">
        <v>6166</v>
      </c>
      <c r="E177" s="2">
        <v>2</v>
      </c>
      <c r="F177" s="2" t="str">
        <f>_xlfn.XLOOKUP(Data_orders!C177,Data_customers!$A$1:$A$1001,Data_customers!$B$1:$B$1001,,0)</f>
        <v>Ethelda Hobbing</v>
      </c>
      <c r="G177" s="2" t="str">
        <f>IF(_xlfn.XLOOKUP(C177,Data_customers!$A$1:$A$1001,Data_customers!$C$1:$C$1001,,0)=0,"",_xlfn.XLOOKUP(C177,Data_customers!$A$1:$A$1001,Data_customers!$C$1:$C$1001,,0))</f>
        <v>ehobbing4v@nsw.gov.au</v>
      </c>
      <c r="H177" s="2" t="str">
        <f>_xlfn.XLOOKUP(C177,Data_customers!$A$1:$A$1001,Data_customers!$G$1:$G$1001,"",0)</f>
        <v>United States</v>
      </c>
      <c r="I177" t="str">
        <f>INDEX(Data_products!$A$1:$G$49, MATCH(Data_orders!$D177,Data_products!$A$1:$A$49,0), MATCH(Data_orders!I$1,Data_products!$A$1:$G$1,0))</f>
        <v>Exc</v>
      </c>
      <c r="J177" t="str">
        <f>INDEX(Data_products!$A$1:$G$49, MATCH(Data_orders!$D177,Data_products!$A$1:$A$49,0), MATCH(Data_orders!J$1,Data_products!$A$1:$G$1,0))</f>
        <v>M</v>
      </c>
      <c r="K177" s="4">
        <f>INDEX(Data_products!$A$1:$G$49, MATCH(Data_orders!$D177,Data_products!$A$1:$A$49,0), MATCH(Data_orders!K$1,Data_products!$A$1:$G$1,0))</f>
        <v>2.5</v>
      </c>
      <c r="L177">
        <f>INDEX(Data_products!$A$1:$G$49, MATCH(Data_orders!$D177,Data_products!$A$1:$A$49,0), MATCH(Data_orders!L$1,Data_products!$A$1:$G$1,0))</f>
        <v>31.624999999999996</v>
      </c>
      <c r="M177">
        <f t="shared" si="4"/>
        <v>63.249999999999993</v>
      </c>
      <c r="N177" t="str" cm="1">
        <f t="array" ref="N177">_xlfn.IFS(I177 = "Rob", "Robusta", I177 = "Exc", "Excelsa", I177 = "Ara", "Arabica", I177 = "Lib", "Liberica")</f>
        <v>Excelsa</v>
      </c>
      <c r="O177" t="str">
        <f t="shared" si="5"/>
        <v>Medium</v>
      </c>
      <c r="P177" t="str">
        <f>_xlfn.XLOOKUP(Table1[[#This Row],[Customer ID]],Data_customers!$A$2:$A$1001,Data_customers!$I$2:$I$1001,,0)</f>
        <v>Yes</v>
      </c>
    </row>
    <row r="178" spans="1:16" x14ac:dyDescent="0.2">
      <c r="A178" s="2" t="s">
        <v>1481</v>
      </c>
      <c r="B178" s="3">
        <v>43900</v>
      </c>
      <c r="C178" s="2" t="s">
        <v>1482</v>
      </c>
      <c r="D178" t="s">
        <v>6148</v>
      </c>
      <c r="E178" s="2">
        <v>1</v>
      </c>
      <c r="F178" s="2" t="str">
        <f>_xlfn.XLOOKUP(Data_orders!C178,Data_customers!$A$1:$A$1001,Data_customers!$B$1:$B$1001,,0)</f>
        <v>Odille Thynne</v>
      </c>
      <c r="G178" s="2" t="str">
        <f>IF(_xlfn.XLOOKUP(C178,Data_customers!$A$1:$A$1001,Data_customers!$C$1:$C$1001,,0)=0,"",_xlfn.XLOOKUP(C178,Data_customers!$A$1:$A$1001,Data_customers!$C$1:$C$1001,,0))</f>
        <v>othynne4w@auda.org.au</v>
      </c>
      <c r="H178" s="2" t="str">
        <f>_xlfn.XLOOKUP(C178,Data_customers!$A$1:$A$1001,Data_customers!$G$1:$G$1001,"",0)</f>
        <v>United States</v>
      </c>
      <c r="I178" t="str">
        <f>INDEX(Data_products!$A$1:$G$49, MATCH(Data_orders!$D178,Data_products!$A$1:$A$49,0), MATCH(Data_orders!I$1,Data_products!$A$1:$G$1,0))</f>
        <v>Exc</v>
      </c>
      <c r="J178" t="str">
        <f>INDEX(Data_products!$A$1:$G$49, MATCH(Data_orders!$D178,Data_products!$A$1:$A$49,0), MATCH(Data_orders!J$1,Data_products!$A$1:$G$1,0))</f>
        <v>L</v>
      </c>
      <c r="K178" s="4">
        <f>INDEX(Data_products!$A$1:$G$49, MATCH(Data_orders!$D178,Data_products!$A$1:$A$49,0), MATCH(Data_orders!K$1,Data_products!$A$1:$G$1,0))</f>
        <v>2.5</v>
      </c>
      <c r="L178">
        <f>INDEX(Data_products!$A$1:$G$49, MATCH(Data_orders!$D178,Data_products!$A$1:$A$49,0), MATCH(Data_orders!L$1,Data_products!$A$1:$G$1,0))</f>
        <v>34.154999999999994</v>
      </c>
      <c r="M178">
        <f t="shared" si="4"/>
        <v>34.154999999999994</v>
      </c>
      <c r="N178" t="str" cm="1">
        <f t="array" ref="N178">_xlfn.IFS(I178 = "Rob", "Robusta", I178 = "Exc", "Excelsa", I178 = "Ara", "Arabica", I178 = "Lib", "Liberica")</f>
        <v>Excelsa</v>
      </c>
      <c r="O178" t="str">
        <f t="shared" si="5"/>
        <v>Light</v>
      </c>
      <c r="P178" t="str">
        <f>_xlfn.XLOOKUP(Table1[[#This Row],[Customer ID]],Data_customers!$A$2:$A$1001,Data_customers!$I$2:$I$1001,,0)</f>
        <v>Yes</v>
      </c>
    </row>
    <row r="179" spans="1:16" x14ac:dyDescent="0.2">
      <c r="A179" s="2" t="s">
        <v>1487</v>
      </c>
      <c r="B179" s="3">
        <v>44120</v>
      </c>
      <c r="C179" s="2" t="s">
        <v>1488</v>
      </c>
      <c r="D179" t="s">
        <v>6142</v>
      </c>
      <c r="E179" s="2">
        <v>4</v>
      </c>
      <c r="F179" s="2" t="str">
        <f>_xlfn.XLOOKUP(Data_orders!C179,Data_customers!$A$1:$A$1001,Data_customers!$B$1:$B$1001,,0)</f>
        <v>Emlynne Heining</v>
      </c>
      <c r="G179" s="2" t="str">
        <f>IF(_xlfn.XLOOKUP(C179,Data_customers!$A$1:$A$1001,Data_customers!$C$1:$C$1001,,0)=0,"",_xlfn.XLOOKUP(C179,Data_customers!$A$1:$A$1001,Data_customers!$C$1:$C$1001,,0))</f>
        <v>eheining4x@flickr.com</v>
      </c>
      <c r="H179" s="2" t="str">
        <f>_xlfn.XLOOKUP(C179,Data_customers!$A$1:$A$1001,Data_customers!$G$1:$G$1001,"",0)</f>
        <v>United States</v>
      </c>
      <c r="I179" t="str">
        <f>INDEX(Data_products!$A$1:$G$49, MATCH(Data_orders!$D179,Data_products!$A$1:$A$49,0), MATCH(Data_orders!I$1,Data_products!$A$1:$G$1,0))</f>
        <v>Rob</v>
      </c>
      <c r="J179" t="str">
        <f>INDEX(Data_products!$A$1:$G$49, MATCH(Data_orders!$D179,Data_products!$A$1:$A$49,0), MATCH(Data_orders!J$1,Data_products!$A$1:$G$1,0))</f>
        <v>L</v>
      </c>
      <c r="K179" s="4">
        <f>INDEX(Data_products!$A$1:$G$49, MATCH(Data_orders!$D179,Data_products!$A$1:$A$49,0), MATCH(Data_orders!K$1,Data_products!$A$1:$G$1,0))</f>
        <v>2.5</v>
      </c>
      <c r="L179">
        <f>INDEX(Data_products!$A$1:$G$49, MATCH(Data_orders!$D179,Data_products!$A$1:$A$49,0), MATCH(Data_orders!L$1,Data_products!$A$1:$G$1,0))</f>
        <v>27.484999999999996</v>
      </c>
      <c r="M179">
        <f t="shared" si="4"/>
        <v>109.93999999999998</v>
      </c>
      <c r="N179" t="str" cm="1">
        <f t="array" ref="N179">_xlfn.IFS(I179 = "Rob", "Robusta", I179 = "Exc", "Excelsa", I179 = "Ara", "Arabica", I179 = "Lib", "Liberica")</f>
        <v>Robusta</v>
      </c>
      <c r="O179" t="str">
        <f t="shared" si="5"/>
        <v>Light</v>
      </c>
      <c r="P179" t="str">
        <f>_xlfn.XLOOKUP(Table1[[#This Row],[Customer ID]],Data_customers!$A$2:$A$1001,Data_customers!$I$2:$I$1001,,0)</f>
        <v>Yes</v>
      </c>
    </row>
    <row r="180" spans="1:16" x14ac:dyDescent="0.2">
      <c r="A180" s="2" t="s">
        <v>1492</v>
      </c>
      <c r="B180" s="3">
        <v>43746</v>
      </c>
      <c r="C180" s="2" t="s">
        <v>1493</v>
      </c>
      <c r="D180" t="s">
        <v>6140</v>
      </c>
      <c r="E180" s="2">
        <v>2</v>
      </c>
      <c r="F180" s="2" t="str">
        <f>_xlfn.XLOOKUP(Data_orders!C180,Data_customers!$A$1:$A$1001,Data_customers!$B$1:$B$1001,,0)</f>
        <v>Katerina Melloi</v>
      </c>
      <c r="G180" s="2" t="str">
        <f>IF(_xlfn.XLOOKUP(C180,Data_customers!$A$1:$A$1001,Data_customers!$C$1:$C$1001,,0)=0,"",_xlfn.XLOOKUP(C180,Data_customers!$A$1:$A$1001,Data_customers!$C$1:$C$1001,,0))</f>
        <v>kmelloi4y@imdb.com</v>
      </c>
      <c r="H180" s="2" t="str">
        <f>_xlfn.XLOOKUP(C180,Data_customers!$A$1:$A$1001,Data_customers!$G$1:$G$1001,"",0)</f>
        <v>United States</v>
      </c>
      <c r="I180" t="str">
        <f>INDEX(Data_products!$A$1:$G$49, MATCH(Data_orders!$D180,Data_products!$A$1:$A$49,0), MATCH(Data_orders!I$1,Data_products!$A$1:$G$1,0))</f>
        <v>Ara</v>
      </c>
      <c r="J180" t="str">
        <f>INDEX(Data_products!$A$1:$G$49, MATCH(Data_orders!$D180,Data_products!$A$1:$A$49,0), MATCH(Data_orders!J$1,Data_products!$A$1:$G$1,0))</f>
        <v>L</v>
      </c>
      <c r="K180" s="4">
        <f>INDEX(Data_products!$A$1:$G$49, MATCH(Data_orders!$D180,Data_products!$A$1:$A$49,0), MATCH(Data_orders!K$1,Data_products!$A$1:$G$1,0))</f>
        <v>1</v>
      </c>
      <c r="L180">
        <f>INDEX(Data_products!$A$1:$G$49, MATCH(Data_orders!$D180,Data_products!$A$1:$A$49,0), MATCH(Data_orders!L$1,Data_products!$A$1:$G$1,0))</f>
        <v>12.95</v>
      </c>
      <c r="M180">
        <f t="shared" si="4"/>
        <v>25.9</v>
      </c>
      <c r="N180" t="str" cm="1">
        <f t="array" ref="N180">_xlfn.IFS(I180 = "Rob", "Robusta", I180 = "Exc", "Excelsa", I180 = "Ara", "Arabica", I180 = "Lib", "Liberica")</f>
        <v>Arabica</v>
      </c>
      <c r="O180" t="str">
        <f t="shared" si="5"/>
        <v>Light</v>
      </c>
      <c r="P180" t="str">
        <f>_xlfn.XLOOKUP(Table1[[#This Row],[Customer ID]],Data_customers!$A$2:$A$1001,Data_customers!$I$2:$I$1001,,0)</f>
        <v>No</v>
      </c>
    </row>
    <row r="181" spans="1:16" x14ac:dyDescent="0.2">
      <c r="A181" s="2" t="s">
        <v>1498</v>
      </c>
      <c r="B181" s="3">
        <v>43830</v>
      </c>
      <c r="C181" s="2" t="s">
        <v>1499</v>
      </c>
      <c r="D181" t="s">
        <v>6154</v>
      </c>
      <c r="E181" s="2">
        <v>1</v>
      </c>
      <c r="F181" s="2" t="str">
        <f>_xlfn.XLOOKUP(Data_orders!C181,Data_customers!$A$1:$A$1001,Data_customers!$B$1:$B$1001,,0)</f>
        <v>Tiffany Scardafield</v>
      </c>
      <c r="G181" s="2" t="str">
        <f>IF(_xlfn.XLOOKUP(C181,Data_customers!$A$1:$A$1001,Data_customers!$C$1:$C$1001,,0)=0,"",_xlfn.XLOOKUP(C181,Data_customers!$A$1:$A$1001,Data_customers!$C$1:$C$1001,,0))</f>
        <v/>
      </c>
      <c r="H181" s="2" t="str">
        <f>_xlfn.XLOOKUP(C181,Data_customers!$A$1:$A$1001,Data_customers!$G$1:$G$1001,"",0)</f>
        <v>Ireland</v>
      </c>
      <c r="I181" t="str">
        <f>INDEX(Data_products!$A$1:$G$49, MATCH(Data_orders!$D181,Data_products!$A$1:$A$49,0), MATCH(Data_orders!I$1,Data_products!$A$1:$G$1,0))</f>
        <v>Ara</v>
      </c>
      <c r="J181" t="str">
        <f>INDEX(Data_products!$A$1:$G$49, MATCH(Data_orders!$D181,Data_products!$A$1:$A$49,0), MATCH(Data_orders!J$1,Data_products!$A$1:$G$1,0))</f>
        <v>D</v>
      </c>
      <c r="K181" s="4">
        <f>INDEX(Data_products!$A$1:$G$49, MATCH(Data_orders!$D181,Data_products!$A$1:$A$49,0), MATCH(Data_orders!K$1,Data_products!$A$1:$G$1,0))</f>
        <v>0.2</v>
      </c>
      <c r="L181">
        <f>INDEX(Data_products!$A$1:$G$49, MATCH(Data_orders!$D181,Data_products!$A$1:$A$49,0), MATCH(Data_orders!L$1,Data_products!$A$1:$G$1,0))</f>
        <v>2.9849999999999999</v>
      </c>
      <c r="M181">
        <f t="shared" si="4"/>
        <v>2.9849999999999999</v>
      </c>
      <c r="N181" t="str" cm="1">
        <f t="array" ref="N181">_xlfn.IFS(I181 = "Rob", "Robusta", I181 = "Exc", "Excelsa", I181 = "Ara", "Arabica", I181 = "Lib", "Liberica")</f>
        <v>Arabica</v>
      </c>
      <c r="O181" t="str">
        <f t="shared" si="5"/>
        <v>Dark</v>
      </c>
      <c r="P181" t="str">
        <f>_xlfn.XLOOKUP(Table1[[#This Row],[Customer ID]],Data_customers!$A$2:$A$1001,Data_customers!$I$2:$I$1001,,0)</f>
        <v>No</v>
      </c>
    </row>
    <row r="182" spans="1:16" x14ac:dyDescent="0.2">
      <c r="A182" s="2" t="s">
        <v>1503</v>
      </c>
      <c r="B182" s="3">
        <v>43910</v>
      </c>
      <c r="C182" s="2" t="s">
        <v>1504</v>
      </c>
      <c r="D182" t="s">
        <v>6184</v>
      </c>
      <c r="E182" s="2">
        <v>5</v>
      </c>
      <c r="F182" s="2" t="str">
        <f>_xlfn.XLOOKUP(Data_orders!C182,Data_customers!$A$1:$A$1001,Data_customers!$B$1:$B$1001,,0)</f>
        <v>Abrahan Mussen</v>
      </c>
      <c r="G182" s="2" t="str">
        <f>IF(_xlfn.XLOOKUP(C182,Data_customers!$A$1:$A$1001,Data_customers!$C$1:$C$1001,,0)=0,"",_xlfn.XLOOKUP(C182,Data_customers!$A$1:$A$1001,Data_customers!$C$1:$C$1001,,0))</f>
        <v>amussen50@51.la</v>
      </c>
      <c r="H182" s="2" t="str">
        <f>_xlfn.XLOOKUP(C182,Data_customers!$A$1:$A$1001,Data_customers!$G$1:$G$1001,"",0)</f>
        <v>United States</v>
      </c>
      <c r="I182" t="str">
        <f>INDEX(Data_products!$A$1:$G$49, MATCH(Data_orders!$D182,Data_products!$A$1:$A$49,0), MATCH(Data_orders!I$1,Data_products!$A$1:$G$1,0))</f>
        <v>Exc</v>
      </c>
      <c r="J182" t="str">
        <f>INDEX(Data_products!$A$1:$G$49, MATCH(Data_orders!$D182,Data_products!$A$1:$A$49,0), MATCH(Data_orders!J$1,Data_products!$A$1:$G$1,0))</f>
        <v>L</v>
      </c>
      <c r="K182" s="4">
        <f>INDEX(Data_products!$A$1:$G$49, MATCH(Data_orders!$D182,Data_products!$A$1:$A$49,0), MATCH(Data_orders!K$1,Data_products!$A$1:$G$1,0))</f>
        <v>0.2</v>
      </c>
      <c r="L182">
        <f>INDEX(Data_products!$A$1:$G$49, MATCH(Data_orders!$D182,Data_products!$A$1:$A$49,0), MATCH(Data_orders!L$1,Data_products!$A$1:$G$1,0))</f>
        <v>4.4550000000000001</v>
      </c>
      <c r="M182">
        <f t="shared" si="4"/>
        <v>22.274999999999999</v>
      </c>
      <c r="N182" t="str" cm="1">
        <f t="array" ref="N182">_xlfn.IFS(I182 = "Rob", "Robusta", I182 = "Exc", "Excelsa", I182 = "Ara", "Arabica", I182 = "Lib", "Liberica")</f>
        <v>Excelsa</v>
      </c>
      <c r="O182" t="str">
        <f t="shared" si="5"/>
        <v>Light</v>
      </c>
      <c r="P182" t="str">
        <f>_xlfn.XLOOKUP(Table1[[#This Row],[Customer ID]],Data_customers!$A$2:$A$1001,Data_customers!$I$2:$I$1001,,0)</f>
        <v>No</v>
      </c>
    </row>
    <row r="183" spans="1:16" x14ac:dyDescent="0.2">
      <c r="A183" s="2" t="s">
        <v>1503</v>
      </c>
      <c r="B183" s="3">
        <v>43910</v>
      </c>
      <c r="C183" s="2" t="s">
        <v>1504</v>
      </c>
      <c r="D183" t="s">
        <v>6158</v>
      </c>
      <c r="E183" s="2">
        <v>5</v>
      </c>
      <c r="F183" s="2" t="str">
        <f>_xlfn.XLOOKUP(Data_orders!C183,Data_customers!$A$1:$A$1001,Data_customers!$B$1:$B$1001,,0)</f>
        <v>Abrahan Mussen</v>
      </c>
      <c r="G183" s="2" t="str">
        <f>IF(_xlfn.XLOOKUP(C183,Data_customers!$A$1:$A$1001,Data_customers!$C$1:$C$1001,,0)=0,"",_xlfn.XLOOKUP(C183,Data_customers!$A$1:$A$1001,Data_customers!$C$1:$C$1001,,0))</f>
        <v>amussen50@51.la</v>
      </c>
      <c r="H183" s="2" t="str">
        <f>_xlfn.XLOOKUP(C183,Data_customers!$A$1:$A$1001,Data_customers!$G$1:$G$1001,"",0)</f>
        <v>United States</v>
      </c>
      <c r="I183" t="str">
        <f>INDEX(Data_products!$A$1:$G$49, MATCH(Data_orders!$D183,Data_products!$A$1:$A$49,0), MATCH(Data_orders!I$1,Data_products!$A$1:$G$1,0))</f>
        <v>Ara</v>
      </c>
      <c r="J183" t="str">
        <f>INDEX(Data_products!$A$1:$G$49, MATCH(Data_orders!$D183,Data_products!$A$1:$A$49,0), MATCH(Data_orders!J$1,Data_products!$A$1:$G$1,0))</f>
        <v>D</v>
      </c>
      <c r="K183" s="4">
        <f>INDEX(Data_products!$A$1:$G$49, MATCH(Data_orders!$D183,Data_products!$A$1:$A$49,0), MATCH(Data_orders!K$1,Data_products!$A$1:$G$1,0))</f>
        <v>0.5</v>
      </c>
      <c r="L183">
        <f>INDEX(Data_products!$A$1:$G$49, MATCH(Data_orders!$D183,Data_products!$A$1:$A$49,0), MATCH(Data_orders!L$1,Data_products!$A$1:$G$1,0))</f>
        <v>5.97</v>
      </c>
      <c r="M183">
        <f t="shared" si="4"/>
        <v>29.849999999999998</v>
      </c>
      <c r="N183" t="str" cm="1">
        <f t="array" ref="N183">_xlfn.IFS(I183 = "Rob", "Robusta", I183 = "Exc", "Excelsa", I183 = "Ara", "Arabica", I183 = "Lib", "Liberica")</f>
        <v>Arabica</v>
      </c>
      <c r="O183" t="str">
        <f t="shared" si="5"/>
        <v>Dark</v>
      </c>
      <c r="P183" t="str">
        <f>_xlfn.XLOOKUP(Table1[[#This Row],[Customer ID]],Data_customers!$A$2:$A$1001,Data_customers!$I$2:$I$1001,,0)</f>
        <v>No</v>
      </c>
    </row>
    <row r="184" spans="1:16" x14ac:dyDescent="0.2">
      <c r="A184" s="2" t="s">
        <v>1514</v>
      </c>
      <c r="B184" s="3">
        <v>44284</v>
      </c>
      <c r="C184" s="2" t="s">
        <v>1515</v>
      </c>
      <c r="D184" t="s">
        <v>6172</v>
      </c>
      <c r="E184" s="2">
        <v>6</v>
      </c>
      <c r="F184" s="2" t="str">
        <f>_xlfn.XLOOKUP(Data_orders!C184,Data_customers!$A$1:$A$1001,Data_customers!$B$1:$B$1001,,0)</f>
        <v>Anny Mundford</v>
      </c>
      <c r="G184" s="2" t="str">
        <f>IF(_xlfn.XLOOKUP(C184,Data_customers!$A$1:$A$1001,Data_customers!$C$1:$C$1001,,0)=0,"",_xlfn.XLOOKUP(C184,Data_customers!$A$1:$A$1001,Data_customers!$C$1:$C$1001,,0))</f>
        <v>amundford52@nbcnews.com</v>
      </c>
      <c r="H184" s="2" t="str">
        <f>_xlfn.XLOOKUP(C184,Data_customers!$A$1:$A$1001,Data_customers!$G$1:$G$1001,"",0)</f>
        <v>United States</v>
      </c>
      <c r="I184" t="str">
        <f>INDEX(Data_products!$A$1:$G$49, MATCH(Data_orders!$D184,Data_products!$A$1:$A$49,0), MATCH(Data_orders!I$1,Data_products!$A$1:$G$1,0))</f>
        <v>Rob</v>
      </c>
      <c r="J184" t="str">
        <f>INDEX(Data_products!$A$1:$G$49, MATCH(Data_orders!$D184,Data_products!$A$1:$A$49,0), MATCH(Data_orders!J$1,Data_products!$A$1:$G$1,0))</f>
        <v>D</v>
      </c>
      <c r="K184" s="4">
        <f>INDEX(Data_products!$A$1:$G$49, MATCH(Data_orders!$D184,Data_products!$A$1:$A$49,0), MATCH(Data_orders!K$1,Data_products!$A$1:$G$1,0))</f>
        <v>0.5</v>
      </c>
      <c r="L184">
        <f>INDEX(Data_products!$A$1:$G$49, MATCH(Data_orders!$D184,Data_products!$A$1:$A$49,0), MATCH(Data_orders!L$1,Data_products!$A$1:$G$1,0))</f>
        <v>5.3699999999999992</v>
      </c>
      <c r="M184">
        <f t="shared" si="4"/>
        <v>32.22</v>
      </c>
      <c r="N184" t="str" cm="1">
        <f t="array" ref="N184">_xlfn.IFS(I184 = "Rob", "Robusta", I184 = "Exc", "Excelsa", I184 = "Ara", "Arabica", I184 = "Lib", "Liberica")</f>
        <v>Robusta</v>
      </c>
      <c r="O184" t="str">
        <f t="shared" si="5"/>
        <v>Dark</v>
      </c>
      <c r="P184" t="str">
        <f>_xlfn.XLOOKUP(Table1[[#This Row],[Customer ID]],Data_customers!$A$2:$A$1001,Data_customers!$I$2:$I$1001,,0)</f>
        <v>No</v>
      </c>
    </row>
    <row r="185" spans="1:16" x14ac:dyDescent="0.2">
      <c r="A185" s="2" t="s">
        <v>1520</v>
      </c>
      <c r="B185" s="3">
        <v>44512</v>
      </c>
      <c r="C185" s="2" t="s">
        <v>1521</v>
      </c>
      <c r="D185" t="s">
        <v>6156</v>
      </c>
      <c r="E185" s="2">
        <v>2</v>
      </c>
      <c r="F185" s="2" t="str">
        <f>_xlfn.XLOOKUP(Data_orders!C185,Data_customers!$A$1:$A$1001,Data_customers!$B$1:$B$1001,,0)</f>
        <v>Tory Walas</v>
      </c>
      <c r="G185" s="2" t="str">
        <f>IF(_xlfn.XLOOKUP(C185,Data_customers!$A$1:$A$1001,Data_customers!$C$1:$C$1001,,0)=0,"",_xlfn.XLOOKUP(C185,Data_customers!$A$1:$A$1001,Data_customers!$C$1:$C$1001,,0))</f>
        <v>twalas53@google.ca</v>
      </c>
      <c r="H185" s="2" t="str">
        <f>_xlfn.XLOOKUP(C185,Data_customers!$A$1:$A$1001,Data_customers!$G$1:$G$1001,"",0)</f>
        <v>United States</v>
      </c>
      <c r="I185" t="str">
        <f>INDEX(Data_products!$A$1:$G$49, MATCH(Data_orders!$D185,Data_products!$A$1:$A$49,0), MATCH(Data_orders!I$1,Data_products!$A$1:$G$1,0))</f>
        <v>Exc</v>
      </c>
      <c r="J185" t="str">
        <f>INDEX(Data_products!$A$1:$G$49, MATCH(Data_orders!$D185,Data_products!$A$1:$A$49,0), MATCH(Data_orders!J$1,Data_products!$A$1:$G$1,0))</f>
        <v>M</v>
      </c>
      <c r="K185" s="4">
        <f>INDEX(Data_products!$A$1:$G$49, MATCH(Data_orders!$D185,Data_products!$A$1:$A$49,0), MATCH(Data_orders!K$1,Data_products!$A$1:$G$1,0))</f>
        <v>0.2</v>
      </c>
      <c r="L185">
        <f>INDEX(Data_products!$A$1:$G$49, MATCH(Data_orders!$D185,Data_products!$A$1:$A$49,0), MATCH(Data_orders!L$1,Data_products!$A$1:$G$1,0))</f>
        <v>4.125</v>
      </c>
      <c r="M185">
        <f t="shared" si="4"/>
        <v>8.25</v>
      </c>
      <c r="N185" t="str" cm="1">
        <f t="array" ref="N185">_xlfn.IFS(I185 = "Rob", "Robusta", I185 = "Exc", "Excelsa", I185 = "Ara", "Arabica", I185 = "Lib", "Liberica")</f>
        <v>Excelsa</v>
      </c>
      <c r="O185" t="str">
        <f t="shared" si="5"/>
        <v>Medium</v>
      </c>
      <c r="P185" t="str">
        <f>_xlfn.XLOOKUP(Table1[[#This Row],[Customer ID]],Data_customers!$A$2:$A$1001,Data_customers!$I$2:$I$1001,,0)</f>
        <v>No</v>
      </c>
    </row>
    <row r="186" spans="1:16" x14ac:dyDescent="0.2">
      <c r="A186" s="2" t="s">
        <v>1526</v>
      </c>
      <c r="B186" s="3">
        <v>44397</v>
      </c>
      <c r="C186" s="2" t="s">
        <v>1527</v>
      </c>
      <c r="D186" t="s">
        <v>6180</v>
      </c>
      <c r="E186" s="2">
        <v>4</v>
      </c>
      <c r="F186" s="2" t="str">
        <f>_xlfn.XLOOKUP(Data_orders!C186,Data_customers!$A$1:$A$1001,Data_customers!$B$1:$B$1001,,0)</f>
        <v>Isa Blazewicz</v>
      </c>
      <c r="G186" s="2" t="str">
        <f>IF(_xlfn.XLOOKUP(C186,Data_customers!$A$1:$A$1001,Data_customers!$C$1:$C$1001,,0)=0,"",_xlfn.XLOOKUP(C186,Data_customers!$A$1:$A$1001,Data_customers!$C$1:$C$1001,,0))</f>
        <v>iblazewicz54@thetimes.co.uk</v>
      </c>
      <c r="H186" s="2" t="str">
        <f>_xlfn.XLOOKUP(C186,Data_customers!$A$1:$A$1001,Data_customers!$G$1:$G$1001,"",0)</f>
        <v>United States</v>
      </c>
      <c r="I186" t="str">
        <f>INDEX(Data_products!$A$1:$G$49, MATCH(Data_orders!$D186,Data_products!$A$1:$A$49,0), MATCH(Data_orders!I$1,Data_products!$A$1:$G$1,0))</f>
        <v>Ara</v>
      </c>
      <c r="J186" t="str">
        <f>INDEX(Data_products!$A$1:$G$49, MATCH(Data_orders!$D186,Data_products!$A$1:$A$49,0), MATCH(Data_orders!J$1,Data_products!$A$1:$G$1,0))</f>
        <v>L</v>
      </c>
      <c r="K186" s="4">
        <f>INDEX(Data_products!$A$1:$G$49, MATCH(Data_orders!$D186,Data_products!$A$1:$A$49,0), MATCH(Data_orders!K$1,Data_products!$A$1:$G$1,0))</f>
        <v>0.5</v>
      </c>
      <c r="L186">
        <f>INDEX(Data_products!$A$1:$G$49, MATCH(Data_orders!$D186,Data_products!$A$1:$A$49,0), MATCH(Data_orders!L$1,Data_products!$A$1:$G$1,0))</f>
        <v>7.77</v>
      </c>
      <c r="M186">
        <f t="shared" si="4"/>
        <v>31.08</v>
      </c>
      <c r="N186" t="str" cm="1">
        <f t="array" ref="N186">_xlfn.IFS(I186 = "Rob", "Robusta", I186 = "Exc", "Excelsa", I186 = "Ara", "Arabica", I186 = "Lib", "Liberica")</f>
        <v>Arabica</v>
      </c>
      <c r="O186" t="str">
        <f t="shared" si="5"/>
        <v>Light</v>
      </c>
      <c r="P186" t="str">
        <f>_xlfn.XLOOKUP(Table1[[#This Row],[Customer ID]],Data_customers!$A$2:$A$1001,Data_customers!$I$2:$I$1001,,0)</f>
        <v>No</v>
      </c>
    </row>
    <row r="187" spans="1:16" x14ac:dyDescent="0.2">
      <c r="A187" s="2" t="s">
        <v>1532</v>
      </c>
      <c r="B187" s="3">
        <v>43483</v>
      </c>
      <c r="C187" s="2" t="s">
        <v>1533</v>
      </c>
      <c r="D187" t="s">
        <v>6144</v>
      </c>
      <c r="E187" s="2">
        <v>5</v>
      </c>
      <c r="F187" s="2" t="str">
        <f>_xlfn.XLOOKUP(Data_orders!C187,Data_customers!$A$1:$A$1001,Data_customers!$B$1:$B$1001,,0)</f>
        <v>Angie Rizzetti</v>
      </c>
      <c r="G187" s="2" t="str">
        <f>IF(_xlfn.XLOOKUP(C187,Data_customers!$A$1:$A$1001,Data_customers!$C$1:$C$1001,,0)=0,"",_xlfn.XLOOKUP(C187,Data_customers!$A$1:$A$1001,Data_customers!$C$1:$C$1001,,0))</f>
        <v>arizzetti55@naver.com</v>
      </c>
      <c r="H187" s="2" t="str">
        <f>_xlfn.XLOOKUP(C187,Data_customers!$A$1:$A$1001,Data_customers!$G$1:$G$1001,"",0)</f>
        <v>United States</v>
      </c>
      <c r="I187" t="str">
        <f>INDEX(Data_products!$A$1:$G$49, MATCH(Data_orders!$D187,Data_products!$A$1:$A$49,0), MATCH(Data_orders!I$1,Data_products!$A$1:$G$1,0))</f>
        <v>Exc</v>
      </c>
      <c r="J187" t="str">
        <f>INDEX(Data_products!$A$1:$G$49, MATCH(Data_orders!$D187,Data_products!$A$1:$A$49,0), MATCH(Data_orders!J$1,Data_products!$A$1:$G$1,0))</f>
        <v>D</v>
      </c>
      <c r="K187" s="4">
        <f>INDEX(Data_products!$A$1:$G$49, MATCH(Data_orders!$D187,Data_products!$A$1:$A$49,0), MATCH(Data_orders!K$1,Data_products!$A$1:$G$1,0))</f>
        <v>0.5</v>
      </c>
      <c r="L187">
        <f>INDEX(Data_products!$A$1:$G$49, MATCH(Data_orders!$D187,Data_products!$A$1:$A$49,0), MATCH(Data_orders!L$1,Data_products!$A$1:$G$1,0))</f>
        <v>7.29</v>
      </c>
      <c r="M187">
        <f t="shared" si="4"/>
        <v>36.450000000000003</v>
      </c>
      <c r="N187" t="str" cm="1">
        <f t="array" ref="N187">_xlfn.IFS(I187 = "Rob", "Robusta", I187 = "Exc", "Excelsa", I187 = "Ara", "Arabica", I187 = "Lib", "Liberica")</f>
        <v>Excelsa</v>
      </c>
      <c r="O187" t="str">
        <f t="shared" si="5"/>
        <v>Dark</v>
      </c>
      <c r="P187" t="str">
        <f>_xlfn.XLOOKUP(Table1[[#This Row],[Customer ID]],Data_customers!$A$2:$A$1001,Data_customers!$I$2:$I$1001,,0)</f>
        <v>Yes</v>
      </c>
    </row>
    <row r="188" spans="1:16" x14ac:dyDescent="0.2">
      <c r="A188" s="2" t="s">
        <v>1538</v>
      </c>
      <c r="B188" s="3">
        <v>43684</v>
      </c>
      <c r="C188" s="2" t="s">
        <v>1539</v>
      </c>
      <c r="D188" t="s">
        <v>6151</v>
      </c>
      <c r="E188" s="2">
        <v>3</v>
      </c>
      <c r="F188" s="2" t="str">
        <f>_xlfn.XLOOKUP(Data_orders!C188,Data_customers!$A$1:$A$1001,Data_customers!$B$1:$B$1001,,0)</f>
        <v>Mord Meriet</v>
      </c>
      <c r="G188" s="2" t="str">
        <f>IF(_xlfn.XLOOKUP(C188,Data_customers!$A$1:$A$1001,Data_customers!$C$1:$C$1001,,0)=0,"",_xlfn.XLOOKUP(C188,Data_customers!$A$1:$A$1001,Data_customers!$C$1:$C$1001,,0))</f>
        <v>mmeriet56@noaa.gov</v>
      </c>
      <c r="H188" s="2" t="str">
        <f>_xlfn.XLOOKUP(C188,Data_customers!$A$1:$A$1001,Data_customers!$G$1:$G$1001,"",0)</f>
        <v>United States</v>
      </c>
      <c r="I188" t="str">
        <f>INDEX(Data_products!$A$1:$G$49, MATCH(Data_orders!$D188,Data_products!$A$1:$A$49,0), MATCH(Data_orders!I$1,Data_products!$A$1:$G$1,0))</f>
        <v>Rob</v>
      </c>
      <c r="J188" t="str">
        <f>INDEX(Data_products!$A$1:$G$49, MATCH(Data_orders!$D188,Data_products!$A$1:$A$49,0), MATCH(Data_orders!J$1,Data_products!$A$1:$G$1,0))</f>
        <v>M</v>
      </c>
      <c r="K188" s="4">
        <f>INDEX(Data_products!$A$1:$G$49, MATCH(Data_orders!$D188,Data_products!$A$1:$A$49,0), MATCH(Data_orders!K$1,Data_products!$A$1:$G$1,0))</f>
        <v>2.5</v>
      </c>
      <c r="L188">
        <f>INDEX(Data_products!$A$1:$G$49, MATCH(Data_orders!$D188,Data_products!$A$1:$A$49,0), MATCH(Data_orders!L$1,Data_products!$A$1:$G$1,0))</f>
        <v>22.884999999999998</v>
      </c>
      <c r="M188">
        <f t="shared" si="4"/>
        <v>68.655000000000001</v>
      </c>
      <c r="N188" t="str" cm="1">
        <f t="array" ref="N188">_xlfn.IFS(I188 = "Rob", "Robusta", I188 = "Exc", "Excelsa", I188 = "Ara", "Arabica", I188 = "Lib", "Liberica")</f>
        <v>Robusta</v>
      </c>
      <c r="O188" t="str">
        <f t="shared" si="5"/>
        <v>Medium</v>
      </c>
      <c r="P188" t="str">
        <f>_xlfn.XLOOKUP(Table1[[#This Row],[Customer ID]],Data_customers!$A$2:$A$1001,Data_customers!$I$2:$I$1001,,0)</f>
        <v>No</v>
      </c>
    </row>
    <row r="189" spans="1:16" x14ac:dyDescent="0.2">
      <c r="A189" s="2" t="s">
        <v>1544</v>
      </c>
      <c r="B189" s="3">
        <v>44633</v>
      </c>
      <c r="C189" s="2" t="s">
        <v>1545</v>
      </c>
      <c r="D189" t="s">
        <v>6160</v>
      </c>
      <c r="E189" s="2">
        <v>5</v>
      </c>
      <c r="F189" s="2" t="str">
        <f>_xlfn.XLOOKUP(Data_orders!C189,Data_customers!$A$1:$A$1001,Data_customers!$B$1:$B$1001,,0)</f>
        <v>Lawrence Pratt</v>
      </c>
      <c r="G189" s="2" t="str">
        <f>IF(_xlfn.XLOOKUP(C189,Data_customers!$A$1:$A$1001,Data_customers!$C$1:$C$1001,,0)=0,"",_xlfn.XLOOKUP(C189,Data_customers!$A$1:$A$1001,Data_customers!$C$1:$C$1001,,0))</f>
        <v>lpratt57@netvibes.com</v>
      </c>
      <c r="H189" s="2" t="str">
        <f>_xlfn.XLOOKUP(C189,Data_customers!$A$1:$A$1001,Data_customers!$G$1:$G$1001,"",0)</f>
        <v>United States</v>
      </c>
      <c r="I189" t="str">
        <f>INDEX(Data_products!$A$1:$G$49, MATCH(Data_orders!$D189,Data_products!$A$1:$A$49,0), MATCH(Data_orders!I$1,Data_products!$A$1:$G$1,0))</f>
        <v>Lib</v>
      </c>
      <c r="J189" t="str">
        <f>INDEX(Data_products!$A$1:$G$49, MATCH(Data_orders!$D189,Data_products!$A$1:$A$49,0), MATCH(Data_orders!J$1,Data_products!$A$1:$G$1,0))</f>
        <v>M</v>
      </c>
      <c r="K189" s="4">
        <f>INDEX(Data_products!$A$1:$G$49, MATCH(Data_orders!$D189,Data_products!$A$1:$A$49,0), MATCH(Data_orders!K$1,Data_products!$A$1:$G$1,0))</f>
        <v>0.5</v>
      </c>
      <c r="L189">
        <f>INDEX(Data_products!$A$1:$G$49, MATCH(Data_orders!$D189,Data_products!$A$1:$A$49,0), MATCH(Data_orders!L$1,Data_products!$A$1:$G$1,0))</f>
        <v>8.73</v>
      </c>
      <c r="M189">
        <f t="shared" si="4"/>
        <v>43.650000000000006</v>
      </c>
      <c r="N189" t="str" cm="1">
        <f t="array" ref="N189">_xlfn.IFS(I189 = "Rob", "Robusta", I189 = "Exc", "Excelsa", I189 = "Ara", "Arabica", I189 = "Lib", "Liberica")</f>
        <v>Liberica</v>
      </c>
      <c r="O189" t="str">
        <f t="shared" si="5"/>
        <v>Medium</v>
      </c>
      <c r="P189" t="str">
        <f>_xlfn.XLOOKUP(Table1[[#This Row],[Customer ID]],Data_customers!$A$2:$A$1001,Data_customers!$I$2:$I$1001,,0)</f>
        <v>Yes</v>
      </c>
    </row>
    <row r="190" spans="1:16" x14ac:dyDescent="0.2">
      <c r="A190" s="2" t="s">
        <v>1549</v>
      </c>
      <c r="B190" s="3">
        <v>44698</v>
      </c>
      <c r="C190" s="2" t="s">
        <v>1550</v>
      </c>
      <c r="D190" t="s">
        <v>6184</v>
      </c>
      <c r="E190" s="2">
        <v>1</v>
      </c>
      <c r="F190" s="2" t="str">
        <f>_xlfn.XLOOKUP(Data_orders!C190,Data_customers!$A$1:$A$1001,Data_customers!$B$1:$B$1001,,0)</f>
        <v>Astrix Kitchingham</v>
      </c>
      <c r="G190" s="2" t="str">
        <f>IF(_xlfn.XLOOKUP(C190,Data_customers!$A$1:$A$1001,Data_customers!$C$1:$C$1001,,0)=0,"",_xlfn.XLOOKUP(C190,Data_customers!$A$1:$A$1001,Data_customers!$C$1:$C$1001,,0))</f>
        <v>akitchingham58@com.com</v>
      </c>
      <c r="H190" s="2" t="str">
        <f>_xlfn.XLOOKUP(C190,Data_customers!$A$1:$A$1001,Data_customers!$G$1:$G$1001,"",0)</f>
        <v>United States</v>
      </c>
      <c r="I190" t="str">
        <f>INDEX(Data_products!$A$1:$G$49, MATCH(Data_orders!$D190,Data_products!$A$1:$A$49,0), MATCH(Data_orders!I$1,Data_products!$A$1:$G$1,0))</f>
        <v>Exc</v>
      </c>
      <c r="J190" t="str">
        <f>INDEX(Data_products!$A$1:$G$49, MATCH(Data_orders!$D190,Data_products!$A$1:$A$49,0), MATCH(Data_orders!J$1,Data_products!$A$1:$G$1,0))</f>
        <v>L</v>
      </c>
      <c r="K190" s="4">
        <f>INDEX(Data_products!$A$1:$G$49, MATCH(Data_orders!$D190,Data_products!$A$1:$A$49,0), MATCH(Data_orders!K$1,Data_products!$A$1:$G$1,0))</f>
        <v>0.2</v>
      </c>
      <c r="L190">
        <f>INDEX(Data_products!$A$1:$G$49, MATCH(Data_orders!$D190,Data_products!$A$1:$A$49,0), MATCH(Data_orders!L$1,Data_products!$A$1:$G$1,0))</f>
        <v>4.4550000000000001</v>
      </c>
      <c r="M190">
        <f t="shared" si="4"/>
        <v>4.4550000000000001</v>
      </c>
      <c r="N190" t="str" cm="1">
        <f t="array" ref="N190">_xlfn.IFS(I190 = "Rob", "Robusta", I190 = "Exc", "Excelsa", I190 = "Ara", "Arabica", I190 = "Lib", "Liberica")</f>
        <v>Excelsa</v>
      </c>
      <c r="O190" t="str">
        <f t="shared" si="5"/>
        <v>Light</v>
      </c>
      <c r="P190" t="str">
        <f>_xlfn.XLOOKUP(Table1[[#This Row],[Customer ID]],Data_customers!$A$2:$A$1001,Data_customers!$I$2:$I$1001,,0)</f>
        <v>Yes</v>
      </c>
    </row>
    <row r="191" spans="1:16" x14ac:dyDescent="0.2">
      <c r="A191" s="2" t="s">
        <v>1555</v>
      </c>
      <c r="B191" s="3">
        <v>43813</v>
      </c>
      <c r="C191" s="2" t="s">
        <v>1556</v>
      </c>
      <c r="D191" t="s">
        <v>6162</v>
      </c>
      <c r="E191" s="2">
        <v>3</v>
      </c>
      <c r="F191" s="2" t="str">
        <f>_xlfn.XLOOKUP(Data_orders!C191,Data_customers!$A$1:$A$1001,Data_customers!$B$1:$B$1001,,0)</f>
        <v>Burnard Bartholin</v>
      </c>
      <c r="G191" s="2" t="str">
        <f>IF(_xlfn.XLOOKUP(C191,Data_customers!$A$1:$A$1001,Data_customers!$C$1:$C$1001,,0)=0,"",_xlfn.XLOOKUP(C191,Data_customers!$A$1:$A$1001,Data_customers!$C$1:$C$1001,,0))</f>
        <v>bbartholin59@xinhuanet.com</v>
      </c>
      <c r="H191" s="2" t="str">
        <f>_xlfn.XLOOKUP(C191,Data_customers!$A$1:$A$1001,Data_customers!$G$1:$G$1001,"",0)</f>
        <v>United States</v>
      </c>
      <c r="I191" t="str">
        <f>INDEX(Data_products!$A$1:$G$49, MATCH(Data_orders!$D191,Data_products!$A$1:$A$49,0), MATCH(Data_orders!I$1,Data_products!$A$1:$G$1,0))</f>
        <v>Lib</v>
      </c>
      <c r="J191" t="str">
        <f>INDEX(Data_products!$A$1:$G$49, MATCH(Data_orders!$D191,Data_products!$A$1:$A$49,0), MATCH(Data_orders!J$1,Data_products!$A$1:$G$1,0))</f>
        <v>M</v>
      </c>
      <c r="K191" s="4">
        <f>INDEX(Data_products!$A$1:$G$49, MATCH(Data_orders!$D191,Data_products!$A$1:$A$49,0), MATCH(Data_orders!K$1,Data_products!$A$1:$G$1,0))</f>
        <v>1</v>
      </c>
      <c r="L191">
        <f>INDEX(Data_products!$A$1:$G$49, MATCH(Data_orders!$D191,Data_products!$A$1:$A$49,0), MATCH(Data_orders!L$1,Data_products!$A$1:$G$1,0))</f>
        <v>14.55</v>
      </c>
      <c r="M191">
        <f t="shared" si="4"/>
        <v>43.650000000000006</v>
      </c>
      <c r="N191" t="str" cm="1">
        <f t="array" ref="N191">_xlfn.IFS(I191 = "Rob", "Robusta", I191 = "Exc", "Excelsa", I191 = "Ara", "Arabica", I191 = "Lib", "Liberica")</f>
        <v>Liberica</v>
      </c>
      <c r="O191" t="str">
        <f t="shared" si="5"/>
        <v>Medium</v>
      </c>
      <c r="P191" t="str">
        <f>_xlfn.XLOOKUP(Table1[[#This Row],[Customer ID]],Data_customers!$A$2:$A$1001,Data_customers!$I$2:$I$1001,,0)</f>
        <v>Yes</v>
      </c>
    </row>
    <row r="192" spans="1:16" x14ac:dyDescent="0.2">
      <c r="A192" s="2" t="s">
        <v>1561</v>
      </c>
      <c r="B192" s="3">
        <v>43845</v>
      </c>
      <c r="C192" s="2" t="s">
        <v>1562</v>
      </c>
      <c r="D192" t="s">
        <v>6181</v>
      </c>
      <c r="E192" s="2">
        <v>1</v>
      </c>
      <c r="F192" s="2" t="str">
        <f>_xlfn.XLOOKUP(Data_orders!C192,Data_customers!$A$1:$A$1001,Data_customers!$B$1:$B$1001,,0)</f>
        <v>Madelene Prinn</v>
      </c>
      <c r="G192" s="2" t="str">
        <f>IF(_xlfn.XLOOKUP(C192,Data_customers!$A$1:$A$1001,Data_customers!$C$1:$C$1001,,0)=0,"",_xlfn.XLOOKUP(C192,Data_customers!$A$1:$A$1001,Data_customers!$C$1:$C$1001,,0))</f>
        <v>mprinn5a@usa.gov</v>
      </c>
      <c r="H192" s="2" t="str">
        <f>_xlfn.XLOOKUP(C192,Data_customers!$A$1:$A$1001,Data_customers!$G$1:$G$1001,"",0)</f>
        <v>United States</v>
      </c>
      <c r="I192" t="str">
        <f>INDEX(Data_products!$A$1:$G$49, MATCH(Data_orders!$D192,Data_products!$A$1:$A$49,0), MATCH(Data_orders!I$1,Data_products!$A$1:$G$1,0))</f>
        <v>Lib</v>
      </c>
      <c r="J192" t="str">
        <f>INDEX(Data_products!$A$1:$G$49, MATCH(Data_orders!$D192,Data_products!$A$1:$A$49,0), MATCH(Data_orders!J$1,Data_products!$A$1:$G$1,0))</f>
        <v>M</v>
      </c>
      <c r="K192" s="4">
        <f>INDEX(Data_products!$A$1:$G$49, MATCH(Data_orders!$D192,Data_products!$A$1:$A$49,0), MATCH(Data_orders!K$1,Data_products!$A$1:$G$1,0))</f>
        <v>2.5</v>
      </c>
      <c r="L192">
        <f>INDEX(Data_products!$A$1:$G$49, MATCH(Data_orders!$D192,Data_products!$A$1:$A$49,0), MATCH(Data_orders!L$1,Data_products!$A$1:$G$1,0))</f>
        <v>33.464999999999996</v>
      </c>
      <c r="M192">
        <f t="shared" si="4"/>
        <v>33.464999999999996</v>
      </c>
      <c r="N192" t="str" cm="1">
        <f t="array" ref="N192">_xlfn.IFS(I192 = "Rob", "Robusta", I192 = "Exc", "Excelsa", I192 = "Ara", "Arabica", I192 = "Lib", "Liberica")</f>
        <v>Liberica</v>
      </c>
      <c r="O192" t="str">
        <f t="shared" si="5"/>
        <v>Medium</v>
      </c>
      <c r="P192" t="str">
        <f>_xlfn.XLOOKUP(Table1[[#This Row],[Customer ID]],Data_customers!$A$2:$A$1001,Data_customers!$I$2:$I$1001,,0)</f>
        <v>Yes</v>
      </c>
    </row>
    <row r="193" spans="1:16" x14ac:dyDescent="0.2">
      <c r="A193" s="2" t="s">
        <v>1567</v>
      </c>
      <c r="B193" s="3">
        <v>43567</v>
      </c>
      <c r="C193" s="2" t="s">
        <v>1568</v>
      </c>
      <c r="D193" t="s">
        <v>6150</v>
      </c>
      <c r="E193" s="2">
        <v>5</v>
      </c>
      <c r="F193" s="2" t="str">
        <f>_xlfn.XLOOKUP(Data_orders!C193,Data_customers!$A$1:$A$1001,Data_customers!$B$1:$B$1001,,0)</f>
        <v>Alisun Baudino</v>
      </c>
      <c r="G193" s="2" t="str">
        <f>IF(_xlfn.XLOOKUP(C193,Data_customers!$A$1:$A$1001,Data_customers!$C$1:$C$1001,,0)=0,"",_xlfn.XLOOKUP(C193,Data_customers!$A$1:$A$1001,Data_customers!$C$1:$C$1001,,0))</f>
        <v>abaudino5b@netvibes.com</v>
      </c>
      <c r="H193" s="2" t="str">
        <f>_xlfn.XLOOKUP(C193,Data_customers!$A$1:$A$1001,Data_customers!$G$1:$G$1001,"",0)</f>
        <v>United States</v>
      </c>
      <c r="I193" t="str">
        <f>INDEX(Data_products!$A$1:$G$49, MATCH(Data_orders!$D193,Data_products!$A$1:$A$49,0), MATCH(Data_orders!I$1,Data_products!$A$1:$G$1,0))</f>
        <v>Lib</v>
      </c>
      <c r="J193" t="str">
        <f>INDEX(Data_products!$A$1:$G$49, MATCH(Data_orders!$D193,Data_products!$A$1:$A$49,0), MATCH(Data_orders!J$1,Data_products!$A$1:$G$1,0))</f>
        <v>D</v>
      </c>
      <c r="K193" s="4">
        <f>INDEX(Data_products!$A$1:$G$49, MATCH(Data_orders!$D193,Data_products!$A$1:$A$49,0), MATCH(Data_orders!K$1,Data_products!$A$1:$G$1,0))</f>
        <v>0.2</v>
      </c>
      <c r="L193">
        <f>INDEX(Data_products!$A$1:$G$49, MATCH(Data_orders!$D193,Data_products!$A$1:$A$49,0), MATCH(Data_orders!L$1,Data_products!$A$1:$G$1,0))</f>
        <v>3.8849999999999998</v>
      </c>
      <c r="M193">
        <f t="shared" si="4"/>
        <v>19.424999999999997</v>
      </c>
      <c r="N193" t="str" cm="1">
        <f t="array" ref="N193">_xlfn.IFS(I193 = "Rob", "Robusta", I193 = "Exc", "Excelsa", I193 = "Ara", "Arabica", I193 = "Lib", "Liberica")</f>
        <v>Liberica</v>
      </c>
      <c r="O193" t="str">
        <f t="shared" si="5"/>
        <v>Dark</v>
      </c>
      <c r="P193" t="str">
        <f>_xlfn.XLOOKUP(Table1[[#This Row],[Customer ID]],Data_customers!$A$2:$A$1001,Data_customers!$I$2:$I$1001,,0)</f>
        <v>Yes</v>
      </c>
    </row>
    <row r="194" spans="1:16" x14ac:dyDescent="0.2">
      <c r="A194" s="2" t="s">
        <v>1573</v>
      </c>
      <c r="B194" s="3">
        <v>43919</v>
      </c>
      <c r="C194" s="2" t="s">
        <v>1574</v>
      </c>
      <c r="D194" t="s">
        <v>6183</v>
      </c>
      <c r="E194" s="2">
        <v>6</v>
      </c>
      <c r="F194" s="2" t="str">
        <f>_xlfn.XLOOKUP(Data_orders!C194,Data_customers!$A$1:$A$1001,Data_customers!$B$1:$B$1001,,0)</f>
        <v>Philipa Petrushanko</v>
      </c>
      <c r="G194" s="2" t="str">
        <f>IF(_xlfn.XLOOKUP(C194,Data_customers!$A$1:$A$1001,Data_customers!$C$1:$C$1001,,0)=0,"",_xlfn.XLOOKUP(C194,Data_customers!$A$1:$A$1001,Data_customers!$C$1:$C$1001,,0))</f>
        <v>ppetrushanko5c@blinklist.com</v>
      </c>
      <c r="H194" s="2" t="str">
        <f>_xlfn.XLOOKUP(C194,Data_customers!$A$1:$A$1001,Data_customers!$G$1:$G$1001,"",0)</f>
        <v>Ireland</v>
      </c>
      <c r="I194" t="str">
        <f>INDEX(Data_products!$A$1:$G$49, MATCH(Data_orders!$D194,Data_products!$A$1:$A$49,0), MATCH(Data_orders!I$1,Data_products!$A$1:$G$1,0))</f>
        <v>Exc</v>
      </c>
      <c r="J194" t="str">
        <f>INDEX(Data_products!$A$1:$G$49, MATCH(Data_orders!$D194,Data_products!$A$1:$A$49,0), MATCH(Data_orders!J$1,Data_products!$A$1:$G$1,0))</f>
        <v>D</v>
      </c>
      <c r="K194" s="4">
        <f>INDEX(Data_products!$A$1:$G$49, MATCH(Data_orders!$D194,Data_products!$A$1:$A$49,0), MATCH(Data_orders!K$1,Data_products!$A$1:$G$1,0))</f>
        <v>1</v>
      </c>
      <c r="L194">
        <f>INDEX(Data_products!$A$1:$G$49, MATCH(Data_orders!$D194,Data_products!$A$1:$A$49,0), MATCH(Data_orders!L$1,Data_products!$A$1:$G$1,0))</f>
        <v>12.15</v>
      </c>
      <c r="M194">
        <f t="shared" si="4"/>
        <v>72.900000000000006</v>
      </c>
      <c r="N194" t="str" cm="1">
        <f t="array" ref="N194">_xlfn.IFS(I194 = "Rob", "Robusta", I194 = "Exc", "Excelsa", I194 = "Ara", "Arabica", I194 = "Lib", "Liberica")</f>
        <v>Excelsa</v>
      </c>
      <c r="O194" t="str">
        <f t="shared" si="5"/>
        <v>Dark</v>
      </c>
      <c r="P194" t="str">
        <f>_xlfn.XLOOKUP(Table1[[#This Row],[Customer ID]],Data_customers!$A$2:$A$1001,Data_customers!$I$2:$I$1001,,0)</f>
        <v>Yes</v>
      </c>
    </row>
    <row r="195" spans="1:16" x14ac:dyDescent="0.2">
      <c r="A195" s="2" t="s">
        <v>1579</v>
      </c>
      <c r="B195" s="3">
        <v>44644</v>
      </c>
      <c r="C195" s="2" t="s">
        <v>1580</v>
      </c>
      <c r="D195" t="s">
        <v>6171</v>
      </c>
      <c r="E195" s="2">
        <v>3</v>
      </c>
      <c r="F195" s="2" t="str">
        <f>_xlfn.XLOOKUP(Data_orders!C195,Data_customers!$A$1:$A$1001,Data_customers!$B$1:$B$1001,,0)</f>
        <v>Kimberli Mustchin</v>
      </c>
      <c r="G195" s="2" t="str">
        <f>IF(_xlfn.XLOOKUP(C195,Data_customers!$A$1:$A$1001,Data_customers!$C$1:$C$1001,,0)=0,"",_xlfn.XLOOKUP(C195,Data_customers!$A$1:$A$1001,Data_customers!$C$1:$C$1001,,0))</f>
        <v/>
      </c>
      <c r="H195" s="2" t="str">
        <f>_xlfn.XLOOKUP(C195,Data_customers!$A$1:$A$1001,Data_customers!$G$1:$G$1001,"",0)</f>
        <v>United States</v>
      </c>
      <c r="I195" t="str">
        <f>INDEX(Data_products!$A$1:$G$49, MATCH(Data_orders!$D195,Data_products!$A$1:$A$49,0), MATCH(Data_orders!I$1,Data_products!$A$1:$G$1,0))</f>
        <v>Exc</v>
      </c>
      <c r="J195" t="str">
        <f>INDEX(Data_products!$A$1:$G$49, MATCH(Data_orders!$D195,Data_products!$A$1:$A$49,0), MATCH(Data_orders!J$1,Data_products!$A$1:$G$1,0))</f>
        <v>L</v>
      </c>
      <c r="K195" s="4">
        <f>INDEX(Data_products!$A$1:$G$49, MATCH(Data_orders!$D195,Data_products!$A$1:$A$49,0), MATCH(Data_orders!K$1,Data_products!$A$1:$G$1,0))</f>
        <v>1</v>
      </c>
      <c r="L195">
        <f>INDEX(Data_products!$A$1:$G$49, MATCH(Data_orders!$D195,Data_products!$A$1:$A$49,0), MATCH(Data_orders!L$1,Data_products!$A$1:$G$1,0))</f>
        <v>14.85</v>
      </c>
      <c r="M195">
        <f t="shared" ref="M195:M258" si="6">L195*E195</f>
        <v>44.55</v>
      </c>
      <c r="N195" t="str" cm="1">
        <f t="array" ref="N195">_xlfn.IFS(I195 = "Rob", "Robusta", I195 = "Exc", "Excelsa", I195 = "Ara", "Arabica", I195 = "Lib", "Liberica")</f>
        <v>Excelsa</v>
      </c>
      <c r="O195" t="str">
        <f t="shared" ref="O195:O258" si="7">IF(J195 = "M", "Medium", IF(J195 =  "L", "Light", IF(J195 = "D", "Dark", "")))</f>
        <v>Light</v>
      </c>
      <c r="P195" t="str">
        <f>_xlfn.XLOOKUP(Table1[[#This Row],[Customer ID]],Data_customers!$A$2:$A$1001,Data_customers!$I$2:$I$1001,,0)</f>
        <v>No</v>
      </c>
    </row>
    <row r="196" spans="1:16" x14ac:dyDescent="0.2">
      <c r="A196" s="2" t="s">
        <v>1584</v>
      </c>
      <c r="B196" s="3">
        <v>44398</v>
      </c>
      <c r="C196" s="2" t="s">
        <v>1585</v>
      </c>
      <c r="D196" t="s">
        <v>6144</v>
      </c>
      <c r="E196" s="2">
        <v>5</v>
      </c>
      <c r="F196" s="2" t="str">
        <f>_xlfn.XLOOKUP(Data_orders!C196,Data_customers!$A$1:$A$1001,Data_customers!$B$1:$B$1001,,0)</f>
        <v>Emlynne Laird</v>
      </c>
      <c r="G196" s="2" t="str">
        <f>IF(_xlfn.XLOOKUP(C196,Data_customers!$A$1:$A$1001,Data_customers!$C$1:$C$1001,,0)=0,"",_xlfn.XLOOKUP(C196,Data_customers!$A$1:$A$1001,Data_customers!$C$1:$C$1001,,0))</f>
        <v>elaird5e@bing.com</v>
      </c>
      <c r="H196" s="2" t="str">
        <f>_xlfn.XLOOKUP(C196,Data_customers!$A$1:$A$1001,Data_customers!$G$1:$G$1001,"",0)</f>
        <v>United States</v>
      </c>
      <c r="I196" t="str">
        <f>INDEX(Data_products!$A$1:$G$49, MATCH(Data_orders!$D196,Data_products!$A$1:$A$49,0), MATCH(Data_orders!I$1,Data_products!$A$1:$G$1,0))</f>
        <v>Exc</v>
      </c>
      <c r="J196" t="str">
        <f>INDEX(Data_products!$A$1:$G$49, MATCH(Data_orders!$D196,Data_products!$A$1:$A$49,0), MATCH(Data_orders!J$1,Data_products!$A$1:$G$1,0))</f>
        <v>D</v>
      </c>
      <c r="K196" s="4">
        <f>INDEX(Data_products!$A$1:$G$49, MATCH(Data_orders!$D196,Data_products!$A$1:$A$49,0), MATCH(Data_orders!K$1,Data_products!$A$1:$G$1,0))</f>
        <v>0.5</v>
      </c>
      <c r="L196">
        <f>INDEX(Data_products!$A$1:$G$49, MATCH(Data_orders!$D196,Data_products!$A$1:$A$49,0), MATCH(Data_orders!L$1,Data_products!$A$1:$G$1,0))</f>
        <v>7.29</v>
      </c>
      <c r="M196">
        <f t="shared" si="6"/>
        <v>36.450000000000003</v>
      </c>
      <c r="N196" t="str" cm="1">
        <f t="array" ref="N196">_xlfn.IFS(I196 = "Rob", "Robusta", I196 = "Exc", "Excelsa", I196 = "Ara", "Arabica", I196 = "Lib", "Liberica")</f>
        <v>Excelsa</v>
      </c>
      <c r="O196" t="str">
        <f t="shared" si="7"/>
        <v>Dark</v>
      </c>
      <c r="P196" t="str">
        <f>_xlfn.XLOOKUP(Table1[[#This Row],[Customer ID]],Data_customers!$A$2:$A$1001,Data_customers!$I$2:$I$1001,,0)</f>
        <v>No</v>
      </c>
    </row>
    <row r="197" spans="1:16" x14ac:dyDescent="0.2">
      <c r="A197" s="2" t="s">
        <v>1590</v>
      </c>
      <c r="B197" s="3">
        <v>43683</v>
      </c>
      <c r="C197" s="2" t="s">
        <v>1591</v>
      </c>
      <c r="D197" t="s">
        <v>6140</v>
      </c>
      <c r="E197" s="2">
        <v>3</v>
      </c>
      <c r="F197" s="2" t="str">
        <f>_xlfn.XLOOKUP(Data_orders!C197,Data_customers!$A$1:$A$1001,Data_customers!$B$1:$B$1001,,0)</f>
        <v>Marlena Howsden</v>
      </c>
      <c r="G197" s="2" t="str">
        <f>IF(_xlfn.XLOOKUP(C197,Data_customers!$A$1:$A$1001,Data_customers!$C$1:$C$1001,,0)=0,"",_xlfn.XLOOKUP(C197,Data_customers!$A$1:$A$1001,Data_customers!$C$1:$C$1001,,0))</f>
        <v>mhowsden5f@infoseek.co.jp</v>
      </c>
      <c r="H197" s="2" t="str">
        <f>_xlfn.XLOOKUP(C197,Data_customers!$A$1:$A$1001,Data_customers!$G$1:$G$1001,"",0)</f>
        <v>United States</v>
      </c>
      <c r="I197" t="str">
        <f>INDEX(Data_products!$A$1:$G$49, MATCH(Data_orders!$D197,Data_products!$A$1:$A$49,0), MATCH(Data_orders!I$1,Data_products!$A$1:$G$1,0))</f>
        <v>Ara</v>
      </c>
      <c r="J197" t="str">
        <f>INDEX(Data_products!$A$1:$G$49, MATCH(Data_orders!$D197,Data_products!$A$1:$A$49,0), MATCH(Data_orders!J$1,Data_products!$A$1:$G$1,0))</f>
        <v>L</v>
      </c>
      <c r="K197" s="4">
        <f>INDEX(Data_products!$A$1:$G$49, MATCH(Data_orders!$D197,Data_products!$A$1:$A$49,0), MATCH(Data_orders!K$1,Data_products!$A$1:$G$1,0))</f>
        <v>1</v>
      </c>
      <c r="L197">
        <f>INDEX(Data_products!$A$1:$G$49, MATCH(Data_orders!$D197,Data_products!$A$1:$A$49,0), MATCH(Data_orders!L$1,Data_products!$A$1:$G$1,0))</f>
        <v>12.95</v>
      </c>
      <c r="M197">
        <f t="shared" si="6"/>
        <v>38.849999999999994</v>
      </c>
      <c r="N197" t="str" cm="1">
        <f t="array" ref="N197">_xlfn.IFS(I197 = "Rob", "Robusta", I197 = "Exc", "Excelsa", I197 = "Ara", "Arabica", I197 = "Lib", "Liberica")</f>
        <v>Arabica</v>
      </c>
      <c r="O197" t="str">
        <f t="shared" si="7"/>
        <v>Light</v>
      </c>
      <c r="P197" t="str">
        <f>_xlfn.XLOOKUP(Table1[[#This Row],[Customer ID]],Data_customers!$A$2:$A$1001,Data_customers!$I$2:$I$1001,,0)</f>
        <v>No</v>
      </c>
    </row>
    <row r="198" spans="1:16" x14ac:dyDescent="0.2">
      <c r="A198" s="2" t="s">
        <v>1596</v>
      </c>
      <c r="B198" s="3">
        <v>44339</v>
      </c>
      <c r="C198" s="2" t="s">
        <v>1597</v>
      </c>
      <c r="D198" t="s">
        <v>6176</v>
      </c>
      <c r="E198" s="2">
        <v>6</v>
      </c>
      <c r="F198" s="2" t="str">
        <f>_xlfn.XLOOKUP(Data_orders!C198,Data_customers!$A$1:$A$1001,Data_customers!$B$1:$B$1001,,0)</f>
        <v>Nealson Cuttler</v>
      </c>
      <c r="G198" s="2" t="str">
        <f>IF(_xlfn.XLOOKUP(C198,Data_customers!$A$1:$A$1001,Data_customers!$C$1:$C$1001,,0)=0,"",_xlfn.XLOOKUP(C198,Data_customers!$A$1:$A$1001,Data_customers!$C$1:$C$1001,,0))</f>
        <v>ncuttler5g@parallels.com</v>
      </c>
      <c r="H198" s="2" t="str">
        <f>_xlfn.XLOOKUP(C198,Data_customers!$A$1:$A$1001,Data_customers!$G$1:$G$1001,"",0)</f>
        <v>United States</v>
      </c>
      <c r="I198" t="str">
        <f>INDEX(Data_products!$A$1:$G$49, MATCH(Data_orders!$D198,Data_products!$A$1:$A$49,0), MATCH(Data_orders!I$1,Data_products!$A$1:$G$1,0))</f>
        <v>Exc</v>
      </c>
      <c r="J198" t="str">
        <f>INDEX(Data_products!$A$1:$G$49, MATCH(Data_orders!$D198,Data_products!$A$1:$A$49,0), MATCH(Data_orders!J$1,Data_products!$A$1:$G$1,0))</f>
        <v>L</v>
      </c>
      <c r="K198" s="4">
        <f>INDEX(Data_products!$A$1:$G$49, MATCH(Data_orders!$D198,Data_products!$A$1:$A$49,0), MATCH(Data_orders!K$1,Data_products!$A$1:$G$1,0))</f>
        <v>0.5</v>
      </c>
      <c r="L198">
        <f>INDEX(Data_products!$A$1:$G$49, MATCH(Data_orders!$D198,Data_products!$A$1:$A$49,0), MATCH(Data_orders!L$1,Data_products!$A$1:$G$1,0))</f>
        <v>8.91</v>
      </c>
      <c r="M198">
        <f t="shared" si="6"/>
        <v>53.46</v>
      </c>
      <c r="N198" t="str" cm="1">
        <f t="array" ref="N198">_xlfn.IFS(I198 = "Rob", "Robusta", I198 = "Exc", "Excelsa", I198 = "Ara", "Arabica", I198 = "Lib", "Liberica")</f>
        <v>Excelsa</v>
      </c>
      <c r="O198" t="str">
        <f t="shared" si="7"/>
        <v>Light</v>
      </c>
      <c r="P198" t="str">
        <f>_xlfn.XLOOKUP(Table1[[#This Row],[Customer ID]],Data_customers!$A$2:$A$1001,Data_customers!$I$2:$I$1001,,0)</f>
        <v>No</v>
      </c>
    </row>
    <row r="199" spans="1:16" x14ac:dyDescent="0.2">
      <c r="A199" s="2" t="s">
        <v>1596</v>
      </c>
      <c r="B199" s="3">
        <v>44339</v>
      </c>
      <c r="C199" s="2" t="s">
        <v>1597</v>
      </c>
      <c r="D199" t="s">
        <v>6165</v>
      </c>
      <c r="E199" s="2">
        <v>2</v>
      </c>
      <c r="F199" s="2" t="str">
        <f>_xlfn.XLOOKUP(Data_orders!C199,Data_customers!$A$1:$A$1001,Data_customers!$B$1:$B$1001,,0)</f>
        <v>Nealson Cuttler</v>
      </c>
      <c r="G199" s="2" t="str">
        <f>IF(_xlfn.XLOOKUP(C199,Data_customers!$A$1:$A$1001,Data_customers!$C$1:$C$1001,,0)=0,"",_xlfn.XLOOKUP(C199,Data_customers!$A$1:$A$1001,Data_customers!$C$1:$C$1001,,0))</f>
        <v>ncuttler5g@parallels.com</v>
      </c>
      <c r="H199" s="2" t="str">
        <f>_xlfn.XLOOKUP(C199,Data_customers!$A$1:$A$1001,Data_customers!$G$1:$G$1001,"",0)</f>
        <v>United States</v>
      </c>
      <c r="I199" t="str">
        <f>INDEX(Data_products!$A$1:$G$49, MATCH(Data_orders!$D199,Data_products!$A$1:$A$49,0), MATCH(Data_orders!I$1,Data_products!$A$1:$G$1,0))</f>
        <v>Lib</v>
      </c>
      <c r="J199" t="str">
        <f>INDEX(Data_products!$A$1:$G$49, MATCH(Data_orders!$D199,Data_products!$A$1:$A$49,0), MATCH(Data_orders!J$1,Data_products!$A$1:$G$1,0))</f>
        <v>D</v>
      </c>
      <c r="K199" s="4">
        <f>INDEX(Data_products!$A$1:$G$49, MATCH(Data_orders!$D199,Data_products!$A$1:$A$49,0), MATCH(Data_orders!K$1,Data_products!$A$1:$G$1,0))</f>
        <v>2.5</v>
      </c>
      <c r="L199">
        <f>INDEX(Data_products!$A$1:$G$49, MATCH(Data_orders!$D199,Data_products!$A$1:$A$49,0), MATCH(Data_orders!L$1,Data_products!$A$1:$G$1,0))</f>
        <v>29.784999999999997</v>
      </c>
      <c r="M199">
        <f t="shared" si="6"/>
        <v>59.569999999999993</v>
      </c>
      <c r="N199" t="str" cm="1">
        <f t="array" ref="N199">_xlfn.IFS(I199 = "Rob", "Robusta", I199 = "Exc", "Excelsa", I199 = "Ara", "Arabica", I199 = "Lib", "Liberica")</f>
        <v>Liberica</v>
      </c>
      <c r="O199" t="str">
        <f t="shared" si="7"/>
        <v>Dark</v>
      </c>
      <c r="P199" t="str">
        <f>_xlfn.XLOOKUP(Table1[[#This Row],[Customer ID]],Data_customers!$A$2:$A$1001,Data_customers!$I$2:$I$1001,,0)</f>
        <v>No</v>
      </c>
    </row>
    <row r="200" spans="1:16" x14ac:dyDescent="0.2">
      <c r="A200" s="2" t="s">
        <v>1596</v>
      </c>
      <c r="B200" s="3">
        <v>44339</v>
      </c>
      <c r="C200" s="2" t="s">
        <v>1597</v>
      </c>
      <c r="D200" t="s">
        <v>6165</v>
      </c>
      <c r="E200" s="2">
        <v>3</v>
      </c>
      <c r="F200" s="2" t="str">
        <f>_xlfn.XLOOKUP(Data_orders!C200,Data_customers!$A$1:$A$1001,Data_customers!$B$1:$B$1001,,0)</f>
        <v>Nealson Cuttler</v>
      </c>
      <c r="G200" s="2" t="str">
        <f>IF(_xlfn.XLOOKUP(C200,Data_customers!$A$1:$A$1001,Data_customers!$C$1:$C$1001,,0)=0,"",_xlfn.XLOOKUP(C200,Data_customers!$A$1:$A$1001,Data_customers!$C$1:$C$1001,,0))</f>
        <v>ncuttler5g@parallels.com</v>
      </c>
      <c r="H200" s="2" t="str">
        <f>_xlfn.XLOOKUP(C200,Data_customers!$A$1:$A$1001,Data_customers!$G$1:$G$1001,"",0)</f>
        <v>United States</v>
      </c>
      <c r="I200" t="str">
        <f>INDEX(Data_products!$A$1:$G$49, MATCH(Data_orders!$D200,Data_products!$A$1:$A$49,0), MATCH(Data_orders!I$1,Data_products!$A$1:$G$1,0))</f>
        <v>Lib</v>
      </c>
      <c r="J200" t="str">
        <f>INDEX(Data_products!$A$1:$G$49, MATCH(Data_orders!$D200,Data_products!$A$1:$A$49,0), MATCH(Data_orders!J$1,Data_products!$A$1:$G$1,0))</f>
        <v>D</v>
      </c>
      <c r="K200" s="4">
        <f>INDEX(Data_products!$A$1:$G$49, MATCH(Data_orders!$D200,Data_products!$A$1:$A$49,0), MATCH(Data_orders!K$1,Data_products!$A$1:$G$1,0))</f>
        <v>2.5</v>
      </c>
      <c r="L200">
        <f>INDEX(Data_products!$A$1:$G$49, MATCH(Data_orders!$D200,Data_products!$A$1:$A$49,0), MATCH(Data_orders!L$1,Data_products!$A$1:$G$1,0))</f>
        <v>29.784999999999997</v>
      </c>
      <c r="M200">
        <f t="shared" si="6"/>
        <v>89.35499999999999</v>
      </c>
      <c r="N200" t="str" cm="1">
        <f t="array" ref="N200">_xlfn.IFS(I200 = "Rob", "Robusta", I200 = "Exc", "Excelsa", I200 = "Ara", "Arabica", I200 = "Lib", "Liberica")</f>
        <v>Liberica</v>
      </c>
      <c r="O200" t="str">
        <f t="shared" si="7"/>
        <v>Dark</v>
      </c>
      <c r="P200" t="str">
        <f>_xlfn.XLOOKUP(Table1[[#This Row],[Customer ID]],Data_customers!$A$2:$A$1001,Data_customers!$I$2:$I$1001,,0)</f>
        <v>No</v>
      </c>
    </row>
    <row r="201" spans="1:16" x14ac:dyDescent="0.2">
      <c r="A201" s="2" t="s">
        <v>1596</v>
      </c>
      <c r="B201" s="3">
        <v>44339</v>
      </c>
      <c r="C201" s="2" t="s">
        <v>1597</v>
      </c>
      <c r="D201" t="s">
        <v>6161</v>
      </c>
      <c r="E201" s="2">
        <v>4</v>
      </c>
      <c r="F201" s="2" t="str">
        <f>_xlfn.XLOOKUP(Data_orders!C201,Data_customers!$A$1:$A$1001,Data_customers!$B$1:$B$1001,,0)</f>
        <v>Nealson Cuttler</v>
      </c>
      <c r="G201" s="2" t="str">
        <f>IF(_xlfn.XLOOKUP(C201,Data_customers!$A$1:$A$1001,Data_customers!$C$1:$C$1001,,0)=0,"",_xlfn.XLOOKUP(C201,Data_customers!$A$1:$A$1001,Data_customers!$C$1:$C$1001,,0))</f>
        <v>ncuttler5g@parallels.com</v>
      </c>
      <c r="H201" s="2" t="str">
        <f>_xlfn.XLOOKUP(C201,Data_customers!$A$1:$A$1001,Data_customers!$G$1:$G$1001,"",0)</f>
        <v>United States</v>
      </c>
      <c r="I201" t="str">
        <f>INDEX(Data_products!$A$1:$G$49, MATCH(Data_orders!$D201,Data_products!$A$1:$A$49,0), MATCH(Data_orders!I$1,Data_products!$A$1:$G$1,0))</f>
        <v>Lib</v>
      </c>
      <c r="J201" t="str">
        <f>INDEX(Data_products!$A$1:$G$49, MATCH(Data_orders!$D201,Data_products!$A$1:$A$49,0), MATCH(Data_orders!J$1,Data_products!$A$1:$G$1,0))</f>
        <v>L</v>
      </c>
      <c r="K201" s="4">
        <f>INDEX(Data_products!$A$1:$G$49, MATCH(Data_orders!$D201,Data_products!$A$1:$A$49,0), MATCH(Data_orders!K$1,Data_products!$A$1:$G$1,0))</f>
        <v>0.5</v>
      </c>
      <c r="L201">
        <f>INDEX(Data_products!$A$1:$G$49, MATCH(Data_orders!$D201,Data_products!$A$1:$A$49,0), MATCH(Data_orders!L$1,Data_products!$A$1:$G$1,0))</f>
        <v>9.51</v>
      </c>
      <c r="M201">
        <f t="shared" si="6"/>
        <v>38.04</v>
      </c>
      <c r="N201" t="str" cm="1">
        <f t="array" ref="N201">_xlfn.IFS(I201 = "Rob", "Robusta", I201 = "Exc", "Excelsa", I201 = "Ara", "Arabica", I201 = "Lib", "Liberica")</f>
        <v>Liberica</v>
      </c>
      <c r="O201" t="str">
        <f t="shared" si="7"/>
        <v>Light</v>
      </c>
      <c r="P201" t="str">
        <f>_xlfn.XLOOKUP(Table1[[#This Row],[Customer ID]],Data_customers!$A$2:$A$1001,Data_customers!$I$2:$I$1001,,0)</f>
        <v>No</v>
      </c>
    </row>
    <row r="202" spans="1:16" x14ac:dyDescent="0.2">
      <c r="A202" s="2" t="s">
        <v>1596</v>
      </c>
      <c r="B202" s="3">
        <v>44339</v>
      </c>
      <c r="C202" s="2" t="s">
        <v>1597</v>
      </c>
      <c r="D202" t="s">
        <v>6141</v>
      </c>
      <c r="E202" s="2">
        <v>3</v>
      </c>
      <c r="F202" s="2" t="str">
        <f>_xlfn.XLOOKUP(Data_orders!C202,Data_customers!$A$1:$A$1001,Data_customers!$B$1:$B$1001,,0)</f>
        <v>Nealson Cuttler</v>
      </c>
      <c r="G202" s="2" t="str">
        <f>IF(_xlfn.XLOOKUP(C202,Data_customers!$A$1:$A$1001,Data_customers!$C$1:$C$1001,,0)=0,"",_xlfn.XLOOKUP(C202,Data_customers!$A$1:$A$1001,Data_customers!$C$1:$C$1001,,0))</f>
        <v>ncuttler5g@parallels.com</v>
      </c>
      <c r="H202" s="2" t="str">
        <f>_xlfn.XLOOKUP(C202,Data_customers!$A$1:$A$1001,Data_customers!$G$1:$G$1001,"",0)</f>
        <v>United States</v>
      </c>
      <c r="I202" t="str">
        <f>INDEX(Data_products!$A$1:$G$49, MATCH(Data_orders!$D202,Data_products!$A$1:$A$49,0), MATCH(Data_orders!I$1,Data_products!$A$1:$G$1,0))</f>
        <v>Exc</v>
      </c>
      <c r="J202" t="str">
        <f>INDEX(Data_products!$A$1:$G$49, MATCH(Data_orders!$D202,Data_products!$A$1:$A$49,0), MATCH(Data_orders!J$1,Data_products!$A$1:$G$1,0))</f>
        <v>M</v>
      </c>
      <c r="K202" s="4">
        <f>INDEX(Data_products!$A$1:$G$49, MATCH(Data_orders!$D202,Data_products!$A$1:$A$49,0), MATCH(Data_orders!K$1,Data_products!$A$1:$G$1,0))</f>
        <v>1</v>
      </c>
      <c r="L202">
        <f>INDEX(Data_products!$A$1:$G$49, MATCH(Data_orders!$D202,Data_products!$A$1:$A$49,0), MATCH(Data_orders!L$1,Data_products!$A$1:$G$1,0))</f>
        <v>13.75</v>
      </c>
      <c r="M202">
        <f t="shared" si="6"/>
        <v>41.25</v>
      </c>
      <c r="N202" t="str" cm="1">
        <f t="array" ref="N202">_xlfn.IFS(I202 = "Rob", "Robusta", I202 = "Exc", "Excelsa", I202 = "Ara", "Arabica", I202 = "Lib", "Liberica")</f>
        <v>Excelsa</v>
      </c>
      <c r="O202" t="str">
        <f t="shared" si="7"/>
        <v>Medium</v>
      </c>
      <c r="P202" t="str">
        <f>_xlfn.XLOOKUP(Table1[[#This Row],[Customer ID]],Data_customers!$A$2:$A$1001,Data_customers!$I$2:$I$1001,,0)</f>
        <v>No</v>
      </c>
    </row>
    <row r="203" spans="1:16" x14ac:dyDescent="0.2">
      <c r="A203" s="2" t="s">
        <v>1621</v>
      </c>
      <c r="B203" s="3">
        <v>44294</v>
      </c>
      <c r="C203" s="2" t="s">
        <v>1622</v>
      </c>
      <c r="D203" t="s">
        <v>6161</v>
      </c>
      <c r="E203" s="2">
        <v>6</v>
      </c>
      <c r="F203" s="2" t="str">
        <f>_xlfn.XLOOKUP(Data_orders!C203,Data_customers!$A$1:$A$1001,Data_customers!$B$1:$B$1001,,0)</f>
        <v>Adriana Lazarus</v>
      </c>
      <c r="G203" s="2" t="str">
        <f>IF(_xlfn.XLOOKUP(C203,Data_customers!$A$1:$A$1001,Data_customers!$C$1:$C$1001,,0)=0,"",_xlfn.XLOOKUP(C203,Data_customers!$A$1:$A$1001,Data_customers!$C$1:$C$1001,,0))</f>
        <v/>
      </c>
      <c r="H203" s="2" t="str">
        <f>_xlfn.XLOOKUP(C203,Data_customers!$A$1:$A$1001,Data_customers!$G$1:$G$1001,"",0)</f>
        <v>United States</v>
      </c>
      <c r="I203" t="str">
        <f>INDEX(Data_products!$A$1:$G$49, MATCH(Data_orders!$D203,Data_products!$A$1:$A$49,0), MATCH(Data_orders!I$1,Data_products!$A$1:$G$1,0))</f>
        <v>Lib</v>
      </c>
      <c r="J203" t="str">
        <f>INDEX(Data_products!$A$1:$G$49, MATCH(Data_orders!$D203,Data_products!$A$1:$A$49,0), MATCH(Data_orders!J$1,Data_products!$A$1:$G$1,0))</f>
        <v>L</v>
      </c>
      <c r="K203" s="4">
        <f>INDEX(Data_products!$A$1:$G$49, MATCH(Data_orders!$D203,Data_products!$A$1:$A$49,0), MATCH(Data_orders!K$1,Data_products!$A$1:$G$1,0))</f>
        <v>0.5</v>
      </c>
      <c r="L203">
        <f>INDEX(Data_products!$A$1:$G$49, MATCH(Data_orders!$D203,Data_products!$A$1:$A$49,0), MATCH(Data_orders!L$1,Data_products!$A$1:$G$1,0))</f>
        <v>9.51</v>
      </c>
      <c r="M203">
        <f t="shared" si="6"/>
        <v>57.06</v>
      </c>
      <c r="N203" t="str" cm="1">
        <f t="array" ref="N203">_xlfn.IFS(I203 = "Rob", "Robusta", I203 = "Exc", "Excelsa", I203 = "Ara", "Arabica", I203 = "Lib", "Liberica")</f>
        <v>Liberica</v>
      </c>
      <c r="O203" t="str">
        <f t="shared" si="7"/>
        <v>Light</v>
      </c>
      <c r="P203" t="str">
        <f>_xlfn.XLOOKUP(Table1[[#This Row],[Customer ID]],Data_customers!$A$2:$A$1001,Data_customers!$I$2:$I$1001,,0)</f>
        <v>No</v>
      </c>
    </row>
    <row r="204" spans="1:16" x14ac:dyDescent="0.2">
      <c r="A204" s="2" t="s">
        <v>1626</v>
      </c>
      <c r="B204" s="3">
        <v>44486</v>
      </c>
      <c r="C204" s="2" t="s">
        <v>1627</v>
      </c>
      <c r="D204" t="s">
        <v>6165</v>
      </c>
      <c r="E204" s="2">
        <v>6</v>
      </c>
      <c r="F204" s="2" t="str">
        <f>_xlfn.XLOOKUP(Data_orders!C204,Data_customers!$A$1:$A$1001,Data_customers!$B$1:$B$1001,,0)</f>
        <v>Tallie felip</v>
      </c>
      <c r="G204" s="2" t="str">
        <f>IF(_xlfn.XLOOKUP(C204,Data_customers!$A$1:$A$1001,Data_customers!$C$1:$C$1001,,0)=0,"",_xlfn.XLOOKUP(C204,Data_customers!$A$1:$A$1001,Data_customers!$C$1:$C$1001,,0))</f>
        <v>tfelip5m@typepad.com</v>
      </c>
      <c r="H204" s="2" t="str">
        <f>_xlfn.XLOOKUP(C204,Data_customers!$A$1:$A$1001,Data_customers!$G$1:$G$1001,"",0)</f>
        <v>United States</v>
      </c>
      <c r="I204" t="str">
        <f>INDEX(Data_products!$A$1:$G$49, MATCH(Data_orders!$D204,Data_products!$A$1:$A$49,0), MATCH(Data_orders!I$1,Data_products!$A$1:$G$1,0))</f>
        <v>Lib</v>
      </c>
      <c r="J204" t="str">
        <f>INDEX(Data_products!$A$1:$G$49, MATCH(Data_orders!$D204,Data_products!$A$1:$A$49,0), MATCH(Data_orders!J$1,Data_products!$A$1:$G$1,0))</f>
        <v>D</v>
      </c>
      <c r="K204" s="4">
        <f>INDEX(Data_products!$A$1:$G$49, MATCH(Data_orders!$D204,Data_products!$A$1:$A$49,0), MATCH(Data_orders!K$1,Data_products!$A$1:$G$1,0))</f>
        <v>2.5</v>
      </c>
      <c r="L204">
        <f>INDEX(Data_products!$A$1:$G$49, MATCH(Data_orders!$D204,Data_products!$A$1:$A$49,0), MATCH(Data_orders!L$1,Data_products!$A$1:$G$1,0))</f>
        <v>29.784999999999997</v>
      </c>
      <c r="M204">
        <f t="shared" si="6"/>
        <v>178.70999999999998</v>
      </c>
      <c r="N204" t="str" cm="1">
        <f t="array" ref="N204">_xlfn.IFS(I204 = "Rob", "Robusta", I204 = "Exc", "Excelsa", I204 = "Ara", "Arabica", I204 = "Lib", "Liberica")</f>
        <v>Liberica</v>
      </c>
      <c r="O204" t="str">
        <f t="shared" si="7"/>
        <v>Dark</v>
      </c>
      <c r="P204" t="str">
        <f>_xlfn.XLOOKUP(Table1[[#This Row],[Customer ID]],Data_customers!$A$2:$A$1001,Data_customers!$I$2:$I$1001,,0)</f>
        <v>Yes</v>
      </c>
    </row>
    <row r="205" spans="1:16" x14ac:dyDescent="0.2">
      <c r="A205" s="2" t="s">
        <v>1632</v>
      </c>
      <c r="B205" s="3">
        <v>44608</v>
      </c>
      <c r="C205" s="2" t="s">
        <v>1633</v>
      </c>
      <c r="D205" t="s">
        <v>6145</v>
      </c>
      <c r="E205" s="2">
        <v>1</v>
      </c>
      <c r="F205" s="2" t="str">
        <f>_xlfn.XLOOKUP(Data_orders!C205,Data_customers!$A$1:$A$1001,Data_customers!$B$1:$B$1001,,0)</f>
        <v>Vanna Le - Count</v>
      </c>
      <c r="G205" s="2" t="str">
        <f>IF(_xlfn.XLOOKUP(C205,Data_customers!$A$1:$A$1001,Data_customers!$C$1:$C$1001,,0)=0,"",_xlfn.XLOOKUP(C205,Data_customers!$A$1:$A$1001,Data_customers!$C$1:$C$1001,,0))</f>
        <v>vle5n@disqus.com</v>
      </c>
      <c r="H205" s="2" t="str">
        <f>_xlfn.XLOOKUP(C205,Data_customers!$A$1:$A$1001,Data_customers!$G$1:$G$1001,"",0)</f>
        <v>United States</v>
      </c>
      <c r="I205" t="str">
        <f>INDEX(Data_products!$A$1:$G$49, MATCH(Data_orders!$D205,Data_products!$A$1:$A$49,0), MATCH(Data_orders!I$1,Data_products!$A$1:$G$1,0))</f>
        <v>Lib</v>
      </c>
      <c r="J205" t="str">
        <f>INDEX(Data_products!$A$1:$G$49, MATCH(Data_orders!$D205,Data_products!$A$1:$A$49,0), MATCH(Data_orders!J$1,Data_products!$A$1:$G$1,0))</f>
        <v>L</v>
      </c>
      <c r="K205" s="4">
        <f>INDEX(Data_products!$A$1:$G$49, MATCH(Data_orders!$D205,Data_products!$A$1:$A$49,0), MATCH(Data_orders!K$1,Data_products!$A$1:$G$1,0))</f>
        <v>0.2</v>
      </c>
      <c r="L205">
        <f>INDEX(Data_products!$A$1:$G$49, MATCH(Data_orders!$D205,Data_products!$A$1:$A$49,0), MATCH(Data_orders!L$1,Data_products!$A$1:$G$1,0))</f>
        <v>4.7549999999999999</v>
      </c>
      <c r="M205">
        <f t="shared" si="6"/>
        <v>4.7549999999999999</v>
      </c>
      <c r="N205" t="str" cm="1">
        <f t="array" ref="N205">_xlfn.IFS(I205 = "Rob", "Robusta", I205 = "Exc", "Excelsa", I205 = "Ara", "Arabica", I205 = "Lib", "Liberica")</f>
        <v>Liberica</v>
      </c>
      <c r="O205" t="str">
        <f t="shared" si="7"/>
        <v>Light</v>
      </c>
      <c r="P205" t="str">
        <f>_xlfn.XLOOKUP(Table1[[#This Row],[Customer ID]],Data_customers!$A$2:$A$1001,Data_customers!$I$2:$I$1001,,0)</f>
        <v>No</v>
      </c>
    </row>
    <row r="206" spans="1:16" x14ac:dyDescent="0.2">
      <c r="A206" s="2" t="s">
        <v>1638</v>
      </c>
      <c r="B206" s="3">
        <v>44027</v>
      </c>
      <c r="C206" s="2" t="s">
        <v>1639</v>
      </c>
      <c r="D206" t="s">
        <v>6141</v>
      </c>
      <c r="E206" s="2">
        <v>6</v>
      </c>
      <c r="F206" s="2" t="str">
        <f>_xlfn.XLOOKUP(Data_orders!C206,Data_customers!$A$1:$A$1001,Data_customers!$B$1:$B$1001,,0)</f>
        <v>Sarette Ducarel</v>
      </c>
      <c r="G206" s="2" t="str">
        <f>IF(_xlfn.XLOOKUP(C206,Data_customers!$A$1:$A$1001,Data_customers!$C$1:$C$1001,,0)=0,"",_xlfn.XLOOKUP(C206,Data_customers!$A$1:$A$1001,Data_customers!$C$1:$C$1001,,0))</f>
        <v/>
      </c>
      <c r="H206" s="2" t="str">
        <f>_xlfn.XLOOKUP(C206,Data_customers!$A$1:$A$1001,Data_customers!$G$1:$G$1001,"",0)</f>
        <v>United States</v>
      </c>
      <c r="I206" t="str">
        <f>INDEX(Data_products!$A$1:$G$49, MATCH(Data_orders!$D206,Data_products!$A$1:$A$49,0), MATCH(Data_orders!I$1,Data_products!$A$1:$G$1,0))</f>
        <v>Exc</v>
      </c>
      <c r="J206" t="str">
        <f>INDEX(Data_products!$A$1:$G$49, MATCH(Data_orders!$D206,Data_products!$A$1:$A$49,0), MATCH(Data_orders!J$1,Data_products!$A$1:$G$1,0))</f>
        <v>M</v>
      </c>
      <c r="K206" s="4">
        <f>INDEX(Data_products!$A$1:$G$49, MATCH(Data_orders!$D206,Data_products!$A$1:$A$49,0), MATCH(Data_orders!K$1,Data_products!$A$1:$G$1,0))</f>
        <v>1</v>
      </c>
      <c r="L206">
        <f>INDEX(Data_products!$A$1:$G$49, MATCH(Data_orders!$D206,Data_products!$A$1:$A$49,0), MATCH(Data_orders!L$1,Data_products!$A$1:$G$1,0))</f>
        <v>13.75</v>
      </c>
      <c r="M206">
        <f t="shared" si="6"/>
        <v>82.5</v>
      </c>
      <c r="N206" t="str" cm="1">
        <f t="array" ref="N206">_xlfn.IFS(I206 = "Rob", "Robusta", I206 = "Exc", "Excelsa", I206 = "Ara", "Arabica", I206 = "Lib", "Liberica")</f>
        <v>Excelsa</v>
      </c>
      <c r="O206" t="str">
        <f t="shared" si="7"/>
        <v>Medium</v>
      </c>
      <c r="P206" t="str">
        <f>_xlfn.XLOOKUP(Table1[[#This Row],[Customer ID]],Data_customers!$A$2:$A$1001,Data_customers!$I$2:$I$1001,,0)</f>
        <v>No</v>
      </c>
    </row>
    <row r="207" spans="1:16" x14ac:dyDescent="0.2">
      <c r="A207" s="2" t="s">
        <v>1643</v>
      </c>
      <c r="B207" s="3">
        <v>43883</v>
      </c>
      <c r="C207" s="2" t="s">
        <v>1644</v>
      </c>
      <c r="D207" t="s">
        <v>6163</v>
      </c>
      <c r="E207" s="2">
        <v>3</v>
      </c>
      <c r="F207" s="2" t="str">
        <f>_xlfn.XLOOKUP(Data_orders!C207,Data_customers!$A$1:$A$1001,Data_customers!$B$1:$B$1001,,0)</f>
        <v>Kendra Glison</v>
      </c>
      <c r="G207" s="2" t="str">
        <f>IF(_xlfn.XLOOKUP(C207,Data_customers!$A$1:$A$1001,Data_customers!$C$1:$C$1001,,0)=0,"",_xlfn.XLOOKUP(C207,Data_customers!$A$1:$A$1001,Data_customers!$C$1:$C$1001,,0))</f>
        <v/>
      </c>
      <c r="H207" s="2" t="str">
        <f>_xlfn.XLOOKUP(C207,Data_customers!$A$1:$A$1001,Data_customers!$G$1:$G$1001,"",0)</f>
        <v>United States</v>
      </c>
      <c r="I207" t="str">
        <f>INDEX(Data_products!$A$1:$G$49, MATCH(Data_orders!$D207,Data_products!$A$1:$A$49,0), MATCH(Data_orders!I$1,Data_products!$A$1:$G$1,0))</f>
        <v>Rob</v>
      </c>
      <c r="J207" t="str">
        <f>INDEX(Data_products!$A$1:$G$49, MATCH(Data_orders!$D207,Data_products!$A$1:$A$49,0), MATCH(Data_orders!J$1,Data_products!$A$1:$G$1,0))</f>
        <v>D</v>
      </c>
      <c r="K207" s="4">
        <f>INDEX(Data_products!$A$1:$G$49, MATCH(Data_orders!$D207,Data_products!$A$1:$A$49,0), MATCH(Data_orders!K$1,Data_products!$A$1:$G$1,0))</f>
        <v>0.2</v>
      </c>
      <c r="L207">
        <f>INDEX(Data_products!$A$1:$G$49, MATCH(Data_orders!$D207,Data_products!$A$1:$A$49,0), MATCH(Data_orders!L$1,Data_products!$A$1:$G$1,0))</f>
        <v>2.6849999999999996</v>
      </c>
      <c r="M207">
        <f t="shared" si="6"/>
        <v>8.0549999999999997</v>
      </c>
      <c r="N207" t="str" cm="1">
        <f t="array" ref="N207">_xlfn.IFS(I207 = "Rob", "Robusta", I207 = "Exc", "Excelsa", I207 = "Ara", "Arabica", I207 = "Lib", "Liberica")</f>
        <v>Robusta</v>
      </c>
      <c r="O207" t="str">
        <f t="shared" si="7"/>
        <v>Dark</v>
      </c>
      <c r="P207" t="str">
        <f>_xlfn.XLOOKUP(Table1[[#This Row],[Customer ID]],Data_customers!$A$2:$A$1001,Data_customers!$I$2:$I$1001,,0)</f>
        <v>Yes</v>
      </c>
    </row>
    <row r="208" spans="1:16" x14ac:dyDescent="0.2">
      <c r="A208" s="2" t="s">
        <v>1648</v>
      </c>
      <c r="B208" s="3">
        <v>44211</v>
      </c>
      <c r="C208" s="2" t="s">
        <v>1649</v>
      </c>
      <c r="D208" t="s">
        <v>6155</v>
      </c>
      <c r="E208" s="2">
        <v>2</v>
      </c>
      <c r="F208" s="2" t="str">
        <f>_xlfn.XLOOKUP(Data_orders!C208,Data_customers!$A$1:$A$1001,Data_customers!$B$1:$B$1001,,0)</f>
        <v>Nertie Poolman</v>
      </c>
      <c r="G208" s="2" t="str">
        <f>IF(_xlfn.XLOOKUP(C208,Data_customers!$A$1:$A$1001,Data_customers!$C$1:$C$1001,,0)=0,"",_xlfn.XLOOKUP(C208,Data_customers!$A$1:$A$1001,Data_customers!$C$1:$C$1001,,0))</f>
        <v>npoolman5q@howstuffworks.com</v>
      </c>
      <c r="H208" s="2" t="str">
        <f>_xlfn.XLOOKUP(C208,Data_customers!$A$1:$A$1001,Data_customers!$G$1:$G$1001,"",0)</f>
        <v>United States</v>
      </c>
      <c r="I208" t="str">
        <f>INDEX(Data_products!$A$1:$G$49, MATCH(Data_orders!$D208,Data_products!$A$1:$A$49,0), MATCH(Data_orders!I$1,Data_products!$A$1:$G$1,0))</f>
        <v>Ara</v>
      </c>
      <c r="J208" t="str">
        <f>INDEX(Data_products!$A$1:$G$49, MATCH(Data_orders!$D208,Data_products!$A$1:$A$49,0), MATCH(Data_orders!J$1,Data_products!$A$1:$G$1,0))</f>
        <v>M</v>
      </c>
      <c r="K208" s="4">
        <f>INDEX(Data_products!$A$1:$G$49, MATCH(Data_orders!$D208,Data_products!$A$1:$A$49,0), MATCH(Data_orders!K$1,Data_products!$A$1:$G$1,0))</f>
        <v>1</v>
      </c>
      <c r="L208">
        <f>INDEX(Data_products!$A$1:$G$49, MATCH(Data_orders!$D208,Data_products!$A$1:$A$49,0), MATCH(Data_orders!L$1,Data_products!$A$1:$G$1,0))</f>
        <v>11.25</v>
      </c>
      <c r="M208">
        <f t="shared" si="6"/>
        <v>22.5</v>
      </c>
      <c r="N208" t="str" cm="1">
        <f t="array" ref="N208">_xlfn.IFS(I208 = "Rob", "Robusta", I208 = "Exc", "Excelsa", I208 = "Ara", "Arabica", I208 = "Lib", "Liberica")</f>
        <v>Arabica</v>
      </c>
      <c r="O208" t="str">
        <f t="shared" si="7"/>
        <v>Medium</v>
      </c>
      <c r="P208" t="str">
        <f>_xlfn.XLOOKUP(Table1[[#This Row],[Customer ID]],Data_customers!$A$2:$A$1001,Data_customers!$I$2:$I$1001,,0)</f>
        <v>No</v>
      </c>
    </row>
    <row r="209" spans="1:16" x14ac:dyDescent="0.2">
      <c r="A209" s="2" t="s">
        <v>1653</v>
      </c>
      <c r="B209" s="3">
        <v>44207</v>
      </c>
      <c r="C209" s="2" t="s">
        <v>1654</v>
      </c>
      <c r="D209" t="s">
        <v>6157</v>
      </c>
      <c r="E209" s="2">
        <v>6</v>
      </c>
      <c r="F209" s="2" t="str">
        <f>_xlfn.XLOOKUP(Data_orders!C209,Data_customers!$A$1:$A$1001,Data_customers!$B$1:$B$1001,,0)</f>
        <v>Orbadiah Duny</v>
      </c>
      <c r="G209" s="2" t="str">
        <f>IF(_xlfn.XLOOKUP(C209,Data_customers!$A$1:$A$1001,Data_customers!$C$1:$C$1001,,0)=0,"",_xlfn.XLOOKUP(C209,Data_customers!$A$1:$A$1001,Data_customers!$C$1:$C$1001,,0))</f>
        <v>oduny5r@constantcontact.com</v>
      </c>
      <c r="H209" s="2" t="str">
        <f>_xlfn.XLOOKUP(C209,Data_customers!$A$1:$A$1001,Data_customers!$G$1:$G$1001,"",0)</f>
        <v>United States</v>
      </c>
      <c r="I209" t="str">
        <f>INDEX(Data_products!$A$1:$G$49, MATCH(Data_orders!$D209,Data_products!$A$1:$A$49,0), MATCH(Data_orders!I$1,Data_products!$A$1:$G$1,0))</f>
        <v>Ara</v>
      </c>
      <c r="J209" t="str">
        <f>INDEX(Data_products!$A$1:$G$49, MATCH(Data_orders!$D209,Data_products!$A$1:$A$49,0), MATCH(Data_orders!J$1,Data_products!$A$1:$G$1,0))</f>
        <v>M</v>
      </c>
      <c r="K209" s="4">
        <f>INDEX(Data_products!$A$1:$G$49, MATCH(Data_orders!$D209,Data_products!$A$1:$A$49,0), MATCH(Data_orders!K$1,Data_products!$A$1:$G$1,0))</f>
        <v>0.5</v>
      </c>
      <c r="L209">
        <f>INDEX(Data_products!$A$1:$G$49, MATCH(Data_orders!$D209,Data_products!$A$1:$A$49,0), MATCH(Data_orders!L$1,Data_products!$A$1:$G$1,0))</f>
        <v>6.75</v>
      </c>
      <c r="M209">
        <f t="shared" si="6"/>
        <v>40.5</v>
      </c>
      <c r="N209" t="str" cm="1">
        <f t="array" ref="N209">_xlfn.IFS(I209 = "Rob", "Robusta", I209 = "Exc", "Excelsa", I209 = "Ara", "Arabica", I209 = "Lib", "Liberica")</f>
        <v>Arabica</v>
      </c>
      <c r="O209" t="str">
        <f t="shared" si="7"/>
        <v>Medium</v>
      </c>
      <c r="P209" t="str">
        <f>_xlfn.XLOOKUP(Table1[[#This Row],[Customer ID]],Data_customers!$A$2:$A$1001,Data_customers!$I$2:$I$1001,,0)</f>
        <v>Yes</v>
      </c>
    </row>
    <row r="210" spans="1:16" x14ac:dyDescent="0.2">
      <c r="A210" s="2" t="s">
        <v>1659</v>
      </c>
      <c r="B210" s="3">
        <v>44659</v>
      </c>
      <c r="C210" s="2" t="s">
        <v>1660</v>
      </c>
      <c r="D210" t="s">
        <v>6144</v>
      </c>
      <c r="E210" s="2">
        <v>4</v>
      </c>
      <c r="F210" s="2" t="str">
        <f>_xlfn.XLOOKUP(Data_orders!C210,Data_customers!$A$1:$A$1001,Data_customers!$B$1:$B$1001,,0)</f>
        <v>Constance Halfhide</v>
      </c>
      <c r="G210" s="2" t="str">
        <f>IF(_xlfn.XLOOKUP(C210,Data_customers!$A$1:$A$1001,Data_customers!$C$1:$C$1001,,0)=0,"",_xlfn.XLOOKUP(C210,Data_customers!$A$1:$A$1001,Data_customers!$C$1:$C$1001,,0))</f>
        <v>chalfhide5s@google.ru</v>
      </c>
      <c r="H210" s="2" t="str">
        <f>_xlfn.XLOOKUP(C210,Data_customers!$A$1:$A$1001,Data_customers!$G$1:$G$1001,"",0)</f>
        <v>Ireland</v>
      </c>
      <c r="I210" t="str">
        <f>INDEX(Data_products!$A$1:$G$49, MATCH(Data_orders!$D210,Data_products!$A$1:$A$49,0), MATCH(Data_orders!I$1,Data_products!$A$1:$G$1,0))</f>
        <v>Exc</v>
      </c>
      <c r="J210" t="str">
        <f>INDEX(Data_products!$A$1:$G$49, MATCH(Data_orders!$D210,Data_products!$A$1:$A$49,0), MATCH(Data_orders!J$1,Data_products!$A$1:$G$1,0))</f>
        <v>D</v>
      </c>
      <c r="K210" s="4">
        <f>INDEX(Data_products!$A$1:$G$49, MATCH(Data_orders!$D210,Data_products!$A$1:$A$49,0), MATCH(Data_orders!K$1,Data_products!$A$1:$G$1,0))</f>
        <v>0.5</v>
      </c>
      <c r="L210">
        <f>INDEX(Data_products!$A$1:$G$49, MATCH(Data_orders!$D210,Data_products!$A$1:$A$49,0), MATCH(Data_orders!L$1,Data_products!$A$1:$G$1,0))</f>
        <v>7.29</v>
      </c>
      <c r="M210">
        <f t="shared" si="6"/>
        <v>29.16</v>
      </c>
      <c r="N210" t="str" cm="1">
        <f t="array" ref="N210">_xlfn.IFS(I210 = "Rob", "Robusta", I210 = "Exc", "Excelsa", I210 = "Ara", "Arabica", I210 = "Lib", "Liberica")</f>
        <v>Excelsa</v>
      </c>
      <c r="O210" t="str">
        <f t="shared" si="7"/>
        <v>Dark</v>
      </c>
      <c r="P210" t="str">
        <f>_xlfn.XLOOKUP(Table1[[#This Row],[Customer ID]],Data_customers!$A$2:$A$1001,Data_customers!$I$2:$I$1001,,0)</f>
        <v>Yes</v>
      </c>
    </row>
    <row r="211" spans="1:16" x14ac:dyDescent="0.2">
      <c r="A211" s="2" t="s">
        <v>1665</v>
      </c>
      <c r="B211" s="3">
        <v>44105</v>
      </c>
      <c r="C211" s="2" t="s">
        <v>1666</v>
      </c>
      <c r="D211" t="s">
        <v>6157</v>
      </c>
      <c r="E211" s="2">
        <v>1</v>
      </c>
      <c r="F211" s="2" t="str">
        <f>_xlfn.XLOOKUP(Data_orders!C211,Data_customers!$A$1:$A$1001,Data_customers!$B$1:$B$1001,,0)</f>
        <v>Fransisco Malecky</v>
      </c>
      <c r="G211" s="2" t="str">
        <f>IF(_xlfn.XLOOKUP(C211,Data_customers!$A$1:$A$1001,Data_customers!$C$1:$C$1001,,0)=0,"",_xlfn.XLOOKUP(C211,Data_customers!$A$1:$A$1001,Data_customers!$C$1:$C$1001,,0))</f>
        <v>fmalecky5t@list-manage.com</v>
      </c>
      <c r="H211" s="2" t="str">
        <f>_xlfn.XLOOKUP(C211,Data_customers!$A$1:$A$1001,Data_customers!$G$1:$G$1001,"",0)</f>
        <v>United Kingdom</v>
      </c>
      <c r="I211" t="str">
        <f>INDEX(Data_products!$A$1:$G$49, MATCH(Data_orders!$D211,Data_products!$A$1:$A$49,0), MATCH(Data_orders!I$1,Data_products!$A$1:$G$1,0))</f>
        <v>Ara</v>
      </c>
      <c r="J211" t="str">
        <f>INDEX(Data_products!$A$1:$G$49, MATCH(Data_orders!$D211,Data_products!$A$1:$A$49,0), MATCH(Data_orders!J$1,Data_products!$A$1:$G$1,0))</f>
        <v>M</v>
      </c>
      <c r="K211" s="4">
        <f>INDEX(Data_products!$A$1:$G$49, MATCH(Data_orders!$D211,Data_products!$A$1:$A$49,0), MATCH(Data_orders!K$1,Data_products!$A$1:$G$1,0))</f>
        <v>0.5</v>
      </c>
      <c r="L211">
        <f>INDEX(Data_products!$A$1:$G$49, MATCH(Data_orders!$D211,Data_products!$A$1:$A$49,0), MATCH(Data_orders!L$1,Data_products!$A$1:$G$1,0))</f>
        <v>6.75</v>
      </c>
      <c r="M211">
        <f t="shared" si="6"/>
        <v>6.75</v>
      </c>
      <c r="N211" t="str" cm="1">
        <f t="array" ref="N211">_xlfn.IFS(I211 = "Rob", "Robusta", I211 = "Exc", "Excelsa", I211 = "Ara", "Arabica", I211 = "Lib", "Liberica")</f>
        <v>Arabica</v>
      </c>
      <c r="O211" t="str">
        <f t="shared" si="7"/>
        <v>Medium</v>
      </c>
      <c r="P211" t="str">
        <f>_xlfn.XLOOKUP(Table1[[#This Row],[Customer ID]],Data_customers!$A$2:$A$1001,Data_customers!$I$2:$I$1001,,0)</f>
        <v>No</v>
      </c>
    </row>
    <row r="212" spans="1:16" x14ac:dyDescent="0.2">
      <c r="A212" s="2" t="s">
        <v>1671</v>
      </c>
      <c r="B212" s="3">
        <v>43766</v>
      </c>
      <c r="C212" s="2" t="s">
        <v>1672</v>
      </c>
      <c r="D212" t="s">
        <v>6143</v>
      </c>
      <c r="E212" s="2">
        <v>4</v>
      </c>
      <c r="F212" s="2" t="str">
        <f>_xlfn.XLOOKUP(Data_orders!C212,Data_customers!$A$1:$A$1001,Data_customers!$B$1:$B$1001,,0)</f>
        <v>Anselma Attwater</v>
      </c>
      <c r="G212" s="2" t="str">
        <f>IF(_xlfn.XLOOKUP(C212,Data_customers!$A$1:$A$1001,Data_customers!$C$1:$C$1001,,0)=0,"",_xlfn.XLOOKUP(C212,Data_customers!$A$1:$A$1001,Data_customers!$C$1:$C$1001,,0))</f>
        <v>aattwater5u@wikia.com</v>
      </c>
      <c r="H212" s="2" t="str">
        <f>_xlfn.XLOOKUP(C212,Data_customers!$A$1:$A$1001,Data_customers!$G$1:$G$1001,"",0)</f>
        <v>United States</v>
      </c>
      <c r="I212" t="str">
        <f>INDEX(Data_products!$A$1:$G$49, MATCH(Data_orders!$D212,Data_products!$A$1:$A$49,0), MATCH(Data_orders!I$1,Data_products!$A$1:$G$1,0))</f>
        <v>Lib</v>
      </c>
      <c r="J212" t="str">
        <f>INDEX(Data_products!$A$1:$G$49, MATCH(Data_orders!$D212,Data_products!$A$1:$A$49,0), MATCH(Data_orders!J$1,Data_products!$A$1:$G$1,0))</f>
        <v>D</v>
      </c>
      <c r="K212" s="4">
        <f>INDEX(Data_products!$A$1:$G$49, MATCH(Data_orders!$D212,Data_products!$A$1:$A$49,0), MATCH(Data_orders!K$1,Data_products!$A$1:$G$1,0))</f>
        <v>1</v>
      </c>
      <c r="L212">
        <f>INDEX(Data_products!$A$1:$G$49, MATCH(Data_orders!$D212,Data_products!$A$1:$A$49,0), MATCH(Data_orders!L$1,Data_products!$A$1:$G$1,0))</f>
        <v>12.95</v>
      </c>
      <c r="M212">
        <f t="shared" si="6"/>
        <v>51.8</v>
      </c>
      <c r="N212" t="str" cm="1">
        <f t="array" ref="N212">_xlfn.IFS(I212 = "Rob", "Robusta", I212 = "Exc", "Excelsa", I212 = "Ara", "Arabica", I212 = "Lib", "Liberica")</f>
        <v>Liberica</v>
      </c>
      <c r="O212" t="str">
        <f t="shared" si="7"/>
        <v>Dark</v>
      </c>
      <c r="P212" t="str">
        <f>_xlfn.XLOOKUP(Table1[[#This Row],[Customer ID]],Data_customers!$A$2:$A$1001,Data_customers!$I$2:$I$1001,,0)</f>
        <v>Yes</v>
      </c>
    </row>
    <row r="213" spans="1:16" x14ac:dyDescent="0.2">
      <c r="A213" s="2" t="s">
        <v>1677</v>
      </c>
      <c r="B213" s="3">
        <v>44283</v>
      </c>
      <c r="C213" s="2" t="s">
        <v>1678</v>
      </c>
      <c r="D213" t="s">
        <v>6176</v>
      </c>
      <c r="E213" s="2">
        <v>6</v>
      </c>
      <c r="F213" s="2" t="str">
        <f>_xlfn.XLOOKUP(Data_orders!C213,Data_customers!$A$1:$A$1001,Data_customers!$B$1:$B$1001,,0)</f>
        <v>Minette Whellans</v>
      </c>
      <c r="G213" s="2" t="str">
        <f>IF(_xlfn.XLOOKUP(C213,Data_customers!$A$1:$A$1001,Data_customers!$C$1:$C$1001,,0)=0,"",_xlfn.XLOOKUP(C213,Data_customers!$A$1:$A$1001,Data_customers!$C$1:$C$1001,,0))</f>
        <v>mwhellans5v@mapquest.com</v>
      </c>
      <c r="H213" s="2" t="str">
        <f>_xlfn.XLOOKUP(C213,Data_customers!$A$1:$A$1001,Data_customers!$G$1:$G$1001,"",0)</f>
        <v>United States</v>
      </c>
      <c r="I213" t="str">
        <f>INDEX(Data_products!$A$1:$G$49, MATCH(Data_orders!$D213,Data_products!$A$1:$A$49,0), MATCH(Data_orders!I$1,Data_products!$A$1:$G$1,0))</f>
        <v>Exc</v>
      </c>
      <c r="J213" t="str">
        <f>INDEX(Data_products!$A$1:$G$49, MATCH(Data_orders!$D213,Data_products!$A$1:$A$49,0), MATCH(Data_orders!J$1,Data_products!$A$1:$G$1,0))</f>
        <v>L</v>
      </c>
      <c r="K213" s="4">
        <f>INDEX(Data_products!$A$1:$G$49, MATCH(Data_orders!$D213,Data_products!$A$1:$A$49,0), MATCH(Data_orders!K$1,Data_products!$A$1:$G$1,0))</f>
        <v>0.5</v>
      </c>
      <c r="L213">
        <f>INDEX(Data_products!$A$1:$G$49, MATCH(Data_orders!$D213,Data_products!$A$1:$A$49,0), MATCH(Data_orders!L$1,Data_products!$A$1:$G$1,0))</f>
        <v>8.91</v>
      </c>
      <c r="M213">
        <f t="shared" si="6"/>
        <v>53.46</v>
      </c>
      <c r="N213" t="str" cm="1">
        <f t="array" ref="N213">_xlfn.IFS(I213 = "Rob", "Robusta", I213 = "Exc", "Excelsa", I213 = "Ara", "Arabica", I213 = "Lib", "Liberica")</f>
        <v>Excelsa</v>
      </c>
      <c r="O213" t="str">
        <f t="shared" si="7"/>
        <v>Light</v>
      </c>
      <c r="P213" t="str">
        <f>_xlfn.XLOOKUP(Table1[[#This Row],[Customer ID]],Data_customers!$A$2:$A$1001,Data_customers!$I$2:$I$1001,,0)</f>
        <v>No</v>
      </c>
    </row>
    <row r="214" spans="1:16" x14ac:dyDescent="0.2">
      <c r="A214" s="2" t="s">
        <v>1682</v>
      </c>
      <c r="B214" s="3">
        <v>43921</v>
      </c>
      <c r="C214" s="2" t="s">
        <v>1683</v>
      </c>
      <c r="D214" t="s">
        <v>6153</v>
      </c>
      <c r="E214" s="2">
        <v>4</v>
      </c>
      <c r="F214" s="2" t="str">
        <f>_xlfn.XLOOKUP(Data_orders!C214,Data_customers!$A$1:$A$1001,Data_customers!$B$1:$B$1001,,0)</f>
        <v>Dael Camilletti</v>
      </c>
      <c r="G214" s="2" t="str">
        <f>IF(_xlfn.XLOOKUP(C214,Data_customers!$A$1:$A$1001,Data_customers!$C$1:$C$1001,,0)=0,"",_xlfn.XLOOKUP(C214,Data_customers!$A$1:$A$1001,Data_customers!$C$1:$C$1001,,0))</f>
        <v>dcamilletti5w@businesswire.com</v>
      </c>
      <c r="H214" s="2" t="str">
        <f>_xlfn.XLOOKUP(C214,Data_customers!$A$1:$A$1001,Data_customers!$G$1:$G$1001,"",0)</f>
        <v>United States</v>
      </c>
      <c r="I214" t="str">
        <f>INDEX(Data_products!$A$1:$G$49, MATCH(Data_orders!$D214,Data_products!$A$1:$A$49,0), MATCH(Data_orders!I$1,Data_products!$A$1:$G$1,0))</f>
        <v>Exc</v>
      </c>
      <c r="J214" t="str">
        <f>INDEX(Data_products!$A$1:$G$49, MATCH(Data_orders!$D214,Data_products!$A$1:$A$49,0), MATCH(Data_orders!J$1,Data_products!$A$1:$G$1,0))</f>
        <v>D</v>
      </c>
      <c r="K214" s="4">
        <f>INDEX(Data_products!$A$1:$G$49, MATCH(Data_orders!$D214,Data_products!$A$1:$A$49,0), MATCH(Data_orders!K$1,Data_products!$A$1:$G$1,0))</f>
        <v>0.2</v>
      </c>
      <c r="L214">
        <f>INDEX(Data_products!$A$1:$G$49, MATCH(Data_orders!$D214,Data_products!$A$1:$A$49,0), MATCH(Data_orders!L$1,Data_products!$A$1:$G$1,0))</f>
        <v>3.645</v>
      </c>
      <c r="M214">
        <f t="shared" si="6"/>
        <v>14.58</v>
      </c>
      <c r="N214" t="str" cm="1">
        <f t="array" ref="N214">_xlfn.IFS(I214 = "Rob", "Robusta", I214 = "Exc", "Excelsa", I214 = "Ara", "Arabica", I214 = "Lib", "Liberica")</f>
        <v>Excelsa</v>
      </c>
      <c r="O214" t="str">
        <f t="shared" si="7"/>
        <v>Dark</v>
      </c>
      <c r="P214" t="str">
        <f>_xlfn.XLOOKUP(Table1[[#This Row],[Customer ID]],Data_customers!$A$2:$A$1001,Data_customers!$I$2:$I$1001,,0)</f>
        <v>Yes</v>
      </c>
    </row>
    <row r="215" spans="1:16" x14ac:dyDescent="0.2">
      <c r="A215" s="2" t="s">
        <v>1688</v>
      </c>
      <c r="B215" s="3">
        <v>44646</v>
      </c>
      <c r="C215" s="2" t="s">
        <v>1689</v>
      </c>
      <c r="D215" t="s">
        <v>6149</v>
      </c>
      <c r="E215" s="2">
        <v>1</v>
      </c>
      <c r="F215" s="2" t="str">
        <f>_xlfn.XLOOKUP(Data_orders!C215,Data_customers!$A$1:$A$1001,Data_customers!$B$1:$B$1001,,0)</f>
        <v>Emiline Galgey</v>
      </c>
      <c r="G215" s="2" t="str">
        <f>IF(_xlfn.XLOOKUP(C215,Data_customers!$A$1:$A$1001,Data_customers!$C$1:$C$1001,,0)=0,"",_xlfn.XLOOKUP(C215,Data_customers!$A$1:$A$1001,Data_customers!$C$1:$C$1001,,0))</f>
        <v>egalgey5x@wufoo.com</v>
      </c>
      <c r="H215" s="2" t="str">
        <f>_xlfn.XLOOKUP(C215,Data_customers!$A$1:$A$1001,Data_customers!$G$1:$G$1001,"",0)</f>
        <v>United States</v>
      </c>
      <c r="I215" t="str">
        <f>INDEX(Data_products!$A$1:$G$49, MATCH(Data_orders!$D215,Data_products!$A$1:$A$49,0), MATCH(Data_orders!I$1,Data_products!$A$1:$G$1,0))</f>
        <v>Rob</v>
      </c>
      <c r="J215" t="str">
        <f>INDEX(Data_products!$A$1:$G$49, MATCH(Data_orders!$D215,Data_products!$A$1:$A$49,0), MATCH(Data_orders!J$1,Data_products!$A$1:$G$1,0))</f>
        <v>D</v>
      </c>
      <c r="K215" s="4">
        <f>INDEX(Data_products!$A$1:$G$49, MATCH(Data_orders!$D215,Data_products!$A$1:$A$49,0), MATCH(Data_orders!K$1,Data_products!$A$1:$G$1,0))</f>
        <v>2.5</v>
      </c>
      <c r="L215">
        <f>INDEX(Data_products!$A$1:$G$49, MATCH(Data_orders!$D215,Data_products!$A$1:$A$49,0), MATCH(Data_orders!L$1,Data_products!$A$1:$G$1,0))</f>
        <v>20.584999999999997</v>
      </c>
      <c r="M215">
        <f t="shared" si="6"/>
        <v>20.584999999999997</v>
      </c>
      <c r="N215" t="str" cm="1">
        <f t="array" ref="N215">_xlfn.IFS(I215 = "Rob", "Robusta", I215 = "Exc", "Excelsa", I215 = "Ara", "Arabica", I215 = "Lib", "Liberica")</f>
        <v>Robusta</v>
      </c>
      <c r="O215" t="str">
        <f t="shared" si="7"/>
        <v>Dark</v>
      </c>
      <c r="P215" t="str">
        <f>_xlfn.XLOOKUP(Table1[[#This Row],[Customer ID]],Data_customers!$A$2:$A$1001,Data_customers!$I$2:$I$1001,,0)</f>
        <v>No</v>
      </c>
    </row>
    <row r="216" spans="1:16" x14ac:dyDescent="0.2">
      <c r="A216" s="2" t="s">
        <v>1694</v>
      </c>
      <c r="B216" s="3">
        <v>43775</v>
      </c>
      <c r="C216" s="2" t="s">
        <v>1695</v>
      </c>
      <c r="D216" t="s">
        <v>6170</v>
      </c>
      <c r="E216" s="2">
        <v>2</v>
      </c>
      <c r="F216" s="2" t="str">
        <f>_xlfn.XLOOKUP(Data_orders!C216,Data_customers!$A$1:$A$1001,Data_customers!$B$1:$B$1001,,0)</f>
        <v>Murdock Hame</v>
      </c>
      <c r="G216" s="2" t="str">
        <f>IF(_xlfn.XLOOKUP(C216,Data_customers!$A$1:$A$1001,Data_customers!$C$1:$C$1001,,0)=0,"",_xlfn.XLOOKUP(C216,Data_customers!$A$1:$A$1001,Data_customers!$C$1:$C$1001,,0))</f>
        <v>mhame5y@newsvine.com</v>
      </c>
      <c r="H216" s="2" t="str">
        <f>_xlfn.XLOOKUP(C216,Data_customers!$A$1:$A$1001,Data_customers!$G$1:$G$1001,"",0)</f>
        <v>Ireland</v>
      </c>
      <c r="I216" t="str">
        <f>INDEX(Data_products!$A$1:$G$49, MATCH(Data_orders!$D216,Data_products!$A$1:$A$49,0), MATCH(Data_orders!I$1,Data_products!$A$1:$G$1,0))</f>
        <v>Lib</v>
      </c>
      <c r="J216" t="str">
        <f>INDEX(Data_products!$A$1:$G$49, MATCH(Data_orders!$D216,Data_products!$A$1:$A$49,0), MATCH(Data_orders!J$1,Data_products!$A$1:$G$1,0))</f>
        <v>L</v>
      </c>
      <c r="K216" s="4">
        <f>INDEX(Data_products!$A$1:$G$49, MATCH(Data_orders!$D216,Data_products!$A$1:$A$49,0), MATCH(Data_orders!K$1,Data_products!$A$1:$G$1,0))</f>
        <v>1</v>
      </c>
      <c r="L216">
        <f>INDEX(Data_products!$A$1:$G$49, MATCH(Data_orders!$D216,Data_products!$A$1:$A$49,0), MATCH(Data_orders!L$1,Data_products!$A$1:$G$1,0))</f>
        <v>15.85</v>
      </c>
      <c r="M216">
        <f t="shared" si="6"/>
        <v>31.7</v>
      </c>
      <c r="N216" t="str" cm="1">
        <f t="array" ref="N216">_xlfn.IFS(I216 = "Rob", "Robusta", I216 = "Exc", "Excelsa", I216 = "Ara", "Arabica", I216 = "Lib", "Liberica")</f>
        <v>Liberica</v>
      </c>
      <c r="O216" t="str">
        <f t="shared" si="7"/>
        <v>Light</v>
      </c>
      <c r="P216" t="str">
        <f>_xlfn.XLOOKUP(Table1[[#This Row],[Customer ID]],Data_customers!$A$2:$A$1001,Data_customers!$I$2:$I$1001,,0)</f>
        <v>No</v>
      </c>
    </row>
    <row r="217" spans="1:16" x14ac:dyDescent="0.2">
      <c r="A217" s="2" t="s">
        <v>1701</v>
      </c>
      <c r="B217" s="3">
        <v>43829</v>
      </c>
      <c r="C217" s="2" t="s">
        <v>1702</v>
      </c>
      <c r="D217" t="s">
        <v>6150</v>
      </c>
      <c r="E217" s="2">
        <v>6</v>
      </c>
      <c r="F217" s="2" t="str">
        <f>_xlfn.XLOOKUP(Data_orders!C217,Data_customers!$A$1:$A$1001,Data_customers!$B$1:$B$1001,,0)</f>
        <v>Ilka Gurnee</v>
      </c>
      <c r="G217" s="2" t="str">
        <f>IF(_xlfn.XLOOKUP(C217,Data_customers!$A$1:$A$1001,Data_customers!$C$1:$C$1001,,0)=0,"",_xlfn.XLOOKUP(C217,Data_customers!$A$1:$A$1001,Data_customers!$C$1:$C$1001,,0))</f>
        <v>igurnee5z@usnews.com</v>
      </c>
      <c r="H217" s="2" t="str">
        <f>_xlfn.XLOOKUP(C217,Data_customers!$A$1:$A$1001,Data_customers!$G$1:$G$1001,"",0)</f>
        <v>United States</v>
      </c>
      <c r="I217" t="str">
        <f>INDEX(Data_products!$A$1:$G$49, MATCH(Data_orders!$D217,Data_products!$A$1:$A$49,0), MATCH(Data_orders!I$1,Data_products!$A$1:$G$1,0))</f>
        <v>Lib</v>
      </c>
      <c r="J217" t="str">
        <f>INDEX(Data_products!$A$1:$G$49, MATCH(Data_orders!$D217,Data_products!$A$1:$A$49,0), MATCH(Data_orders!J$1,Data_products!$A$1:$G$1,0))</f>
        <v>D</v>
      </c>
      <c r="K217" s="4">
        <f>INDEX(Data_products!$A$1:$G$49, MATCH(Data_orders!$D217,Data_products!$A$1:$A$49,0), MATCH(Data_orders!K$1,Data_products!$A$1:$G$1,0))</f>
        <v>0.2</v>
      </c>
      <c r="L217">
        <f>INDEX(Data_products!$A$1:$G$49, MATCH(Data_orders!$D217,Data_products!$A$1:$A$49,0), MATCH(Data_orders!L$1,Data_products!$A$1:$G$1,0))</f>
        <v>3.8849999999999998</v>
      </c>
      <c r="M217">
        <f t="shared" si="6"/>
        <v>23.31</v>
      </c>
      <c r="N217" t="str" cm="1">
        <f t="array" ref="N217">_xlfn.IFS(I217 = "Rob", "Robusta", I217 = "Exc", "Excelsa", I217 = "Ara", "Arabica", I217 = "Lib", "Liberica")</f>
        <v>Liberica</v>
      </c>
      <c r="O217" t="str">
        <f t="shared" si="7"/>
        <v>Dark</v>
      </c>
      <c r="P217" t="str">
        <f>_xlfn.XLOOKUP(Table1[[#This Row],[Customer ID]],Data_customers!$A$2:$A$1001,Data_customers!$I$2:$I$1001,,0)</f>
        <v>No</v>
      </c>
    </row>
    <row r="218" spans="1:16" x14ac:dyDescent="0.2">
      <c r="A218" s="2" t="s">
        <v>1707</v>
      </c>
      <c r="B218" s="3">
        <v>44470</v>
      </c>
      <c r="C218" s="2" t="s">
        <v>1708</v>
      </c>
      <c r="D218" t="s">
        <v>6162</v>
      </c>
      <c r="E218" s="2">
        <v>4</v>
      </c>
      <c r="F218" s="2" t="str">
        <f>_xlfn.XLOOKUP(Data_orders!C218,Data_customers!$A$1:$A$1001,Data_customers!$B$1:$B$1001,,0)</f>
        <v>Alfy Snowding</v>
      </c>
      <c r="G218" s="2" t="str">
        <f>IF(_xlfn.XLOOKUP(C218,Data_customers!$A$1:$A$1001,Data_customers!$C$1:$C$1001,,0)=0,"",_xlfn.XLOOKUP(C218,Data_customers!$A$1:$A$1001,Data_customers!$C$1:$C$1001,,0))</f>
        <v>asnowding60@comsenz.com</v>
      </c>
      <c r="H218" s="2" t="str">
        <f>_xlfn.XLOOKUP(C218,Data_customers!$A$1:$A$1001,Data_customers!$G$1:$G$1001,"",0)</f>
        <v>United States</v>
      </c>
      <c r="I218" t="str">
        <f>INDEX(Data_products!$A$1:$G$49, MATCH(Data_orders!$D218,Data_products!$A$1:$A$49,0), MATCH(Data_orders!I$1,Data_products!$A$1:$G$1,0))</f>
        <v>Lib</v>
      </c>
      <c r="J218" t="str">
        <f>INDEX(Data_products!$A$1:$G$49, MATCH(Data_orders!$D218,Data_products!$A$1:$A$49,0), MATCH(Data_orders!J$1,Data_products!$A$1:$G$1,0))</f>
        <v>M</v>
      </c>
      <c r="K218" s="4">
        <f>INDEX(Data_products!$A$1:$G$49, MATCH(Data_orders!$D218,Data_products!$A$1:$A$49,0), MATCH(Data_orders!K$1,Data_products!$A$1:$G$1,0))</f>
        <v>1</v>
      </c>
      <c r="L218">
        <f>INDEX(Data_products!$A$1:$G$49, MATCH(Data_orders!$D218,Data_products!$A$1:$A$49,0), MATCH(Data_orders!L$1,Data_products!$A$1:$G$1,0))</f>
        <v>14.55</v>
      </c>
      <c r="M218">
        <f t="shared" si="6"/>
        <v>58.2</v>
      </c>
      <c r="N218" t="str" cm="1">
        <f t="array" ref="N218">_xlfn.IFS(I218 = "Rob", "Robusta", I218 = "Exc", "Excelsa", I218 = "Ara", "Arabica", I218 = "Lib", "Liberica")</f>
        <v>Liberica</v>
      </c>
      <c r="O218" t="str">
        <f t="shared" si="7"/>
        <v>Medium</v>
      </c>
      <c r="P218" t="str">
        <f>_xlfn.XLOOKUP(Table1[[#This Row],[Customer ID]],Data_customers!$A$2:$A$1001,Data_customers!$I$2:$I$1001,,0)</f>
        <v>Yes</v>
      </c>
    </row>
    <row r="219" spans="1:16" x14ac:dyDescent="0.2">
      <c r="A219" s="2" t="s">
        <v>1713</v>
      </c>
      <c r="B219" s="3">
        <v>44174</v>
      </c>
      <c r="C219" s="2" t="s">
        <v>1714</v>
      </c>
      <c r="D219" t="s">
        <v>6176</v>
      </c>
      <c r="E219" s="2">
        <v>4</v>
      </c>
      <c r="F219" s="2" t="str">
        <f>_xlfn.XLOOKUP(Data_orders!C219,Data_customers!$A$1:$A$1001,Data_customers!$B$1:$B$1001,,0)</f>
        <v>Godfry Poinsett</v>
      </c>
      <c r="G219" s="2" t="str">
        <f>IF(_xlfn.XLOOKUP(C219,Data_customers!$A$1:$A$1001,Data_customers!$C$1:$C$1001,,0)=0,"",_xlfn.XLOOKUP(C219,Data_customers!$A$1:$A$1001,Data_customers!$C$1:$C$1001,,0))</f>
        <v>gpoinsett61@berkeley.edu</v>
      </c>
      <c r="H219" s="2" t="str">
        <f>_xlfn.XLOOKUP(C219,Data_customers!$A$1:$A$1001,Data_customers!$G$1:$G$1001,"",0)</f>
        <v>United States</v>
      </c>
      <c r="I219" t="str">
        <f>INDEX(Data_products!$A$1:$G$49, MATCH(Data_orders!$D219,Data_products!$A$1:$A$49,0), MATCH(Data_orders!I$1,Data_products!$A$1:$G$1,0))</f>
        <v>Exc</v>
      </c>
      <c r="J219" t="str">
        <f>INDEX(Data_products!$A$1:$G$49, MATCH(Data_orders!$D219,Data_products!$A$1:$A$49,0), MATCH(Data_orders!J$1,Data_products!$A$1:$G$1,0))</f>
        <v>L</v>
      </c>
      <c r="K219" s="4">
        <f>INDEX(Data_products!$A$1:$G$49, MATCH(Data_orders!$D219,Data_products!$A$1:$A$49,0), MATCH(Data_orders!K$1,Data_products!$A$1:$G$1,0))</f>
        <v>0.5</v>
      </c>
      <c r="L219">
        <f>INDEX(Data_products!$A$1:$G$49, MATCH(Data_orders!$D219,Data_products!$A$1:$A$49,0), MATCH(Data_orders!L$1,Data_products!$A$1:$G$1,0))</f>
        <v>8.91</v>
      </c>
      <c r="M219">
        <f t="shared" si="6"/>
        <v>35.64</v>
      </c>
      <c r="N219" t="str" cm="1">
        <f t="array" ref="N219">_xlfn.IFS(I219 = "Rob", "Robusta", I219 = "Exc", "Excelsa", I219 = "Ara", "Arabica", I219 = "Lib", "Liberica")</f>
        <v>Excelsa</v>
      </c>
      <c r="O219" t="str">
        <f t="shared" si="7"/>
        <v>Light</v>
      </c>
      <c r="P219" t="str">
        <f>_xlfn.XLOOKUP(Table1[[#This Row],[Customer ID]],Data_customers!$A$2:$A$1001,Data_customers!$I$2:$I$1001,,0)</f>
        <v>No</v>
      </c>
    </row>
    <row r="220" spans="1:16" x14ac:dyDescent="0.2">
      <c r="A220" s="2" t="s">
        <v>1719</v>
      </c>
      <c r="B220" s="3">
        <v>44317</v>
      </c>
      <c r="C220" s="2" t="s">
        <v>1720</v>
      </c>
      <c r="D220" t="s">
        <v>6155</v>
      </c>
      <c r="E220" s="2">
        <v>5</v>
      </c>
      <c r="F220" s="2" t="str">
        <f>_xlfn.XLOOKUP(Data_orders!C220,Data_customers!$A$1:$A$1001,Data_customers!$B$1:$B$1001,,0)</f>
        <v>Rem Furman</v>
      </c>
      <c r="G220" s="2" t="str">
        <f>IF(_xlfn.XLOOKUP(C220,Data_customers!$A$1:$A$1001,Data_customers!$C$1:$C$1001,,0)=0,"",_xlfn.XLOOKUP(C220,Data_customers!$A$1:$A$1001,Data_customers!$C$1:$C$1001,,0))</f>
        <v>rfurman62@t.co</v>
      </c>
      <c r="H220" s="2" t="str">
        <f>_xlfn.XLOOKUP(C220,Data_customers!$A$1:$A$1001,Data_customers!$G$1:$G$1001,"",0)</f>
        <v>Ireland</v>
      </c>
      <c r="I220" t="str">
        <f>INDEX(Data_products!$A$1:$G$49, MATCH(Data_orders!$D220,Data_products!$A$1:$A$49,0), MATCH(Data_orders!I$1,Data_products!$A$1:$G$1,0))</f>
        <v>Ara</v>
      </c>
      <c r="J220" t="str">
        <f>INDEX(Data_products!$A$1:$G$49, MATCH(Data_orders!$D220,Data_products!$A$1:$A$49,0), MATCH(Data_orders!J$1,Data_products!$A$1:$G$1,0))</f>
        <v>M</v>
      </c>
      <c r="K220" s="4">
        <f>INDEX(Data_products!$A$1:$G$49, MATCH(Data_orders!$D220,Data_products!$A$1:$A$49,0), MATCH(Data_orders!K$1,Data_products!$A$1:$G$1,0))</f>
        <v>1</v>
      </c>
      <c r="L220">
        <f>INDEX(Data_products!$A$1:$G$49, MATCH(Data_orders!$D220,Data_products!$A$1:$A$49,0), MATCH(Data_orders!L$1,Data_products!$A$1:$G$1,0))</f>
        <v>11.25</v>
      </c>
      <c r="M220">
        <f t="shared" si="6"/>
        <v>56.25</v>
      </c>
      <c r="N220" t="str" cm="1">
        <f t="array" ref="N220">_xlfn.IFS(I220 = "Rob", "Robusta", I220 = "Exc", "Excelsa", I220 = "Ara", "Arabica", I220 = "Lib", "Liberica")</f>
        <v>Arabica</v>
      </c>
      <c r="O220" t="str">
        <f t="shared" si="7"/>
        <v>Medium</v>
      </c>
      <c r="P220" t="str">
        <f>_xlfn.XLOOKUP(Table1[[#This Row],[Customer ID]],Data_customers!$A$2:$A$1001,Data_customers!$I$2:$I$1001,,0)</f>
        <v>Yes</v>
      </c>
    </row>
    <row r="221" spans="1:16" x14ac:dyDescent="0.2">
      <c r="A221" s="2" t="s">
        <v>1725</v>
      </c>
      <c r="B221" s="3">
        <v>44777</v>
      </c>
      <c r="C221" s="2" t="s">
        <v>1726</v>
      </c>
      <c r="D221" t="s">
        <v>6178</v>
      </c>
      <c r="E221" s="2">
        <v>3</v>
      </c>
      <c r="F221" s="2" t="str">
        <f>_xlfn.XLOOKUP(Data_orders!C221,Data_customers!$A$1:$A$1001,Data_customers!$B$1:$B$1001,,0)</f>
        <v>Charis Crosier</v>
      </c>
      <c r="G221" s="2" t="str">
        <f>IF(_xlfn.XLOOKUP(C221,Data_customers!$A$1:$A$1001,Data_customers!$C$1:$C$1001,,0)=0,"",_xlfn.XLOOKUP(C221,Data_customers!$A$1:$A$1001,Data_customers!$C$1:$C$1001,,0))</f>
        <v>ccrosier63@xrea.com</v>
      </c>
      <c r="H221" s="2" t="str">
        <f>_xlfn.XLOOKUP(C221,Data_customers!$A$1:$A$1001,Data_customers!$G$1:$G$1001,"",0)</f>
        <v>United States</v>
      </c>
      <c r="I221" t="str">
        <f>INDEX(Data_products!$A$1:$G$49, MATCH(Data_orders!$D221,Data_products!$A$1:$A$49,0), MATCH(Data_orders!I$1,Data_products!$A$1:$G$1,0))</f>
        <v>Rob</v>
      </c>
      <c r="J221" t="str">
        <f>INDEX(Data_products!$A$1:$G$49, MATCH(Data_orders!$D221,Data_products!$A$1:$A$49,0), MATCH(Data_orders!J$1,Data_products!$A$1:$G$1,0))</f>
        <v>L</v>
      </c>
      <c r="K221" s="4">
        <f>INDEX(Data_products!$A$1:$G$49, MATCH(Data_orders!$D221,Data_products!$A$1:$A$49,0), MATCH(Data_orders!K$1,Data_products!$A$1:$G$1,0))</f>
        <v>0.2</v>
      </c>
      <c r="L221">
        <f>INDEX(Data_products!$A$1:$G$49, MATCH(Data_orders!$D221,Data_products!$A$1:$A$49,0), MATCH(Data_orders!L$1,Data_products!$A$1:$G$1,0))</f>
        <v>3.5849999999999995</v>
      </c>
      <c r="M221">
        <f t="shared" si="6"/>
        <v>10.754999999999999</v>
      </c>
      <c r="N221" t="str" cm="1">
        <f t="array" ref="N221">_xlfn.IFS(I221 = "Rob", "Robusta", I221 = "Exc", "Excelsa", I221 = "Ara", "Arabica", I221 = "Lib", "Liberica")</f>
        <v>Robusta</v>
      </c>
      <c r="O221" t="str">
        <f t="shared" si="7"/>
        <v>Light</v>
      </c>
      <c r="P221" t="str">
        <f>_xlfn.XLOOKUP(Table1[[#This Row],[Customer ID]],Data_customers!$A$2:$A$1001,Data_customers!$I$2:$I$1001,,0)</f>
        <v>No</v>
      </c>
    </row>
    <row r="222" spans="1:16" x14ac:dyDescent="0.2">
      <c r="A222" s="2" t="s">
        <v>1725</v>
      </c>
      <c r="B222" s="3">
        <v>44777</v>
      </c>
      <c r="C222" s="2" t="s">
        <v>1726</v>
      </c>
      <c r="D222" t="s">
        <v>6174</v>
      </c>
      <c r="E222" s="2">
        <v>5</v>
      </c>
      <c r="F222" s="2" t="str">
        <f>_xlfn.XLOOKUP(Data_orders!C222,Data_customers!$A$1:$A$1001,Data_customers!$B$1:$B$1001,,0)</f>
        <v>Charis Crosier</v>
      </c>
      <c r="G222" s="2" t="str">
        <f>IF(_xlfn.XLOOKUP(C222,Data_customers!$A$1:$A$1001,Data_customers!$C$1:$C$1001,,0)=0,"",_xlfn.XLOOKUP(C222,Data_customers!$A$1:$A$1001,Data_customers!$C$1:$C$1001,,0))</f>
        <v>ccrosier63@xrea.com</v>
      </c>
      <c r="H222" s="2" t="str">
        <f>_xlfn.XLOOKUP(C222,Data_customers!$A$1:$A$1001,Data_customers!$G$1:$G$1001,"",0)</f>
        <v>United States</v>
      </c>
      <c r="I222" t="str">
        <f>INDEX(Data_products!$A$1:$G$49, MATCH(Data_orders!$D222,Data_products!$A$1:$A$49,0), MATCH(Data_orders!I$1,Data_products!$A$1:$G$1,0))</f>
        <v>Rob</v>
      </c>
      <c r="J222" t="str">
        <f>INDEX(Data_products!$A$1:$G$49, MATCH(Data_orders!$D222,Data_products!$A$1:$A$49,0), MATCH(Data_orders!J$1,Data_products!$A$1:$G$1,0))</f>
        <v>M</v>
      </c>
      <c r="K222" s="4">
        <f>INDEX(Data_products!$A$1:$G$49, MATCH(Data_orders!$D222,Data_products!$A$1:$A$49,0), MATCH(Data_orders!K$1,Data_products!$A$1:$G$1,0))</f>
        <v>0.2</v>
      </c>
      <c r="L222">
        <f>INDEX(Data_products!$A$1:$G$49, MATCH(Data_orders!$D222,Data_products!$A$1:$A$49,0), MATCH(Data_orders!L$1,Data_products!$A$1:$G$1,0))</f>
        <v>2.9849999999999999</v>
      </c>
      <c r="M222">
        <f t="shared" si="6"/>
        <v>14.924999999999999</v>
      </c>
      <c r="N222" t="str" cm="1">
        <f t="array" ref="N222">_xlfn.IFS(I222 = "Rob", "Robusta", I222 = "Exc", "Excelsa", I222 = "Ara", "Arabica", I222 = "Lib", "Liberica")</f>
        <v>Robusta</v>
      </c>
      <c r="O222" t="str">
        <f t="shared" si="7"/>
        <v>Medium</v>
      </c>
      <c r="P222" t="str">
        <f>_xlfn.XLOOKUP(Table1[[#This Row],[Customer ID]],Data_customers!$A$2:$A$1001,Data_customers!$I$2:$I$1001,,0)</f>
        <v>No</v>
      </c>
    </row>
    <row r="223" spans="1:16" x14ac:dyDescent="0.2">
      <c r="A223" s="2" t="s">
        <v>1736</v>
      </c>
      <c r="B223" s="3">
        <v>44513</v>
      </c>
      <c r="C223" s="2" t="s">
        <v>1737</v>
      </c>
      <c r="D223" t="s">
        <v>6140</v>
      </c>
      <c r="E223" s="2">
        <v>6</v>
      </c>
      <c r="F223" s="2" t="str">
        <f>_xlfn.XLOOKUP(Data_orders!C223,Data_customers!$A$1:$A$1001,Data_customers!$B$1:$B$1001,,0)</f>
        <v>Lenka Rushmer</v>
      </c>
      <c r="G223" s="2" t="str">
        <f>IF(_xlfn.XLOOKUP(C223,Data_customers!$A$1:$A$1001,Data_customers!$C$1:$C$1001,,0)=0,"",_xlfn.XLOOKUP(C223,Data_customers!$A$1:$A$1001,Data_customers!$C$1:$C$1001,,0))</f>
        <v>lrushmer65@europa.eu</v>
      </c>
      <c r="H223" s="2" t="str">
        <f>_xlfn.XLOOKUP(C223,Data_customers!$A$1:$A$1001,Data_customers!$G$1:$G$1001,"",0)</f>
        <v>United States</v>
      </c>
      <c r="I223" t="str">
        <f>INDEX(Data_products!$A$1:$G$49, MATCH(Data_orders!$D223,Data_products!$A$1:$A$49,0), MATCH(Data_orders!I$1,Data_products!$A$1:$G$1,0))</f>
        <v>Ara</v>
      </c>
      <c r="J223" t="str">
        <f>INDEX(Data_products!$A$1:$G$49, MATCH(Data_orders!$D223,Data_products!$A$1:$A$49,0), MATCH(Data_orders!J$1,Data_products!$A$1:$G$1,0))</f>
        <v>L</v>
      </c>
      <c r="K223" s="4">
        <f>INDEX(Data_products!$A$1:$G$49, MATCH(Data_orders!$D223,Data_products!$A$1:$A$49,0), MATCH(Data_orders!K$1,Data_products!$A$1:$G$1,0))</f>
        <v>1</v>
      </c>
      <c r="L223">
        <f>INDEX(Data_products!$A$1:$G$49, MATCH(Data_orders!$D223,Data_products!$A$1:$A$49,0), MATCH(Data_orders!L$1,Data_products!$A$1:$G$1,0))</f>
        <v>12.95</v>
      </c>
      <c r="M223">
        <f t="shared" si="6"/>
        <v>77.699999999999989</v>
      </c>
      <c r="N223" t="str" cm="1">
        <f t="array" ref="N223">_xlfn.IFS(I223 = "Rob", "Robusta", I223 = "Exc", "Excelsa", I223 = "Ara", "Arabica", I223 = "Lib", "Liberica")</f>
        <v>Arabica</v>
      </c>
      <c r="O223" t="str">
        <f t="shared" si="7"/>
        <v>Light</v>
      </c>
      <c r="P223" t="str">
        <f>_xlfn.XLOOKUP(Table1[[#This Row],[Customer ID]],Data_customers!$A$2:$A$1001,Data_customers!$I$2:$I$1001,,0)</f>
        <v>Yes</v>
      </c>
    </row>
    <row r="224" spans="1:16" x14ac:dyDescent="0.2">
      <c r="A224" s="2" t="s">
        <v>1742</v>
      </c>
      <c r="B224" s="3">
        <v>44090</v>
      </c>
      <c r="C224" s="2" t="s">
        <v>1743</v>
      </c>
      <c r="D224" t="s">
        <v>6169</v>
      </c>
      <c r="E224" s="2">
        <v>3</v>
      </c>
      <c r="F224" s="2" t="str">
        <f>_xlfn.XLOOKUP(Data_orders!C224,Data_customers!$A$1:$A$1001,Data_customers!$B$1:$B$1001,,0)</f>
        <v>Waneta Edinborough</v>
      </c>
      <c r="G224" s="2" t="str">
        <f>IF(_xlfn.XLOOKUP(C224,Data_customers!$A$1:$A$1001,Data_customers!$C$1:$C$1001,,0)=0,"",_xlfn.XLOOKUP(C224,Data_customers!$A$1:$A$1001,Data_customers!$C$1:$C$1001,,0))</f>
        <v>wedinborough66@github.io</v>
      </c>
      <c r="H224" s="2" t="str">
        <f>_xlfn.XLOOKUP(C224,Data_customers!$A$1:$A$1001,Data_customers!$G$1:$G$1001,"",0)</f>
        <v>United States</v>
      </c>
      <c r="I224" t="str">
        <f>INDEX(Data_products!$A$1:$G$49, MATCH(Data_orders!$D224,Data_products!$A$1:$A$49,0), MATCH(Data_orders!I$1,Data_products!$A$1:$G$1,0))</f>
        <v>Lib</v>
      </c>
      <c r="J224" t="str">
        <f>INDEX(Data_products!$A$1:$G$49, MATCH(Data_orders!$D224,Data_products!$A$1:$A$49,0), MATCH(Data_orders!J$1,Data_products!$A$1:$G$1,0))</f>
        <v>D</v>
      </c>
      <c r="K224" s="4">
        <f>INDEX(Data_products!$A$1:$G$49, MATCH(Data_orders!$D224,Data_products!$A$1:$A$49,0), MATCH(Data_orders!K$1,Data_products!$A$1:$G$1,0))</f>
        <v>0.5</v>
      </c>
      <c r="L224">
        <f>INDEX(Data_products!$A$1:$G$49, MATCH(Data_orders!$D224,Data_products!$A$1:$A$49,0), MATCH(Data_orders!L$1,Data_products!$A$1:$G$1,0))</f>
        <v>7.77</v>
      </c>
      <c r="M224">
        <f t="shared" si="6"/>
        <v>23.31</v>
      </c>
      <c r="N224" t="str" cm="1">
        <f t="array" ref="N224">_xlfn.IFS(I224 = "Rob", "Robusta", I224 = "Exc", "Excelsa", I224 = "Ara", "Arabica", I224 = "Lib", "Liberica")</f>
        <v>Liberica</v>
      </c>
      <c r="O224" t="str">
        <f t="shared" si="7"/>
        <v>Dark</v>
      </c>
      <c r="P224" t="str">
        <f>_xlfn.XLOOKUP(Table1[[#This Row],[Customer ID]],Data_customers!$A$2:$A$1001,Data_customers!$I$2:$I$1001,,0)</f>
        <v>No</v>
      </c>
    </row>
    <row r="225" spans="1:16" x14ac:dyDescent="0.2">
      <c r="A225" s="2" t="s">
        <v>1748</v>
      </c>
      <c r="B225" s="3">
        <v>44109</v>
      </c>
      <c r="C225" s="2" t="s">
        <v>1749</v>
      </c>
      <c r="D225" t="s">
        <v>6171</v>
      </c>
      <c r="E225" s="2">
        <v>4</v>
      </c>
      <c r="F225" s="2" t="str">
        <f>_xlfn.XLOOKUP(Data_orders!C225,Data_customers!$A$1:$A$1001,Data_customers!$B$1:$B$1001,,0)</f>
        <v>Bobbe Piggott</v>
      </c>
      <c r="G225" s="2" t="str">
        <f>IF(_xlfn.XLOOKUP(C225,Data_customers!$A$1:$A$1001,Data_customers!$C$1:$C$1001,,0)=0,"",_xlfn.XLOOKUP(C225,Data_customers!$A$1:$A$1001,Data_customers!$C$1:$C$1001,,0))</f>
        <v/>
      </c>
      <c r="H225" s="2" t="str">
        <f>_xlfn.XLOOKUP(C225,Data_customers!$A$1:$A$1001,Data_customers!$G$1:$G$1001,"",0)</f>
        <v>United States</v>
      </c>
      <c r="I225" t="str">
        <f>INDEX(Data_products!$A$1:$G$49, MATCH(Data_orders!$D225,Data_products!$A$1:$A$49,0), MATCH(Data_orders!I$1,Data_products!$A$1:$G$1,0))</f>
        <v>Exc</v>
      </c>
      <c r="J225" t="str">
        <f>INDEX(Data_products!$A$1:$G$49, MATCH(Data_orders!$D225,Data_products!$A$1:$A$49,0), MATCH(Data_orders!J$1,Data_products!$A$1:$G$1,0))</f>
        <v>L</v>
      </c>
      <c r="K225" s="4">
        <f>INDEX(Data_products!$A$1:$G$49, MATCH(Data_orders!$D225,Data_products!$A$1:$A$49,0), MATCH(Data_orders!K$1,Data_products!$A$1:$G$1,0))</f>
        <v>1</v>
      </c>
      <c r="L225">
        <f>INDEX(Data_products!$A$1:$G$49, MATCH(Data_orders!$D225,Data_products!$A$1:$A$49,0), MATCH(Data_orders!L$1,Data_products!$A$1:$G$1,0))</f>
        <v>14.85</v>
      </c>
      <c r="M225">
        <f t="shared" si="6"/>
        <v>59.4</v>
      </c>
      <c r="N225" t="str" cm="1">
        <f t="array" ref="N225">_xlfn.IFS(I225 = "Rob", "Robusta", I225 = "Exc", "Excelsa", I225 = "Ara", "Arabica", I225 = "Lib", "Liberica")</f>
        <v>Excelsa</v>
      </c>
      <c r="O225" t="str">
        <f t="shared" si="7"/>
        <v>Light</v>
      </c>
      <c r="P225" t="str">
        <f>_xlfn.XLOOKUP(Table1[[#This Row],[Customer ID]],Data_customers!$A$2:$A$1001,Data_customers!$I$2:$I$1001,,0)</f>
        <v>Yes</v>
      </c>
    </row>
    <row r="226" spans="1:16" x14ac:dyDescent="0.2">
      <c r="A226" s="2" t="s">
        <v>1753</v>
      </c>
      <c r="B226" s="3">
        <v>43836</v>
      </c>
      <c r="C226" s="2" t="s">
        <v>1754</v>
      </c>
      <c r="D226" t="s">
        <v>6165</v>
      </c>
      <c r="E226" s="2">
        <v>4</v>
      </c>
      <c r="F226" s="2" t="str">
        <f>_xlfn.XLOOKUP(Data_orders!C226,Data_customers!$A$1:$A$1001,Data_customers!$B$1:$B$1001,,0)</f>
        <v>Ketty Bromehead</v>
      </c>
      <c r="G226" s="2" t="str">
        <f>IF(_xlfn.XLOOKUP(C226,Data_customers!$A$1:$A$1001,Data_customers!$C$1:$C$1001,,0)=0,"",_xlfn.XLOOKUP(C226,Data_customers!$A$1:$A$1001,Data_customers!$C$1:$C$1001,,0))</f>
        <v>kbromehead68@un.org</v>
      </c>
      <c r="H226" s="2" t="str">
        <f>_xlfn.XLOOKUP(C226,Data_customers!$A$1:$A$1001,Data_customers!$G$1:$G$1001,"",0)</f>
        <v>United States</v>
      </c>
      <c r="I226" t="str">
        <f>INDEX(Data_products!$A$1:$G$49, MATCH(Data_orders!$D226,Data_products!$A$1:$A$49,0), MATCH(Data_orders!I$1,Data_products!$A$1:$G$1,0))</f>
        <v>Lib</v>
      </c>
      <c r="J226" t="str">
        <f>INDEX(Data_products!$A$1:$G$49, MATCH(Data_orders!$D226,Data_products!$A$1:$A$49,0), MATCH(Data_orders!J$1,Data_products!$A$1:$G$1,0))</f>
        <v>D</v>
      </c>
      <c r="K226" s="4">
        <f>INDEX(Data_products!$A$1:$G$49, MATCH(Data_orders!$D226,Data_products!$A$1:$A$49,0), MATCH(Data_orders!K$1,Data_products!$A$1:$G$1,0))</f>
        <v>2.5</v>
      </c>
      <c r="L226">
        <f>INDEX(Data_products!$A$1:$G$49, MATCH(Data_orders!$D226,Data_products!$A$1:$A$49,0), MATCH(Data_orders!L$1,Data_products!$A$1:$G$1,0))</f>
        <v>29.784999999999997</v>
      </c>
      <c r="M226">
        <f t="shared" si="6"/>
        <v>119.13999999999999</v>
      </c>
      <c r="N226" t="str" cm="1">
        <f t="array" ref="N226">_xlfn.IFS(I226 = "Rob", "Robusta", I226 = "Exc", "Excelsa", I226 = "Ara", "Arabica", I226 = "Lib", "Liberica")</f>
        <v>Liberica</v>
      </c>
      <c r="O226" t="str">
        <f t="shared" si="7"/>
        <v>Dark</v>
      </c>
      <c r="P226" t="str">
        <f>_xlfn.XLOOKUP(Table1[[#This Row],[Customer ID]],Data_customers!$A$2:$A$1001,Data_customers!$I$2:$I$1001,,0)</f>
        <v>Yes</v>
      </c>
    </row>
    <row r="227" spans="1:16" x14ac:dyDescent="0.2">
      <c r="A227" s="2" t="s">
        <v>1759</v>
      </c>
      <c r="B227" s="3">
        <v>44337</v>
      </c>
      <c r="C227" s="2" t="s">
        <v>1760</v>
      </c>
      <c r="D227" t="s">
        <v>6178</v>
      </c>
      <c r="E227" s="2">
        <v>4</v>
      </c>
      <c r="F227" s="2" t="str">
        <f>_xlfn.XLOOKUP(Data_orders!C227,Data_customers!$A$1:$A$1001,Data_customers!$B$1:$B$1001,,0)</f>
        <v>Elsbeth Westerman</v>
      </c>
      <c r="G227" s="2" t="str">
        <f>IF(_xlfn.XLOOKUP(C227,Data_customers!$A$1:$A$1001,Data_customers!$C$1:$C$1001,,0)=0,"",_xlfn.XLOOKUP(C227,Data_customers!$A$1:$A$1001,Data_customers!$C$1:$C$1001,,0))</f>
        <v>ewesterman69@si.edu</v>
      </c>
      <c r="H227" s="2" t="str">
        <f>_xlfn.XLOOKUP(C227,Data_customers!$A$1:$A$1001,Data_customers!$G$1:$G$1001,"",0)</f>
        <v>Ireland</v>
      </c>
      <c r="I227" t="str">
        <f>INDEX(Data_products!$A$1:$G$49, MATCH(Data_orders!$D227,Data_products!$A$1:$A$49,0), MATCH(Data_orders!I$1,Data_products!$A$1:$G$1,0))</f>
        <v>Rob</v>
      </c>
      <c r="J227" t="str">
        <f>INDEX(Data_products!$A$1:$G$49, MATCH(Data_orders!$D227,Data_products!$A$1:$A$49,0), MATCH(Data_orders!J$1,Data_products!$A$1:$G$1,0))</f>
        <v>L</v>
      </c>
      <c r="K227" s="4">
        <f>INDEX(Data_products!$A$1:$G$49, MATCH(Data_orders!$D227,Data_products!$A$1:$A$49,0), MATCH(Data_orders!K$1,Data_products!$A$1:$G$1,0))</f>
        <v>0.2</v>
      </c>
      <c r="L227">
        <f>INDEX(Data_products!$A$1:$G$49, MATCH(Data_orders!$D227,Data_products!$A$1:$A$49,0), MATCH(Data_orders!L$1,Data_products!$A$1:$G$1,0))</f>
        <v>3.5849999999999995</v>
      </c>
      <c r="M227">
        <f t="shared" si="6"/>
        <v>14.339999999999998</v>
      </c>
      <c r="N227" t="str" cm="1">
        <f t="array" ref="N227">_xlfn.IFS(I227 = "Rob", "Robusta", I227 = "Exc", "Excelsa", I227 = "Ara", "Arabica", I227 = "Lib", "Liberica")</f>
        <v>Robusta</v>
      </c>
      <c r="O227" t="str">
        <f t="shared" si="7"/>
        <v>Light</v>
      </c>
      <c r="P227" t="str">
        <f>_xlfn.XLOOKUP(Table1[[#This Row],[Customer ID]],Data_customers!$A$2:$A$1001,Data_customers!$I$2:$I$1001,,0)</f>
        <v>No</v>
      </c>
    </row>
    <row r="228" spans="1:16" x14ac:dyDescent="0.2">
      <c r="A228" s="2" t="s">
        <v>1765</v>
      </c>
      <c r="B228" s="3">
        <v>43887</v>
      </c>
      <c r="C228" s="2" t="s">
        <v>1766</v>
      </c>
      <c r="D228" t="s">
        <v>6175</v>
      </c>
      <c r="E228" s="2">
        <v>5</v>
      </c>
      <c r="F228" s="2" t="str">
        <f>_xlfn.XLOOKUP(Data_orders!C228,Data_customers!$A$1:$A$1001,Data_customers!$B$1:$B$1001,,0)</f>
        <v>Anabelle Hutchens</v>
      </c>
      <c r="G228" s="2" t="str">
        <f>IF(_xlfn.XLOOKUP(C228,Data_customers!$A$1:$A$1001,Data_customers!$C$1:$C$1001,,0)=0,"",_xlfn.XLOOKUP(C228,Data_customers!$A$1:$A$1001,Data_customers!$C$1:$C$1001,,0))</f>
        <v>ahutchens6a@amazonaws.com</v>
      </c>
      <c r="H228" s="2" t="str">
        <f>_xlfn.XLOOKUP(C228,Data_customers!$A$1:$A$1001,Data_customers!$G$1:$G$1001,"",0)</f>
        <v>United States</v>
      </c>
      <c r="I228" t="str">
        <f>INDEX(Data_products!$A$1:$G$49, MATCH(Data_orders!$D228,Data_products!$A$1:$A$49,0), MATCH(Data_orders!I$1,Data_products!$A$1:$G$1,0))</f>
        <v>Ara</v>
      </c>
      <c r="J228" t="str">
        <f>INDEX(Data_products!$A$1:$G$49, MATCH(Data_orders!$D228,Data_products!$A$1:$A$49,0), MATCH(Data_orders!J$1,Data_products!$A$1:$G$1,0))</f>
        <v>M</v>
      </c>
      <c r="K228" s="4">
        <f>INDEX(Data_products!$A$1:$G$49, MATCH(Data_orders!$D228,Data_products!$A$1:$A$49,0), MATCH(Data_orders!K$1,Data_products!$A$1:$G$1,0))</f>
        <v>2.5</v>
      </c>
      <c r="L228">
        <f>INDEX(Data_products!$A$1:$G$49, MATCH(Data_orders!$D228,Data_products!$A$1:$A$49,0), MATCH(Data_orders!L$1,Data_products!$A$1:$G$1,0))</f>
        <v>25.874999999999996</v>
      </c>
      <c r="M228">
        <f t="shared" si="6"/>
        <v>129.37499999999997</v>
      </c>
      <c r="N228" t="str" cm="1">
        <f t="array" ref="N228">_xlfn.IFS(I228 = "Rob", "Robusta", I228 = "Exc", "Excelsa", I228 = "Ara", "Arabica", I228 = "Lib", "Liberica")</f>
        <v>Arabica</v>
      </c>
      <c r="O228" t="str">
        <f t="shared" si="7"/>
        <v>Medium</v>
      </c>
      <c r="P228" t="str">
        <f>_xlfn.XLOOKUP(Table1[[#This Row],[Customer ID]],Data_customers!$A$2:$A$1001,Data_customers!$I$2:$I$1001,,0)</f>
        <v>No</v>
      </c>
    </row>
    <row r="229" spans="1:16" x14ac:dyDescent="0.2">
      <c r="A229" s="2" t="s">
        <v>1771</v>
      </c>
      <c r="B229" s="3">
        <v>43880</v>
      </c>
      <c r="C229" s="2" t="s">
        <v>1772</v>
      </c>
      <c r="D229" t="s">
        <v>6163</v>
      </c>
      <c r="E229" s="2">
        <v>6</v>
      </c>
      <c r="F229" s="2" t="str">
        <f>_xlfn.XLOOKUP(Data_orders!C229,Data_customers!$A$1:$A$1001,Data_customers!$B$1:$B$1001,,0)</f>
        <v>Noak Wyvill</v>
      </c>
      <c r="G229" s="2" t="str">
        <f>IF(_xlfn.XLOOKUP(C229,Data_customers!$A$1:$A$1001,Data_customers!$C$1:$C$1001,,0)=0,"",_xlfn.XLOOKUP(C229,Data_customers!$A$1:$A$1001,Data_customers!$C$1:$C$1001,,0))</f>
        <v>nwyvill6b@naver.com</v>
      </c>
      <c r="H229" s="2" t="str">
        <f>_xlfn.XLOOKUP(C229,Data_customers!$A$1:$A$1001,Data_customers!$G$1:$G$1001,"",0)</f>
        <v>United Kingdom</v>
      </c>
      <c r="I229" t="str">
        <f>INDEX(Data_products!$A$1:$G$49, MATCH(Data_orders!$D229,Data_products!$A$1:$A$49,0), MATCH(Data_orders!I$1,Data_products!$A$1:$G$1,0))</f>
        <v>Rob</v>
      </c>
      <c r="J229" t="str">
        <f>INDEX(Data_products!$A$1:$G$49, MATCH(Data_orders!$D229,Data_products!$A$1:$A$49,0), MATCH(Data_orders!J$1,Data_products!$A$1:$G$1,0))</f>
        <v>D</v>
      </c>
      <c r="K229" s="4">
        <f>INDEX(Data_products!$A$1:$G$49, MATCH(Data_orders!$D229,Data_products!$A$1:$A$49,0), MATCH(Data_orders!K$1,Data_products!$A$1:$G$1,0))</f>
        <v>0.2</v>
      </c>
      <c r="L229">
        <f>INDEX(Data_products!$A$1:$G$49, MATCH(Data_orders!$D229,Data_products!$A$1:$A$49,0), MATCH(Data_orders!L$1,Data_products!$A$1:$G$1,0))</f>
        <v>2.6849999999999996</v>
      </c>
      <c r="M229">
        <f t="shared" si="6"/>
        <v>16.11</v>
      </c>
      <c r="N229" t="str" cm="1">
        <f t="array" ref="N229">_xlfn.IFS(I229 = "Rob", "Robusta", I229 = "Exc", "Excelsa", I229 = "Ara", "Arabica", I229 = "Lib", "Liberica")</f>
        <v>Robusta</v>
      </c>
      <c r="O229" t="str">
        <f t="shared" si="7"/>
        <v>Dark</v>
      </c>
      <c r="P229" t="str">
        <f>_xlfn.XLOOKUP(Table1[[#This Row],[Customer ID]],Data_customers!$A$2:$A$1001,Data_customers!$I$2:$I$1001,,0)</f>
        <v>Yes</v>
      </c>
    </row>
    <row r="230" spans="1:16" x14ac:dyDescent="0.2">
      <c r="A230" s="2" t="s">
        <v>1777</v>
      </c>
      <c r="B230" s="3">
        <v>44376</v>
      </c>
      <c r="C230" s="2" t="s">
        <v>1778</v>
      </c>
      <c r="D230" t="s">
        <v>6178</v>
      </c>
      <c r="E230" s="2">
        <v>5</v>
      </c>
      <c r="F230" s="2" t="str">
        <f>_xlfn.XLOOKUP(Data_orders!C230,Data_customers!$A$1:$A$1001,Data_customers!$B$1:$B$1001,,0)</f>
        <v>Beltran Mathon</v>
      </c>
      <c r="G230" s="2" t="str">
        <f>IF(_xlfn.XLOOKUP(C230,Data_customers!$A$1:$A$1001,Data_customers!$C$1:$C$1001,,0)=0,"",_xlfn.XLOOKUP(C230,Data_customers!$A$1:$A$1001,Data_customers!$C$1:$C$1001,,0))</f>
        <v>bmathon6c@barnesandnoble.com</v>
      </c>
      <c r="H230" s="2" t="str">
        <f>_xlfn.XLOOKUP(C230,Data_customers!$A$1:$A$1001,Data_customers!$G$1:$G$1001,"",0)</f>
        <v>United States</v>
      </c>
      <c r="I230" t="str">
        <f>INDEX(Data_products!$A$1:$G$49, MATCH(Data_orders!$D230,Data_products!$A$1:$A$49,0), MATCH(Data_orders!I$1,Data_products!$A$1:$G$1,0))</f>
        <v>Rob</v>
      </c>
      <c r="J230" t="str">
        <f>INDEX(Data_products!$A$1:$G$49, MATCH(Data_orders!$D230,Data_products!$A$1:$A$49,0), MATCH(Data_orders!J$1,Data_products!$A$1:$G$1,0))</f>
        <v>L</v>
      </c>
      <c r="K230" s="4">
        <f>INDEX(Data_products!$A$1:$G$49, MATCH(Data_orders!$D230,Data_products!$A$1:$A$49,0), MATCH(Data_orders!K$1,Data_products!$A$1:$G$1,0))</f>
        <v>0.2</v>
      </c>
      <c r="L230">
        <f>INDEX(Data_products!$A$1:$G$49, MATCH(Data_orders!$D230,Data_products!$A$1:$A$49,0), MATCH(Data_orders!L$1,Data_products!$A$1:$G$1,0))</f>
        <v>3.5849999999999995</v>
      </c>
      <c r="M230">
        <f t="shared" si="6"/>
        <v>17.924999999999997</v>
      </c>
      <c r="N230" t="str" cm="1">
        <f t="array" ref="N230">_xlfn.IFS(I230 = "Rob", "Robusta", I230 = "Exc", "Excelsa", I230 = "Ara", "Arabica", I230 = "Lib", "Liberica")</f>
        <v>Robusta</v>
      </c>
      <c r="O230" t="str">
        <f t="shared" si="7"/>
        <v>Light</v>
      </c>
      <c r="P230" t="str">
        <f>_xlfn.XLOOKUP(Table1[[#This Row],[Customer ID]],Data_customers!$A$2:$A$1001,Data_customers!$I$2:$I$1001,,0)</f>
        <v>No</v>
      </c>
    </row>
    <row r="231" spans="1:16" x14ac:dyDescent="0.2">
      <c r="A231" s="2" t="s">
        <v>1783</v>
      </c>
      <c r="B231" s="3">
        <v>44282</v>
      </c>
      <c r="C231" s="2" t="s">
        <v>1784</v>
      </c>
      <c r="D231" t="s">
        <v>6159</v>
      </c>
      <c r="E231" s="2">
        <v>2</v>
      </c>
      <c r="F231" s="2" t="str">
        <f>_xlfn.XLOOKUP(Data_orders!C231,Data_customers!$A$1:$A$1001,Data_customers!$B$1:$B$1001,,0)</f>
        <v>Kristos Streight</v>
      </c>
      <c r="G231" s="2" t="str">
        <f>IF(_xlfn.XLOOKUP(C231,Data_customers!$A$1:$A$1001,Data_customers!$C$1:$C$1001,,0)=0,"",_xlfn.XLOOKUP(C231,Data_customers!$A$1:$A$1001,Data_customers!$C$1:$C$1001,,0))</f>
        <v>kstreight6d@about.com</v>
      </c>
      <c r="H231" s="2" t="str">
        <f>_xlfn.XLOOKUP(C231,Data_customers!$A$1:$A$1001,Data_customers!$G$1:$G$1001,"",0)</f>
        <v>United States</v>
      </c>
      <c r="I231" t="str">
        <f>INDEX(Data_products!$A$1:$G$49, MATCH(Data_orders!$D231,Data_products!$A$1:$A$49,0), MATCH(Data_orders!I$1,Data_products!$A$1:$G$1,0))</f>
        <v>Lib</v>
      </c>
      <c r="J231" t="str">
        <f>INDEX(Data_products!$A$1:$G$49, MATCH(Data_orders!$D231,Data_products!$A$1:$A$49,0), MATCH(Data_orders!J$1,Data_products!$A$1:$G$1,0))</f>
        <v>M</v>
      </c>
      <c r="K231" s="4">
        <f>INDEX(Data_products!$A$1:$G$49, MATCH(Data_orders!$D231,Data_products!$A$1:$A$49,0), MATCH(Data_orders!K$1,Data_products!$A$1:$G$1,0))</f>
        <v>0.2</v>
      </c>
      <c r="L231">
        <f>INDEX(Data_products!$A$1:$G$49, MATCH(Data_orders!$D231,Data_products!$A$1:$A$49,0), MATCH(Data_orders!L$1,Data_products!$A$1:$G$1,0))</f>
        <v>4.3650000000000002</v>
      </c>
      <c r="M231">
        <f t="shared" si="6"/>
        <v>8.73</v>
      </c>
      <c r="N231" t="str" cm="1">
        <f t="array" ref="N231">_xlfn.IFS(I231 = "Rob", "Robusta", I231 = "Exc", "Excelsa", I231 = "Ara", "Arabica", I231 = "Lib", "Liberica")</f>
        <v>Liberica</v>
      </c>
      <c r="O231" t="str">
        <f t="shared" si="7"/>
        <v>Medium</v>
      </c>
      <c r="P231" t="str">
        <f>_xlfn.XLOOKUP(Table1[[#This Row],[Customer ID]],Data_customers!$A$2:$A$1001,Data_customers!$I$2:$I$1001,,0)</f>
        <v>No</v>
      </c>
    </row>
    <row r="232" spans="1:16" x14ac:dyDescent="0.2">
      <c r="A232" s="2" t="s">
        <v>1789</v>
      </c>
      <c r="B232" s="3">
        <v>44496</v>
      </c>
      <c r="C232" s="2" t="s">
        <v>1790</v>
      </c>
      <c r="D232" t="s">
        <v>6175</v>
      </c>
      <c r="E232" s="2">
        <v>2</v>
      </c>
      <c r="F232" s="2" t="str">
        <f>_xlfn.XLOOKUP(Data_orders!C232,Data_customers!$A$1:$A$1001,Data_customers!$B$1:$B$1001,,0)</f>
        <v>Portie Cutchie</v>
      </c>
      <c r="G232" s="2" t="str">
        <f>IF(_xlfn.XLOOKUP(C232,Data_customers!$A$1:$A$1001,Data_customers!$C$1:$C$1001,,0)=0,"",_xlfn.XLOOKUP(C232,Data_customers!$A$1:$A$1001,Data_customers!$C$1:$C$1001,,0))</f>
        <v>pcutchie6e@globo.com</v>
      </c>
      <c r="H232" s="2" t="str">
        <f>_xlfn.XLOOKUP(C232,Data_customers!$A$1:$A$1001,Data_customers!$G$1:$G$1001,"",0)</f>
        <v>United States</v>
      </c>
      <c r="I232" t="str">
        <f>INDEX(Data_products!$A$1:$G$49, MATCH(Data_orders!$D232,Data_products!$A$1:$A$49,0), MATCH(Data_orders!I$1,Data_products!$A$1:$G$1,0))</f>
        <v>Ara</v>
      </c>
      <c r="J232" t="str">
        <f>INDEX(Data_products!$A$1:$G$49, MATCH(Data_orders!$D232,Data_products!$A$1:$A$49,0), MATCH(Data_orders!J$1,Data_products!$A$1:$G$1,0))</f>
        <v>M</v>
      </c>
      <c r="K232" s="4">
        <f>INDEX(Data_products!$A$1:$G$49, MATCH(Data_orders!$D232,Data_products!$A$1:$A$49,0), MATCH(Data_orders!K$1,Data_products!$A$1:$G$1,0))</f>
        <v>2.5</v>
      </c>
      <c r="L232">
        <f>INDEX(Data_products!$A$1:$G$49, MATCH(Data_orders!$D232,Data_products!$A$1:$A$49,0), MATCH(Data_orders!L$1,Data_products!$A$1:$G$1,0))</f>
        <v>25.874999999999996</v>
      </c>
      <c r="M232">
        <f t="shared" si="6"/>
        <v>51.749999999999993</v>
      </c>
      <c r="N232" t="str" cm="1">
        <f t="array" ref="N232">_xlfn.IFS(I232 = "Rob", "Robusta", I232 = "Exc", "Excelsa", I232 = "Ara", "Arabica", I232 = "Lib", "Liberica")</f>
        <v>Arabica</v>
      </c>
      <c r="O232" t="str">
        <f t="shared" si="7"/>
        <v>Medium</v>
      </c>
      <c r="P232" t="str">
        <f>_xlfn.XLOOKUP(Table1[[#This Row],[Customer ID]],Data_customers!$A$2:$A$1001,Data_customers!$I$2:$I$1001,,0)</f>
        <v>No</v>
      </c>
    </row>
    <row r="233" spans="1:16" x14ac:dyDescent="0.2">
      <c r="A233" s="2" t="s">
        <v>1795</v>
      </c>
      <c r="B233" s="3">
        <v>43628</v>
      </c>
      <c r="C233" s="2" t="s">
        <v>1796</v>
      </c>
      <c r="D233" t="s">
        <v>6159</v>
      </c>
      <c r="E233" s="2">
        <v>2</v>
      </c>
      <c r="F233" s="2" t="str">
        <f>_xlfn.XLOOKUP(Data_orders!C233,Data_customers!$A$1:$A$1001,Data_customers!$B$1:$B$1001,,0)</f>
        <v>Sinclare Edsell</v>
      </c>
      <c r="G233" s="2" t="str">
        <f>IF(_xlfn.XLOOKUP(C233,Data_customers!$A$1:$A$1001,Data_customers!$C$1:$C$1001,,0)=0,"",_xlfn.XLOOKUP(C233,Data_customers!$A$1:$A$1001,Data_customers!$C$1:$C$1001,,0))</f>
        <v/>
      </c>
      <c r="H233" s="2" t="str">
        <f>_xlfn.XLOOKUP(C233,Data_customers!$A$1:$A$1001,Data_customers!$G$1:$G$1001,"",0)</f>
        <v>United States</v>
      </c>
      <c r="I233" t="str">
        <f>INDEX(Data_products!$A$1:$G$49, MATCH(Data_orders!$D233,Data_products!$A$1:$A$49,0), MATCH(Data_orders!I$1,Data_products!$A$1:$G$1,0))</f>
        <v>Lib</v>
      </c>
      <c r="J233" t="str">
        <f>INDEX(Data_products!$A$1:$G$49, MATCH(Data_orders!$D233,Data_products!$A$1:$A$49,0), MATCH(Data_orders!J$1,Data_products!$A$1:$G$1,0))</f>
        <v>M</v>
      </c>
      <c r="K233" s="4">
        <f>INDEX(Data_products!$A$1:$G$49, MATCH(Data_orders!$D233,Data_products!$A$1:$A$49,0), MATCH(Data_orders!K$1,Data_products!$A$1:$G$1,0))</f>
        <v>0.2</v>
      </c>
      <c r="L233">
        <f>INDEX(Data_products!$A$1:$G$49, MATCH(Data_orders!$D233,Data_products!$A$1:$A$49,0), MATCH(Data_orders!L$1,Data_products!$A$1:$G$1,0))</f>
        <v>4.3650000000000002</v>
      </c>
      <c r="M233">
        <f t="shared" si="6"/>
        <v>8.73</v>
      </c>
      <c r="N233" t="str" cm="1">
        <f t="array" ref="N233">_xlfn.IFS(I233 = "Rob", "Robusta", I233 = "Exc", "Excelsa", I233 = "Ara", "Arabica", I233 = "Lib", "Liberica")</f>
        <v>Liberica</v>
      </c>
      <c r="O233" t="str">
        <f t="shared" si="7"/>
        <v>Medium</v>
      </c>
      <c r="P233" t="str">
        <f>_xlfn.XLOOKUP(Table1[[#This Row],[Customer ID]],Data_customers!$A$2:$A$1001,Data_customers!$I$2:$I$1001,,0)</f>
        <v>Yes</v>
      </c>
    </row>
    <row r="234" spans="1:16" x14ac:dyDescent="0.2">
      <c r="A234" s="2" t="s">
        <v>1800</v>
      </c>
      <c r="B234" s="3">
        <v>44010</v>
      </c>
      <c r="C234" s="2" t="s">
        <v>1801</v>
      </c>
      <c r="D234" t="s">
        <v>6145</v>
      </c>
      <c r="E234" s="2">
        <v>5</v>
      </c>
      <c r="F234" s="2" t="str">
        <f>_xlfn.XLOOKUP(Data_orders!C234,Data_customers!$A$1:$A$1001,Data_customers!$B$1:$B$1001,,0)</f>
        <v>Conny Gheraldi</v>
      </c>
      <c r="G234" s="2" t="str">
        <f>IF(_xlfn.XLOOKUP(C234,Data_customers!$A$1:$A$1001,Data_customers!$C$1:$C$1001,,0)=0,"",_xlfn.XLOOKUP(C234,Data_customers!$A$1:$A$1001,Data_customers!$C$1:$C$1001,,0))</f>
        <v>cgheraldi6g@opera.com</v>
      </c>
      <c r="H234" s="2" t="str">
        <f>_xlfn.XLOOKUP(C234,Data_customers!$A$1:$A$1001,Data_customers!$G$1:$G$1001,"",0)</f>
        <v>United Kingdom</v>
      </c>
      <c r="I234" t="str">
        <f>INDEX(Data_products!$A$1:$G$49, MATCH(Data_orders!$D234,Data_products!$A$1:$A$49,0), MATCH(Data_orders!I$1,Data_products!$A$1:$G$1,0))</f>
        <v>Lib</v>
      </c>
      <c r="J234" t="str">
        <f>INDEX(Data_products!$A$1:$G$49, MATCH(Data_orders!$D234,Data_products!$A$1:$A$49,0), MATCH(Data_orders!J$1,Data_products!$A$1:$G$1,0))</f>
        <v>L</v>
      </c>
      <c r="K234" s="4">
        <f>INDEX(Data_products!$A$1:$G$49, MATCH(Data_orders!$D234,Data_products!$A$1:$A$49,0), MATCH(Data_orders!K$1,Data_products!$A$1:$G$1,0))</f>
        <v>0.2</v>
      </c>
      <c r="L234">
        <f>INDEX(Data_products!$A$1:$G$49, MATCH(Data_orders!$D234,Data_products!$A$1:$A$49,0), MATCH(Data_orders!L$1,Data_products!$A$1:$G$1,0))</f>
        <v>4.7549999999999999</v>
      </c>
      <c r="M234">
        <f t="shared" si="6"/>
        <v>23.774999999999999</v>
      </c>
      <c r="N234" t="str" cm="1">
        <f t="array" ref="N234">_xlfn.IFS(I234 = "Rob", "Robusta", I234 = "Exc", "Excelsa", I234 = "Ara", "Arabica", I234 = "Lib", "Liberica")</f>
        <v>Liberica</v>
      </c>
      <c r="O234" t="str">
        <f t="shared" si="7"/>
        <v>Light</v>
      </c>
      <c r="P234" t="str">
        <f>_xlfn.XLOOKUP(Table1[[#This Row],[Customer ID]],Data_customers!$A$2:$A$1001,Data_customers!$I$2:$I$1001,,0)</f>
        <v>No</v>
      </c>
    </row>
    <row r="235" spans="1:16" x14ac:dyDescent="0.2">
      <c r="A235" s="2" t="s">
        <v>1806</v>
      </c>
      <c r="B235" s="3">
        <v>44278</v>
      </c>
      <c r="C235" s="2" t="s">
        <v>1807</v>
      </c>
      <c r="D235" t="s">
        <v>6156</v>
      </c>
      <c r="E235" s="2">
        <v>5</v>
      </c>
      <c r="F235" s="2" t="str">
        <f>_xlfn.XLOOKUP(Data_orders!C235,Data_customers!$A$1:$A$1001,Data_customers!$B$1:$B$1001,,0)</f>
        <v>Beryle Kenwell</v>
      </c>
      <c r="G235" s="2" t="str">
        <f>IF(_xlfn.XLOOKUP(C235,Data_customers!$A$1:$A$1001,Data_customers!$C$1:$C$1001,,0)=0,"",_xlfn.XLOOKUP(C235,Data_customers!$A$1:$A$1001,Data_customers!$C$1:$C$1001,,0))</f>
        <v>bkenwell6h@over-blog.com</v>
      </c>
      <c r="H235" s="2" t="str">
        <f>_xlfn.XLOOKUP(C235,Data_customers!$A$1:$A$1001,Data_customers!$G$1:$G$1001,"",0)</f>
        <v>United States</v>
      </c>
      <c r="I235" t="str">
        <f>INDEX(Data_products!$A$1:$G$49, MATCH(Data_orders!$D235,Data_products!$A$1:$A$49,0), MATCH(Data_orders!I$1,Data_products!$A$1:$G$1,0))</f>
        <v>Exc</v>
      </c>
      <c r="J235" t="str">
        <f>INDEX(Data_products!$A$1:$G$49, MATCH(Data_orders!$D235,Data_products!$A$1:$A$49,0), MATCH(Data_orders!J$1,Data_products!$A$1:$G$1,0))</f>
        <v>M</v>
      </c>
      <c r="K235" s="4">
        <f>INDEX(Data_products!$A$1:$G$49, MATCH(Data_orders!$D235,Data_products!$A$1:$A$49,0), MATCH(Data_orders!K$1,Data_products!$A$1:$G$1,0))</f>
        <v>0.2</v>
      </c>
      <c r="L235">
        <f>INDEX(Data_products!$A$1:$G$49, MATCH(Data_orders!$D235,Data_products!$A$1:$A$49,0), MATCH(Data_orders!L$1,Data_products!$A$1:$G$1,0))</f>
        <v>4.125</v>
      </c>
      <c r="M235">
        <f t="shared" si="6"/>
        <v>20.625</v>
      </c>
      <c r="N235" t="str" cm="1">
        <f t="array" ref="N235">_xlfn.IFS(I235 = "Rob", "Robusta", I235 = "Exc", "Excelsa", I235 = "Ara", "Arabica", I235 = "Lib", "Liberica")</f>
        <v>Excelsa</v>
      </c>
      <c r="O235" t="str">
        <f t="shared" si="7"/>
        <v>Medium</v>
      </c>
      <c r="P235" t="str">
        <f>_xlfn.XLOOKUP(Table1[[#This Row],[Customer ID]],Data_customers!$A$2:$A$1001,Data_customers!$I$2:$I$1001,,0)</f>
        <v>No</v>
      </c>
    </row>
    <row r="236" spans="1:16" x14ac:dyDescent="0.2">
      <c r="A236" s="2" t="s">
        <v>1812</v>
      </c>
      <c r="B236" s="3">
        <v>44602</v>
      </c>
      <c r="C236" s="2" t="s">
        <v>1813</v>
      </c>
      <c r="D236" t="s">
        <v>6164</v>
      </c>
      <c r="E236" s="2">
        <v>1</v>
      </c>
      <c r="F236" s="2" t="str">
        <f>_xlfn.XLOOKUP(Data_orders!C236,Data_customers!$A$1:$A$1001,Data_customers!$B$1:$B$1001,,0)</f>
        <v>Tomas Sutty</v>
      </c>
      <c r="G236" s="2" t="str">
        <f>IF(_xlfn.XLOOKUP(C236,Data_customers!$A$1:$A$1001,Data_customers!$C$1:$C$1001,,0)=0,"",_xlfn.XLOOKUP(C236,Data_customers!$A$1:$A$1001,Data_customers!$C$1:$C$1001,,0))</f>
        <v>tsutty6i@google.es</v>
      </c>
      <c r="H236" s="2" t="str">
        <f>_xlfn.XLOOKUP(C236,Data_customers!$A$1:$A$1001,Data_customers!$G$1:$G$1001,"",0)</f>
        <v>United States</v>
      </c>
      <c r="I236" t="str">
        <f>INDEX(Data_products!$A$1:$G$49, MATCH(Data_orders!$D236,Data_products!$A$1:$A$49,0), MATCH(Data_orders!I$1,Data_products!$A$1:$G$1,0))</f>
        <v>Lib</v>
      </c>
      <c r="J236" t="str">
        <f>INDEX(Data_products!$A$1:$G$49, MATCH(Data_orders!$D236,Data_products!$A$1:$A$49,0), MATCH(Data_orders!J$1,Data_products!$A$1:$G$1,0))</f>
        <v>L</v>
      </c>
      <c r="K236" s="4">
        <f>INDEX(Data_products!$A$1:$G$49, MATCH(Data_orders!$D236,Data_products!$A$1:$A$49,0), MATCH(Data_orders!K$1,Data_products!$A$1:$G$1,0))</f>
        <v>2.5</v>
      </c>
      <c r="L236">
        <f>INDEX(Data_products!$A$1:$G$49, MATCH(Data_orders!$D236,Data_products!$A$1:$A$49,0), MATCH(Data_orders!L$1,Data_products!$A$1:$G$1,0))</f>
        <v>36.454999999999998</v>
      </c>
      <c r="M236">
        <f t="shared" si="6"/>
        <v>36.454999999999998</v>
      </c>
      <c r="N236" t="str" cm="1">
        <f t="array" ref="N236">_xlfn.IFS(I236 = "Rob", "Robusta", I236 = "Exc", "Excelsa", I236 = "Ara", "Arabica", I236 = "Lib", "Liberica")</f>
        <v>Liberica</v>
      </c>
      <c r="O236" t="str">
        <f t="shared" si="7"/>
        <v>Light</v>
      </c>
      <c r="P236" t="str">
        <f>_xlfn.XLOOKUP(Table1[[#This Row],[Customer ID]],Data_customers!$A$2:$A$1001,Data_customers!$I$2:$I$1001,,0)</f>
        <v>No</v>
      </c>
    </row>
    <row r="237" spans="1:16" x14ac:dyDescent="0.2">
      <c r="A237" s="2" t="s">
        <v>1818</v>
      </c>
      <c r="B237" s="3">
        <v>43571</v>
      </c>
      <c r="C237" s="2" t="s">
        <v>1819</v>
      </c>
      <c r="D237" t="s">
        <v>6164</v>
      </c>
      <c r="E237" s="2">
        <v>5</v>
      </c>
      <c r="F237" s="2" t="str">
        <f>_xlfn.XLOOKUP(Data_orders!C237,Data_customers!$A$1:$A$1001,Data_customers!$B$1:$B$1001,,0)</f>
        <v>Samuele Ales0</v>
      </c>
      <c r="G237" s="2" t="str">
        <f>IF(_xlfn.XLOOKUP(C237,Data_customers!$A$1:$A$1001,Data_customers!$C$1:$C$1001,,0)=0,"",_xlfn.XLOOKUP(C237,Data_customers!$A$1:$A$1001,Data_customers!$C$1:$C$1001,,0))</f>
        <v/>
      </c>
      <c r="H237" s="2" t="str">
        <f>_xlfn.XLOOKUP(C237,Data_customers!$A$1:$A$1001,Data_customers!$G$1:$G$1001,"",0)</f>
        <v>Ireland</v>
      </c>
      <c r="I237" t="str">
        <f>INDEX(Data_products!$A$1:$G$49, MATCH(Data_orders!$D237,Data_products!$A$1:$A$49,0), MATCH(Data_orders!I$1,Data_products!$A$1:$G$1,0))</f>
        <v>Lib</v>
      </c>
      <c r="J237" t="str">
        <f>INDEX(Data_products!$A$1:$G$49, MATCH(Data_orders!$D237,Data_products!$A$1:$A$49,0), MATCH(Data_orders!J$1,Data_products!$A$1:$G$1,0))</f>
        <v>L</v>
      </c>
      <c r="K237" s="4">
        <f>INDEX(Data_products!$A$1:$G$49, MATCH(Data_orders!$D237,Data_products!$A$1:$A$49,0), MATCH(Data_orders!K$1,Data_products!$A$1:$G$1,0))</f>
        <v>2.5</v>
      </c>
      <c r="L237">
        <f>INDEX(Data_products!$A$1:$G$49, MATCH(Data_orders!$D237,Data_products!$A$1:$A$49,0), MATCH(Data_orders!L$1,Data_products!$A$1:$G$1,0))</f>
        <v>36.454999999999998</v>
      </c>
      <c r="M237">
        <f t="shared" si="6"/>
        <v>182.27499999999998</v>
      </c>
      <c r="N237" t="str" cm="1">
        <f t="array" ref="N237">_xlfn.IFS(I237 = "Rob", "Robusta", I237 = "Exc", "Excelsa", I237 = "Ara", "Arabica", I237 = "Lib", "Liberica")</f>
        <v>Liberica</v>
      </c>
      <c r="O237" t="str">
        <f t="shared" si="7"/>
        <v>Light</v>
      </c>
      <c r="P237" t="str">
        <f>_xlfn.XLOOKUP(Table1[[#This Row],[Customer ID]],Data_customers!$A$2:$A$1001,Data_customers!$I$2:$I$1001,,0)</f>
        <v>No</v>
      </c>
    </row>
    <row r="238" spans="1:16" x14ac:dyDescent="0.2">
      <c r="A238" s="2" t="s">
        <v>1822</v>
      </c>
      <c r="B238" s="3">
        <v>43873</v>
      </c>
      <c r="C238" s="2" t="s">
        <v>1823</v>
      </c>
      <c r="D238" t="s">
        <v>6165</v>
      </c>
      <c r="E238" s="2">
        <v>3</v>
      </c>
      <c r="F238" s="2" t="str">
        <f>_xlfn.XLOOKUP(Data_orders!C238,Data_customers!$A$1:$A$1001,Data_customers!$B$1:$B$1001,,0)</f>
        <v>Carlie Harce</v>
      </c>
      <c r="G238" s="2" t="str">
        <f>IF(_xlfn.XLOOKUP(C238,Data_customers!$A$1:$A$1001,Data_customers!$C$1:$C$1001,,0)=0,"",_xlfn.XLOOKUP(C238,Data_customers!$A$1:$A$1001,Data_customers!$C$1:$C$1001,,0))</f>
        <v>charce6k@cafepress.com</v>
      </c>
      <c r="H238" s="2" t="str">
        <f>_xlfn.XLOOKUP(C238,Data_customers!$A$1:$A$1001,Data_customers!$G$1:$G$1001,"",0)</f>
        <v>Ireland</v>
      </c>
      <c r="I238" t="str">
        <f>INDEX(Data_products!$A$1:$G$49, MATCH(Data_orders!$D238,Data_products!$A$1:$A$49,0), MATCH(Data_orders!I$1,Data_products!$A$1:$G$1,0))</f>
        <v>Lib</v>
      </c>
      <c r="J238" t="str">
        <f>INDEX(Data_products!$A$1:$G$49, MATCH(Data_orders!$D238,Data_products!$A$1:$A$49,0), MATCH(Data_orders!J$1,Data_products!$A$1:$G$1,0))</f>
        <v>D</v>
      </c>
      <c r="K238" s="4">
        <f>INDEX(Data_products!$A$1:$G$49, MATCH(Data_orders!$D238,Data_products!$A$1:$A$49,0), MATCH(Data_orders!K$1,Data_products!$A$1:$G$1,0))</f>
        <v>2.5</v>
      </c>
      <c r="L238">
        <f>INDEX(Data_products!$A$1:$G$49, MATCH(Data_orders!$D238,Data_products!$A$1:$A$49,0), MATCH(Data_orders!L$1,Data_products!$A$1:$G$1,0))</f>
        <v>29.784999999999997</v>
      </c>
      <c r="M238">
        <f t="shared" si="6"/>
        <v>89.35499999999999</v>
      </c>
      <c r="N238" t="str" cm="1">
        <f t="array" ref="N238">_xlfn.IFS(I238 = "Rob", "Robusta", I238 = "Exc", "Excelsa", I238 = "Ara", "Arabica", I238 = "Lib", "Liberica")</f>
        <v>Liberica</v>
      </c>
      <c r="O238" t="str">
        <f t="shared" si="7"/>
        <v>Dark</v>
      </c>
      <c r="P238" t="str">
        <f>_xlfn.XLOOKUP(Table1[[#This Row],[Customer ID]],Data_customers!$A$2:$A$1001,Data_customers!$I$2:$I$1001,,0)</f>
        <v>No</v>
      </c>
    </row>
    <row r="239" spans="1:16" x14ac:dyDescent="0.2">
      <c r="A239" s="2" t="s">
        <v>1828</v>
      </c>
      <c r="B239" s="3">
        <v>44563</v>
      </c>
      <c r="C239" s="2" t="s">
        <v>1829</v>
      </c>
      <c r="D239" t="s">
        <v>6178</v>
      </c>
      <c r="E239" s="2">
        <v>1</v>
      </c>
      <c r="F239" s="2" t="str">
        <f>_xlfn.XLOOKUP(Data_orders!C239,Data_customers!$A$1:$A$1001,Data_customers!$B$1:$B$1001,,0)</f>
        <v>Craggy Bril</v>
      </c>
      <c r="G239" s="2" t="str">
        <f>IF(_xlfn.XLOOKUP(C239,Data_customers!$A$1:$A$1001,Data_customers!$C$1:$C$1001,,0)=0,"",_xlfn.XLOOKUP(C239,Data_customers!$A$1:$A$1001,Data_customers!$C$1:$C$1001,,0))</f>
        <v/>
      </c>
      <c r="H239" s="2" t="str">
        <f>_xlfn.XLOOKUP(C239,Data_customers!$A$1:$A$1001,Data_customers!$G$1:$G$1001,"",0)</f>
        <v>United States</v>
      </c>
      <c r="I239" t="str">
        <f>INDEX(Data_products!$A$1:$G$49, MATCH(Data_orders!$D239,Data_products!$A$1:$A$49,0), MATCH(Data_orders!I$1,Data_products!$A$1:$G$1,0))</f>
        <v>Rob</v>
      </c>
      <c r="J239" t="str">
        <f>INDEX(Data_products!$A$1:$G$49, MATCH(Data_orders!$D239,Data_products!$A$1:$A$49,0), MATCH(Data_orders!J$1,Data_products!$A$1:$G$1,0))</f>
        <v>L</v>
      </c>
      <c r="K239" s="4">
        <f>INDEX(Data_products!$A$1:$G$49, MATCH(Data_orders!$D239,Data_products!$A$1:$A$49,0), MATCH(Data_orders!K$1,Data_products!$A$1:$G$1,0))</f>
        <v>0.2</v>
      </c>
      <c r="L239">
        <f>INDEX(Data_products!$A$1:$G$49, MATCH(Data_orders!$D239,Data_products!$A$1:$A$49,0), MATCH(Data_orders!L$1,Data_products!$A$1:$G$1,0))</f>
        <v>3.5849999999999995</v>
      </c>
      <c r="M239">
        <f t="shared" si="6"/>
        <v>3.5849999999999995</v>
      </c>
      <c r="N239" t="str" cm="1">
        <f t="array" ref="N239">_xlfn.IFS(I239 = "Rob", "Robusta", I239 = "Exc", "Excelsa", I239 = "Ara", "Arabica", I239 = "Lib", "Liberica")</f>
        <v>Robusta</v>
      </c>
      <c r="O239" t="str">
        <f t="shared" si="7"/>
        <v>Light</v>
      </c>
      <c r="P239" t="str">
        <f>_xlfn.XLOOKUP(Table1[[#This Row],[Customer ID]],Data_customers!$A$2:$A$1001,Data_customers!$I$2:$I$1001,,0)</f>
        <v>Yes</v>
      </c>
    </row>
    <row r="240" spans="1:16" x14ac:dyDescent="0.2">
      <c r="A240" s="2" t="s">
        <v>1833</v>
      </c>
      <c r="B240" s="3">
        <v>44172</v>
      </c>
      <c r="C240" s="2" t="s">
        <v>1834</v>
      </c>
      <c r="D240" t="s">
        <v>6151</v>
      </c>
      <c r="E240" s="2">
        <v>2</v>
      </c>
      <c r="F240" s="2" t="str">
        <f>_xlfn.XLOOKUP(Data_orders!C240,Data_customers!$A$1:$A$1001,Data_customers!$B$1:$B$1001,,0)</f>
        <v>Friederike Drysdale</v>
      </c>
      <c r="G240" s="2" t="str">
        <f>IF(_xlfn.XLOOKUP(C240,Data_customers!$A$1:$A$1001,Data_customers!$C$1:$C$1001,,0)=0,"",_xlfn.XLOOKUP(C240,Data_customers!$A$1:$A$1001,Data_customers!$C$1:$C$1001,,0))</f>
        <v>fdrysdale6m@symantec.com</v>
      </c>
      <c r="H240" s="2" t="str">
        <f>_xlfn.XLOOKUP(C240,Data_customers!$A$1:$A$1001,Data_customers!$G$1:$G$1001,"",0)</f>
        <v>United States</v>
      </c>
      <c r="I240" t="str">
        <f>INDEX(Data_products!$A$1:$G$49, MATCH(Data_orders!$D240,Data_products!$A$1:$A$49,0), MATCH(Data_orders!I$1,Data_products!$A$1:$G$1,0))</f>
        <v>Rob</v>
      </c>
      <c r="J240" t="str">
        <f>INDEX(Data_products!$A$1:$G$49, MATCH(Data_orders!$D240,Data_products!$A$1:$A$49,0), MATCH(Data_orders!J$1,Data_products!$A$1:$G$1,0))</f>
        <v>M</v>
      </c>
      <c r="K240" s="4">
        <f>INDEX(Data_products!$A$1:$G$49, MATCH(Data_orders!$D240,Data_products!$A$1:$A$49,0), MATCH(Data_orders!K$1,Data_products!$A$1:$G$1,0))</f>
        <v>2.5</v>
      </c>
      <c r="L240">
        <f>INDEX(Data_products!$A$1:$G$49, MATCH(Data_orders!$D240,Data_products!$A$1:$A$49,0), MATCH(Data_orders!L$1,Data_products!$A$1:$G$1,0))</f>
        <v>22.884999999999998</v>
      </c>
      <c r="M240">
        <f t="shared" si="6"/>
        <v>45.769999999999996</v>
      </c>
      <c r="N240" t="str" cm="1">
        <f t="array" ref="N240">_xlfn.IFS(I240 = "Rob", "Robusta", I240 = "Exc", "Excelsa", I240 = "Ara", "Arabica", I240 = "Lib", "Liberica")</f>
        <v>Robusta</v>
      </c>
      <c r="O240" t="str">
        <f t="shared" si="7"/>
        <v>Medium</v>
      </c>
      <c r="P240" t="str">
        <f>_xlfn.XLOOKUP(Table1[[#This Row],[Customer ID]],Data_customers!$A$2:$A$1001,Data_customers!$I$2:$I$1001,,0)</f>
        <v>Yes</v>
      </c>
    </row>
    <row r="241" spans="1:16" x14ac:dyDescent="0.2">
      <c r="A241" s="2" t="s">
        <v>1839</v>
      </c>
      <c r="B241" s="3">
        <v>43881</v>
      </c>
      <c r="C241" s="2" t="s">
        <v>1840</v>
      </c>
      <c r="D241" t="s">
        <v>6171</v>
      </c>
      <c r="E241" s="2">
        <v>4</v>
      </c>
      <c r="F241" s="2" t="str">
        <f>_xlfn.XLOOKUP(Data_orders!C241,Data_customers!$A$1:$A$1001,Data_customers!$B$1:$B$1001,,0)</f>
        <v>Devon Magowan</v>
      </c>
      <c r="G241" s="2" t="str">
        <f>IF(_xlfn.XLOOKUP(C241,Data_customers!$A$1:$A$1001,Data_customers!$C$1:$C$1001,,0)=0,"",_xlfn.XLOOKUP(C241,Data_customers!$A$1:$A$1001,Data_customers!$C$1:$C$1001,,0))</f>
        <v>dmagowan6n@fc2.com</v>
      </c>
      <c r="H241" s="2" t="str">
        <f>_xlfn.XLOOKUP(C241,Data_customers!$A$1:$A$1001,Data_customers!$G$1:$G$1001,"",0)</f>
        <v>United States</v>
      </c>
      <c r="I241" t="str">
        <f>INDEX(Data_products!$A$1:$G$49, MATCH(Data_orders!$D241,Data_products!$A$1:$A$49,0), MATCH(Data_orders!I$1,Data_products!$A$1:$G$1,0))</f>
        <v>Exc</v>
      </c>
      <c r="J241" t="str">
        <f>INDEX(Data_products!$A$1:$G$49, MATCH(Data_orders!$D241,Data_products!$A$1:$A$49,0), MATCH(Data_orders!J$1,Data_products!$A$1:$G$1,0))</f>
        <v>L</v>
      </c>
      <c r="K241" s="4">
        <f>INDEX(Data_products!$A$1:$G$49, MATCH(Data_orders!$D241,Data_products!$A$1:$A$49,0), MATCH(Data_orders!K$1,Data_products!$A$1:$G$1,0))</f>
        <v>1</v>
      </c>
      <c r="L241">
        <f>INDEX(Data_products!$A$1:$G$49, MATCH(Data_orders!$D241,Data_products!$A$1:$A$49,0), MATCH(Data_orders!L$1,Data_products!$A$1:$G$1,0))</f>
        <v>14.85</v>
      </c>
      <c r="M241">
        <f t="shared" si="6"/>
        <v>59.4</v>
      </c>
      <c r="N241" t="str" cm="1">
        <f t="array" ref="N241">_xlfn.IFS(I241 = "Rob", "Robusta", I241 = "Exc", "Excelsa", I241 = "Ara", "Arabica", I241 = "Lib", "Liberica")</f>
        <v>Excelsa</v>
      </c>
      <c r="O241" t="str">
        <f t="shared" si="7"/>
        <v>Light</v>
      </c>
      <c r="P241" t="str">
        <f>_xlfn.XLOOKUP(Table1[[#This Row],[Customer ID]],Data_customers!$A$2:$A$1001,Data_customers!$I$2:$I$1001,,0)</f>
        <v>No</v>
      </c>
    </row>
    <row r="242" spans="1:16" x14ac:dyDescent="0.2">
      <c r="A242" s="2" t="s">
        <v>1845</v>
      </c>
      <c r="B242" s="3">
        <v>43993</v>
      </c>
      <c r="C242" s="2" t="s">
        <v>1846</v>
      </c>
      <c r="D242" t="s">
        <v>6175</v>
      </c>
      <c r="E242" s="2">
        <v>6</v>
      </c>
      <c r="F242" s="2" t="str">
        <f>_xlfn.XLOOKUP(Data_orders!C242,Data_customers!$A$1:$A$1001,Data_customers!$B$1:$B$1001,,0)</f>
        <v>Codi Littrell</v>
      </c>
      <c r="G242" s="2" t="str">
        <f>IF(_xlfn.XLOOKUP(C242,Data_customers!$A$1:$A$1001,Data_customers!$C$1:$C$1001,,0)=0,"",_xlfn.XLOOKUP(C242,Data_customers!$A$1:$A$1001,Data_customers!$C$1:$C$1001,,0))</f>
        <v/>
      </c>
      <c r="H242" s="2" t="str">
        <f>_xlfn.XLOOKUP(C242,Data_customers!$A$1:$A$1001,Data_customers!$G$1:$G$1001,"",0)</f>
        <v>United States</v>
      </c>
      <c r="I242" t="str">
        <f>INDEX(Data_products!$A$1:$G$49, MATCH(Data_orders!$D242,Data_products!$A$1:$A$49,0), MATCH(Data_orders!I$1,Data_products!$A$1:$G$1,0))</f>
        <v>Ara</v>
      </c>
      <c r="J242" t="str">
        <f>INDEX(Data_products!$A$1:$G$49, MATCH(Data_orders!$D242,Data_products!$A$1:$A$49,0), MATCH(Data_orders!J$1,Data_products!$A$1:$G$1,0))</f>
        <v>M</v>
      </c>
      <c r="K242" s="4">
        <f>INDEX(Data_products!$A$1:$G$49, MATCH(Data_orders!$D242,Data_products!$A$1:$A$49,0), MATCH(Data_orders!K$1,Data_products!$A$1:$G$1,0))</f>
        <v>2.5</v>
      </c>
      <c r="L242">
        <f>INDEX(Data_products!$A$1:$G$49, MATCH(Data_orders!$D242,Data_products!$A$1:$A$49,0), MATCH(Data_orders!L$1,Data_products!$A$1:$G$1,0))</f>
        <v>25.874999999999996</v>
      </c>
      <c r="M242">
        <f t="shared" si="6"/>
        <v>155.24999999999997</v>
      </c>
      <c r="N242" t="str" cm="1">
        <f t="array" ref="N242">_xlfn.IFS(I242 = "Rob", "Robusta", I242 = "Exc", "Excelsa", I242 = "Ara", "Arabica", I242 = "Lib", "Liberica")</f>
        <v>Arabica</v>
      </c>
      <c r="O242" t="str">
        <f t="shared" si="7"/>
        <v>Medium</v>
      </c>
      <c r="P242" t="str">
        <f>_xlfn.XLOOKUP(Table1[[#This Row],[Customer ID]],Data_customers!$A$2:$A$1001,Data_customers!$I$2:$I$1001,,0)</f>
        <v>Yes</v>
      </c>
    </row>
    <row r="243" spans="1:16" x14ac:dyDescent="0.2">
      <c r="A243" s="2" t="s">
        <v>1849</v>
      </c>
      <c r="B243" s="3">
        <v>44082</v>
      </c>
      <c r="C243" s="2" t="s">
        <v>1850</v>
      </c>
      <c r="D243" t="s">
        <v>6151</v>
      </c>
      <c r="E243" s="2">
        <v>2</v>
      </c>
      <c r="F243" s="2" t="str">
        <f>_xlfn.XLOOKUP(Data_orders!C243,Data_customers!$A$1:$A$1001,Data_customers!$B$1:$B$1001,,0)</f>
        <v>Christel Speak</v>
      </c>
      <c r="G243" s="2" t="str">
        <f>IF(_xlfn.XLOOKUP(C243,Data_customers!$A$1:$A$1001,Data_customers!$C$1:$C$1001,,0)=0,"",_xlfn.XLOOKUP(C243,Data_customers!$A$1:$A$1001,Data_customers!$C$1:$C$1001,,0))</f>
        <v/>
      </c>
      <c r="H243" s="2" t="str">
        <f>_xlfn.XLOOKUP(C243,Data_customers!$A$1:$A$1001,Data_customers!$G$1:$G$1001,"",0)</f>
        <v>United States</v>
      </c>
      <c r="I243" t="str">
        <f>INDEX(Data_products!$A$1:$G$49, MATCH(Data_orders!$D243,Data_products!$A$1:$A$49,0), MATCH(Data_orders!I$1,Data_products!$A$1:$G$1,0))</f>
        <v>Rob</v>
      </c>
      <c r="J243" t="str">
        <f>INDEX(Data_products!$A$1:$G$49, MATCH(Data_orders!$D243,Data_products!$A$1:$A$49,0), MATCH(Data_orders!J$1,Data_products!$A$1:$G$1,0))</f>
        <v>M</v>
      </c>
      <c r="K243" s="4">
        <f>INDEX(Data_products!$A$1:$G$49, MATCH(Data_orders!$D243,Data_products!$A$1:$A$49,0), MATCH(Data_orders!K$1,Data_products!$A$1:$G$1,0))</f>
        <v>2.5</v>
      </c>
      <c r="L243">
        <f>INDEX(Data_products!$A$1:$G$49, MATCH(Data_orders!$D243,Data_products!$A$1:$A$49,0), MATCH(Data_orders!L$1,Data_products!$A$1:$G$1,0))</f>
        <v>22.884999999999998</v>
      </c>
      <c r="M243">
        <f t="shared" si="6"/>
        <v>45.769999999999996</v>
      </c>
      <c r="N243" t="str" cm="1">
        <f t="array" ref="N243">_xlfn.IFS(I243 = "Rob", "Robusta", I243 = "Exc", "Excelsa", I243 = "Ara", "Arabica", I243 = "Lib", "Liberica")</f>
        <v>Robusta</v>
      </c>
      <c r="O243" t="str">
        <f t="shared" si="7"/>
        <v>Medium</v>
      </c>
      <c r="P243" t="str">
        <f>_xlfn.XLOOKUP(Table1[[#This Row],[Customer ID]],Data_customers!$A$2:$A$1001,Data_customers!$I$2:$I$1001,,0)</f>
        <v>No</v>
      </c>
    </row>
    <row r="244" spans="1:16" x14ac:dyDescent="0.2">
      <c r="A244" s="2" t="s">
        <v>1854</v>
      </c>
      <c r="B244" s="3">
        <v>43918</v>
      </c>
      <c r="C244" s="2" t="s">
        <v>1855</v>
      </c>
      <c r="D244" t="s">
        <v>6183</v>
      </c>
      <c r="E244" s="2">
        <v>3</v>
      </c>
      <c r="F244" s="2" t="str">
        <f>_xlfn.XLOOKUP(Data_orders!C244,Data_customers!$A$1:$A$1001,Data_customers!$B$1:$B$1001,,0)</f>
        <v>Sibella Rushbrooke</v>
      </c>
      <c r="G244" s="2" t="str">
        <f>IF(_xlfn.XLOOKUP(C244,Data_customers!$A$1:$A$1001,Data_customers!$C$1:$C$1001,,0)=0,"",_xlfn.XLOOKUP(C244,Data_customers!$A$1:$A$1001,Data_customers!$C$1:$C$1001,,0))</f>
        <v>srushbrooke6q@youku.com</v>
      </c>
      <c r="H244" s="2" t="str">
        <f>_xlfn.XLOOKUP(C244,Data_customers!$A$1:$A$1001,Data_customers!$G$1:$G$1001,"",0)</f>
        <v>United States</v>
      </c>
      <c r="I244" t="str">
        <f>INDEX(Data_products!$A$1:$G$49, MATCH(Data_orders!$D244,Data_products!$A$1:$A$49,0), MATCH(Data_orders!I$1,Data_products!$A$1:$G$1,0))</f>
        <v>Exc</v>
      </c>
      <c r="J244" t="str">
        <f>INDEX(Data_products!$A$1:$G$49, MATCH(Data_orders!$D244,Data_products!$A$1:$A$49,0), MATCH(Data_orders!J$1,Data_products!$A$1:$G$1,0))</f>
        <v>D</v>
      </c>
      <c r="K244" s="4">
        <f>INDEX(Data_products!$A$1:$G$49, MATCH(Data_orders!$D244,Data_products!$A$1:$A$49,0), MATCH(Data_orders!K$1,Data_products!$A$1:$G$1,0))</f>
        <v>1</v>
      </c>
      <c r="L244">
        <f>INDEX(Data_products!$A$1:$G$49, MATCH(Data_orders!$D244,Data_products!$A$1:$A$49,0), MATCH(Data_orders!L$1,Data_products!$A$1:$G$1,0))</f>
        <v>12.15</v>
      </c>
      <c r="M244">
        <f t="shared" si="6"/>
        <v>36.450000000000003</v>
      </c>
      <c r="N244" t="str" cm="1">
        <f t="array" ref="N244">_xlfn.IFS(I244 = "Rob", "Robusta", I244 = "Exc", "Excelsa", I244 = "Ara", "Arabica", I244 = "Lib", "Liberica")</f>
        <v>Excelsa</v>
      </c>
      <c r="O244" t="str">
        <f t="shared" si="7"/>
        <v>Dark</v>
      </c>
      <c r="P244" t="str">
        <f>_xlfn.XLOOKUP(Table1[[#This Row],[Customer ID]],Data_customers!$A$2:$A$1001,Data_customers!$I$2:$I$1001,,0)</f>
        <v>Yes</v>
      </c>
    </row>
    <row r="245" spans="1:16" x14ac:dyDescent="0.2">
      <c r="A245" s="2" t="s">
        <v>1860</v>
      </c>
      <c r="B245" s="3">
        <v>44114</v>
      </c>
      <c r="C245" s="2" t="s">
        <v>1861</v>
      </c>
      <c r="D245" t="s">
        <v>6144</v>
      </c>
      <c r="E245" s="2">
        <v>4</v>
      </c>
      <c r="F245" s="2" t="str">
        <f>_xlfn.XLOOKUP(Data_orders!C245,Data_customers!$A$1:$A$1001,Data_customers!$B$1:$B$1001,,0)</f>
        <v>Tammie Drynan</v>
      </c>
      <c r="G245" s="2" t="str">
        <f>IF(_xlfn.XLOOKUP(C245,Data_customers!$A$1:$A$1001,Data_customers!$C$1:$C$1001,,0)=0,"",_xlfn.XLOOKUP(C245,Data_customers!$A$1:$A$1001,Data_customers!$C$1:$C$1001,,0))</f>
        <v>tdrynan6r@deviantart.com</v>
      </c>
      <c r="H245" s="2" t="str">
        <f>_xlfn.XLOOKUP(C245,Data_customers!$A$1:$A$1001,Data_customers!$G$1:$G$1001,"",0)</f>
        <v>United States</v>
      </c>
      <c r="I245" t="str">
        <f>INDEX(Data_products!$A$1:$G$49, MATCH(Data_orders!$D245,Data_products!$A$1:$A$49,0), MATCH(Data_orders!I$1,Data_products!$A$1:$G$1,0))</f>
        <v>Exc</v>
      </c>
      <c r="J245" t="str">
        <f>INDEX(Data_products!$A$1:$G$49, MATCH(Data_orders!$D245,Data_products!$A$1:$A$49,0), MATCH(Data_orders!J$1,Data_products!$A$1:$G$1,0))</f>
        <v>D</v>
      </c>
      <c r="K245" s="4">
        <f>INDEX(Data_products!$A$1:$G$49, MATCH(Data_orders!$D245,Data_products!$A$1:$A$49,0), MATCH(Data_orders!K$1,Data_products!$A$1:$G$1,0))</f>
        <v>0.5</v>
      </c>
      <c r="L245">
        <f>INDEX(Data_products!$A$1:$G$49, MATCH(Data_orders!$D245,Data_products!$A$1:$A$49,0), MATCH(Data_orders!L$1,Data_products!$A$1:$G$1,0))</f>
        <v>7.29</v>
      </c>
      <c r="M245">
        <f t="shared" si="6"/>
        <v>29.16</v>
      </c>
      <c r="N245" t="str" cm="1">
        <f t="array" ref="N245">_xlfn.IFS(I245 = "Rob", "Robusta", I245 = "Exc", "Excelsa", I245 = "Ara", "Arabica", I245 = "Lib", "Liberica")</f>
        <v>Excelsa</v>
      </c>
      <c r="O245" t="str">
        <f t="shared" si="7"/>
        <v>Dark</v>
      </c>
      <c r="P245" t="str">
        <f>_xlfn.XLOOKUP(Table1[[#This Row],[Customer ID]],Data_customers!$A$2:$A$1001,Data_customers!$I$2:$I$1001,,0)</f>
        <v>Yes</v>
      </c>
    </row>
    <row r="246" spans="1:16" x14ac:dyDescent="0.2">
      <c r="A246" s="2" t="s">
        <v>1866</v>
      </c>
      <c r="B246" s="3">
        <v>44702</v>
      </c>
      <c r="C246" s="2" t="s">
        <v>1867</v>
      </c>
      <c r="D246" t="s">
        <v>6181</v>
      </c>
      <c r="E246" s="2">
        <v>4</v>
      </c>
      <c r="F246" s="2" t="str">
        <f>_xlfn.XLOOKUP(Data_orders!C246,Data_customers!$A$1:$A$1001,Data_customers!$B$1:$B$1001,,0)</f>
        <v>Effie Yurkov</v>
      </c>
      <c r="G246" s="2" t="str">
        <f>IF(_xlfn.XLOOKUP(C246,Data_customers!$A$1:$A$1001,Data_customers!$C$1:$C$1001,,0)=0,"",_xlfn.XLOOKUP(C246,Data_customers!$A$1:$A$1001,Data_customers!$C$1:$C$1001,,0))</f>
        <v>eyurkov6s@hud.gov</v>
      </c>
      <c r="H246" s="2" t="str">
        <f>_xlfn.XLOOKUP(C246,Data_customers!$A$1:$A$1001,Data_customers!$G$1:$G$1001,"",0)</f>
        <v>United States</v>
      </c>
      <c r="I246" t="str">
        <f>INDEX(Data_products!$A$1:$G$49, MATCH(Data_orders!$D246,Data_products!$A$1:$A$49,0), MATCH(Data_orders!I$1,Data_products!$A$1:$G$1,0))</f>
        <v>Lib</v>
      </c>
      <c r="J246" t="str">
        <f>INDEX(Data_products!$A$1:$G$49, MATCH(Data_orders!$D246,Data_products!$A$1:$A$49,0), MATCH(Data_orders!J$1,Data_products!$A$1:$G$1,0))</f>
        <v>M</v>
      </c>
      <c r="K246" s="4">
        <f>INDEX(Data_products!$A$1:$G$49, MATCH(Data_orders!$D246,Data_products!$A$1:$A$49,0), MATCH(Data_orders!K$1,Data_products!$A$1:$G$1,0))</f>
        <v>2.5</v>
      </c>
      <c r="L246">
        <f>INDEX(Data_products!$A$1:$G$49, MATCH(Data_orders!$D246,Data_products!$A$1:$A$49,0), MATCH(Data_orders!L$1,Data_products!$A$1:$G$1,0))</f>
        <v>33.464999999999996</v>
      </c>
      <c r="M246">
        <f t="shared" si="6"/>
        <v>133.85999999999999</v>
      </c>
      <c r="N246" t="str" cm="1">
        <f t="array" ref="N246">_xlfn.IFS(I246 = "Rob", "Robusta", I246 = "Exc", "Excelsa", I246 = "Ara", "Arabica", I246 = "Lib", "Liberica")</f>
        <v>Liberica</v>
      </c>
      <c r="O246" t="str">
        <f t="shared" si="7"/>
        <v>Medium</v>
      </c>
      <c r="P246" t="str">
        <f>_xlfn.XLOOKUP(Table1[[#This Row],[Customer ID]],Data_customers!$A$2:$A$1001,Data_customers!$I$2:$I$1001,,0)</f>
        <v>No</v>
      </c>
    </row>
    <row r="247" spans="1:16" x14ac:dyDescent="0.2">
      <c r="A247" s="2" t="s">
        <v>1872</v>
      </c>
      <c r="B247" s="3">
        <v>43951</v>
      </c>
      <c r="C247" s="2" t="s">
        <v>1873</v>
      </c>
      <c r="D247" t="s">
        <v>6145</v>
      </c>
      <c r="E247" s="2">
        <v>5</v>
      </c>
      <c r="F247" s="2" t="str">
        <f>_xlfn.XLOOKUP(Data_orders!C247,Data_customers!$A$1:$A$1001,Data_customers!$B$1:$B$1001,,0)</f>
        <v>Lexie Mallan</v>
      </c>
      <c r="G247" s="2" t="str">
        <f>IF(_xlfn.XLOOKUP(C247,Data_customers!$A$1:$A$1001,Data_customers!$C$1:$C$1001,,0)=0,"",_xlfn.XLOOKUP(C247,Data_customers!$A$1:$A$1001,Data_customers!$C$1:$C$1001,,0))</f>
        <v>lmallan6t@state.gov</v>
      </c>
      <c r="H247" s="2" t="str">
        <f>_xlfn.XLOOKUP(C247,Data_customers!$A$1:$A$1001,Data_customers!$G$1:$G$1001,"",0)</f>
        <v>United States</v>
      </c>
      <c r="I247" t="str">
        <f>INDEX(Data_products!$A$1:$G$49, MATCH(Data_orders!$D247,Data_products!$A$1:$A$49,0), MATCH(Data_orders!I$1,Data_products!$A$1:$G$1,0))</f>
        <v>Lib</v>
      </c>
      <c r="J247" t="str">
        <f>INDEX(Data_products!$A$1:$G$49, MATCH(Data_orders!$D247,Data_products!$A$1:$A$49,0), MATCH(Data_orders!J$1,Data_products!$A$1:$G$1,0))</f>
        <v>L</v>
      </c>
      <c r="K247" s="4">
        <f>INDEX(Data_products!$A$1:$G$49, MATCH(Data_orders!$D247,Data_products!$A$1:$A$49,0), MATCH(Data_orders!K$1,Data_products!$A$1:$G$1,0))</f>
        <v>0.2</v>
      </c>
      <c r="L247">
        <f>INDEX(Data_products!$A$1:$G$49, MATCH(Data_orders!$D247,Data_products!$A$1:$A$49,0), MATCH(Data_orders!L$1,Data_products!$A$1:$G$1,0))</f>
        <v>4.7549999999999999</v>
      </c>
      <c r="M247">
        <f t="shared" si="6"/>
        <v>23.774999999999999</v>
      </c>
      <c r="N247" t="str" cm="1">
        <f t="array" ref="N247">_xlfn.IFS(I247 = "Rob", "Robusta", I247 = "Exc", "Excelsa", I247 = "Ara", "Arabica", I247 = "Lib", "Liberica")</f>
        <v>Liberica</v>
      </c>
      <c r="O247" t="str">
        <f t="shared" si="7"/>
        <v>Light</v>
      </c>
      <c r="P247" t="str">
        <f>_xlfn.XLOOKUP(Table1[[#This Row],[Customer ID]],Data_customers!$A$2:$A$1001,Data_customers!$I$2:$I$1001,,0)</f>
        <v>Yes</v>
      </c>
    </row>
    <row r="248" spans="1:16" x14ac:dyDescent="0.2">
      <c r="A248" s="2" t="s">
        <v>1878</v>
      </c>
      <c r="B248" s="3">
        <v>44542</v>
      </c>
      <c r="C248" s="2" t="s">
        <v>1879</v>
      </c>
      <c r="D248" t="s">
        <v>6143</v>
      </c>
      <c r="E248" s="2">
        <v>3</v>
      </c>
      <c r="F248" s="2" t="str">
        <f>_xlfn.XLOOKUP(Data_orders!C248,Data_customers!$A$1:$A$1001,Data_customers!$B$1:$B$1001,,0)</f>
        <v>Georgena Bentjens</v>
      </c>
      <c r="G248" s="2" t="str">
        <f>IF(_xlfn.XLOOKUP(C248,Data_customers!$A$1:$A$1001,Data_customers!$C$1:$C$1001,,0)=0,"",_xlfn.XLOOKUP(C248,Data_customers!$A$1:$A$1001,Data_customers!$C$1:$C$1001,,0))</f>
        <v>gbentjens6u@netlog.com</v>
      </c>
      <c r="H248" s="2" t="str">
        <f>_xlfn.XLOOKUP(C248,Data_customers!$A$1:$A$1001,Data_customers!$G$1:$G$1001,"",0)</f>
        <v>United Kingdom</v>
      </c>
      <c r="I248" t="str">
        <f>INDEX(Data_products!$A$1:$G$49, MATCH(Data_orders!$D248,Data_products!$A$1:$A$49,0), MATCH(Data_orders!I$1,Data_products!$A$1:$G$1,0))</f>
        <v>Lib</v>
      </c>
      <c r="J248" t="str">
        <f>INDEX(Data_products!$A$1:$G$49, MATCH(Data_orders!$D248,Data_products!$A$1:$A$49,0), MATCH(Data_orders!J$1,Data_products!$A$1:$G$1,0))</f>
        <v>D</v>
      </c>
      <c r="K248" s="4">
        <f>INDEX(Data_products!$A$1:$G$49, MATCH(Data_orders!$D248,Data_products!$A$1:$A$49,0), MATCH(Data_orders!K$1,Data_products!$A$1:$G$1,0))</f>
        <v>1</v>
      </c>
      <c r="L248">
        <f>INDEX(Data_products!$A$1:$G$49, MATCH(Data_orders!$D248,Data_products!$A$1:$A$49,0), MATCH(Data_orders!L$1,Data_products!$A$1:$G$1,0))</f>
        <v>12.95</v>
      </c>
      <c r="M248">
        <f t="shared" si="6"/>
        <v>38.849999999999994</v>
      </c>
      <c r="N248" t="str" cm="1">
        <f t="array" ref="N248">_xlfn.IFS(I248 = "Rob", "Robusta", I248 = "Exc", "Excelsa", I248 = "Ara", "Arabica", I248 = "Lib", "Liberica")</f>
        <v>Liberica</v>
      </c>
      <c r="O248" t="str">
        <f t="shared" si="7"/>
        <v>Dark</v>
      </c>
      <c r="P248" t="str">
        <f>_xlfn.XLOOKUP(Table1[[#This Row],[Customer ID]],Data_customers!$A$2:$A$1001,Data_customers!$I$2:$I$1001,,0)</f>
        <v>No</v>
      </c>
    </row>
    <row r="249" spans="1:16" x14ac:dyDescent="0.2">
      <c r="A249" s="2" t="s">
        <v>1884</v>
      </c>
      <c r="B249" s="3">
        <v>44131</v>
      </c>
      <c r="C249" s="2" t="s">
        <v>1885</v>
      </c>
      <c r="D249" t="s">
        <v>6178</v>
      </c>
      <c r="E249" s="2">
        <v>6</v>
      </c>
      <c r="F249" s="2" t="str">
        <f>_xlfn.XLOOKUP(Data_orders!C249,Data_customers!$A$1:$A$1001,Data_customers!$B$1:$B$1001,,0)</f>
        <v>Delmar Beasant</v>
      </c>
      <c r="G249" s="2" t="str">
        <f>IF(_xlfn.XLOOKUP(C249,Data_customers!$A$1:$A$1001,Data_customers!$C$1:$C$1001,,0)=0,"",_xlfn.XLOOKUP(C249,Data_customers!$A$1:$A$1001,Data_customers!$C$1:$C$1001,,0))</f>
        <v/>
      </c>
      <c r="H249" s="2" t="str">
        <f>_xlfn.XLOOKUP(C249,Data_customers!$A$1:$A$1001,Data_customers!$G$1:$G$1001,"",0)</f>
        <v>Ireland</v>
      </c>
      <c r="I249" t="str">
        <f>INDEX(Data_products!$A$1:$G$49, MATCH(Data_orders!$D249,Data_products!$A$1:$A$49,0), MATCH(Data_orders!I$1,Data_products!$A$1:$G$1,0))</f>
        <v>Rob</v>
      </c>
      <c r="J249" t="str">
        <f>INDEX(Data_products!$A$1:$G$49, MATCH(Data_orders!$D249,Data_products!$A$1:$A$49,0), MATCH(Data_orders!J$1,Data_products!$A$1:$G$1,0))</f>
        <v>L</v>
      </c>
      <c r="K249" s="4">
        <f>INDEX(Data_products!$A$1:$G$49, MATCH(Data_orders!$D249,Data_products!$A$1:$A$49,0), MATCH(Data_orders!K$1,Data_products!$A$1:$G$1,0))</f>
        <v>0.2</v>
      </c>
      <c r="L249">
        <f>INDEX(Data_products!$A$1:$G$49, MATCH(Data_orders!$D249,Data_products!$A$1:$A$49,0), MATCH(Data_orders!L$1,Data_products!$A$1:$G$1,0))</f>
        <v>3.5849999999999995</v>
      </c>
      <c r="M249">
        <f t="shared" si="6"/>
        <v>21.509999999999998</v>
      </c>
      <c r="N249" t="str" cm="1">
        <f t="array" ref="N249">_xlfn.IFS(I249 = "Rob", "Robusta", I249 = "Exc", "Excelsa", I249 = "Ara", "Arabica", I249 = "Lib", "Liberica")</f>
        <v>Robusta</v>
      </c>
      <c r="O249" t="str">
        <f t="shared" si="7"/>
        <v>Light</v>
      </c>
      <c r="P249" t="str">
        <f>_xlfn.XLOOKUP(Table1[[#This Row],[Customer ID]],Data_customers!$A$2:$A$1001,Data_customers!$I$2:$I$1001,,0)</f>
        <v>Yes</v>
      </c>
    </row>
    <row r="250" spans="1:16" x14ac:dyDescent="0.2">
      <c r="A250" s="2" t="s">
        <v>1889</v>
      </c>
      <c r="B250" s="3">
        <v>44019</v>
      </c>
      <c r="C250" s="2" t="s">
        <v>1890</v>
      </c>
      <c r="D250" t="s">
        <v>6147</v>
      </c>
      <c r="E250" s="2">
        <v>1</v>
      </c>
      <c r="F250" s="2" t="str">
        <f>_xlfn.XLOOKUP(Data_orders!C250,Data_customers!$A$1:$A$1001,Data_customers!$B$1:$B$1001,,0)</f>
        <v>Lyn Entwistle</v>
      </c>
      <c r="G250" s="2" t="str">
        <f>IF(_xlfn.XLOOKUP(C250,Data_customers!$A$1:$A$1001,Data_customers!$C$1:$C$1001,,0)=0,"",_xlfn.XLOOKUP(C250,Data_customers!$A$1:$A$1001,Data_customers!$C$1:$C$1001,,0))</f>
        <v>lentwistle6w@omniture.com</v>
      </c>
      <c r="H250" s="2" t="str">
        <f>_xlfn.XLOOKUP(C250,Data_customers!$A$1:$A$1001,Data_customers!$G$1:$G$1001,"",0)</f>
        <v>United States</v>
      </c>
      <c r="I250" t="str">
        <f>INDEX(Data_products!$A$1:$G$49, MATCH(Data_orders!$D250,Data_products!$A$1:$A$49,0), MATCH(Data_orders!I$1,Data_products!$A$1:$G$1,0))</f>
        <v>Ara</v>
      </c>
      <c r="J250" t="str">
        <f>INDEX(Data_products!$A$1:$G$49, MATCH(Data_orders!$D250,Data_products!$A$1:$A$49,0), MATCH(Data_orders!J$1,Data_products!$A$1:$G$1,0))</f>
        <v>D</v>
      </c>
      <c r="K250" s="4">
        <f>INDEX(Data_products!$A$1:$G$49, MATCH(Data_orders!$D250,Data_products!$A$1:$A$49,0), MATCH(Data_orders!K$1,Data_products!$A$1:$G$1,0))</f>
        <v>1</v>
      </c>
      <c r="L250">
        <f>INDEX(Data_products!$A$1:$G$49, MATCH(Data_orders!$D250,Data_products!$A$1:$A$49,0), MATCH(Data_orders!L$1,Data_products!$A$1:$G$1,0))</f>
        <v>9.9499999999999993</v>
      </c>
      <c r="M250">
        <f t="shared" si="6"/>
        <v>9.9499999999999993</v>
      </c>
      <c r="N250" t="str" cm="1">
        <f t="array" ref="N250">_xlfn.IFS(I250 = "Rob", "Robusta", I250 = "Exc", "Excelsa", I250 = "Ara", "Arabica", I250 = "Lib", "Liberica")</f>
        <v>Arabica</v>
      </c>
      <c r="O250" t="str">
        <f t="shared" si="7"/>
        <v>Dark</v>
      </c>
      <c r="P250" t="str">
        <f>_xlfn.XLOOKUP(Table1[[#This Row],[Customer ID]],Data_customers!$A$2:$A$1001,Data_customers!$I$2:$I$1001,,0)</f>
        <v>Yes</v>
      </c>
    </row>
    <row r="251" spans="1:16" x14ac:dyDescent="0.2">
      <c r="A251" s="2" t="s">
        <v>1895</v>
      </c>
      <c r="B251" s="3">
        <v>43861</v>
      </c>
      <c r="C251" s="2" t="s">
        <v>1935</v>
      </c>
      <c r="D251" t="s">
        <v>6170</v>
      </c>
      <c r="E251" s="2">
        <v>1</v>
      </c>
      <c r="F251" s="2" t="str">
        <f>_xlfn.XLOOKUP(Data_orders!C251,Data_customers!$A$1:$A$1001,Data_customers!$B$1:$B$1001,,0)</f>
        <v>Zacharias Kiffe</v>
      </c>
      <c r="G251" s="2" t="str">
        <f>IF(_xlfn.XLOOKUP(C251,Data_customers!$A$1:$A$1001,Data_customers!$C$1:$C$1001,,0)=0,"",_xlfn.XLOOKUP(C251,Data_customers!$A$1:$A$1001,Data_customers!$C$1:$C$1001,,0))</f>
        <v>zkiffe74@cyberchimps.com</v>
      </c>
      <c r="H251" s="2" t="str">
        <f>_xlfn.XLOOKUP(C251,Data_customers!$A$1:$A$1001,Data_customers!$G$1:$G$1001,"",0)</f>
        <v>United States</v>
      </c>
      <c r="I251" t="str">
        <f>INDEX(Data_products!$A$1:$G$49, MATCH(Data_orders!$D251,Data_products!$A$1:$A$49,0), MATCH(Data_orders!I$1,Data_products!$A$1:$G$1,0))</f>
        <v>Lib</v>
      </c>
      <c r="J251" t="str">
        <f>INDEX(Data_products!$A$1:$G$49, MATCH(Data_orders!$D251,Data_products!$A$1:$A$49,0), MATCH(Data_orders!J$1,Data_products!$A$1:$G$1,0))</f>
        <v>L</v>
      </c>
      <c r="K251" s="4">
        <f>INDEX(Data_products!$A$1:$G$49, MATCH(Data_orders!$D251,Data_products!$A$1:$A$49,0), MATCH(Data_orders!K$1,Data_products!$A$1:$G$1,0))</f>
        <v>1</v>
      </c>
      <c r="L251">
        <f>INDEX(Data_products!$A$1:$G$49, MATCH(Data_orders!$D251,Data_products!$A$1:$A$49,0), MATCH(Data_orders!L$1,Data_products!$A$1:$G$1,0))</f>
        <v>15.85</v>
      </c>
      <c r="M251">
        <f t="shared" si="6"/>
        <v>15.85</v>
      </c>
      <c r="N251" t="str" cm="1">
        <f t="array" ref="N251">_xlfn.IFS(I251 = "Rob", "Robusta", I251 = "Exc", "Excelsa", I251 = "Ara", "Arabica", I251 = "Lib", "Liberica")</f>
        <v>Liberica</v>
      </c>
      <c r="O251" t="str">
        <f t="shared" si="7"/>
        <v>Light</v>
      </c>
      <c r="P251" t="str">
        <f>_xlfn.XLOOKUP(Table1[[#This Row],[Customer ID]],Data_customers!$A$2:$A$1001,Data_customers!$I$2:$I$1001,,0)</f>
        <v>Yes</v>
      </c>
    </row>
    <row r="252" spans="1:16" x14ac:dyDescent="0.2">
      <c r="A252" s="2" t="s">
        <v>1900</v>
      </c>
      <c r="B252" s="3">
        <v>43879</v>
      </c>
      <c r="C252" s="2" t="s">
        <v>1901</v>
      </c>
      <c r="D252" t="s">
        <v>6174</v>
      </c>
      <c r="E252" s="2">
        <v>1</v>
      </c>
      <c r="F252" s="2" t="str">
        <f>_xlfn.XLOOKUP(Data_orders!C252,Data_customers!$A$1:$A$1001,Data_customers!$B$1:$B$1001,,0)</f>
        <v>Mercedes Acott</v>
      </c>
      <c r="G252" s="2" t="str">
        <f>IF(_xlfn.XLOOKUP(C252,Data_customers!$A$1:$A$1001,Data_customers!$C$1:$C$1001,,0)=0,"",_xlfn.XLOOKUP(C252,Data_customers!$A$1:$A$1001,Data_customers!$C$1:$C$1001,,0))</f>
        <v>macott6y@pagesperso-orange.fr</v>
      </c>
      <c r="H252" s="2" t="str">
        <f>_xlfn.XLOOKUP(C252,Data_customers!$A$1:$A$1001,Data_customers!$G$1:$G$1001,"",0)</f>
        <v>United States</v>
      </c>
      <c r="I252" t="str">
        <f>INDEX(Data_products!$A$1:$G$49, MATCH(Data_orders!$D252,Data_products!$A$1:$A$49,0), MATCH(Data_orders!I$1,Data_products!$A$1:$G$1,0))</f>
        <v>Rob</v>
      </c>
      <c r="J252" t="str">
        <f>INDEX(Data_products!$A$1:$G$49, MATCH(Data_orders!$D252,Data_products!$A$1:$A$49,0), MATCH(Data_orders!J$1,Data_products!$A$1:$G$1,0))</f>
        <v>M</v>
      </c>
      <c r="K252" s="4">
        <f>INDEX(Data_products!$A$1:$G$49, MATCH(Data_orders!$D252,Data_products!$A$1:$A$49,0), MATCH(Data_orders!K$1,Data_products!$A$1:$G$1,0))</f>
        <v>0.2</v>
      </c>
      <c r="L252">
        <f>INDEX(Data_products!$A$1:$G$49, MATCH(Data_orders!$D252,Data_products!$A$1:$A$49,0), MATCH(Data_orders!L$1,Data_products!$A$1:$G$1,0))</f>
        <v>2.9849999999999999</v>
      </c>
      <c r="M252">
        <f t="shared" si="6"/>
        <v>2.9849999999999999</v>
      </c>
      <c r="N252" t="str" cm="1">
        <f t="array" ref="N252">_xlfn.IFS(I252 = "Rob", "Robusta", I252 = "Exc", "Excelsa", I252 = "Ara", "Arabica", I252 = "Lib", "Liberica")</f>
        <v>Robusta</v>
      </c>
      <c r="O252" t="str">
        <f t="shared" si="7"/>
        <v>Medium</v>
      </c>
      <c r="P252" t="str">
        <f>_xlfn.XLOOKUP(Table1[[#This Row],[Customer ID]],Data_customers!$A$2:$A$1001,Data_customers!$I$2:$I$1001,,0)</f>
        <v>Yes</v>
      </c>
    </row>
    <row r="253" spans="1:16" x14ac:dyDescent="0.2">
      <c r="A253" s="2" t="s">
        <v>1906</v>
      </c>
      <c r="B253" s="3">
        <v>44360</v>
      </c>
      <c r="C253" s="2" t="s">
        <v>1907</v>
      </c>
      <c r="D253" t="s">
        <v>6141</v>
      </c>
      <c r="E253" s="2">
        <v>5</v>
      </c>
      <c r="F253" s="2" t="str">
        <f>_xlfn.XLOOKUP(Data_orders!C253,Data_customers!$A$1:$A$1001,Data_customers!$B$1:$B$1001,,0)</f>
        <v>Connor Heaviside</v>
      </c>
      <c r="G253" s="2" t="str">
        <f>IF(_xlfn.XLOOKUP(C253,Data_customers!$A$1:$A$1001,Data_customers!$C$1:$C$1001,,0)=0,"",_xlfn.XLOOKUP(C253,Data_customers!$A$1:$A$1001,Data_customers!$C$1:$C$1001,,0))</f>
        <v>cheaviside6z@rediff.com</v>
      </c>
      <c r="H253" s="2" t="str">
        <f>_xlfn.XLOOKUP(C253,Data_customers!$A$1:$A$1001,Data_customers!$G$1:$G$1001,"",0)</f>
        <v>United States</v>
      </c>
      <c r="I253" t="str">
        <f>INDEX(Data_products!$A$1:$G$49, MATCH(Data_orders!$D253,Data_products!$A$1:$A$49,0), MATCH(Data_orders!I$1,Data_products!$A$1:$G$1,0))</f>
        <v>Exc</v>
      </c>
      <c r="J253" t="str">
        <f>INDEX(Data_products!$A$1:$G$49, MATCH(Data_orders!$D253,Data_products!$A$1:$A$49,0), MATCH(Data_orders!J$1,Data_products!$A$1:$G$1,0))</f>
        <v>M</v>
      </c>
      <c r="K253" s="4">
        <f>INDEX(Data_products!$A$1:$G$49, MATCH(Data_orders!$D253,Data_products!$A$1:$A$49,0), MATCH(Data_orders!K$1,Data_products!$A$1:$G$1,0))</f>
        <v>1</v>
      </c>
      <c r="L253">
        <f>INDEX(Data_products!$A$1:$G$49, MATCH(Data_orders!$D253,Data_products!$A$1:$A$49,0), MATCH(Data_orders!L$1,Data_products!$A$1:$G$1,0))</f>
        <v>13.75</v>
      </c>
      <c r="M253">
        <f t="shared" si="6"/>
        <v>68.75</v>
      </c>
      <c r="N253" t="str" cm="1">
        <f t="array" ref="N253">_xlfn.IFS(I253 = "Rob", "Robusta", I253 = "Exc", "Excelsa", I253 = "Ara", "Arabica", I253 = "Lib", "Liberica")</f>
        <v>Excelsa</v>
      </c>
      <c r="O253" t="str">
        <f t="shared" si="7"/>
        <v>Medium</v>
      </c>
      <c r="P253" t="str">
        <f>_xlfn.XLOOKUP(Table1[[#This Row],[Customer ID]],Data_customers!$A$2:$A$1001,Data_customers!$I$2:$I$1001,,0)</f>
        <v>Yes</v>
      </c>
    </row>
    <row r="254" spans="1:16" x14ac:dyDescent="0.2">
      <c r="A254" s="2" t="s">
        <v>1912</v>
      </c>
      <c r="B254" s="3">
        <v>44779</v>
      </c>
      <c r="C254" s="2" t="s">
        <v>1913</v>
      </c>
      <c r="D254" t="s">
        <v>6147</v>
      </c>
      <c r="E254" s="2">
        <v>3</v>
      </c>
      <c r="F254" s="2" t="str">
        <f>_xlfn.XLOOKUP(Data_orders!C254,Data_customers!$A$1:$A$1001,Data_customers!$B$1:$B$1001,,0)</f>
        <v>Devy Bulbrook</v>
      </c>
      <c r="G254" s="2" t="str">
        <f>IF(_xlfn.XLOOKUP(C254,Data_customers!$A$1:$A$1001,Data_customers!$C$1:$C$1001,,0)=0,"",_xlfn.XLOOKUP(C254,Data_customers!$A$1:$A$1001,Data_customers!$C$1:$C$1001,,0))</f>
        <v/>
      </c>
      <c r="H254" s="2" t="str">
        <f>_xlfn.XLOOKUP(C254,Data_customers!$A$1:$A$1001,Data_customers!$G$1:$G$1001,"",0)</f>
        <v>United States</v>
      </c>
      <c r="I254" t="str">
        <f>INDEX(Data_products!$A$1:$G$49, MATCH(Data_orders!$D254,Data_products!$A$1:$A$49,0), MATCH(Data_orders!I$1,Data_products!$A$1:$G$1,0))</f>
        <v>Ara</v>
      </c>
      <c r="J254" t="str">
        <f>INDEX(Data_products!$A$1:$G$49, MATCH(Data_orders!$D254,Data_products!$A$1:$A$49,0), MATCH(Data_orders!J$1,Data_products!$A$1:$G$1,0))</f>
        <v>D</v>
      </c>
      <c r="K254" s="4">
        <f>INDEX(Data_products!$A$1:$G$49, MATCH(Data_orders!$D254,Data_products!$A$1:$A$49,0), MATCH(Data_orders!K$1,Data_products!$A$1:$G$1,0))</f>
        <v>1</v>
      </c>
      <c r="L254">
        <f>INDEX(Data_products!$A$1:$G$49, MATCH(Data_orders!$D254,Data_products!$A$1:$A$49,0), MATCH(Data_orders!L$1,Data_products!$A$1:$G$1,0))</f>
        <v>9.9499999999999993</v>
      </c>
      <c r="M254">
        <f t="shared" si="6"/>
        <v>29.849999999999998</v>
      </c>
      <c r="N254" t="str" cm="1">
        <f t="array" ref="N254">_xlfn.IFS(I254 = "Rob", "Robusta", I254 = "Exc", "Excelsa", I254 = "Ara", "Arabica", I254 = "Lib", "Liberica")</f>
        <v>Arabica</v>
      </c>
      <c r="O254" t="str">
        <f t="shared" si="7"/>
        <v>Dark</v>
      </c>
      <c r="P254" t="str">
        <f>_xlfn.XLOOKUP(Table1[[#This Row],[Customer ID]],Data_customers!$A$2:$A$1001,Data_customers!$I$2:$I$1001,,0)</f>
        <v>No</v>
      </c>
    </row>
    <row r="255" spans="1:16" x14ac:dyDescent="0.2">
      <c r="A255" s="2" t="s">
        <v>1917</v>
      </c>
      <c r="B255" s="3">
        <v>44523</v>
      </c>
      <c r="C255" s="2" t="s">
        <v>1918</v>
      </c>
      <c r="D255" t="s">
        <v>6162</v>
      </c>
      <c r="E255" s="2">
        <v>4</v>
      </c>
      <c r="F255" s="2" t="str">
        <f>_xlfn.XLOOKUP(Data_orders!C255,Data_customers!$A$1:$A$1001,Data_customers!$B$1:$B$1001,,0)</f>
        <v>Leia Kernan</v>
      </c>
      <c r="G255" s="2" t="str">
        <f>IF(_xlfn.XLOOKUP(C255,Data_customers!$A$1:$A$1001,Data_customers!$C$1:$C$1001,,0)=0,"",_xlfn.XLOOKUP(C255,Data_customers!$A$1:$A$1001,Data_customers!$C$1:$C$1001,,0))</f>
        <v>lkernan71@wsj.com</v>
      </c>
      <c r="H255" s="2" t="str">
        <f>_xlfn.XLOOKUP(C255,Data_customers!$A$1:$A$1001,Data_customers!$G$1:$G$1001,"",0)</f>
        <v>United States</v>
      </c>
      <c r="I255" t="str">
        <f>INDEX(Data_products!$A$1:$G$49, MATCH(Data_orders!$D255,Data_products!$A$1:$A$49,0), MATCH(Data_orders!I$1,Data_products!$A$1:$G$1,0))</f>
        <v>Lib</v>
      </c>
      <c r="J255" t="str">
        <f>INDEX(Data_products!$A$1:$G$49, MATCH(Data_orders!$D255,Data_products!$A$1:$A$49,0), MATCH(Data_orders!J$1,Data_products!$A$1:$G$1,0))</f>
        <v>M</v>
      </c>
      <c r="K255" s="4">
        <f>INDEX(Data_products!$A$1:$G$49, MATCH(Data_orders!$D255,Data_products!$A$1:$A$49,0), MATCH(Data_orders!K$1,Data_products!$A$1:$G$1,0))</f>
        <v>1</v>
      </c>
      <c r="L255">
        <f>INDEX(Data_products!$A$1:$G$49, MATCH(Data_orders!$D255,Data_products!$A$1:$A$49,0), MATCH(Data_orders!L$1,Data_products!$A$1:$G$1,0))</f>
        <v>14.55</v>
      </c>
      <c r="M255">
        <f t="shared" si="6"/>
        <v>58.2</v>
      </c>
      <c r="N255" t="str" cm="1">
        <f t="array" ref="N255">_xlfn.IFS(I255 = "Rob", "Robusta", I255 = "Exc", "Excelsa", I255 = "Ara", "Arabica", I255 = "Lib", "Liberica")</f>
        <v>Liberica</v>
      </c>
      <c r="O255" t="str">
        <f t="shared" si="7"/>
        <v>Medium</v>
      </c>
      <c r="P255" t="str">
        <f>_xlfn.XLOOKUP(Table1[[#This Row],[Customer ID]],Data_customers!$A$2:$A$1001,Data_customers!$I$2:$I$1001,,0)</f>
        <v>No</v>
      </c>
    </row>
    <row r="256" spans="1:16" x14ac:dyDescent="0.2">
      <c r="A256" s="2" t="s">
        <v>1923</v>
      </c>
      <c r="B256" s="3">
        <v>44482</v>
      </c>
      <c r="C256" s="2" t="s">
        <v>1924</v>
      </c>
      <c r="D256" t="s">
        <v>6173</v>
      </c>
      <c r="E256" s="2">
        <v>4</v>
      </c>
      <c r="F256" s="2" t="str">
        <f>_xlfn.XLOOKUP(Data_orders!C256,Data_customers!$A$1:$A$1001,Data_customers!$B$1:$B$1001,,0)</f>
        <v>Rosaline McLae</v>
      </c>
      <c r="G256" s="2" t="str">
        <f>IF(_xlfn.XLOOKUP(C256,Data_customers!$A$1:$A$1001,Data_customers!$C$1:$C$1001,,0)=0,"",_xlfn.XLOOKUP(C256,Data_customers!$A$1:$A$1001,Data_customers!$C$1:$C$1001,,0))</f>
        <v>rmclae72@dailymotion.com</v>
      </c>
      <c r="H256" s="2" t="str">
        <f>_xlfn.XLOOKUP(C256,Data_customers!$A$1:$A$1001,Data_customers!$G$1:$G$1001,"",0)</f>
        <v>United Kingdom</v>
      </c>
      <c r="I256" t="str">
        <f>INDEX(Data_products!$A$1:$G$49, MATCH(Data_orders!$D256,Data_products!$A$1:$A$49,0), MATCH(Data_orders!I$1,Data_products!$A$1:$G$1,0))</f>
        <v>Rob</v>
      </c>
      <c r="J256" t="str">
        <f>INDEX(Data_products!$A$1:$G$49, MATCH(Data_orders!$D256,Data_products!$A$1:$A$49,0), MATCH(Data_orders!J$1,Data_products!$A$1:$G$1,0))</f>
        <v>L</v>
      </c>
      <c r="K256" s="4">
        <f>INDEX(Data_products!$A$1:$G$49, MATCH(Data_orders!$D256,Data_products!$A$1:$A$49,0), MATCH(Data_orders!K$1,Data_products!$A$1:$G$1,0))</f>
        <v>0.5</v>
      </c>
      <c r="L256">
        <f>INDEX(Data_products!$A$1:$G$49, MATCH(Data_orders!$D256,Data_products!$A$1:$A$49,0), MATCH(Data_orders!L$1,Data_products!$A$1:$G$1,0))</f>
        <v>7.169999999999999</v>
      </c>
      <c r="M256">
        <f t="shared" si="6"/>
        <v>28.679999999999996</v>
      </c>
      <c r="N256" t="str" cm="1">
        <f t="array" ref="N256">_xlfn.IFS(I256 = "Rob", "Robusta", I256 = "Exc", "Excelsa", I256 = "Ara", "Arabica", I256 = "Lib", "Liberica")</f>
        <v>Robusta</v>
      </c>
      <c r="O256" t="str">
        <f t="shared" si="7"/>
        <v>Light</v>
      </c>
      <c r="P256" t="str">
        <f>_xlfn.XLOOKUP(Table1[[#This Row],[Customer ID]],Data_customers!$A$2:$A$1001,Data_customers!$I$2:$I$1001,,0)</f>
        <v>No</v>
      </c>
    </row>
    <row r="257" spans="1:16" x14ac:dyDescent="0.2">
      <c r="A257" s="2" t="s">
        <v>1928</v>
      </c>
      <c r="B257" s="3">
        <v>44439</v>
      </c>
      <c r="C257" s="2" t="s">
        <v>1929</v>
      </c>
      <c r="D257" t="s">
        <v>6173</v>
      </c>
      <c r="E257" s="2">
        <v>3</v>
      </c>
      <c r="F257" s="2" t="str">
        <f>_xlfn.XLOOKUP(Data_orders!C257,Data_customers!$A$1:$A$1001,Data_customers!$B$1:$B$1001,,0)</f>
        <v>Cleve Blowfelde</v>
      </c>
      <c r="G257" s="2" t="str">
        <f>IF(_xlfn.XLOOKUP(C257,Data_customers!$A$1:$A$1001,Data_customers!$C$1:$C$1001,,0)=0,"",_xlfn.XLOOKUP(C257,Data_customers!$A$1:$A$1001,Data_customers!$C$1:$C$1001,,0))</f>
        <v>cblowfelde73@ustream.tv</v>
      </c>
      <c r="H257" s="2" t="str">
        <f>_xlfn.XLOOKUP(C257,Data_customers!$A$1:$A$1001,Data_customers!$G$1:$G$1001,"",0)</f>
        <v>United States</v>
      </c>
      <c r="I257" t="str">
        <f>INDEX(Data_products!$A$1:$G$49, MATCH(Data_orders!$D257,Data_products!$A$1:$A$49,0), MATCH(Data_orders!I$1,Data_products!$A$1:$G$1,0))</f>
        <v>Rob</v>
      </c>
      <c r="J257" t="str">
        <f>INDEX(Data_products!$A$1:$G$49, MATCH(Data_orders!$D257,Data_products!$A$1:$A$49,0), MATCH(Data_orders!J$1,Data_products!$A$1:$G$1,0))</f>
        <v>L</v>
      </c>
      <c r="K257" s="4">
        <f>INDEX(Data_products!$A$1:$G$49, MATCH(Data_orders!$D257,Data_products!$A$1:$A$49,0), MATCH(Data_orders!K$1,Data_products!$A$1:$G$1,0))</f>
        <v>0.5</v>
      </c>
      <c r="L257">
        <f>INDEX(Data_products!$A$1:$G$49, MATCH(Data_orders!$D257,Data_products!$A$1:$A$49,0), MATCH(Data_orders!L$1,Data_products!$A$1:$G$1,0))</f>
        <v>7.169999999999999</v>
      </c>
      <c r="M257">
        <f t="shared" si="6"/>
        <v>21.509999999999998</v>
      </c>
      <c r="N257" t="str" cm="1">
        <f t="array" ref="N257">_xlfn.IFS(I257 = "Rob", "Robusta", I257 = "Exc", "Excelsa", I257 = "Ara", "Arabica", I257 = "Lib", "Liberica")</f>
        <v>Robusta</v>
      </c>
      <c r="O257" t="str">
        <f t="shared" si="7"/>
        <v>Light</v>
      </c>
      <c r="P257" t="str">
        <f>_xlfn.XLOOKUP(Table1[[#This Row],[Customer ID]],Data_customers!$A$2:$A$1001,Data_customers!$I$2:$I$1001,,0)</f>
        <v>No</v>
      </c>
    </row>
    <row r="258" spans="1:16" x14ac:dyDescent="0.2">
      <c r="A258" s="2" t="s">
        <v>1934</v>
      </c>
      <c r="B258" s="3">
        <v>43846</v>
      </c>
      <c r="C258" s="2" t="s">
        <v>1935</v>
      </c>
      <c r="D258" t="s">
        <v>6160</v>
      </c>
      <c r="E258" s="2">
        <v>2</v>
      </c>
      <c r="F258" s="2" t="str">
        <f>_xlfn.XLOOKUP(Data_orders!C258,Data_customers!$A$1:$A$1001,Data_customers!$B$1:$B$1001,,0)</f>
        <v>Zacharias Kiffe</v>
      </c>
      <c r="G258" s="2" t="str">
        <f>IF(_xlfn.XLOOKUP(C258,Data_customers!$A$1:$A$1001,Data_customers!$C$1:$C$1001,,0)=0,"",_xlfn.XLOOKUP(C258,Data_customers!$A$1:$A$1001,Data_customers!$C$1:$C$1001,,0))</f>
        <v>zkiffe74@cyberchimps.com</v>
      </c>
      <c r="H258" s="2" t="str">
        <f>_xlfn.XLOOKUP(C258,Data_customers!$A$1:$A$1001,Data_customers!$G$1:$G$1001,"",0)</f>
        <v>United States</v>
      </c>
      <c r="I258" t="str">
        <f>INDEX(Data_products!$A$1:$G$49, MATCH(Data_orders!$D258,Data_products!$A$1:$A$49,0), MATCH(Data_orders!I$1,Data_products!$A$1:$G$1,0))</f>
        <v>Lib</v>
      </c>
      <c r="J258" t="str">
        <f>INDEX(Data_products!$A$1:$G$49, MATCH(Data_orders!$D258,Data_products!$A$1:$A$49,0), MATCH(Data_orders!J$1,Data_products!$A$1:$G$1,0))</f>
        <v>M</v>
      </c>
      <c r="K258" s="4">
        <f>INDEX(Data_products!$A$1:$G$49, MATCH(Data_orders!$D258,Data_products!$A$1:$A$49,0), MATCH(Data_orders!K$1,Data_products!$A$1:$G$1,0))</f>
        <v>0.5</v>
      </c>
      <c r="L258">
        <f>INDEX(Data_products!$A$1:$G$49, MATCH(Data_orders!$D258,Data_products!$A$1:$A$49,0), MATCH(Data_orders!L$1,Data_products!$A$1:$G$1,0))</f>
        <v>8.73</v>
      </c>
      <c r="M258">
        <f t="shared" si="6"/>
        <v>17.46</v>
      </c>
      <c r="N258" t="str" cm="1">
        <f t="array" ref="N258">_xlfn.IFS(I258 = "Rob", "Robusta", I258 = "Exc", "Excelsa", I258 = "Ara", "Arabica", I258 = "Lib", "Liberica")</f>
        <v>Liberica</v>
      </c>
      <c r="O258" t="str">
        <f t="shared" si="7"/>
        <v>Medium</v>
      </c>
      <c r="P258" t="str">
        <f>_xlfn.XLOOKUP(Table1[[#This Row],[Customer ID]],Data_customers!$A$2:$A$1001,Data_customers!$I$2:$I$1001,,0)</f>
        <v>Yes</v>
      </c>
    </row>
    <row r="259" spans="1:16" x14ac:dyDescent="0.2">
      <c r="A259" s="2" t="s">
        <v>1940</v>
      </c>
      <c r="B259" s="3">
        <v>44676</v>
      </c>
      <c r="C259" s="2" t="s">
        <v>1941</v>
      </c>
      <c r="D259" t="s">
        <v>6185</v>
      </c>
      <c r="E259" s="2">
        <v>1</v>
      </c>
      <c r="F259" s="2" t="str">
        <f>_xlfn.XLOOKUP(Data_orders!C259,Data_customers!$A$1:$A$1001,Data_customers!$B$1:$B$1001,,0)</f>
        <v>Denyse O'Calleran</v>
      </c>
      <c r="G259" s="2" t="str">
        <f>IF(_xlfn.XLOOKUP(C259,Data_customers!$A$1:$A$1001,Data_customers!$C$1:$C$1001,,0)=0,"",_xlfn.XLOOKUP(C259,Data_customers!$A$1:$A$1001,Data_customers!$C$1:$C$1001,,0))</f>
        <v>docalleran75@ucla.edu</v>
      </c>
      <c r="H259" s="2" t="str">
        <f>_xlfn.XLOOKUP(C259,Data_customers!$A$1:$A$1001,Data_customers!$G$1:$G$1001,"",0)</f>
        <v>United States</v>
      </c>
      <c r="I259" t="str">
        <f>INDEX(Data_products!$A$1:$G$49, MATCH(Data_orders!$D259,Data_products!$A$1:$A$49,0), MATCH(Data_orders!I$1,Data_products!$A$1:$G$1,0))</f>
        <v>Exc</v>
      </c>
      <c r="J259" t="str">
        <f>INDEX(Data_products!$A$1:$G$49, MATCH(Data_orders!$D259,Data_products!$A$1:$A$49,0), MATCH(Data_orders!J$1,Data_products!$A$1:$G$1,0))</f>
        <v>D</v>
      </c>
      <c r="K259" s="4">
        <f>INDEX(Data_products!$A$1:$G$49, MATCH(Data_orders!$D259,Data_products!$A$1:$A$49,0), MATCH(Data_orders!K$1,Data_products!$A$1:$G$1,0))</f>
        <v>2.5</v>
      </c>
      <c r="L259">
        <f>INDEX(Data_products!$A$1:$G$49, MATCH(Data_orders!$D259,Data_products!$A$1:$A$49,0), MATCH(Data_orders!L$1,Data_products!$A$1:$G$1,0))</f>
        <v>27.945</v>
      </c>
      <c r="M259">
        <f t="shared" ref="M259:M322" si="8">L259*E259</f>
        <v>27.945</v>
      </c>
      <c r="N259" t="str" cm="1">
        <f t="array" ref="N259">_xlfn.IFS(I259 = "Rob", "Robusta", I259 = "Exc", "Excelsa", I259 = "Ara", "Arabica", I259 = "Lib", "Liberica")</f>
        <v>Excelsa</v>
      </c>
      <c r="O259" t="str">
        <f t="shared" ref="O259:O322" si="9">IF(J259 = "M", "Medium", IF(J259 =  "L", "Light", IF(J259 = "D", "Dark", "")))</f>
        <v>Dark</v>
      </c>
      <c r="P259" t="str">
        <f>_xlfn.XLOOKUP(Table1[[#This Row],[Customer ID]],Data_customers!$A$2:$A$1001,Data_customers!$I$2:$I$1001,,0)</f>
        <v>Yes</v>
      </c>
    </row>
    <row r="260" spans="1:16" x14ac:dyDescent="0.2">
      <c r="A260" s="2" t="s">
        <v>1946</v>
      </c>
      <c r="B260" s="3">
        <v>44513</v>
      </c>
      <c r="C260" s="2" t="s">
        <v>1947</v>
      </c>
      <c r="D260" t="s">
        <v>6185</v>
      </c>
      <c r="E260" s="2">
        <v>5</v>
      </c>
      <c r="F260" s="2" t="str">
        <f>_xlfn.XLOOKUP(Data_orders!C260,Data_customers!$A$1:$A$1001,Data_customers!$B$1:$B$1001,,0)</f>
        <v>Cobby Cromwell</v>
      </c>
      <c r="G260" s="2" t="str">
        <f>IF(_xlfn.XLOOKUP(C260,Data_customers!$A$1:$A$1001,Data_customers!$C$1:$C$1001,,0)=0,"",_xlfn.XLOOKUP(C260,Data_customers!$A$1:$A$1001,Data_customers!$C$1:$C$1001,,0))</f>
        <v>ccromwell76@desdev.cn</v>
      </c>
      <c r="H260" s="2" t="str">
        <f>_xlfn.XLOOKUP(C260,Data_customers!$A$1:$A$1001,Data_customers!$G$1:$G$1001,"",0)</f>
        <v>United States</v>
      </c>
      <c r="I260" t="str">
        <f>INDEX(Data_products!$A$1:$G$49, MATCH(Data_orders!$D260,Data_products!$A$1:$A$49,0), MATCH(Data_orders!I$1,Data_products!$A$1:$G$1,0))</f>
        <v>Exc</v>
      </c>
      <c r="J260" t="str">
        <f>INDEX(Data_products!$A$1:$G$49, MATCH(Data_orders!$D260,Data_products!$A$1:$A$49,0), MATCH(Data_orders!J$1,Data_products!$A$1:$G$1,0))</f>
        <v>D</v>
      </c>
      <c r="K260" s="4">
        <f>INDEX(Data_products!$A$1:$G$49, MATCH(Data_orders!$D260,Data_products!$A$1:$A$49,0), MATCH(Data_orders!K$1,Data_products!$A$1:$G$1,0))</f>
        <v>2.5</v>
      </c>
      <c r="L260">
        <f>INDEX(Data_products!$A$1:$G$49, MATCH(Data_orders!$D260,Data_products!$A$1:$A$49,0), MATCH(Data_orders!L$1,Data_products!$A$1:$G$1,0))</f>
        <v>27.945</v>
      </c>
      <c r="M260">
        <f t="shared" si="8"/>
        <v>139.72499999999999</v>
      </c>
      <c r="N260" t="str" cm="1">
        <f t="array" ref="N260">_xlfn.IFS(I260 = "Rob", "Robusta", I260 = "Exc", "Excelsa", I260 = "Ara", "Arabica", I260 = "Lib", "Liberica")</f>
        <v>Excelsa</v>
      </c>
      <c r="O260" t="str">
        <f t="shared" si="9"/>
        <v>Dark</v>
      </c>
      <c r="P260" t="str">
        <f>_xlfn.XLOOKUP(Table1[[#This Row],[Customer ID]],Data_customers!$A$2:$A$1001,Data_customers!$I$2:$I$1001,,0)</f>
        <v>No</v>
      </c>
    </row>
    <row r="261" spans="1:16" x14ac:dyDescent="0.2">
      <c r="A261" s="2" t="s">
        <v>1952</v>
      </c>
      <c r="B261" s="3">
        <v>44355</v>
      </c>
      <c r="C261" s="2" t="s">
        <v>1953</v>
      </c>
      <c r="D261" t="s">
        <v>6174</v>
      </c>
      <c r="E261" s="2">
        <v>2</v>
      </c>
      <c r="F261" s="2" t="str">
        <f>_xlfn.XLOOKUP(Data_orders!C261,Data_customers!$A$1:$A$1001,Data_customers!$B$1:$B$1001,,0)</f>
        <v>Irv Hay</v>
      </c>
      <c r="G261" s="2" t="str">
        <f>IF(_xlfn.XLOOKUP(C261,Data_customers!$A$1:$A$1001,Data_customers!$C$1:$C$1001,,0)=0,"",_xlfn.XLOOKUP(C261,Data_customers!$A$1:$A$1001,Data_customers!$C$1:$C$1001,,0))</f>
        <v>ihay77@lulu.com</v>
      </c>
      <c r="H261" s="2" t="str">
        <f>_xlfn.XLOOKUP(C261,Data_customers!$A$1:$A$1001,Data_customers!$G$1:$G$1001,"",0)</f>
        <v>United Kingdom</v>
      </c>
      <c r="I261" t="str">
        <f>INDEX(Data_products!$A$1:$G$49, MATCH(Data_orders!$D261,Data_products!$A$1:$A$49,0), MATCH(Data_orders!I$1,Data_products!$A$1:$G$1,0))</f>
        <v>Rob</v>
      </c>
      <c r="J261" t="str">
        <f>INDEX(Data_products!$A$1:$G$49, MATCH(Data_orders!$D261,Data_products!$A$1:$A$49,0), MATCH(Data_orders!J$1,Data_products!$A$1:$G$1,0))</f>
        <v>M</v>
      </c>
      <c r="K261" s="4">
        <f>INDEX(Data_products!$A$1:$G$49, MATCH(Data_orders!$D261,Data_products!$A$1:$A$49,0), MATCH(Data_orders!K$1,Data_products!$A$1:$G$1,0))</f>
        <v>0.2</v>
      </c>
      <c r="L261">
        <f>INDEX(Data_products!$A$1:$G$49, MATCH(Data_orders!$D261,Data_products!$A$1:$A$49,0), MATCH(Data_orders!L$1,Data_products!$A$1:$G$1,0))</f>
        <v>2.9849999999999999</v>
      </c>
      <c r="M261">
        <f t="shared" si="8"/>
        <v>5.97</v>
      </c>
      <c r="N261" t="str" cm="1">
        <f t="array" ref="N261">_xlfn.IFS(I261 = "Rob", "Robusta", I261 = "Exc", "Excelsa", I261 = "Ara", "Arabica", I261 = "Lib", "Liberica")</f>
        <v>Robusta</v>
      </c>
      <c r="O261" t="str">
        <f t="shared" si="9"/>
        <v>Medium</v>
      </c>
      <c r="P261" t="str">
        <f>_xlfn.XLOOKUP(Table1[[#This Row],[Customer ID]],Data_customers!$A$2:$A$1001,Data_customers!$I$2:$I$1001,,0)</f>
        <v>No</v>
      </c>
    </row>
    <row r="262" spans="1:16" x14ac:dyDescent="0.2">
      <c r="A262" s="2" t="s">
        <v>1958</v>
      </c>
      <c r="B262" s="3">
        <v>44156</v>
      </c>
      <c r="C262" s="2" t="s">
        <v>1959</v>
      </c>
      <c r="D262" t="s">
        <v>6142</v>
      </c>
      <c r="E262" s="2">
        <v>1</v>
      </c>
      <c r="F262" s="2" t="str">
        <f>_xlfn.XLOOKUP(Data_orders!C262,Data_customers!$A$1:$A$1001,Data_customers!$B$1:$B$1001,,0)</f>
        <v>Tani Taffarello</v>
      </c>
      <c r="G262" s="2" t="str">
        <f>IF(_xlfn.XLOOKUP(C262,Data_customers!$A$1:$A$1001,Data_customers!$C$1:$C$1001,,0)=0,"",_xlfn.XLOOKUP(C262,Data_customers!$A$1:$A$1001,Data_customers!$C$1:$C$1001,,0))</f>
        <v>ttaffarello78@sciencedaily.com</v>
      </c>
      <c r="H262" s="2" t="str">
        <f>_xlfn.XLOOKUP(C262,Data_customers!$A$1:$A$1001,Data_customers!$G$1:$G$1001,"",0)</f>
        <v>United States</v>
      </c>
      <c r="I262" t="str">
        <f>INDEX(Data_products!$A$1:$G$49, MATCH(Data_orders!$D262,Data_products!$A$1:$A$49,0), MATCH(Data_orders!I$1,Data_products!$A$1:$G$1,0))</f>
        <v>Rob</v>
      </c>
      <c r="J262" t="str">
        <f>INDEX(Data_products!$A$1:$G$49, MATCH(Data_orders!$D262,Data_products!$A$1:$A$49,0), MATCH(Data_orders!J$1,Data_products!$A$1:$G$1,0))</f>
        <v>L</v>
      </c>
      <c r="K262" s="4">
        <f>INDEX(Data_products!$A$1:$G$49, MATCH(Data_orders!$D262,Data_products!$A$1:$A$49,0), MATCH(Data_orders!K$1,Data_products!$A$1:$G$1,0))</f>
        <v>2.5</v>
      </c>
      <c r="L262">
        <f>INDEX(Data_products!$A$1:$G$49, MATCH(Data_orders!$D262,Data_products!$A$1:$A$49,0), MATCH(Data_orders!L$1,Data_products!$A$1:$G$1,0))</f>
        <v>27.484999999999996</v>
      </c>
      <c r="M262">
        <f t="shared" si="8"/>
        <v>27.484999999999996</v>
      </c>
      <c r="N262" t="str" cm="1">
        <f t="array" ref="N262">_xlfn.IFS(I262 = "Rob", "Robusta", I262 = "Exc", "Excelsa", I262 = "Ara", "Arabica", I262 = "Lib", "Liberica")</f>
        <v>Robusta</v>
      </c>
      <c r="O262" t="str">
        <f t="shared" si="9"/>
        <v>Light</v>
      </c>
      <c r="P262" t="str">
        <f>_xlfn.XLOOKUP(Table1[[#This Row],[Customer ID]],Data_customers!$A$2:$A$1001,Data_customers!$I$2:$I$1001,,0)</f>
        <v>Yes</v>
      </c>
    </row>
    <row r="263" spans="1:16" x14ac:dyDescent="0.2">
      <c r="A263" s="2" t="s">
        <v>1963</v>
      </c>
      <c r="B263" s="3">
        <v>43538</v>
      </c>
      <c r="C263" s="2" t="s">
        <v>1964</v>
      </c>
      <c r="D263" t="s">
        <v>6179</v>
      </c>
      <c r="E263" s="2">
        <v>5</v>
      </c>
      <c r="F263" s="2" t="str">
        <f>_xlfn.XLOOKUP(Data_orders!C263,Data_customers!$A$1:$A$1001,Data_customers!$B$1:$B$1001,,0)</f>
        <v>Monique Canty</v>
      </c>
      <c r="G263" s="2" t="str">
        <f>IF(_xlfn.XLOOKUP(C263,Data_customers!$A$1:$A$1001,Data_customers!$C$1:$C$1001,,0)=0,"",_xlfn.XLOOKUP(C263,Data_customers!$A$1:$A$1001,Data_customers!$C$1:$C$1001,,0))</f>
        <v>mcanty79@jigsy.com</v>
      </c>
      <c r="H263" s="2" t="str">
        <f>_xlfn.XLOOKUP(C263,Data_customers!$A$1:$A$1001,Data_customers!$G$1:$G$1001,"",0)</f>
        <v>United States</v>
      </c>
      <c r="I263" t="str">
        <f>INDEX(Data_products!$A$1:$G$49, MATCH(Data_orders!$D263,Data_products!$A$1:$A$49,0), MATCH(Data_orders!I$1,Data_products!$A$1:$G$1,0))</f>
        <v>Rob</v>
      </c>
      <c r="J263" t="str">
        <f>INDEX(Data_products!$A$1:$G$49, MATCH(Data_orders!$D263,Data_products!$A$1:$A$49,0), MATCH(Data_orders!J$1,Data_products!$A$1:$G$1,0))</f>
        <v>L</v>
      </c>
      <c r="K263" s="4">
        <f>INDEX(Data_products!$A$1:$G$49, MATCH(Data_orders!$D263,Data_products!$A$1:$A$49,0), MATCH(Data_orders!K$1,Data_products!$A$1:$G$1,0))</f>
        <v>1</v>
      </c>
      <c r="L263">
        <f>INDEX(Data_products!$A$1:$G$49, MATCH(Data_orders!$D263,Data_products!$A$1:$A$49,0), MATCH(Data_orders!L$1,Data_products!$A$1:$G$1,0))</f>
        <v>11.95</v>
      </c>
      <c r="M263">
        <f t="shared" si="8"/>
        <v>59.75</v>
      </c>
      <c r="N263" t="str" cm="1">
        <f t="array" ref="N263">_xlfn.IFS(I263 = "Rob", "Robusta", I263 = "Exc", "Excelsa", I263 = "Ara", "Arabica", I263 = "Lib", "Liberica")</f>
        <v>Robusta</v>
      </c>
      <c r="O263" t="str">
        <f t="shared" si="9"/>
        <v>Light</v>
      </c>
      <c r="P263" t="str">
        <f>_xlfn.XLOOKUP(Table1[[#This Row],[Customer ID]],Data_customers!$A$2:$A$1001,Data_customers!$I$2:$I$1001,,0)</f>
        <v>Yes</v>
      </c>
    </row>
    <row r="264" spans="1:16" x14ac:dyDescent="0.2">
      <c r="A264" s="2" t="s">
        <v>1969</v>
      </c>
      <c r="B264" s="3">
        <v>43693</v>
      </c>
      <c r="C264" s="2" t="s">
        <v>1970</v>
      </c>
      <c r="D264" t="s">
        <v>6141</v>
      </c>
      <c r="E264" s="2">
        <v>3</v>
      </c>
      <c r="F264" s="2" t="str">
        <f>_xlfn.XLOOKUP(Data_orders!C264,Data_customers!$A$1:$A$1001,Data_customers!$B$1:$B$1001,,0)</f>
        <v>Javier Kopke</v>
      </c>
      <c r="G264" s="2" t="str">
        <f>IF(_xlfn.XLOOKUP(C264,Data_customers!$A$1:$A$1001,Data_customers!$C$1:$C$1001,,0)=0,"",_xlfn.XLOOKUP(C264,Data_customers!$A$1:$A$1001,Data_customers!$C$1:$C$1001,,0))</f>
        <v>jkopke7a@auda.org.au</v>
      </c>
      <c r="H264" s="2" t="str">
        <f>_xlfn.XLOOKUP(C264,Data_customers!$A$1:$A$1001,Data_customers!$G$1:$G$1001,"",0)</f>
        <v>United States</v>
      </c>
      <c r="I264" t="str">
        <f>INDEX(Data_products!$A$1:$G$49, MATCH(Data_orders!$D264,Data_products!$A$1:$A$49,0), MATCH(Data_orders!I$1,Data_products!$A$1:$G$1,0))</f>
        <v>Exc</v>
      </c>
      <c r="J264" t="str">
        <f>INDEX(Data_products!$A$1:$G$49, MATCH(Data_orders!$D264,Data_products!$A$1:$A$49,0), MATCH(Data_orders!J$1,Data_products!$A$1:$G$1,0))</f>
        <v>M</v>
      </c>
      <c r="K264" s="4">
        <f>INDEX(Data_products!$A$1:$G$49, MATCH(Data_orders!$D264,Data_products!$A$1:$A$49,0), MATCH(Data_orders!K$1,Data_products!$A$1:$G$1,0))</f>
        <v>1</v>
      </c>
      <c r="L264">
        <f>INDEX(Data_products!$A$1:$G$49, MATCH(Data_orders!$D264,Data_products!$A$1:$A$49,0), MATCH(Data_orders!L$1,Data_products!$A$1:$G$1,0))</f>
        <v>13.75</v>
      </c>
      <c r="M264">
        <f t="shared" si="8"/>
        <v>41.25</v>
      </c>
      <c r="N264" t="str" cm="1">
        <f t="array" ref="N264">_xlfn.IFS(I264 = "Rob", "Robusta", I264 = "Exc", "Excelsa", I264 = "Ara", "Arabica", I264 = "Lib", "Liberica")</f>
        <v>Excelsa</v>
      </c>
      <c r="O264" t="str">
        <f t="shared" si="9"/>
        <v>Medium</v>
      </c>
      <c r="P264" t="str">
        <f>_xlfn.XLOOKUP(Table1[[#This Row],[Customer ID]],Data_customers!$A$2:$A$1001,Data_customers!$I$2:$I$1001,,0)</f>
        <v>No</v>
      </c>
    </row>
    <row r="265" spans="1:16" x14ac:dyDescent="0.2">
      <c r="A265" s="2" t="s">
        <v>1975</v>
      </c>
      <c r="B265" s="3">
        <v>43577</v>
      </c>
      <c r="C265" s="2" t="s">
        <v>1976</v>
      </c>
      <c r="D265" t="s">
        <v>6181</v>
      </c>
      <c r="E265" s="2">
        <v>4</v>
      </c>
      <c r="F265" s="2" t="str">
        <f>_xlfn.XLOOKUP(Data_orders!C265,Data_customers!$A$1:$A$1001,Data_customers!$B$1:$B$1001,,0)</f>
        <v>Mar McIver</v>
      </c>
      <c r="G265" s="2" t="str">
        <f>IF(_xlfn.XLOOKUP(C265,Data_customers!$A$1:$A$1001,Data_customers!$C$1:$C$1001,,0)=0,"",_xlfn.XLOOKUP(C265,Data_customers!$A$1:$A$1001,Data_customers!$C$1:$C$1001,,0))</f>
        <v/>
      </c>
      <c r="H265" s="2" t="str">
        <f>_xlfn.XLOOKUP(C265,Data_customers!$A$1:$A$1001,Data_customers!$G$1:$G$1001,"",0)</f>
        <v>United States</v>
      </c>
      <c r="I265" t="str">
        <f>INDEX(Data_products!$A$1:$G$49, MATCH(Data_orders!$D265,Data_products!$A$1:$A$49,0), MATCH(Data_orders!I$1,Data_products!$A$1:$G$1,0))</f>
        <v>Lib</v>
      </c>
      <c r="J265" t="str">
        <f>INDEX(Data_products!$A$1:$G$49, MATCH(Data_orders!$D265,Data_products!$A$1:$A$49,0), MATCH(Data_orders!J$1,Data_products!$A$1:$G$1,0))</f>
        <v>M</v>
      </c>
      <c r="K265" s="4">
        <f>INDEX(Data_products!$A$1:$G$49, MATCH(Data_orders!$D265,Data_products!$A$1:$A$49,0), MATCH(Data_orders!K$1,Data_products!$A$1:$G$1,0))</f>
        <v>2.5</v>
      </c>
      <c r="L265">
        <f>INDEX(Data_products!$A$1:$G$49, MATCH(Data_orders!$D265,Data_products!$A$1:$A$49,0), MATCH(Data_orders!L$1,Data_products!$A$1:$G$1,0))</f>
        <v>33.464999999999996</v>
      </c>
      <c r="M265">
        <f t="shared" si="8"/>
        <v>133.85999999999999</v>
      </c>
      <c r="N265" t="str" cm="1">
        <f t="array" ref="N265">_xlfn.IFS(I265 = "Rob", "Robusta", I265 = "Exc", "Excelsa", I265 = "Ara", "Arabica", I265 = "Lib", "Liberica")</f>
        <v>Liberica</v>
      </c>
      <c r="O265" t="str">
        <f t="shared" si="9"/>
        <v>Medium</v>
      </c>
      <c r="P265" t="str">
        <f>_xlfn.XLOOKUP(Table1[[#This Row],[Customer ID]],Data_customers!$A$2:$A$1001,Data_customers!$I$2:$I$1001,,0)</f>
        <v>No</v>
      </c>
    </row>
    <row r="266" spans="1:16" x14ac:dyDescent="0.2">
      <c r="A266" s="2" t="s">
        <v>1980</v>
      </c>
      <c r="B266" s="3">
        <v>44683</v>
      </c>
      <c r="C266" s="2" t="s">
        <v>1981</v>
      </c>
      <c r="D266" t="s">
        <v>6179</v>
      </c>
      <c r="E266" s="2">
        <v>5</v>
      </c>
      <c r="F266" s="2" t="str">
        <f>_xlfn.XLOOKUP(Data_orders!C266,Data_customers!$A$1:$A$1001,Data_customers!$B$1:$B$1001,,0)</f>
        <v>Arabella Fransewich</v>
      </c>
      <c r="G266" s="2" t="str">
        <f>IF(_xlfn.XLOOKUP(C266,Data_customers!$A$1:$A$1001,Data_customers!$C$1:$C$1001,,0)=0,"",_xlfn.XLOOKUP(C266,Data_customers!$A$1:$A$1001,Data_customers!$C$1:$C$1001,,0))</f>
        <v/>
      </c>
      <c r="H266" s="2" t="str">
        <f>_xlfn.XLOOKUP(C266,Data_customers!$A$1:$A$1001,Data_customers!$G$1:$G$1001,"",0)</f>
        <v>Ireland</v>
      </c>
      <c r="I266" t="str">
        <f>INDEX(Data_products!$A$1:$G$49, MATCH(Data_orders!$D266,Data_products!$A$1:$A$49,0), MATCH(Data_orders!I$1,Data_products!$A$1:$G$1,0))</f>
        <v>Rob</v>
      </c>
      <c r="J266" t="str">
        <f>INDEX(Data_products!$A$1:$G$49, MATCH(Data_orders!$D266,Data_products!$A$1:$A$49,0), MATCH(Data_orders!J$1,Data_products!$A$1:$G$1,0))</f>
        <v>L</v>
      </c>
      <c r="K266" s="4">
        <f>INDEX(Data_products!$A$1:$G$49, MATCH(Data_orders!$D266,Data_products!$A$1:$A$49,0), MATCH(Data_orders!K$1,Data_products!$A$1:$G$1,0))</f>
        <v>1</v>
      </c>
      <c r="L266">
        <f>INDEX(Data_products!$A$1:$G$49, MATCH(Data_orders!$D266,Data_products!$A$1:$A$49,0), MATCH(Data_orders!L$1,Data_products!$A$1:$G$1,0))</f>
        <v>11.95</v>
      </c>
      <c r="M266">
        <f t="shared" si="8"/>
        <v>59.75</v>
      </c>
      <c r="N266" t="str" cm="1">
        <f t="array" ref="N266">_xlfn.IFS(I266 = "Rob", "Robusta", I266 = "Exc", "Excelsa", I266 = "Ara", "Arabica", I266 = "Lib", "Liberica")</f>
        <v>Robusta</v>
      </c>
      <c r="O266" t="str">
        <f t="shared" si="9"/>
        <v>Light</v>
      </c>
      <c r="P266" t="str">
        <f>_xlfn.XLOOKUP(Table1[[#This Row],[Customer ID]],Data_customers!$A$2:$A$1001,Data_customers!$I$2:$I$1001,,0)</f>
        <v>Yes</v>
      </c>
    </row>
    <row r="267" spans="1:16" x14ac:dyDescent="0.2">
      <c r="A267" s="2" t="s">
        <v>1986</v>
      </c>
      <c r="B267" s="3">
        <v>43872</v>
      </c>
      <c r="C267" s="2" t="s">
        <v>1987</v>
      </c>
      <c r="D267" t="s">
        <v>6158</v>
      </c>
      <c r="E267" s="2">
        <v>1</v>
      </c>
      <c r="F267" s="2" t="str">
        <f>_xlfn.XLOOKUP(Data_orders!C267,Data_customers!$A$1:$A$1001,Data_customers!$B$1:$B$1001,,0)</f>
        <v>Violette Hellmore</v>
      </c>
      <c r="G267" s="2" t="str">
        <f>IF(_xlfn.XLOOKUP(C267,Data_customers!$A$1:$A$1001,Data_customers!$C$1:$C$1001,,0)=0,"",_xlfn.XLOOKUP(C267,Data_customers!$A$1:$A$1001,Data_customers!$C$1:$C$1001,,0))</f>
        <v>vhellmore7d@bbc.co.uk</v>
      </c>
      <c r="H267" s="2" t="str">
        <f>_xlfn.XLOOKUP(C267,Data_customers!$A$1:$A$1001,Data_customers!$G$1:$G$1001,"",0)</f>
        <v>United States</v>
      </c>
      <c r="I267" t="str">
        <f>INDEX(Data_products!$A$1:$G$49, MATCH(Data_orders!$D267,Data_products!$A$1:$A$49,0), MATCH(Data_orders!I$1,Data_products!$A$1:$G$1,0))</f>
        <v>Ara</v>
      </c>
      <c r="J267" t="str">
        <f>INDEX(Data_products!$A$1:$G$49, MATCH(Data_orders!$D267,Data_products!$A$1:$A$49,0), MATCH(Data_orders!J$1,Data_products!$A$1:$G$1,0))</f>
        <v>D</v>
      </c>
      <c r="K267" s="4">
        <f>INDEX(Data_products!$A$1:$G$49, MATCH(Data_orders!$D267,Data_products!$A$1:$A$49,0), MATCH(Data_orders!K$1,Data_products!$A$1:$G$1,0))</f>
        <v>0.5</v>
      </c>
      <c r="L267">
        <f>INDEX(Data_products!$A$1:$G$49, MATCH(Data_orders!$D267,Data_products!$A$1:$A$49,0), MATCH(Data_orders!L$1,Data_products!$A$1:$G$1,0))</f>
        <v>5.97</v>
      </c>
      <c r="M267">
        <f t="shared" si="8"/>
        <v>5.97</v>
      </c>
      <c r="N267" t="str" cm="1">
        <f t="array" ref="N267">_xlfn.IFS(I267 = "Rob", "Robusta", I267 = "Exc", "Excelsa", I267 = "Ara", "Arabica", I267 = "Lib", "Liberica")</f>
        <v>Arabica</v>
      </c>
      <c r="O267" t="str">
        <f t="shared" si="9"/>
        <v>Dark</v>
      </c>
      <c r="P267" t="str">
        <f>_xlfn.XLOOKUP(Table1[[#This Row],[Customer ID]],Data_customers!$A$2:$A$1001,Data_customers!$I$2:$I$1001,,0)</f>
        <v>Yes</v>
      </c>
    </row>
    <row r="268" spans="1:16" x14ac:dyDescent="0.2">
      <c r="A268" s="2" t="s">
        <v>1992</v>
      </c>
      <c r="B268" s="3">
        <v>44283</v>
      </c>
      <c r="C268" s="2" t="s">
        <v>1993</v>
      </c>
      <c r="D268" t="s">
        <v>6183</v>
      </c>
      <c r="E268" s="2">
        <v>2</v>
      </c>
      <c r="F268" s="2" t="str">
        <f>_xlfn.XLOOKUP(Data_orders!C268,Data_customers!$A$1:$A$1001,Data_customers!$B$1:$B$1001,,0)</f>
        <v>Myles Seawright</v>
      </c>
      <c r="G268" s="2" t="str">
        <f>IF(_xlfn.XLOOKUP(C268,Data_customers!$A$1:$A$1001,Data_customers!$C$1:$C$1001,,0)=0,"",_xlfn.XLOOKUP(C268,Data_customers!$A$1:$A$1001,Data_customers!$C$1:$C$1001,,0))</f>
        <v>mseawright7e@nbcnews.com</v>
      </c>
      <c r="H268" s="2" t="str">
        <f>_xlfn.XLOOKUP(C268,Data_customers!$A$1:$A$1001,Data_customers!$G$1:$G$1001,"",0)</f>
        <v>United Kingdom</v>
      </c>
      <c r="I268" t="str">
        <f>INDEX(Data_products!$A$1:$G$49, MATCH(Data_orders!$D268,Data_products!$A$1:$A$49,0), MATCH(Data_orders!I$1,Data_products!$A$1:$G$1,0))</f>
        <v>Exc</v>
      </c>
      <c r="J268" t="str">
        <f>INDEX(Data_products!$A$1:$G$49, MATCH(Data_orders!$D268,Data_products!$A$1:$A$49,0), MATCH(Data_orders!J$1,Data_products!$A$1:$G$1,0))</f>
        <v>D</v>
      </c>
      <c r="K268" s="4">
        <f>INDEX(Data_products!$A$1:$G$49, MATCH(Data_orders!$D268,Data_products!$A$1:$A$49,0), MATCH(Data_orders!K$1,Data_products!$A$1:$G$1,0))</f>
        <v>1</v>
      </c>
      <c r="L268">
        <f>INDEX(Data_products!$A$1:$G$49, MATCH(Data_orders!$D268,Data_products!$A$1:$A$49,0), MATCH(Data_orders!L$1,Data_products!$A$1:$G$1,0))</f>
        <v>12.15</v>
      </c>
      <c r="M268">
        <f t="shared" si="8"/>
        <v>24.3</v>
      </c>
      <c r="N268" t="str" cm="1">
        <f t="array" ref="N268">_xlfn.IFS(I268 = "Rob", "Robusta", I268 = "Exc", "Excelsa", I268 = "Ara", "Arabica", I268 = "Lib", "Liberica")</f>
        <v>Excelsa</v>
      </c>
      <c r="O268" t="str">
        <f t="shared" si="9"/>
        <v>Dark</v>
      </c>
      <c r="P268" t="str">
        <f>_xlfn.XLOOKUP(Table1[[#This Row],[Customer ID]],Data_customers!$A$2:$A$1001,Data_customers!$I$2:$I$1001,,0)</f>
        <v>No</v>
      </c>
    </row>
    <row r="269" spans="1:16" x14ac:dyDescent="0.2">
      <c r="A269" s="2" t="s">
        <v>1998</v>
      </c>
      <c r="B269" s="3">
        <v>44324</v>
      </c>
      <c r="C269" s="2" t="s">
        <v>1999</v>
      </c>
      <c r="D269" t="s">
        <v>6153</v>
      </c>
      <c r="E269" s="2">
        <v>6</v>
      </c>
      <c r="F269" s="2" t="str">
        <f>_xlfn.XLOOKUP(Data_orders!C269,Data_customers!$A$1:$A$1001,Data_customers!$B$1:$B$1001,,0)</f>
        <v>Silvana Northeast</v>
      </c>
      <c r="G269" s="2" t="str">
        <f>IF(_xlfn.XLOOKUP(C269,Data_customers!$A$1:$A$1001,Data_customers!$C$1:$C$1001,,0)=0,"",_xlfn.XLOOKUP(C269,Data_customers!$A$1:$A$1001,Data_customers!$C$1:$C$1001,,0))</f>
        <v>snortheast7f@mashable.com</v>
      </c>
      <c r="H269" s="2" t="str">
        <f>_xlfn.XLOOKUP(C269,Data_customers!$A$1:$A$1001,Data_customers!$G$1:$G$1001,"",0)</f>
        <v>United States</v>
      </c>
      <c r="I269" t="str">
        <f>INDEX(Data_products!$A$1:$G$49, MATCH(Data_orders!$D269,Data_products!$A$1:$A$49,0), MATCH(Data_orders!I$1,Data_products!$A$1:$G$1,0))</f>
        <v>Exc</v>
      </c>
      <c r="J269" t="str">
        <f>INDEX(Data_products!$A$1:$G$49, MATCH(Data_orders!$D269,Data_products!$A$1:$A$49,0), MATCH(Data_orders!J$1,Data_products!$A$1:$G$1,0))</f>
        <v>D</v>
      </c>
      <c r="K269" s="4">
        <f>INDEX(Data_products!$A$1:$G$49, MATCH(Data_orders!$D269,Data_products!$A$1:$A$49,0), MATCH(Data_orders!K$1,Data_products!$A$1:$G$1,0))</f>
        <v>0.2</v>
      </c>
      <c r="L269">
        <f>INDEX(Data_products!$A$1:$G$49, MATCH(Data_orders!$D269,Data_products!$A$1:$A$49,0), MATCH(Data_orders!L$1,Data_products!$A$1:$G$1,0))</f>
        <v>3.645</v>
      </c>
      <c r="M269">
        <f t="shared" si="8"/>
        <v>21.87</v>
      </c>
      <c r="N269" t="str" cm="1">
        <f t="array" ref="N269">_xlfn.IFS(I269 = "Rob", "Robusta", I269 = "Exc", "Excelsa", I269 = "Ara", "Arabica", I269 = "Lib", "Liberica")</f>
        <v>Excelsa</v>
      </c>
      <c r="O269" t="str">
        <f t="shared" si="9"/>
        <v>Dark</v>
      </c>
      <c r="P269" t="str">
        <f>_xlfn.XLOOKUP(Table1[[#This Row],[Customer ID]],Data_customers!$A$2:$A$1001,Data_customers!$I$2:$I$1001,,0)</f>
        <v>Yes</v>
      </c>
    </row>
    <row r="270" spans="1:16" x14ac:dyDescent="0.2">
      <c r="A270" s="2" t="s">
        <v>2004</v>
      </c>
      <c r="B270" s="3">
        <v>43790</v>
      </c>
      <c r="C270" s="2" t="s">
        <v>1672</v>
      </c>
      <c r="D270" t="s">
        <v>6147</v>
      </c>
      <c r="E270" s="2">
        <v>2</v>
      </c>
      <c r="F270" s="2" t="str">
        <f>_xlfn.XLOOKUP(Data_orders!C270,Data_customers!$A$1:$A$1001,Data_customers!$B$1:$B$1001,,0)</f>
        <v>Anselma Attwater</v>
      </c>
      <c r="G270" s="2" t="str">
        <f>IF(_xlfn.XLOOKUP(C270,Data_customers!$A$1:$A$1001,Data_customers!$C$1:$C$1001,,0)=0,"",_xlfn.XLOOKUP(C270,Data_customers!$A$1:$A$1001,Data_customers!$C$1:$C$1001,,0))</f>
        <v>aattwater5u@wikia.com</v>
      </c>
      <c r="H270" s="2" t="str">
        <f>_xlfn.XLOOKUP(C270,Data_customers!$A$1:$A$1001,Data_customers!$G$1:$G$1001,"",0)</f>
        <v>United States</v>
      </c>
      <c r="I270" t="str">
        <f>INDEX(Data_products!$A$1:$G$49, MATCH(Data_orders!$D270,Data_products!$A$1:$A$49,0), MATCH(Data_orders!I$1,Data_products!$A$1:$G$1,0))</f>
        <v>Ara</v>
      </c>
      <c r="J270" t="str">
        <f>INDEX(Data_products!$A$1:$G$49, MATCH(Data_orders!$D270,Data_products!$A$1:$A$49,0), MATCH(Data_orders!J$1,Data_products!$A$1:$G$1,0))</f>
        <v>D</v>
      </c>
      <c r="K270" s="4">
        <f>INDEX(Data_products!$A$1:$G$49, MATCH(Data_orders!$D270,Data_products!$A$1:$A$49,0), MATCH(Data_orders!K$1,Data_products!$A$1:$G$1,0))</f>
        <v>1</v>
      </c>
      <c r="L270">
        <f>INDEX(Data_products!$A$1:$G$49, MATCH(Data_orders!$D270,Data_products!$A$1:$A$49,0), MATCH(Data_orders!L$1,Data_products!$A$1:$G$1,0))</f>
        <v>9.9499999999999993</v>
      </c>
      <c r="M270">
        <f t="shared" si="8"/>
        <v>19.899999999999999</v>
      </c>
      <c r="N270" t="str" cm="1">
        <f t="array" ref="N270">_xlfn.IFS(I270 = "Rob", "Robusta", I270 = "Exc", "Excelsa", I270 = "Ara", "Arabica", I270 = "Lib", "Liberica")</f>
        <v>Arabica</v>
      </c>
      <c r="O270" t="str">
        <f t="shared" si="9"/>
        <v>Dark</v>
      </c>
      <c r="P270" t="str">
        <f>_xlfn.XLOOKUP(Table1[[#This Row],[Customer ID]],Data_customers!$A$2:$A$1001,Data_customers!$I$2:$I$1001,,0)</f>
        <v>Yes</v>
      </c>
    </row>
    <row r="271" spans="1:16" x14ac:dyDescent="0.2">
      <c r="A271" s="2" t="s">
        <v>2009</v>
      </c>
      <c r="B271" s="3">
        <v>44333</v>
      </c>
      <c r="C271" s="2" t="s">
        <v>2010</v>
      </c>
      <c r="D271" t="s">
        <v>6154</v>
      </c>
      <c r="E271" s="2">
        <v>2</v>
      </c>
      <c r="F271" s="2" t="str">
        <f>_xlfn.XLOOKUP(Data_orders!C271,Data_customers!$A$1:$A$1001,Data_customers!$B$1:$B$1001,,0)</f>
        <v>Monica Fearon</v>
      </c>
      <c r="G271" s="2" t="str">
        <f>IF(_xlfn.XLOOKUP(C271,Data_customers!$A$1:$A$1001,Data_customers!$C$1:$C$1001,,0)=0,"",_xlfn.XLOOKUP(C271,Data_customers!$A$1:$A$1001,Data_customers!$C$1:$C$1001,,0))</f>
        <v>mfearon7h@reverbnation.com</v>
      </c>
      <c r="H271" s="2" t="str">
        <f>_xlfn.XLOOKUP(C271,Data_customers!$A$1:$A$1001,Data_customers!$G$1:$G$1001,"",0)</f>
        <v>United States</v>
      </c>
      <c r="I271" t="str">
        <f>INDEX(Data_products!$A$1:$G$49, MATCH(Data_orders!$D271,Data_products!$A$1:$A$49,0), MATCH(Data_orders!I$1,Data_products!$A$1:$G$1,0))</f>
        <v>Ara</v>
      </c>
      <c r="J271" t="str">
        <f>INDEX(Data_products!$A$1:$G$49, MATCH(Data_orders!$D271,Data_products!$A$1:$A$49,0), MATCH(Data_orders!J$1,Data_products!$A$1:$G$1,0))</f>
        <v>D</v>
      </c>
      <c r="K271" s="4">
        <f>INDEX(Data_products!$A$1:$G$49, MATCH(Data_orders!$D271,Data_products!$A$1:$A$49,0), MATCH(Data_orders!K$1,Data_products!$A$1:$G$1,0))</f>
        <v>0.2</v>
      </c>
      <c r="L271">
        <f>INDEX(Data_products!$A$1:$G$49, MATCH(Data_orders!$D271,Data_products!$A$1:$A$49,0), MATCH(Data_orders!L$1,Data_products!$A$1:$G$1,0))</f>
        <v>2.9849999999999999</v>
      </c>
      <c r="M271">
        <f t="shared" si="8"/>
        <v>5.97</v>
      </c>
      <c r="N271" t="str" cm="1">
        <f t="array" ref="N271">_xlfn.IFS(I271 = "Rob", "Robusta", I271 = "Exc", "Excelsa", I271 = "Ara", "Arabica", I271 = "Lib", "Liberica")</f>
        <v>Arabica</v>
      </c>
      <c r="O271" t="str">
        <f t="shared" si="9"/>
        <v>Dark</v>
      </c>
      <c r="P271" t="str">
        <f>_xlfn.XLOOKUP(Table1[[#This Row],[Customer ID]],Data_customers!$A$2:$A$1001,Data_customers!$I$2:$I$1001,,0)</f>
        <v>No</v>
      </c>
    </row>
    <row r="272" spans="1:16" x14ac:dyDescent="0.2">
      <c r="A272" s="2" t="s">
        <v>2015</v>
      </c>
      <c r="B272" s="3">
        <v>43655</v>
      </c>
      <c r="C272" s="2" t="s">
        <v>2016</v>
      </c>
      <c r="D272" t="s">
        <v>6144</v>
      </c>
      <c r="E272" s="2">
        <v>1</v>
      </c>
      <c r="F272" s="2" t="str">
        <f>_xlfn.XLOOKUP(Data_orders!C272,Data_customers!$A$1:$A$1001,Data_customers!$B$1:$B$1001,,0)</f>
        <v>Barney Chisnell</v>
      </c>
      <c r="G272" s="2" t="str">
        <f>IF(_xlfn.XLOOKUP(C272,Data_customers!$A$1:$A$1001,Data_customers!$C$1:$C$1001,,0)=0,"",_xlfn.XLOOKUP(C272,Data_customers!$A$1:$A$1001,Data_customers!$C$1:$C$1001,,0))</f>
        <v/>
      </c>
      <c r="H272" s="2" t="str">
        <f>_xlfn.XLOOKUP(C272,Data_customers!$A$1:$A$1001,Data_customers!$G$1:$G$1001,"",0)</f>
        <v>Ireland</v>
      </c>
      <c r="I272" t="str">
        <f>INDEX(Data_products!$A$1:$G$49, MATCH(Data_orders!$D272,Data_products!$A$1:$A$49,0), MATCH(Data_orders!I$1,Data_products!$A$1:$G$1,0))</f>
        <v>Exc</v>
      </c>
      <c r="J272" t="str">
        <f>INDEX(Data_products!$A$1:$G$49, MATCH(Data_orders!$D272,Data_products!$A$1:$A$49,0), MATCH(Data_orders!J$1,Data_products!$A$1:$G$1,0))</f>
        <v>D</v>
      </c>
      <c r="K272" s="4">
        <f>INDEX(Data_products!$A$1:$G$49, MATCH(Data_orders!$D272,Data_products!$A$1:$A$49,0), MATCH(Data_orders!K$1,Data_products!$A$1:$G$1,0))</f>
        <v>0.5</v>
      </c>
      <c r="L272">
        <f>INDEX(Data_products!$A$1:$G$49, MATCH(Data_orders!$D272,Data_products!$A$1:$A$49,0), MATCH(Data_orders!L$1,Data_products!$A$1:$G$1,0))</f>
        <v>7.29</v>
      </c>
      <c r="M272">
        <f t="shared" si="8"/>
        <v>7.29</v>
      </c>
      <c r="N272" t="str" cm="1">
        <f t="array" ref="N272">_xlfn.IFS(I272 = "Rob", "Robusta", I272 = "Exc", "Excelsa", I272 = "Ara", "Arabica", I272 = "Lib", "Liberica")</f>
        <v>Excelsa</v>
      </c>
      <c r="O272" t="str">
        <f t="shared" si="9"/>
        <v>Dark</v>
      </c>
      <c r="P272" t="str">
        <f>_xlfn.XLOOKUP(Table1[[#This Row],[Customer ID]],Data_customers!$A$2:$A$1001,Data_customers!$I$2:$I$1001,,0)</f>
        <v>Yes</v>
      </c>
    </row>
    <row r="273" spans="1:16" x14ac:dyDescent="0.2">
      <c r="A273" s="2" t="s">
        <v>2019</v>
      </c>
      <c r="B273" s="3">
        <v>43971</v>
      </c>
      <c r="C273" s="2" t="s">
        <v>2020</v>
      </c>
      <c r="D273" t="s">
        <v>6154</v>
      </c>
      <c r="E273" s="2">
        <v>4</v>
      </c>
      <c r="F273" s="2" t="str">
        <f>_xlfn.XLOOKUP(Data_orders!C273,Data_customers!$A$1:$A$1001,Data_customers!$B$1:$B$1001,,0)</f>
        <v>Jasper Sisneros</v>
      </c>
      <c r="G273" s="2" t="str">
        <f>IF(_xlfn.XLOOKUP(C273,Data_customers!$A$1:$A$1001,Data_customers!$C$1:$C$1001,,0)=0,"",_xlfn.XLOOKUP(C273,Data_customers!$A$1:$A$1001,Data_customers!$C$1:$C$1001,,0))</f>
        <v>jsisneros7j@a8.net</v>
      </c>
      <c r="H273" s="2" t="str">
        <f>_xlfn.XLOOKUP(C273,Data_customers!$A$1:$A$1001,Data_customers!$G$1:$G$1001,"",0)</f>
        <v>United States</v>
      </c>
      <c r="I273" t="str">
        <f>INDEX(Data_products!$A$1:$G$49, MATCH(Data_orders!$D273,Data_products!$A$1:$A$49,0), MATCH(Data_orders!I$1,Data_products!$A$1:$G$1,0))</f>
        <v>Ara</v>
      </c>
      <c r="J273" t="str">
        <f>INDEX(Data_products!$A$1:$G$49, MATCH(Data_orders!$D273,Data_products!$A$1:$A$49,0), MATCH(Data_orders!J$1,Data_products!$A$1:$G$1,0))</f>
        <v>D</v>
      </c>
      <c r="K273" s="4">
        <f>INDEX(Data_products!$A$1:$G$49, MATCH(Data_orders!$D273,Data_products!$A$1:$A$49,0), MATCH(Data_orders!K$1,Data_products!$A$1:$G$1,0))</f>
        <v>0.2</v>
      </c>
      <c r="L273">
        <f>INDEX(Data_products!$A$1:$G$49, MATCH(Data_orders!$D273,Data_products!$A$1:$A$49,0), MATCH(Data_orders!L$1,Data_products!$A$1:$G$1,0))</f>
        <v>2.9849999999999999</v>
      </c>
      <c r="M273">
        <f t="shared" si="8"/>
        <v>11.94</v>
      </c>
      <c r="N273" t="str" cm="1">
        <f t="array" ref="N273">_xlfn.IFS(I273 = "Rob", "Robusta", I273 = "Exc", "Excelsa", I273 = "Ara", "Arabica", I273 = "Lib", "Liberica")</f>
        <v>Arabica</v>
      </c>
      <c r="O273" t="str">
        <f t="shared" si="9"/>
        <v>Dark</v>
      </c>
      <c r="P273" t="str">
        <f>_xlfn.XLOOKUP(Table1[[#This Row],[Customer ID]],Data_customers!$A$2:$A$1001,Data_customers!$I$2:$I$1001,,0)</f>
        <v>Yes</v>
      </c>
    </row>
    <row r="274" spans="1:16" x14ac:dyDescent="0.2">
      <c r="A274" s="2" t="s">
        <v>2025</v>
      </c>
      <c r="B274" s="3">
        <v>44435</v>
      </c>
      <c r="C274" s="2" t="s">
        <v>2026</v>
      </c>
      <c r="D274" t="s">
        <v>6179</v>
      </c>
      <c r="E274" s="2">
        <v>6</v>
      </c>
      <c r="F274" s="2" t="str">
        <f>_xlfn.XLOOKUP(Data_orders!C274,Data_customers!$A$1:$A$1001,Data_customers!$B$1:$B$1001,,0)</f>
        <v>Zachariah Carlson</v>
      </c>
      <c r="G274" s="2" t="str">
        <f>IF(_xlfn.XLOOKUP(C274,Data_customers!$A$1:$A$1001,Data_customers!$C$1:$C$1001,,0)=0,"",_xlfn.XLOOKUP(C274,Data_customers!$A$1:$A$1001,Data_customers!$C$1:$C$1001,,0))</f>
        <v>zcarlson7k@bigcartel.com</v>
      </c>
      <c r="H274" s="2" t="str">
        <f>_xlfn.XLOOKUP(C274,Data_customers!$A$1:$A$1001,Data_customers!$G$1:$G$1001,"",0)</f>
        <v>Ireland</v>
      </c>
      <c r="I274" t="str">
        <f>INDEX(Data_products!$A$1:$G$49, MATCH(Data_orders!$D274,Data_products!$A$1:$A$49,0), MATCH(Data_orders!I$1,Data_products!$A$1:$G$1,0))</f>
        <v>Rob</v>
      </c>
      <c r="J274" t="str">
        <f>INDEX(Data_products!$A$1:$G$49, MATCH(Data_orders!$D274,Data_products!$A$1:$A$49,0), MATCH(Data_orders!J$1,Data_products!$A$1:$G$1,0))</f>
        <v>L</v>
      </c>
      <c r="K274" s="4">
        <f>INDEX(Data_products!$A$1:$G$49, MATCH(Data_orders!$D274,Data_products!$A$1:$A$49,0), MATCH(Data_orders!K$1,Data_products!$A$1:$G$1,0))</f>
        <v>1</v>
      </c>
      <c r="L274">
        <f>INDEX(Data_products!$A$1:$G$49, MATCH(Data_orders!$D274,Data_products!$A$1:$A$49,0), MATCH(Data_orders!L$1,Data_products!$A$1:$G$1,0))</f>
        <v>11.95</v>
      </c>
      <c r="M274">
        <f t="shared" si="8"/>
        <v>71.699999999999989</v>
      </c>
      <c r="N274" t="str" cm="1">
        <f t="array" ref="N274">_xlfn.IFS(I274 = "Rob", "Robusta", I274 = "Exc", "Excelsa", I274 = "Ara", "Arabica", I274 = "Lib", "Liberica")</f>
        <v>Robusta</v>
      </c>
      <c r="O274" t="str">
        <f t="shared" si="9"/>
        <v>Light</v>
      </c>
      <c r="P274" t="str">
        <f>_xlfn.XLOOKUP(Table1[[#This Row],[Customer ID]],Data_customers!$A$2:$A$1001,Data_customers!$I$2:$I$1001,,0)</f>
        <v>Yes</v>
      </c>
    </row>
    <row r="275" spans="1:16" x14ac:dyDescent="0.2">
      <c r="A275" s="2" t="s">
        <v>2032</v>
      </c>
      <c r="B275" s="3">
        <v>44681</v>
      </c>
      <c r="C275" s="2" t="s">
        <v>2033</v>
      </c>
      <c r="D275" t="s">
        <v>6167</v>
      </c>
      <c r="E275" s="2">
        <v>2</v>
      </c>
      <c r="F275" s="2" t="str">
        <f>_xlfn.XLOOKUP(Data_orders!C275,Data_customers!$A$1:$A$1001,Data_customers!$B$1:$B$1001,,0)</f>
        <v>Warner Maddox</v>
      </c>
      <c r="G275" s="2" t="str">
        <f>IF(_xlfn.XLOOKUP(C275,Data_customers!$A$1:$A$1001,Data_customers!$C$1:$C$1001,,0)=0,"",_xlfn.XLOOKUP(C275,Data_customers!$A$1:$A$1001,Data_customers!$C$1:$C$1001,,0))</f>
        <v>wmaddox7l@timesonline.co.uk</v>
      </c>
      <c r="H275" s="2" t="str">
        <f>_xlfn.XLOOKUP(C275,Data_customers!$A$1:$A$1001,Data_customers!$G$1:$G$1001,"",0)</f>
        <v>United States</v>
      </c>
      <c r="I275" t="str">
        <f>INDEX(Data_products!$A$1:$G$49, MATCH(Data_orders!$D275,Data_products!$A$1:$A$49,0), MATCH(Data_orders!I$1,Data_products!$A$1:$G$1,0))</f>
        <v>Ara</v>
      </c>
      <c r="J275" t="str">
        <f>INDEX(Data_products!$A$1:$G$49, MATCH(Data_orders!$D275,Data_products!$A$1:$A$49,0), MATCH(Data_orders!J$1,Data_products!$A$1:$G$1,0))</f>
        <v>L</v>
      </c>
      <c r="K275" s="4">
        <f>INDEX(Data_products!$A$1:$G$49, MATCH(Data_orders!$D275,Data_products!$A$1:$A$49,0), MATCH(Data_orders!K$1,Data_products!$A$1:$G$1,0))</f>
        <v>0.2</v>
      </c>
      <c r="L275">
        <f>INDEX(Data_products!$A$1:$G$49, MATCH(Data_orders!$D275,Data_products!$A$1:$A$49,0), MATCH(Data_orders!L$1,Data_products!$A$1:$G$1,0))</f>
        <v>3.8849999999999998</v>
      </c>
      <c r="M275">
        <f t="shared" si="8"/>
        <v>7.77</v>
      </c>
      <c r="N275" t="str" cm="1">
        <f t="array" ref="N275">_xlfn.IFS(I275 = "Rob", "Robusta", I275 = "Exc", "Excelsa", I275 = "Ara", "Arabica", I275 = "Lib", "Liberica")</f>
        <v>Arabica</v>
      </c>
      <c r="O275" t="str">
        <f t="shared" si="9"/>
        <v>Light</v>
      </c>
      <c r="P275" t="str">
        <f>_xlfn.XLOOKUP(Table1[[#This Row],[Customer ID]],Data_customers!$A$2:$A$1001,Data_customers!$I$2:$I$1001,,0)</f>
        <v>No</v>
      </c>
    </row>
    <row r="276" spans="1:16" x14ac:dyDescent="0.2">
      <c r="A276" s="2" t="s">
        <v>2038</v>
      </c>
      <c r="B276" s="3">
        <v>43985</v>
      </c>
      <c r="C276" s="2" t="s">
        <v>2039</v>
      </c>
      <c r="D276" t="s">
        <v>6175</v>
      </c>
      <c r="E276" s="2">
        <v>1</v>
      </c>
      <c r="F276" s="2" t="str">
        <f>_xlfn.XLOOKUP(Data_orders!C276,Data_customers!$A$1:$A$1001,Data_customers!$B$1:$B$1001,,0)</f>
        <v>Donnie Hedlestone</v>
      </c>
      <c r="G276" s="2" t="str">
        <f>IF(_xlfn.XLOOKUP(C276,Data_customers!$A$1:$A$1001,Data_customers!$C$1:$C$1001,,0)=0,"",_xlfn.XLOOKUP(C276,Data_customers!$A$1:$A$1001,Data_customers!$C$1:$C$1001,,0))</f>
        <v>dhedlestone7m@craigslist.org</v>
      </c>
      <c r="H276" s="2" t="str">
        <f>_xlfn.XLOOKUP(C276,Data_customers!$A$1:$A$1001,Data_customers!$G$1:$G$1001,"",0)</f>
        <v>United States</v>
      </c>
      <c r="I276" t="str">
        <f>INDEX(Data_products!$A$1:$G$49, MATCH(Data_orders!$D276,Data_products!$A$1:$A$49,0), MATCH(Data_orders!I$1,Data_products!$A$1:$G$1,0))</f>
        <v>Ara</v>
      </c>
      <c r="J276" t="str">
        <f>INDEX(Data_products!$A$1:$G$49, MATCH(Data_orders!$D276,Data_products!$A$1:$A$49,0), MATCH(Data_orders!J$1,Data_products!$A$1:$G$1,0))</f>
        <v>M</v>
      </c>
      <c r="K276" s="4">
        <f>INDEX(Data_products!$A$1:$G$49, MATCH(Data_orders!$D276,Data_products!$A$1:$A$49,0), MATCH(Data_orders!K$1,Data_products!$A$1:$G$1,0))</f>
        <v>2.5</v>
      </c>
      <c r="L276">
        <f>INDEX(Data_products!$A$1:$G$49, MATCH(Data_orders!$D276,Data_products!$A$1:$A$49,0), MATCH(Data_orders!L$1,Data_products!$A$1:$G$1,0))</f>
        <v>25.874999999999996</v>
      </c>
      <c r="M276">
        <f t="shared" si="8"/>
        <v>25.874999999999996</v>
      </c>
      <c r="N276" t="str" cm="1">
        <f t="array" ref="N276">_xlfn.IFS(I276 = "Rob", "Robusta", I276 = "Exc", "Excelsa", I276 = "Ara", "Arabica", I276 = "Lib", "Liberica")</f>
        <v>Arabica</v>
      </c>
      <c r="O276" t="str">
        <f t="shared" si="9"/>
        <v>Medium</v>
      </c>
      <c r="P276" t="str">
        <f>_xlfn.XLOOKUP(Table1[[#This Row],[Customer ID]],Data_customers!$A$2:$A$1001,Data_customers!$I$2:$I$1001,,0)</f>
        <v>No</v>
      </c>
    </row>
    <row r="277" spans="1:16" x14ac:dyDescent="0.2">
      <c r="A277" s="2" t="s">
        <v>2044</v>
      </c>
      <c r="B277" s="3">
        <v>44725</v>
      </c>
      <c r="C277" s="2" t="s">
        <v>2045</v>
      </c>
      <c r="D277" t="s">
        <v>6148</v>
      </c>
      <c r="E277" s="2">
        <v>6</v>
      </c>
      <c r="F277" s="2" t="str">
        <f>_xlfn.XLOOKUP(Data_orders!C277,Data_customers!$A$1:$A$1001,Data_customers!$B$1:$B$1001,,0)</f>
        <v>Teddi Crowthe</v>
      </c>
      <c r="G277" s="2" t="str">
        <f>IF(_xlfn.XLOOKUP(C277,Data_customers!$A$1:$A$1001,Data_customers!$C$1:$C$1001,,0)=0,"",_xlfn.XLOOKUP(C277,Data_customers!$A$1:$A$1001,Data_customers!$C$1:$C$1001,,0))</f>
        <v>tcrowthe7n@europa.eu</v>
      </c>
      <c r="H277" s="2" t="str">
        <f>_xlfn.XLOOKUP(C277,Data_customers!$A$1:$A$1001,Data_customers!$G$1:$G$1001,"",0)</f>
        <v>United States</v>
      </c>
      <c r="I277" t="str">
        <f>INDEX(Data_products!$A$1:$G$49, MATCH(Data_orders!$D277,Data_products!$A$1:$A$49,0), MATCH(Data_orders!I$1,Data_products!$A$1:$G$1,0))</f>
        <v>Exc</v>
      </c>
      <c r="J277" t="str">
        <f>INDEX(Data_products!$A$1:$G$49, MATCH(Data_orders!$D277,Data_products!$A$1:$A$49,0), MATCH(Data_orders!J$1,Data_products!$A$1:$G$1,0))</f>
        <v>L</v>
      </c>
      <c r="K277" s="4">
        <f>INDEX(Data_products!$A$1:$G$49, MATCH(Data_orders!$D277,Data_products!$A$1:$A$49,0), MATCH(Data_orders!K$1,Data_products!$A$1:$G$1,0))</f>
        <v>2.5</v>
      </c>
      <c r="L277">
        <f>INDEX(Data_products!$A$1:$G$49, MATCH(Data_orders!$D277,Data_products!$A$1:$A$49,0), MATCH(Data_orders!L$1,Data_products!$A$1:$G$1,0))</f>
        <v>34.154999999999994</v>
      </c>
      <c r="M277">
        <f t="shared" si="8"/>
        <v>204.92999999999995</v>
      </c>
      <c r="N277" t="str" cm="1">
        <f t="array" ref="N277">_xlfn.IFS(I277 = "Rob", "Robusta", I277 = "Exc", "Excelsa", I277 = "Ara", "Arabica", I277 = "Lib", "Liberica")</f>
        <v>Excelsa</v>
      </c>
      <c r="O277" t="str">
        <f t="shared" si="9"/>
        <v>Light</v>
      </c>
      <c r="P277" t="str">
        <f>_xlfn.XLOOKUP(Table1[[#This Row],[Customer ID]],Data_customers!$A$2:$A$1001,Data_customers!$I$2:$I$1001,,0)</f>
        <v>No</v>
      </c>
    </row>
    <row r="278" spans="1:16" x14ac:dyDescent="0.2">
      <c r="A278" s="2" t="s">
        <v>2050</v>
      </c>
      <c r="B278" s="3">
        <v>43992</v>
      </c>
      <c r="C278" s="2" t="s">
        <v>2051</v>
      </c>
      <c r="D278" t="s">
        <v>6142</v>
      </c>
      <c r="E278" s="2">
        <v>4</v>
      </c>
      <c r="F278" s="2" t="str">
        <f>_xlfn.XLOOKUP(Data_orders!C278,Data_customers!$A$1:$A$1001,Data_customers!$B$1:$B$1001,,0)</f>
        <v>Dorelia Bury</v>
      </c>
      <c r="G278" s="2" t="str">
        <f>IF(_xlfn.XLOOKUP(C278,Data_customers!$A$1:$A$1001,Data_customers!$C$1:$C$1001,,0)=0,"",_xlfn.XLOOKUP(C278,Data_customers!$A$1:$A$1001,Data_customers!$C$1:$C$1001,,0))</f>
        <v>dbury7o@tinyurl.com</v>
      </c>
      <c r="H278" s="2" t="str">
        <f>_xlfn.XLOOKUP(C278,Data_customers!$A$1:$A$1001,Data_customers!$G$1:$G$1001,"",0)</f>
        <v>Ireland</v>
      </c>
      <c r="I278" t="str">
        <f>INDEX(Data_products!$A$1:$G$49, MATCH(Data_orders!$D278,Data_products!$A$1:$A$49,0), MATCH(Data_orders!I$1,Data_products!$A$1:$G$1,0))</f>
        <v>Rob</v>
      </c>
      <c r="J278" t="str">
        <f>INDEX(Data_products!$A$1:$G$49, MATCH(Data_orders!$D278,Data_products!$A$1:$A$49,0), MATCH(Data_orders!J$1,Data_products!$A$1:$G$1,0))</f>
        <v>L</v>
      </c>
      <c r="K278" s="4">
        <f>INDEX(Data_products!$A$1:$G$49, MATCH(Data_orders!$D278,Data_products!$A$1:$A$49,0), MATCH(Data_orders!K$1,Data_products!$A$1:$G$1,0))</f>
        <v>2.5</v>
      </c>
      <c r="L278">
        <f>INDEX(Data_products!$A$1:$G$49, MATCH(Data_orders!$D278,Data_products!$A$1:$A$49,0), MATCH(Data_orders!L$1,Data_products!$A$1:$G$1,0))</f>
        <v>27.484999999999996</v>
      </c>
      <c r="M278">
        <f t="shared" si="8"/>
        <v>109.93999999999998</v>
      </c>
      <c r="N278" t="str" cm="1">
        <f t="array" ref="N278">_xlfn.IFS(I278 = "Rob", "Robusta", I278 = "Exc", "Excelsa", I278 = "Ara", "Arabica", I278 = "Lib", "Liberica")</f>
        <v>Robusta</v>
      </c>
      <c r="O278" t="str">
        <f t="shared" si="9"/>
        <v>Light</v>
      </c>
      <c r="P278" t="str">
        <f>_xlfn.XLOOKUP(Table1[[#This Row],[Customer ID]],Data_customers!$A$2:$A$1001,Data_customers!$I$2:$I$1001,,0)</f>
        <v>Yes</v>
      </c>
    </row>
    <row r="279" spans="1:16" x14ac:dyDescent="0.2">
      <c r="A279" s="2" t="s">
        <v>2056</v>
      </c>
      <c r="B279" s="3">
        <v>44183</v>
      </c>
      <c r="C279" s="2" t="s">
        <v>2057</v>
      </c>
      <c r="D279" t="s">
        <v>6171</v>
      </c>
      <c r="E279" s="2">
        <v>6</v>
      </c>
      <c r="F279" s="2" t="str">
        <f>_xlfn.XLOOKUP(Data_orders!C279,Data_customers!$A$1:$A$1001,Data_customers!$B$1:$B$1001,,0)</f>
        <v>Gussy Broadbear</v>
      </c>
      <c r="G279" s="2" t="str">
        <f>IF(_xlfn.XLOOKUP(C279,Data_customers!$A$1:$A$1001,Data_customers!$C$1:$C$1001,,0)=0,"",_xlfn.XLOOKUP(C279,Data_customers!$A$1:$A$1001,Data_customers!$C$1:$C$1001,,0))</f>
        <v>gbroadbear7p@omniture.com</v>
      </c>
      <c r="H279" s="2" t="str">
        <f>_xlfn.XLOOKUP(C279,Data_customers!$A$1:$A$1001,Data_customers!$G$1:$G$1001,"",0)</f>
        <v>United States</v>
      </c>
      <c r="I279" t="str">
        <f>INDEX(Data_products!$A$1:$G$49, MATCH(Data_orders!$D279,Data_products!$A$1:$A$49,0), MATCH(Data_orders!I$1,Data_products!$A$1:$G$1,0))</f>
        <v>Exc</v>
      </c>
      <c r="J279" t="str">
        <f>INDEX(Data_products!$A$1:$G$49, MATCH(Data_orders!$D279,Data_products!$A$1:$A$49,0), MATCH(Data_orders!J$1,Data_products!$A$1:$G$1,0))</f>
        <v>L</v>
      </c>
      <c r="K279" s="4">
        <f>INDEX(Data_products!$A$1:$G$49, MATCH(Data_orders!$D279,Data_products!$A$1:$A$49,0), MATCH(Data_orders!K$1,Data_products!$A$1:$G$1,0))</f>
        <v>1</v>
      </c>
      <c r="L279">
        <f>INDEX(Data_products!$A$1:$G$49, MATCH(Data_orders!$D279,Data_products!$A$1:$A$49,0), MATCH(Data_orders!L$1,Data_products!$A$1:$G$1,0))</f>
        <v>14.85</v>
      </c>
      <c r="M279">
        <f t="shared" si="8"/>
        <v>89.1</v>
      </c>
      <c r="N279" t="str" cm="1">
        <f t="array" ref="N279">_xlfn.IFS(I279 = "Rob", "Robusta", I279 = "Exc", "Excelsa", I279 = "Ara", "Arabica", I279 = "Lib", "Liberica")</f>
        <v>Excelsa</v>
      </c>
      <c r="O279" t="str">
        <f t="shared" si="9"/>
        <v>Light</v>
      </c>
      <c r="P279" t="str">
        <f>_xlfn.XLOOKUP(Table1[[#This Row],[Customer ID]],Data_customers!$A$2:$A$1001,Data_customers!$I$2:$I$1001,,0)</f>
        <v>No</v>
      </c>
    </row>
    <row r="280" spans="1:16" x14ac:dyDescent="0.2">
      <c r="A280" s="2" t="s">
        <v>2062</v>
      </c>
      <c r="B280" s="3">
        <v>43708</v>
      </c>
      <c r="C280" s="2" t="s">
        <v>2063</v>
      </c>
      <c r="D280" t="s">
        <v>6167</v>
      </c>
      <c r="E280" s="2">
        <v>2</v>
      </c>
      <c r="F280" s="2" t="str">
        <f>_xlfn.XLOOKUP(Data_orders!C280,Data_customers!$A$1:$A$1001,Data_customers!$B$1:$B$1001,,0)</f>
        <v>Emlynne Palfrey</v>
      </c>
      <c r="G280" s="2" t="str">
        <f>IF(_xlfn.XLOOKUP(C280,Data_customers!$A$1:$A$1001,Data_customers!$C$1:$C$1001,,0)=0,"",_xlfn.XLOOKUP(C280,Data_customers!$A$1:$A$1001,Data_customers!$C$1:$C$1001,,0))</f>
        <v>epalfrey7q@devhub.com</v>
      </c>
      <c r="H280" s="2" t="str">
        <f>_xlfn.XLOOKUP(C280,Data_customers!$A$1:$A$1001,Data_customers!$G$1:$G$1001,"",0)</f>
        <v>United States</v>
      </c>
      <c r="I280" t="str">
        <f>INDEX(Data_products!$A$1:$G$49, MATCH(Data_orders!$D280,Data_products!$A$1:$A$49,0), MATCH(Data_orders!I$1,Data_products!$A$1:$G$1,0))</f>
        <v>Ara</v>
      </c>
      <c r="J280" t="str">
        <f>INDEX(Data_products!$A$1:$G$49, MATCH(Data_orders!$D280,Data_products!$A$1:$A$49,0), MATCH(Data_orders!J$1,Data_products!$A$1:$G$1,0))</f>
        <v>L</v>
      </c>
      <c r="K280" s="4">
        <f>INDEX(Data_products!$A$1:$G$49, MATCH(Data_orders!$D280,Data_products!$A$1:$A$49,0), MATCH(Data_orders!K$1,Data_products!$A$1:$G$1,0))</f>
        <v>0.2</v>
      </c>
      <c r="L280">
        <f>INDEX(Data_products!$A$1:$G$49, MATCH(Data_orders!$D280,Data_products!$A$1:$A$49,0), MATCH(Data_orders!L$1,Data_products!$A$1:$G$1,0))</f>
        <v>3.8849999999999998</v>
      </c>
      <c r="M280">
        <f t="shared" si="8"/>
        <v>7.77</v>
      </c>
      <c r="N280" t="str" cm="1">
        <f t="array" ref="N280">_xlfn.IFS(I280 = "Rob", "Robusta", I280 = "Exc", "Excelsa", I280 = "Ara", "Arabica", I280 = "Lib", "Liberica")</f>
        <v>Arabica</v>
      </c>
      <c r="O280" t="str">
        <f t="shared" si="9"/>
        <v>Light</v>
      </c>
      <c r="P280" t="str">
        <f>_xlfn.XLOOKUP(Table1[[#This Row],[Customer ID]],Data_customers!$A$2:$A$1001,Data_customers!$I$2:$I$1001,,0)</f>
        <v>Yes</v>
      </c>
    </row>
    <row r="281" spans="1:16" x14ac:dyDescent="0.2">
      <c r="A281" s="2" t="s">
        <v>2068</v>
      </c>
      <c r="B281" s="3">
        <v>43521</v>
      </c>
      <c r="C281" s="2" t="s">
        <v>2069</v>
      </c>
      <c r="D281" t="s">
        <v>6181</v>
      </c>
      <c r="E281" s="2">
        <v>1</v>
      </c>
      <c r="F281" s="2" t="str">
        <f>_xlfn.XLOOKUP(Data_orders!C281,Data_customers!$A$1:$A$1001,Data_customers!$B$1:$B$1001,,0)</f>
        <v>Parsifal Metrick</v>
      </c>
      <c r="G281" s="2" t="str">
        <f>IF(_xlfn.XLOOKUP(C281,Data_customers!$A$1:$A$1001,Data_customers!$C$1:$C$1001,,0)=0,"",_xlfn.XLOOKUP(C281,Data_customers!$A$1:$A$1001,Data_customers!$C$1:$C$1001,,0))</f>
        <v>pmetrick7r@rakuten.co.jp</v>
      </c>
      <c r="H281" s="2" t="str">
        <f>_xlfn.XLOOKUP(C281,Data_customers!$A$1:$A$1001,Data_customers!$G$1:$G$1001,"",0)</f>
        <v>United States</v>
      </c>
      <c r="I281" t="str">
        <f>INDEX(Data_products!$A$1:$G$49, MATCH(Data_orders!$D281,Data_products!$A$1:$A$49,0), MATCH(Data_orders!I$1,Data_products!$A$1:$G$1,0))</f>
        <v>Lib</v>
      </c>
      <c r="J281" t="str">
        <f>INDEX(Data_products!$A$1:$G$49, MATCH(Data_orders!$D281,Data_products!$A$1:$A$49,0), MATCH(Data_orders!J$1,Data_products!$A$1:$G$1,0))</f>
        <v>M</v>
      </c>
      <c r="K281" s="4">
        <f>INDEX(Data_products!$A$1:$G$49, MATCH(Data_orders!$D281,Data_products!$A$1:$A$49,0), MATCH(Data_orders!K$1,Data_products!$A$1:$G$1,0))</f>
        <v>2.5</v>
      </c>
      <c r="L281">
        <f>INDEX(Data_products!$A$1:$G$49, MATCH(Data_orders!$D281,Data_products!$A$1:$A$49,0), MATCH(Data_orders!L$1,Data_products!$A$1:$G$1,0))</f>
        <v>33.464999999999996</v>
      </c>
      <c r="M281">
        <f t="shared" si="8"/>
        <v>33.464999999999996</v>
      </c>
      <c r="N281" t="str" cm="1">
        <f t="array" ref="N281">_xlfn.IFS(I281 = "Rob", "Robusta", I281 = "Exc", "Excelsa", I281 = "Ara", "Arabica", I281 = "Lib", "Liberica")</f>
        <v>Liberica</v>
      </c>
      <c r="O281" t="str">
        <f t="shared" si="9"/>
        <v>Medium</v>
      </c>
      <c r="P281" t="str">
        <f>_xlfn.XLOOKUP(Table1[[#This Row],[Customer ID]],Data_customers!$A$2:$A$1001,Data_customers!$I$2:$I$1001,,0)</f>
        <v>Yes</v>
      </c>
    </row>
    <row r="282" spans="1:16" x14ac:dyDescent="0.2">
      <c r="A282" s="2" t="s">
        <v>2074</v>
      </c>
      <c r="B282" s="3">
        <v>44234</v>
      </c>
      <c r="C282" s="2" t="s">
        <v>2075</v>
      </c>
      <c r="D282" t="s">
        <v>6139</v>
      </c>
      <c r="E282" s="2">
        <v>5</v>
      </c>
      <c r="F282" s="2" t="str">
        <f>_xlfn.XLOOKUP(Data_orders!C282,Data_customers!$A$1:$A$1001,Data_customers!$B$1:$B$1001,,0)</f>
        <v>Christopher Grieveson</v>
      </c>
      <c r="G282" s="2" t="str">
        <f>IF(_xlfn.XLOOKUP(C282,Data_customers!$A$1:$A$1001,Data_customers!$C$1:$C$1001,,0)=0,"",_xlfn.XLOOKUP(C282,Data_customers!$A$1:$A$1001,Data_customers!$C$1:$C$1001,,0))</f>
        <v/>
      </c>
      <c r="H282" s="2" t="str">
        <f>_xlfn.XLOOKUP(C282,Data_customers!$A$1:$A$1001,Data_customers!$G$1:$G$1001,"",0)</f>
        <v>United States</v>
      </c>
      <c r="I282" t="str">
        <f>INDEX(Data_products!$A$1:$G$49, MATCH(Data_orders!$D282,Data_products!$A$1:$A$49,0), MATCH(Data_orders!I$1,Data_products!$A$1:$G$1,0))</f>
        <v>Exc</v>
      </c>
      <c r="J282" t="str">
        <f>INDEX(Data_products!$A$1:$G$49, MATCH(Data_orders!$D282,Data_products!$A$1:$A$49,0), MATCH(Data_orders!J$1,Data_products!$A$1:$G$1,0))</f>
        <v>M</v>
      </c>
      <c r="K282" s="4">
        <f>INDEX(Data_products!$A$1:$G$49, MATCH(Data_orders!$D282,Data_products!$A$1:$A$49,0), MATCH(Data_orders!K$1,Data_products!$A$1:$G$1,0))</f>
        <v>0.5</v>
      </c>
      <c r="L282">
        <f>INDEX(Data_products!$A$1:$G$49, MATCH(Data_orders!$D282,Data_products!$A$1:$A$49,0), MATCH(Data_orders!L$1,Data_products!$A$1:$G$1,0))</f>
        <v>8.25</v>
      </c>
      <c r="M282">
        <f t="shared" si="8"/>
        <v>41.25</v>
      </c>
      <c r="N282" t="str" cm="1">
        <f t="array" ref="N282">_xlfn.IFS(I282 = "Rob", "Robusta", I282 = "Exc", "Excelsa", I282 = "Ara", "Arabica", I282 = "Lib", "Liberica")</f>
        <v>Excelsa</v>
      </c>
      <c r="O282" t="str">
        <f t="shared" si="9"/>
        <v>Medium</v>
      </c>
      <c r="P282" t="str">
        <f>_xlfn.XLOOKUP(Table1[[#This Row],[Customer ID]],Data_customers!$A$2:$A$1001,Data_customers!$I$2:$I$1001,,0)</f>
        <v>Yes</v>
      </c>
    </row>
    <row r="283" spans="1:16" x14ac:dyDescent="0.2">
      <c r="A283" s="2" t="s">
        <v>2079</v>
      </c>
      <c r="B283" s="3">
        <v>44210</v>
      </c>
      <c r="C283" s="2" t="s">
        <v>2080</v>
      </c>
      <c r="D283" t="s">
        <v>6171</v>
      </c>
      <c r="E283" s="2">
        <v>4</v>
      </c>
      <c r="F283" s="2" t="str">
        <f>_xlfn.XLOOKUP(Data_orders!C283,Data_customers!$A$1:$A$1001,Data_customers!$B$1:$B$1001,,0)</f>
        <v>Karlan Karby</v>
      </c>
      <c r="G283" s="2" t="str">
        <f>IF(_xlfn.XLOOKUP(C283,Data_customers!$A$1:$A$1001,Data_customers!$C$1:$C$1001,,0)=0,"",_xlfn.XLOOKUP(C283,Data_customers!$A$1:$A$1001,Data_customers!$C$1:$C$1001,,0))</f>
        <v>kkarby7t@sbwire.com</v>
      </c>
      <c r="H283" s="2" t="str">
        <f>_xlfn.XLOOKUP(C283,Data_customers!$A$1:$A$1001,Data_customers!$G$1:$G$1001,"",0)</f>
        <v>United States</v>
      </c>
      <c r="I283" t="str">
        <f>INDEX(Data_products!$A$1:$G$49, MATCH(Data_orders!$D283,Data_products!$A$1:$A$49,0), MATCH(Data_orders!I$1,Data_products!$A$1:$G$1,0))</f>
        <v>Exc</v>
      </c>
      <c r="J283" t="str">
        <f>INDEX(Data_products!$A$1:$G$49, MATCH(Data_orders!$D283,Data_products!$A$1:$A$49,0), MATCH(Data_orders!J$1,Data_products!$A$1:$G$1,0))</f>
        <v>L</v>
      </c>
      <c r="K283" s="4">
        <f>INDEX(Data_products!$A$1:$G$49, MATCH(Data_orders!$D283,Data_products!$A$1:$A$49,0), MATCH(Data_orders!K$1,Data_products!$A$1:$G$1,0))</f>
        <v>1</v>
      </c>
      <c r="L283">
        <f>INDEX(Data_products!$A$1:$G$49, MATCH(Data_orders!$D283,Data_products!$A$1:$A$49,0), MATCH(Data_orders!L$1,Data_products!$A$1:$G$1,0))</f>
        <v>14.85</v>
      </c>
      <c r="M283">
        <f t="shared" si="8"/>
        <v>59.4</v>
      </c>
      <c r="N283" t="str" cm="1">
        <f t="array" ref="N283">_xlfn.IFS(I283 = "Rob", "Robusta", I283 = "Exc", "Excelsa", I283 = "Ara", "Arabica", I283 = "Lib", "Liberica")</f>
        <v>Excelsa</v>
      </c>
      <c r="O283" t="str">
        <f t="shared" si="9"/>
        <v>Light</v>
      </c>
      <c r="P283" t="str">
        <f>_xlfn.XLOOKUP(Table1[[#This Row],[Customer ID]],Data_customers!$A$2:$A$1001,Data_customers!$I$2:$I$1001,,0)</f>
        <v>Yes</v>
      </c>
    </row>
    <row r="284" spans="1:16" x14ac:dyDescent="0.2">
      <c r="A284" s="2" t="s">
        <v>2085</v>
      </c>
      <c r="B284" s="3">
        <v>43520</v>
      </c>
      <c r="C284" s="2" t="s">
        <v>2086</v>
      </c>
      <c r="D284" t="s">
        <v>6180</v>
      </c>
      <c r="E284" s="2">
        <v>1</v>
      </c>
      <c r="F284" s="2" t="str">
        <f>_xlfn.XLOOKUP(Data_orders!C284,Data_customers!$A$1:$A$1001,Data_customers!$B$1:$B$1001,,0)</f>
        <v>Flory Crumpe</v>
      </c>
      <c r="G284" s="2" t="str">
        <f>IF(_xlfn.XLOOKUP(C284,Data_customers!$A$1:$A$1001,Data_customers!$C$1:$C$1001,,0)=0,"",_xlfn.XLOOKUP(C284,Data_customers!$A$1:$A$1001,Data_customers!$C$1:$C$1001,,0))</f>
        <v>fcrumpe7u@ftc.gov</v>
      </c>
      <c r="H284" s="2" t="str">
        <f>_xlfn.XLOOKUP(C284,Data_customers!$A$1:$A$1001,Data_customers!$G$1:$G$1001,"",0)</f>
        <v>United Kingdom</v>
      </c>
      <c r="I284" t="str">
        <f>INDEX(Data_products!$A$1:$G$49, MATCH(Data_orders!$D284,Data_products!$A$1:$A$49,0), MATCH(Data_orders!I$1,Data_products!$A$1:$G$1,0))</f>
        <v>Ara</v>
      </c>
      <c r="J284" t="str">
        <f>INDEX(Data_products!$A$1:$G$49, MATCH(Data_orders!$D284,Data_products!$A$1:$A$49,0), MATCH(Data_orders!J$1,Data_products!$A$1:$G$1,0))</f>
        <v>L</v>
      </c>
      <c r="K284" s="4">
        <f>INDEX(Data_products!$A$1:$G$49, MATCH(Data_orders!$D284,Data_products!$A$1:$A$49,0), MATCH(Data_orders!K$1,Data_products!$A$1:$G$1,0))</f>
        <v>0.5</v>
      </c>
      <c r="L284">
        <f>INDEX(Data_products!$A$1:$G$49, MATCH(Data_orders!$D284,Data_products!$A$1:$A$49,0), MATCH(Data_orders!L$1,Data_products!$A$1:$G$1,0))</f>
        <v>7.77</v>
      </c>
      <c r="M284">
        <f t="shared" si="8"/>
        <v>7.77</v>
      </c>
      <c r="N284" t="str" cm="1">
        <f t="array" ref="N284">_xlfn.IFS(I284 = "Rob", "Robusta", I284 = "Exc", "Excelsa", I284 = "Ara", "Arabica", I284 = "Lib", "Liberica")</f>
        <v>Arabica</v>
      </c>
      <c r="O284" t="str">
        <f t="shared" si="9"/>
        <v>Light</v>
      </c>
      <c r="P284" t="str">
        <f>_xlfn.XLOOKUP(Table1[[#This Row],[Customer ID]],Data_customers!$A$2:$A$1001,Data_customers!$I$2:$I$1001,,0)</f>
        <v>No</v>
      </c>
    </row>
    <row r="285" spans="1:16" x14ac:dyDescent="0.2">
      <c r="A285" s="2" t="s">
        <v>2091</v>
      </c>
      <c r="B285" s="3">
        <v>43639</v>
      </c>
      <c r="C285" s="2" t="s">
        <v>2092</v>
      </c>
      <c r="D285" t="s">
        <v>6172</v>
      </c>
      <c r="E285" s="2">
        <v>1</v>
      </c>
      <c r="F285" s="2" t="str">
        <f>_xlfn.XLOOKUP(Data_orders!C285,Data_customers!$A$1:$A$1001,Data_customers!$B$1:$B$1001,,0)</f>
        <v>Amity Chatto</v>
      </c>
      <c r="G285" s="2" t="str">
        <f>IF(_xlfn.XLOOKUP(C285,Data_customers!$A$1:$A$1001,Data_customers!$C$1:$C$1001,,0)=0,"",_xlfn.XLOOKUP(C285,Data_customers!$A$1:$A$1001,Data_customers!$C$1:$C$1001,,0))</f>
        <v>achatto7v@sakura.ne.jp</v>
      </c>
      <c r="H285" s="2" t="str">
        <f>_xlfn.XLOOKUP(C285,Data_customers!$A$1:$A$1001,Data_customers!$G$1:$G$1001,"",0)</f>
        <v>United Kingdom</v>
      </c>
      <c r="I285" t="str">
        <f>INDEX(Data_products!$A$1:$G$49, MATCH(Data_orders!$D285,Data_products!$A$1:$A$49,0), MATCH(Data_orders!I$1,Data_products!$A$1:$G$1,0))</f>
        <v>Rob</v>
      </c>
      <c r="J285" t="str">
        <f>INDEX(Data_products!$A$1:$G$49, MATCH(Data_orders!$D285,Data_products!$A$1:$A$49,0), MATCH(Data_orders!J$1,Data_products!$A$1:$G$1,0))</f>
        <v>D</v>
      </c>
      <c r="K285" s="4">
        <f>INDEX(Data_products!$A$1:$G$49, MATCH(Data_orders!$D285,Data_products!$A$1:$A$49,0), MATCH(Data_orders!K$1,Data_products!$A$1:$G$1,0))</f>
        <v>0.5</v>
      </c>
      <c r="L285">
        <f>INDEX(Data_products!$A$1:$G$49, MATCH(Data_orders!$D285,Data_products!$A$1:$A$49,0), MATCH(Data_orders!L$1,Data_products!$A$1:$G$1,0))</f>
        <v>5.3699999999999992</v>
      </c>
      <c r="M285">
        <f t="shared" si="8"/>
        <v>5.3699999999999992</v>
      </c>
      <c r="N285" t="str" cm="1">
        <f t="array" ref="N285">_xlfn.IFS(I285 = "Rob", "Robusta", I285 = "Exc", "Excelsa", I285 = "Ara", "Arabica", I285 = "Lib", "Liberica")</f>
        <v>Robusta</v>
      </c>
      <c r="O285" t="str">
        <f t="shared" si="9"/>
        <v>Dark</v>
      </c>
      <c r="P285" t="str">
        <f>_xlfn.XLOOKUP(Table1[[#This Row],[Customer ID]],Data_customers!$A$2:$A$1001,Data_customers!$I$2:$I$1001,,0)</f>
        <v>Yes</v>
      </c>
    </row>
    <row r="286" spans="1:16" x14ac:dyDescent="0.2">
      <c r="A286" s="2" t="s">
        <v>2097</v>
      </c>
      <c r="B286" s="3">
        <v>43960</v>
      </c>
      <c r="C286" s="2" t="s">
        <v>2098</v>
      </c>
      <c r="D286" t="s">
        <v>6166</v>
      </c>
      <c r="E286" s="2">
        <v>3</v>
      </c>
      <c r="F286" s="2" t="str">
        <f>_xlfn.XLOOKUP(Data_orders!C286,Data_customers!$A$1:$A$1001,Data_customers!$B$1:$B$1001,,0)</f>
        <v>Nanine McCarthy</v>
      </c>
      <c r="G286" s="2" t="str">
        <f>IF(_xlfn.XLOOKUP(C286,Data_customers!$A$1:$A$1001,Data_customers!$C$1:$C$1001,,0)=0,"",_xlfn.XLOOKUP(C286,Data_customers!$A$1:$A$1001,Data_customers!$C$1:$C$1001,,0))</f>
        <v/>
      </c>
      <c r="H286" s="2" t="str">
        <f>_xlfn.XLOOKUP(C286,Data_customers!$A$1:$A$1001,Data_customers!$G$1:$G$1001,"",0)</f>
        <v>United States</v>
      </c>
      <c r="I286" t="str">
        <f>INDEX(Data_products!$A$1:$G$49, MATCH(Data_orders!$D286,Data_products!$A$1:$A$49,0), MATCH(Data_orders!I$1,Data_products!$A$1:$G$1,0))</f>
        <v>Exc</v>
      </c>
      <c r="J286" t="str">
        <f>INDEX(Data_products!$A$1:$G$49, MATCH(Data_orders!$D286,Data_products!$A$1:$A$49,0), MATCH(Data_orders!J$1,Data_products!$A$1:$G$1,0))</f>
        <v>M</v>
      </c>
      <c r="K286" s="4">
        <f>INDEX(Data_products!$A$1:$G$49, MATCH(Data_orders!$D286,Data_products!$A$1:$A$49,0), MATCH(Data_orders!K$1,Data_products!$A$1:$G$1,0))</f>
        <v>2.5</v>
      </c>
      <c r="L286">
        <f>INDEX(Data_products!$A$1:$G$49, MATCH(Data_orders!$D286,Data_products!$A$1:$A$49,0), MATCH(Data_orders!L$1,Data_products!$A$1:$G$1,0))</f>
        <v>31.624999999999996</v>
      </c>
      <c r="M286">
        <f t="shared" si="8"/>
        <v>94.874999999999986</v>
      </c>
      <c r="N286" t="str" cm="1">
        <f t="array" ref="N286">_xlfn.IFS(I286 = "Rob", "Robusta", I286 = "Exc", "Excelsa", I286 = "Ara", "Arabica", I286 = "Lib", "Liberica")</f>
        <v>Excelsa</v>
      </c>
      <c r="O286" t="str">
        <f t="shared" si="9"/>
        <v>Medium</v>
      </c>
      <c r="P286" t="str">
        <f>_xlfn.XLOOKUP(Table1[[#This Row],[Customer ID]],Data_customers!$A$2:$A$1001,Data_customers!$I$2:$I$1001,,0)</f>
        <v>No</v>
      </c>
    </row>
    <row r="287" spans="1:16" x14ac:dyDescent="0.2">
      <c r="A287" s="2" t="s">
        <v>2102</v>
      </c>
      <c r="B287" s="3">
        <v>44030</v>
      </c>
      <c r="C287" s="2" t="s">
        <v>2103</v>
      </c>
      <c r="D287" t="s">
        <v>6164</v>
      </c>
      <c r="E287" s="2">
        <v>1</v>
      </c>
      <c r="F287" s="2" t="str">
        <f>_xlfn.XLOOKUP(Data_orders!C287,Data_customers!$A$1:$A$1001,Data_customers!$B$1:$B$1001,,0)</f>
        <v>Lyndsey Megany</v>
      </c>
      <c r="G287" s="2" t="str">
        <f>IF(_xlfn.XLOOKUP(C287,Data_customers!$A$1:$A$1001,Data_customers!$C$1:$C$1001,,0)=0,"",_xlfn.XLOOKUP(C287,Data_customers!$A$1:$A$1001,Data_customers!$C$1:$C$1001,,0))</f>
        <v/>
      </c>
      <c r="H287" s="2" t="str">
        <f>_xlfn.XLOOKUP(C287,Data_customers!$A$1:$A$1001,Data_customers!$G$1:$G$1001,"",0)</f>
        <v>United States</v>
      </c>
      <c r="I287" t="str">
        <f>INDEX(Data_products!$A$1:$G$49, MATCH(Data_orders!$D287,Data_products!$A$1:$A$49,0), MATCH(Data_orders!I$1,Data_products!$A$1:$G$1,0))</f>
        <v>Lib</v>
      </c>
      <c r="J287" t="str">
        <f>INDEX(Data_products!$A$1:$G$49, MATCH(Data_orders!$D287,Data_products!$A$1:$A$49,0), MATCH(Data_orders!J$1,Data_products!$A$1:$G$1,0))</f>
        <v>L</v>
      </c>
      <c r="K287" s="4">
        <f>INDEX(Data_products!$A$1:$G$49, MATCH(Data_orders!$D287,Data_products!$A$1:$A$49,0), MATCH(Data_orders!K$1,Data_products!$A$1:$G$1,0))</f>
        <v>2.5</v>
      </c>
      <c r="L287">
        <f>INDEX(Data_products!$A$1:$G$49, MATCH(Data_orders!$D287,Data_products!$A$1:$A$49,0), MATCH(Data_orders!L$1,Data_products!$A$1:$G$1,0))</f>
        <v>36.454999999999998</v>
      </c>
      <c r="M287">
        <f t="shared" si="8"/>
        <v>36.454999999999998</v>
      </c>
      <c r="N287" t="str" cm="1">
        <f t="array" ref="N287">_xlfn.IFS(I287 = "Rob", "Robusta", I287 = "Exc", "Excelsa", I287 = "Ara", "Arabica", I287 = "Lib", "Liberica")</f>
        <v>Liberica</v>
      </c>
      <c r="O287" t="str">
        <f t="shared" si="9"/>
        <v>Light</v>
      </c>
      <c r="P287" t="str">
        <f>_xlfn.XLOOKUP(Table1[[#This Row],[Customer ID]],Data_customers!$A$2:$A$1001,Data_customers!$I$2:$I$1001,,0)</f>
        <v>No</v>
      </c>
    </row>
    <row r="288" spans="1:16" x14ac:dyDescent="0.2">
      <c r="A288" s="2" t="s">
        <v>2107</v>
      </c>
      <c r="B288" s="3">
        <v>43755</v>
      </c>
      <c r="C288" s="2" t="s">
        <v>2108</v>
      </c>
      <c r="D288" t="s">
        <v>6152</v>
      </c>
      <c r="E288" s="2">
        <v>4</v>
      </c>
      <c r="F288" s="2" t="str">
        <f>_xlfn.XLOOKUP(Data_orders!C288,Data_customers!$A$1:$A$1001,Data_customers!$B$1:$B$1001,,0)</f>
        <v>Byram Mergue</v>
      </c>
      <c r="G288" s="2" t="str">
        <f>IF(_xlfn.XLOOKUP(C288,Data_customers!$A$1:$A$1001,Data_customers!$C$1:$C$1001,,0)=0,"",_xlfn.XLOOKUP(C288,Data_customers!$A$1:$A$1001,Data_customers!$C$1:$C$1001,,0))</f>
        <v>bmergue7y@umn.edu</v>
      </c>
      <c r="H288" s="2" t="str">
        <f>_xlfn.XLOOKUP(C288,Data_customers!$A$1:$A$1001,Data_customers!$G$1:$G$1001,"",0)</f>
        <v>United States</v>
      </c>
      <c r="I288" t="str">
        <f>INDEX(Data_products!$A$1:$G$49, MATCH(Data_orders!$D288,Data_products!$A$1:$A$49,0), MATCH(Data_orders!I$1,Data_products!$A$1:$G$1,0))</f>
        <v>Ara</v>
      </c>
      <c r="J288" t="str">
        <f>INDEX(Data_products!$A$1:$G$49, MATCH(Data_orders!$D288,Data_products!$A$1:$A$49,0), MATCH(Data_orders!J$1,Data_products!$A$1:$G$1,0))</f>
        <v>M</v>
      </c>
      <c r="K288" s="4">
        <f>INDEX(Data_products!$A$1:$G$49, MATCH(Data_orders!$D288,Data_products!$A$1:$A$49,0), MATCH(Data_orders!K$1,Data_products!$A$1:$G$1,0))</f>
        <v>0.2</v>
      </c>
      <c r="L288">
        <f>INDEX(Data_products!$A$1:$G$49, MATCH(Data_orders!$D288,Data_products!$A$1:$A$49,0), MATCH(Data_orders!L$1,Data_products!$A$1:$G$1,0))</f>
        <v>3.375</v>
      </c>
      <c r="M288">
        <f t="shared" si="8"/>
        <v>13.5</v>
      </c>
      <c r="N288" t="str" cm="1">
        <f t="array" ref="N288">_xlfn.IFS(I288 = "Rob", "Robusta", I288 = "Exc", "Excelsa", I288 = "Ara", "Arabica", I288 = "Lib", "Liberica")</f>
        <v>Arabica</v>
      </c>
      <c r="O288" t="str">
        <f t="shared" si="9"/>
        <v>Medium</v>
      </c>
      <c r="P288" t="str">
        <f>_xlfn.XLOOKUP(Table1[[#This Row],[Customer ID]],Data_customers!$A$2:$A$1001,Data_customers!$I$2:$I$1001,,0)</f>
        <v>Yes</v>
      </c>
    </row>
    <row r="289" spans="1:16" x14ac:dyDescent="0.2">
      <c r="A289" s="2" t="s">
        <v>2112</v>
      </c>
      <c r="B289" s="3">
        <v>44697</v>
      </c>
      <c r="C289" s="2" t="s">
        <v>2113</v>
      </c>
      <c r="D289" t="s">
        <v>6178</v>
      </c>
      <c r="E289" s="2">
        <v>4</v>
      </c>
      <c r="F289" s="2" t="str">
        <f>_xlfn.XLOOKUP(Data_orders!C289,Data_customers!$A$1:$A$1001,Data_customers!$B$1:$B$1001,,0)</f>
        <v>Kerr Patise</v>
      </c>
      <c r="G289" s="2" t="str">
        <f>IF(_xlfn.XLOOKUP(C289,Data_customers!$A$1:$A$1001,Data_customers!$C$1:$C$1001,,0)=0,"",_xlfn.XLOOKUP(C289,Data_customers!$A$1:$A$1001,Data_customers!$C$1:$C$1001,,0))</f>
        <v>kpatise7z@jigsy.com</v>
      </c>
      <c r="H289" s="2" t="str">
        <f>_xlfn.XLOOKUP(C289,Data_customers!$A$1:$A$1001,Data_customers!$G$1:$G$1001,"",0)</f>
        <v>United States</v>
      </c>
      <c r="I289" t="str">
        <f>INDEX(Data_products!$A$1:$G$49, MATCH(Data_orders!$D289,Data_products!$A$1:$A$49,0), MATCH(Data_orders!I$1,Data_products!$A$1:$G$1,0))</f>
        <v>Rob</v>
      </c>
      <c r="J289" t="str">
        <f>INDEX(Data_products!$A$1:$G$49, MATCH(Data_orders!$D289,Data_products!$A$1:$A$49,0), MATCH(Data_orders!J$1,Data_products!$A$1:$G$1,0))</f>
        <v>L</v>
      </c>
      <c r="K289" s="4">
        <f>INDEX(Data_products!$A$1:$G$49, MATCH(Data_orders!$D289,Data_products!$A$1:$A$49,0), MATCH(Data_orders!K$1,Data_products!$A$1:$G$1,0))</f>
        <v>0.2</v>
      </c>
      <c r="L289">
        <f>INDEX(Data_products!$A$1:$G$49, MATCH(Data_orders!$D289,Data_products!$A$1:$A$49,0), MATCH(Data_orders!L$1,Data_products!$A$1:$G$1,0))</f>
        <v>3.5849999999999995</v>
      </c>
      <c r="M289">
        <f t="shared" si="8"/>
        <v>14.339999999999998</v>
      </c>
      <c r="N289" t="str" cm="1">
        <f t="array" ref="N289">_xlfn.IFS(I289 = "Rob", "Robusta", I289 = "Exc", "Excelsa", I289 = "Ara", "Arabica", I289 = "Lib", "Liberica")</f>
        <v>Robusta</v>
      </c>
      <c r="O289" t="str">
        <f t="shared" si="9"/>
        <v>Light</v>
      </c>
      <c r="P289" t="str">
        <f>_xlfn.XLOOKUP(Table1[[#This Row],[Customer ID]],Data_customers!$A$2:$A$1001,Data_customers!$I$2:$I$1001,,0)</f>
        <v>No</v>
      </c>
    </row>
    <row r="290" spans="1:16" x14ac:dyDescent="0.2">
      <c r="A290" s="2" t="s">
        <v>2118</v>
      </c>
      <c r="B290" s="3">
        <v>44279</v>
      </c>
      <c r="C290" s="2" t="s">
        <v>2119</v>
      </c>
      <c r="D290" t="s">
        <v>6139</v>
      </c>
      <c r="E290" s="2">
        <v>1</v>
      </c>
      <c r="F290" s="2" t="str">
        <f>_xlfn.XLOOKUP(Data_orders!C290,Data_customers!$A$1:$A$1001,Data_customers!$B$1:$B$1001,,0)</f>
        <v>Mathew Goulter</v>
      </c>
      <c r="G290" s="2" t="str">
        <f>IF(_xlfn.XLOOKUP(C290,Data_customers!$A$1:$A$1001,Data_customers!$C$1:$C$1001,,0)=0,"",_xlfn.XLOOKUP(C290,Data_customers!$A$1:$A$1001,Data_customers!$C$1:$C$1001,,0))</f>
        <v/>
      </c>
      <c r="H290" s="2" t="str">
        <f>_xlfn.XLOOKUP(C290,Data_customers!$A$1:$A$1001,Data_customers!$G$1:$G$1001,"",0)</f>
        <v>Ireland</v>
      </c>
      <c r="I290" t="str">
        <f>INDEX(Data_products!$A$1:$G$49, MATCH(Data_orders!$D290,Data_products!$A$1:$A$49,0), MATCH(Data_orders!I$1,Data_products!$A$1:$G$1,0))</f>
        <v>Exc</v>
      </c>
      <c r="J290" t="str">
        <f>INDEX(Data_products!$A$1:$G$49, MATCH(Data_orders!$D290,Data_products!$A$1:$A$49,0), MATCH(Data_orders!J$1,Data_products!$A$1:$G$1,0))</f>
        <v>M</v>
      </c>
      <c r="K290" s="4">
        <f>INDEX(Data_products!$A$1:$G$49, MATCH(Data_orders!$D290,Data_products!$A$1:$A$49,0), MATCH(Data_orders!K$1,Data_products!$A$1:$G$1,0))</f>
        <v>0.5</v>
      </c>
      <c r="L290">
        <f>INDEX(Data_products!$A$1:$G$49, MATCH(Data_orders!$D290,Data_products!$A$1:$A$49,0), MATCH(Data_orders!L$1,Data_products!$A$1:$G$1,0))</f>
        <v>8.25</v>
      </c>
      <c r="M290">
        <f t="shared" si="8"/>
        <v>8.25</v>
      </c>
      <c r="N290" t="str" cm="1">
        <f t="array" ref="N290">_xlfn.IFS(I290 = "Rob", "Robusta", I290 = "Exc", "Excelsa", I290 = "Ara", "Arabica", I290 = "Lib", "Liberica")</f>
        <v>Excelsa</v>
      </c>
      <c r="O290" t="str">
        <f t="shared" si="9"/>
        <v>Medium</v>
      </c>
      <c r="P290" t="str">
        <f>_xlfn.XLOOKUP(Table1[[#This Row],[Customer ID]],Data_customers!$A$2:$A$1001,Data_customers!$I$2:$I$1001,,0)</f>
        <v>Yes</v>
      </c>
    </row>
    <row r="291" spans="1:16" x14ac:dyDescent="0.2">
      <c r="A291" s="2" t="s">
        <v>2123</v>
      </c>
      <c r="B291" s="3">
        <v>43772</v>
      </c>
      <c r="C291" s="2" t="s">
        <v>2124</v>
      </c>
      <c r="D291" t="s">
        <v>6163</v>
      </c>
      <c r="E291" s="2">
        <v>5</v>
      </c>
      <c r="F291" s="2" t="str">
        <f>_xlfn.XLOOKUP(Data_orders!C291,Data_customers!$A$1:$A$1001,Data_customers!$B$1:$B$1001,,0)</f>
        <v>Marris Grcic</v>
      </c>
      <c r="G291" s="2" t="str">
        <f>IF(_xlfn.XLOOKUP(C291,Data_customers!$A$1:$A$1001,Data_customers!$C$1:$C$1001,,0)=0,"",_xlfn.XLOOKUP(C291,Data_customers!$A$1:$A$1001,Data_customers!$C$1:$C$1001,,0))</f>
        <v/>
      </c>
      <c r="H291" s="2" t="str">
        <f>_xlfn.XLOOKUP(C291,Data_customers!$A$1:$A$1001,Data_customers!$G$1:$G$1001,"",0)</f>
        <v>United States</v>
      </c>
      <c r="I291" t="str">
        <f>INDEX(Data_products!$A$1:$G$49, MATCH(Data_orders!$D291,Data_products!$A$1:$A$49,0), MATCH(Data_orders!I$1,Data_products!$A$1:$G$1,0))</f>
        <v>Rob</v>
      </c>
      <c r="J291" t="str">
        <f>INDEX(Data_products!$A$1:$G$49, MATCH(Data_orders!$D291,Data_products!$A$1:$A$49,0), MATCH(Data_orders!J$1,Data_products!$A$1:$G$1,0))</f>
        <v>D</v>
      </c>
      <c r="K291" s="4">
        <f>INDEX(Data_products!$A$1:$G$49, MATCH(Data_orders!$D291,Data_products!$A$1:$A$49,0), MATCH(Data_orders!K$1,Data_products!$A$1:$G$1,0))</f>
        <v>0.2</v>
      </c>
      <c r="L291">
        <f>INDEX(Data_products!$A$1:$G$49, MATCH(Data_orders!$D291,Data_products!$A$1:$A$49,0), MATCH(Data_orders!L$1,Data_products!$A$1:$G$1,0))</f>
        <v>2.6849999999999996</v>
      </c>
      <c r="M291">
        <f t="shared" si="8"/>
        <v>13.424999999999997</v>
      </c>
      <c r="N291" t="str" cm="1">
        <f t="array" ref="N291">_xlfn.IFS(I291 = "Rob", "Robusta", I291 = "Exc", "Excelsa", I291 = "Ara", "Arabica", I291 = "Lib", "Liberica")</f>
        <v>Robusta</v>
      </c>
      <c r="O291" t="str">
        <f t="shared" si="9"/>
        <v>Dark</v>
      </c>
      <c r="P291" t="str">
        <f>_xlfn.XLOOKUP(Table1[[#This Row],[Customer ID]],Data_customers!$A$2:$A$1001,Data_customers!$I$2:$I$1001,,0)</f>
        <v>Yes</v>
      </c>
    </row>
    <row r="292" spans="1:16" x14ac:dyDescent="0.2">
      <c r="A292" s="2" t="s">
        <v>2127</v>
      </c>
      <c r="B292" s="3">
        <v>44497</v>
      </c>
      <c r="C292" s="2" t="s">
        <v>2128</v>
      </c>
      <c r="D292" t="s">
        <v>6147</v>
      </c>
      <c r="E292" s="2">
        <v>5</v>
      </c>
      <c r="F292" s="2" t="str">
        <f>_xlfn.XLOOKUP(Data_orders!C292,Data_customers!$A$1:$A$1001,Data_customers!$B$1:$B$1001,,0)</f>
        <v>Domeniga Duke</v>
      </c>
      <c r="G292" s="2" t="str">
        <f>IF(_xlfn.XLOOKUP(C292,Data_customers!$A$1:$A$1001,Data_customers!$C$1:$C$1001,,0)=0,"",_xlfn.XLOOKUP(C292,Data_customers!$A$1:$A$1001,Data_customers!$C$1:$C$1001,,0))</f>
        <v>dduke82@vkontakte.ru</v>
      </c>
      <c r="H292" s="2" t="str">
        <f>_xlfn.XLOOKUP(C292,Data_customers!$A$1:$A$1001,Data_customers!$G$1:$G$1001,"",0)</f>
        <v>United States</v>
      </c>
      <c r="I292" t="str">
        <f>INDEX(Data_products!$A$1:$G$49, MATCH(Data_orders!$D292,Data_products!$A$1:$A$49,0), MATCH(Data_orders!I$1,Data_products!$A$1:$G$1,0))</f>
        <v>Ara</v>
      </c>
      <c r="J292" t="str">
        <f>INDEX(Data_products!$A$1:$G$49, MATCH(Data_orders!$D292,Data_products!$A$1:$A$49,0), MATCH(Data_orders!J$1,Data_products!$A$1:$G$1,0))</f>
        <v>D</v>
      </c>
      <c r="K292" s="4">
        <f>INDEX(Data_products!$A$1:$G$49, MATCH(Data_orders!$D292,Data_products!$A$1:$A$49,0), MATCH(Data_orders!K$1,Data_products!$A$1:$G$1,0))</f>
        <v>1</v>
      </c>
      <c r="L292">
        <f>INDEX(Data_products!$A$1:$G$49, MATCH(Data_orders!$D292,Data_products!$A$1:$A$49,0), MATCH(Data_orders!L$1,Data_products!$A$1:$G$1,0))</f>
        <v>9.9499999999999993</v>
      </c>
      <c r="M292">
        <f t="shared" si="8"/>
        <v>49.75</v>
      </c>
      <c r="N292" t="str" cm="1">
        <f t="array" ref="N292">_xlfn.IFS(I292 = "Rob", "Robusta", I292 = "Exc", "Excelsa", I292 = "Ara", "Arabica", I292 = "Lib", "Liberica")</f>
        <v>Arabica</v>
      </c>
      <c r="O292" t="str">
        <f t="shared" si="9"/>
        <v>Dark</v>
      </c>
      <c r="P292" t="str">
        <f>_xlfn.XLOOKUP(Table1[[#This Row],[Customer ID]],Data_customers!$A$2:$A$1001,Data_customers!$I$2:$I$1001,,0)</f>
        <v>No</v>
      </c>
    </row>
    <row r="293" spans="1:16" x14ac:dyDescent="0.2">
      <c r="A293" s="2" t="s">
        <v>2133</v>
      </c>
      <c r="B293" s="3">
        <v>44181</v>
      </c>
      <c r="C293" s="2" t="s">
        <v>2134</v>
      </c>
      <c r="D293" t="s">
        <v>6139</v>
      </c>
      <c r="E293" s="2">
        <v>2</v>
      </c>
      <c r="F293" s="2" t="str">
        <f>_xlfn.XLOOKUP(Data_orders!C293,Data_customers!$A$1:$A$1001,Data_customers!$B$1:$B$1001,,0)</f>
        <v>Violante Skouling</v>
      </c>
      <c r="G293" s="2" t="str">
        <f>IF(_xlfn.XLOOKUP(C293,Data_customers!$A$1:$A$1001,Data_customers!$C$1:$C$1001,,0)=0,"",_xlfn.XLOOKUP(C293,Data_customers!$A$1:$A$1001,Data_customers!$C$1:$C$1001,,0))</f>
        <v/>
      </c>
      <c r="H293" s="2" t="str">
        <f>_xlfn.XLOOKUP(C293,Data_customers!$A$1:$A$1001,Data_customers!$G$1:$G$1001,"",0)</f>
        <v>Ireland</v>
      </c>
      <c r="I293" t="str">
        <f>INDEX(Data_products!$A$1:$G$49, MATCH(Data_orders!$D293,Data_products!$A$1:$A$49,0), MATCH(Data_orders!I$1,Data_products!$A$1:$G$1,0))</f>
        <v>Exc</v>
      </c>
      <c r="J293" t="str">
        <f>INDEX(Data_products!$A$1:$G$49, MATCH(Data_orders!$D293,Data_products!$A$1:$A$49,0), MATCH(Data_orders!J$1,Data_products!$A$1:$G$1,0))</f>
        <v>M</v>
      </c>
      <c r="K293" s="4">
        <f>INDEX(Data_products!$A$1:$G$49, MATCH(Data_orders!$D293,Data_products!$A$1:$A$49,0), MATCH(Data_orders!K$1,Data_products!$A$1:$G$1,0))</f>
        <v>0.5</v>
      </c>
      <c r="L293">
        <f>INDEX(Data_products!$A$1:$G$49, MATCH(Data_orders!$D293,Data_products!$A$1:$A$49,0), MATCH(Data_orders!L$1,Data_products!$A$1:$G$1,0))</f>
        <v>8.25</v>
      </c>
      <c r="M293">
        <f t="shared" si="8"/>
        <v>16.5</v>
      </c>
      <c r="N293" t="str" cm="1">
        <f t="array" ref="N293">_xlfn.IFS(I293 = "Rob", "Robusta", I293 = "Exc", "Excelsa", I293 = "Ara", "Arabica", I293 = "Lib", "Liberica")</f>
        <v>Excelsa</v>
      </c>
      <c r="O293" t="str">
        <f t="shared" si="9"/>
        <v>Medium</v>
      </c>
      <c r="P293" t="str">
        <f>_xlfn.XLOOKUP(Table1[[#This Row],[Customer ID]],Data_customers!$A$2:$A$1001,Data_customers!$I$2:$I$1001,,0)</f>
        <v>No</v>
      </c>
    </row>
    <row r="294" spans="1:16" x14ac:dyDescent="0.2">
      <c r="A294" s="2" t="s">
        <v>2137</v>
      </c>
      <c r="B294" s="3">
        <v>44529</v>
      </c>
      <c r="C294" s="2" t="s">
        <v>2138</v>
      </c>
      <c r="D294" t="s">
        <v>6158</v>
      </c>
      <c r="E294" s="2">
        <v>3</v>
      </c>
      <c r="F294" s="2" t="str">
        <f>_xlfn.XLOOKUP(Data_orders!C294,Data_customers!$A$1:$A$1001,Data_customers!$B$1:$B$1001,,0)</f>
        <v>Isidore Hussey</v>
      </c>
      <c r="G294" s="2" t="str">
        <f>IF(_xlfn.XLOOKUP(C294,Data_customers!$A$1:$A$1001,Data_customers!$C$1:$C$1001,,0)=0,"",_xlfn.XLOOKUP(C294,Data_customers!$A$1:$A$1001,Data_customers!$C$1:$C$1001,,0))</f>
        <v>ihussey84@mapy.cz</v>
      </c>
      <c r="H294" s="2" t="str">
        <f>_xlfn.XLOOKUP(C294,Data_customers!$A$1:$A$1001,Data_customers!$G$1:$G$1001,"",0)</f>
        <v>United States</v>
      </c>
      <c r="I294" t="str">
        <f>INDEX(Data_products!$A$1:$G$49, MATCH(Data_orders!$D294,Data_products!$A$1:$A$49,0), MATCH(Data_orders!I$1,Data_products!$A$1:$G$1,0))</f>
        <v>Ara</v>
      </c>
      <c r="J294" t="str">
        <f>INDEX(Data_products!$A$1:$G$49, MATCH(Data_orders!$D294,Data_products!$A$1:$A$49,0), MATCH(Data_orders!J$1,Data_products!$A$1:$G$1,0))</f>
        <v>D</v>
      </c>
      <c r="K294" s="4">
        <f>INDEX(Data_products!$A$1:$G$49, MATCH(Data_orders!$D294,Data_products!$A$1:$A$49,0), MATCH(Data_orders!K$1,Data_products!$A$1:$G$1,0))</f>
        <v>0.5</v>
      </c>
      <c r="L294">
        <f>INDEX(Data_products!$A$1:$G$49, MATCH(Data_orders!$D294,Data_products!$A$1:$A$49,0), MATCH(Data_orders!L$1,Data_products!$A$1:$G$1,0))</f>
        <v>5.97</v>
      </c>
      <c r="M294">
        <f t="shared" si="8"/>
        <v>17.91</v>
      </c>
      <c r="N294" t="str" cm="1">
        <f t="array" ref="N294">_xlfn.IFS(I294 = "Rob", "Robusta", I294 = "Exc", "Excelsa", I294 = "Ara", "Arabica", I294 = "Lib", "Liberica")</f>
        <v>Arabica</v>
      </c>
      <c r="O294" t="str">
        <f t="shared" si="9"/>
        <v>Dark</v>
      </c>
      <c r="P294" t="str">
        <f>_xlfn.XLOOKUP(Table1[[#This Row],[Customer ID]],Data_customers!$A$2:$A$1001,Data_customers!$I$2:$I$1001,,0)</f>
        <v>No</v>
      </c>
    </row>
    <row r="295" spans="1:16" x14ac:dyDescent="0.2">
      <c r="A295" s="2" t="s">
        <v>2142</v>
      </c>
      <c r="B295" s="3">
        <v>44275</v>
      </c>
      <c r="C295" s="2" t="s">
        <v>2143</v>
      </c>
      <c r="D295" t="s">
        <v>6158</v>
      </c>
      <c r="E295" s="2">
        <v>5</v>
      </c>
      <c r="F295" s="2" t="str">
        <f>_xlfn.XLOOKUP(Data_orders!C295,Data_customers!$A$1:$A$1001,Data_customers!$B$1:$B$1001,,0)</f>
        <v>Cassie Pinkerton</v>
      </c>
      <c r="G295" s="2" t="str">
        <f>IF(_xlfn.XLOOKUP(C295,Data_customers!$A$1:$A$1001,Data_customers!$C$1:$C$1001,,0)=0,"",_xlfn.XLOOKUP(C295,Data_customers!$A$1:$A$1001,Data_customers!$C$1:$C$1001,,0))</f>
        <v>cpinkerton85@upenn.edu</v>
      </c>
      <c r="H295" s="2" t="str">
        <f>_xlfn.XLOOKUP(C295,Data_customers!$A$1:$A$1001,Data_customers!$G$1:$G$1001,"",0)</f>
        <v>United States</v>
      </c>
      <c r="I295" t="str">
        <f>INDEX(Data_products!$A$1:$G$49, MATCH(Data_orders!$D295,Data_products!$A$1:$A$49,0), MATCH(Data_orders!I$1,Data_products!$A$1:$G$1,0))</f>
        <v>Ara</v>
      </c>
      <c r="J295" t="str">
        <f>INDEX(Data_products!$A$1:$G$49, MATCH(Data_orders!$D295,Data_products!$A$1:$A$49,0), MATCH(Data_orders!J$1,Data_products!$A$1:$G$1,0))</f>
        <v>D</v>
      </c>
      <c r="K295" s="4">
        <f>INDEX(Data_products!$A$1:$G$49, MATCH(Data_orders!$D295,Data_products!$A$1:$A$49,0), MATCH(Data_orders!K$1,Data_products!$A$1:$G$1,0))</f>
        <v>0.5</v>
      </c>
      <c r="L295">
        <f>INDEX(Data_products!$A$1:$G$49, MATCH(Data_orders!$D295,Data_products!$A$1:$A$49,0), MATCH(Data_orders!L$1,Data_products!$A$1:$G$1,0))</f>
        <v>5.97</v>
      </c>
      <c r="M295">
        <f t="shared" si="8"/>
        <v>29.849999999999998</v>
      </c>
      <c r="N295" t="str" cm="1">
        <f t="array" ref="N295">_xlfn.IFS(I295 = "Rob", "Robusta", I295 = "Exc", "Excelsa", I295 = "Ara", "Arabica", I295 = "Lib", "Liberica")</f>
        <v>Arabica</v>
      </c>
      <c r="O295" t="str">
        <f t="shared" si="9"/>
        <v>Dark</v>
      </c>
      <c r="P295" t="str">
        <f>_xlfn.XLOOKUP(Table1[[#This Row],[Customer ID]],Data_customers!$A$2:$A$1001,Data_customers!$I$2:$I$1001,,0)</f>
        <v>No</v>
      </c>
    </row>
    <row r="296" spans="1:16" x14ac:dyDescent="0.2">
      <c r="A296" s="2" t="s">
        <v>2148</v>
      </c>
      <c r="B296" s="3">
        <v>44659</v>
      </c>
      <c r="C296" s="2" t="s">
        <v>2149</v>
      </c>
      <c r="D296" t="s">
        <v>6171</v>
      </c>
      <c r="E296" s="2">
        <v>3</v>
      </c>
      <c r="F296" s="2" t="str">
        <f>_xlfn.XLOOKUP(Data_orders!C296,Data_customers!$A$1:$A$1001,Data_customers!$B$1:$B$1001,,0)</f>
        <v>Micki Fero</v>
      </c>
      <c r="G296" s="2" t="str">
        <f>IF(_xlfn.XLOOKUP(C296,Data_customers!$A$1:$A$1001,Data_customers!$C$1:$C$1001,,0)=0,"",_xlfn.XLOOKUP(C296,Data_customers!$A$1:$A$1001,Data_customers!$C$1:$C$1001,,0))</f>
        <v/>
      </c>
      <c r="H296" s="2" t="str">
        <f>_xlfn.XLOOKUP(C296,Data_customers!$A$1:$A$1001,Data_customers!$G$1:$G$1001,"",0)</f>
        <v>United States</v>
      </c>
      <c r="I296" t="str">
        <f>INDEX(Data_products!$A$1:$G$49, MATCH(Data_orders!$D296,Data_products!$A$1:$A$49,0), MATCH(Data_orders!I$1,Data_products!$A$1:$G$1,0))</f>
        <v>Exc</v>
      </c>
      <c r="J296" t="str">
        <f>INDEX(Data_products!$A$1:$G$49, MATCH(Data_orders!$D296,Data_products!$A$1:$A$49,0), MATCH(Data_orders!J$1,Data_products!$A$1:$G$1,0))</f>
        <v>L</v>
      </c>
      <c r="K296" s="4">
        <f>INDEX(Data_products!$A$1:$G$49, MATCH(Data_orders!$D296,Data_products!$A$1:$A$49,0), MATCH(Data_orders!K$1,Data_products!$A$1:$G$1,0))</f>
        <v>1</v>
      </c>
      <c r="L296">
        <f>INDEX(Data_products!$A$1:$G$49, MATCH(Data_orders!$D296,Data_products!$A$1:$A$49,0), MATCH(Data_orders!L$1,Data_products!$A$1:$G$1,0))</f>
        <v>14.85</v>
      </c>
      <c r="M296">
        <f t="shared" si="8"/>
        <v>44.55</v>
      </c>
      <c r="N296" t="str" cm="1">
        <f t="array" ref="N296">_xlfn.IFS(I296 = "Rob", "Robusta", I296 = "Exc", "Excelsa", I296 = "Ara", "Arabica", I296 = "Lib", "Liberica")</f>
        <v>Excelsa</v>
      </c>
      <c r="O296" t="str">
        <f t="shared" si="9"/>
        <v>Light</v>
      </c>
      <c r="P296" t="str">
        <f>_xlfn.XLOOKUP(Table1[[#This Row],[Customer ID]],Data_customers!$A$2:$A$1001,Data_customers!$I$2:$I$1001,,0)</f>
        <v>No</v>
      </c>
    </row>
    <row r="297" spans="1:16" x14ac:dyDescent="0.2">
      <c r="A297" s="2" t="s">
        <v>2153</v>
      </c>
      <c r="B297" s="3">
        <v>44057</v>
      </c>
      <c r="C297" s="2" t="s">
        <v>2154</v>
      </c>
      <c r="D297" t="s">
        <v>6141</v>
      </c>
      <c r="E297" s="2">
        <v>2</v>
      </c>
      <c r="F297" s="2" t="str">
        <f>_xlfn.XLOOKUP(Data_orders!C297,Data_customers!$A$1:$A$1001,Data_customers!$B$1:$B$1001,,0)</f>
        <v>Cybill Graddell</v>
      </c>
      <c r="G297" s="2" t="str">
        <f>IF(_xlfn.XLOOKUP(C297,Data_customers!$A$1:$A$1001,Data_customers!$C$1:$C$1001,,0)=0,"",_xlfn.XLOOKUP(C297,Data_customers!$A$1:$A$1001,Data_customers!$C$1:$C$1001,,0))</f>
        <v/>
      </c>
      <c r="H297" s="2" t="str">
        <f>_xlfn.XLOOKUP(C297,Data_customers!$A$1:$A$1001,Data_customers!$G$1:$G$1001,"",0)</f>
        <v>United States</v>
      </c>
      <c r="I297" t="str">
        <f>INDEX(Data_products!$A$1:$G$49, MATCH(Data_orders!$D297,Data_products!$A$1:$A$49,0), MATCH(Data_orders!I$1,Data_products!$A$1:$G$1,0))</f>
        <v>Exc</v>
      </c>
      <c r="J297" t="str">
        <f>INDEX(Data_products!$A$1:$G$49, MATCH(Data_orders!$D297,Data_products!$A$1:$A$49,0), MATCH(Data_orders!J$1,Data_products!$A$1:$G$1,0))</f>
        <v>M</v>
      </c>
      <c r="K297" s="4">
        <f>INDEX(Data_products!$A$1:$G$49, MATCH(Data_orders!$D297,Data_products!$A$1:$A$49,0), MATCH(Data_orders!K$1,Data_products!$A$1:$G$1,0))</f>
        <v>1</v>
      </c>
      <c r="L297">
        <f>INDEX(Data_products!$A$1:$G$49, MATCH(Data_orders!$D297,Data_products!$A$1:$A$49,0), MATCH(Data_orders!L$1,Data_products!$A$1:$G$1,0))</f>
        <v>13.75</v>
      </c>
      <c r="M297">
        <f t="shared" si="8"/>
        <v>27.5</v>
      </c>
      <c r="N297" t="str" cm="1">
        <f t="array" ref="N297">_xlfn.IFS(I297 = "Rob", "Robusta", I297 = "Exc", "Excelsa", I297 = "Ara", "Arabica", I297 = "Lib", "Liberica")</f>
        <v>Excelsa</v>
      </c>
      <c r="O297" t="str">
        <f t="shared" si="9"/>
        <v>Medium</v>
      </c>
      <c r="P297" t="str">
        <f>_xlfn.XLOOKUP(Table1[[#This Row],[Customer ID]],Data_customers!$A$2:$A$1001,Data_customers!$I$2:$I$1001,,0)</f>
        <v>No</v>
      </c>
    </row>
    <row r="298" spans="1:16" x14ac:dyDescent="0.2">
      <c r="A298" s="2" t="s">
        <v>2157</v>
      </c>
      <c r="B298" s="3">
        <v>43597</v>
      </c>
      <c r="C298" s="2" t="s">
        <v>2158</v>
      </c>
      <c r="D298" t="s">
        <v>6146</v>
      </c>
      <c r="E298" s="2">
        <v>6</v>
      </c>
      <c r="F298" s="2" t="str">
        <f>_xlfn.XLOOKUP(Data_orders!C298,Data_customers!$A$1:$A$1001,Data_customers!$B$1:$B$1001,,0)</f>
        <v>Dorian Vizor</v>
      </c>
      <c r="G298" s="2" t="str">
        <f>IF(_xlfn.XLOOKUP(C298,Data_customers!$A$1:$A$1001,Data_customers!$C$1:$C$1001,,0)=0,"",_xlfn.XLOOKUP(C298,Data_customers!$A$1:$A$1001,Data_customers!$C$1:$C$1001,,0))</f>
        <v>dvizor88@furl.net</v>
      </c>
      <c r="H298" s="2" t="str">
        <f>_xlfn.XLOOKUP(C298,Data_customers!$A$1:$A$1001,Data_customers!$G$1:$G$1001,"",0)</f>
        <v>United States</v>
      </c>
      <c r="I298" t="str">
        <f>INDEX(Data_products!$A$1:$G$49, MATCH(Data_orders!$D298,Data_products!$A$1:$A$49,0), MATCH(Data_orders!I$1,Data_products!$A$1:$G$1,0))</f>
        <v>Rob</v>
      </c>
      <c r="J298" t="str">
        <f>INDEX(Data_products!$A$1:$G$49, MATCH(Data_orders!$D298,Data_products!$A$1:$A$49,0), MATCH(Data_orders!J$1,Data_products!$A$1:$G$1,0))</f>
        <v>M</v>
      </c>
      <c r="K298" s="4">
        <f>INDEX(Data_products!$A$1:$G$49, MATCH(Data_orders!$D298,Data_products!$A$1:$A$49,0), MATCH(Data_orders!K$1,Data_products!$A$1:$G$1,0))</f>
        <v>0.5</v>
      </c>
      <c r="L298">
        <f>INDEX(Data_products!$A$1:$G$49, MATCH(Data_orders!$D298,Data_products!$A$1:$A$49,0), MATCH(Data_orders!L$1,Data_products!$A$1:$G$1,0))</f>
        <v>5.97</v>
      </c>
      <c r="M298">
        <f t="shared" si="8"/>
        <v>35.82</v>
      </c>
      <c r="N298" t="str" cm="1">
        <f t="array" ref="N298">_xlfn.IFS(I298 = "Rob", "Robusta", I298 = "Exc", "Excelsa", I298 = "Ara", "Arabica", I298 = "Lib", "Liberica")</f>
        <v>Robusta</v>
      </c>
      <c r="O298" t="str">
        <f t="shared" si="9"/>
        <v>Medium</v>
      </c>
      <c r="P298" t="str">
        <f>_xlfn.XLOOKUP(Table1[[#This Row],[Customer ID]],Data_customers!$A$2:$A$1001,Data_customers!$I$2:$I$1001,,0)</f>
        <v>Yes</v>
      </c>
    </row>
    <row r="299" spans="1:16" x14ac:dyDescent="0.2">
      <c r="A299" s="2" t="s">
        <v>2163</v>
      </c>
      <c r="B299" s="3">
        <v>44258</v>
      </c>
      <c r="C299" s="2" t="s">
        <v>2164</v>
      </c>
      <c r="D299" t="s">
        <v>6172</v>
      </c>
      <c r="E299" s="2">
        <v>3</v>
      </c>
      <c r="F299" s="2" t="str">
        <f>_xlfn.XLOOKUP(Data_orders!C299,Data_customers!$A$1:$A$1001,Data_customers!$B$1:$B$1001,,0)</f>
        <v>Eddi Sedgebeer</v>
      </c>
      <c r="G299" s="2" t="str">
        <f>IF(_xlfn.XLOOKUP(C299,Data_customers!$A$1:$A$1001,Data_customers!$C$1:$C$1001,,0)=0,"",_xlfn.XLOOKUP(C299,Data_customers!$A$1:$A$1001,Data_customers!$C$1:$C$1001,,0))</f>
        <v>esedgebeer89@oaic.gov.au</v>
      </c>
      <c r="H299" s="2" t="str">
        <f>_xlfn.XLOOKUP(C299,Data_customers!$A$1:$A$1001,Data_customers!$G$1:$G$1001,"",0)</f>
        <v>United States</v>
      </c>
      <c r="I299" t="str">
        <f>INDEX(Data_products!$A$1:$G$49, MATCH(Data_orders!$D299,Data_products!$A$1:$A$49,0), MATCH(Data_orders!I$1,Data_products!$A$1:$G$1,0))</f>
        <v>Rob</v>
      </c>
      <c r="J299" t="str">
        <f>INDEX(Data_products!$A$1:$G$49, MATCH(Data_orders!$D299,Data_products!$A$1:$A$49,0), MATCH(Data_orders!J$1,Data_products!$A$1:$G$1,0))</f>
        <v>D</v>
      </c>
      <c r="K299" s="4">
        <f>INDEX(Data_products!$A$1:$G$49, MATCH(Data_orders!$D299,Data_products!$A$1:$A$49,0), MATCH(Data_orders!K$1,Data_products!$A$1:$G$1,0))</f>
        <v>0.5</v>
      </c>
      <c r="L299">
        <f>INDEX(Data_products!$A$1:$G$49, MATCH(Data_orders!$D299,Data_products!$A$1:$A$49,0), MATCH(Data_orders!L$1,Data_products!$A$1:$G$1,0))</f>
        <v>5.3699999999999992</v>
      </c>
      <c r="M299">
        <f t="shared" si="8"/>
        <v>16.11</v>
      </c>
      <c r="N299" t="str" cm="1">
        <f t="array" ref="N299">_xlfn.IFS(I299 = "Rob", "Robusta", I299 = "Exc", "Excelsa", I299 = "Ara", "Arabica", I299 = "Lib", "Liberica")</f>
        <v>Robusta</v>
      </c>
      <c r="O299" t="str">
        <f t="shared" si="9"/>
        <v>Dark</v>
      </c>
      <c r="P299" t="str">
        <f>_xlfn.XLOOKUP(Table1[[#This Row],[Customer ID]],Data_customers!$A$2:$A$1001,Data_customers!$I$2:$I$1001,,0)</f>
        <v>Yes</v>
      </c>
    </row>
    <row r="300" spans="1:16" x14ac:dyDescent="0.2">
      <c r="A300" s="2" t="s">
        <v>2169</v>
      </c>
      <c r="B300" s="3">
        <v>43872</v>
      </c>
      <c r="C300" s="2" t="s">
        <v>2170</v>
      </c>
      <c r="D300" t="s">
        <v>6184</v>
      </c>
      <c r="E300" s="2">
        <v>6</v>
      </c>
      <c r="F300" s="2" t="str">
        <f>_xlfn.XLOOKUP(Data_orders!C300,Data_customers!$A$1:$A$1001,Data_customers!$B$1:$B$1001,,0)</f>
        <v>Ken Lestrange</v>
      </c>
      <c r="G300" s="2" t="str">
        <f>IF(_xlfn.XLOOKUP(C300,Data_customers!$A$1:$A$1001,Data_customers!$C$1:$C$1001,,0)=0,"",_xlfn.XLOOKUP(C300,Data_customers!$A$1:$A$1001,Data_customers!$C$1:$C$1001,,0))</f>
        <v>klestrange8a@lulu.com</v>
      </c>
      <c r="H300" s="2" t="str">
        <f>_xlfn.XLOOKUP(C300,Data_customers!$A$1:$A$1001,Data_customers!$G$1:$G$1001,"",0)</f>
        <v>United States</v>
      </c>
      <c r="I300" t="str">
        <f>INDEX(Data_products!$A$1:$G$49, MATCH(Data_orders!$D300,Data_products!$A$1:$A$49,0), MATCH(Data_orders!I$1,Data_products!$A$1:$G$1,0))</f>
        <v>Exc</v>
      </c>
      <c r="J300" t="str">
        <f>INDEX(Data_products!$A$1:$G$49, MATCH(Data_orders!$D300,Data_products!$A$1:$A$49,0), MATCH(Data_orders!J$1,Data_products!$A$1:$G$1,0))</f>
        <v>L</v>
      </c>
      <c r="K300" s="4">
        <f>INDEX(Data_products!$A$1:$G$49, MATCH(Data_orders!$D300,Data_products!$A$1:$A$49,0), MATCH(Data_orders!K$1,Data_products!$A$1:$G$1,0))</f>
        <v>0.2</v>
      </c>
      <c r="L300">
        <f>INDEX(Data_products!$A$1:$G$49, MATCH(Data_orders!$D300,Data_products!$A$1:$A$49,0), MATCH(Data_orders!L$1,Data_products!$A$1:$G$1,0))</f>
        <v>4.4550000000000001</v>
      </c>
      <c r="M300">
        <f t="shared" si="8"/>
        <v>26.73</v>
      </c>
      <c r="N300" t="str" cm="1">
        <f t="array" ref="N300">_xlfn.IFS(I300 = "Rob", "Robusta", I300 = "Exc", "Excelsa", I300 = "Ara", "Arabica", I300 = "Lib", "Liberica")</f>
        <v>Excelsa</v>
      </c>
      <c r="O300" t="str">
        <f t="shared" si="9"/>
        <v>Light</v>
      </c>
      <c r="P300" t="str">
        <f>_xlfn.XLOOKUP(Table1[[#This Row],[Customer ID]],Data_customers!$A$2:$A$1001,Data_customers!$I$2:$I$1001,,0)</f>
        <v>Yes</v>
      </c>
    </row>
    <row r="301" spans="1:16" x14ac:dyDescent="0.2">
      <c r="A301" s="2" t="s">
        <v>2175</v>
      </c>
      <c r="B301" s="3">
        <v>43582</v>
      </c>
      <c r="C301" s="2" t="s">
        <v>2176</v>
      </c>
      <c r="D301" t="s">
        <v>6148</v>
      </c>
      <c r="E301" s="2">
        <v>6</v>
      </c>
      <c r="F301" s="2" t="str">
        <f>_xlfn.XLOOKUP(Data_orders!C301,Data_customers!$A$1:$A$1001,Data_customers!$B$1:$B$1001,,0)</f>
        <v>Lacee Tanti</v>
      </c>
      <c r="G301" s="2" t="str">
        <f>IF(_xlfn.XLOOKUP(C301,Data_customers!$A$1:$A$1001,Data_customers!$C$1:$C$1001,,0)=0,"",_xlfn.XLOOKUP(C301,Data_customers!$A$1:$A$1001,Data_customers!$C$1:$C$1001,,0))</f>
        <v>ltanti8b@techcrunch.com</v>
      </c>
      <c r="H301" s="2" t="str">
        <f>_xlfn.XLOOKUP(C301,Data_customers!$A$1:$A$1001,Data_customers!$G$1:$G$1001,"",0)</f>
        <v>United States</v>
      </c>
      <c r="I301" t="str">
        <f>INDEX(Data_products!$A$1:$G$49, MATCH(Data_orders!$D301,Data_products!$A$1:$A$49,0), MATCH(Data_orders!I$1,Data_products!$A$1:$G$1,0))</f>
        <v>Exc</v>
      </c>
      <c r="J301" t="str">
        <f>INDEX(Data_products!$A$1:$G$49, MATCH(Data_orders!$D301,Data_products!$A$1:$A$49,0), MATCH(Data_orders!J$1,Data_products!$A$1:$G$1,0))</f>
        <v>L</v>
      </c>
      <c r="K301" s="4">
        <f>INDEX(Data_products!$A$1:$G$49, MATCH(Data_orders!$D301,Data_products!$A$1:$A$49,0), MATCH(Data_orders!K$1,Data_products!$A$1:$G$1,0))</f>
        <v>2.5</v>
      </c>
      <c r="L301">
        <f>INDEX(Data_products!$A$1:$G$49, MATCH(Data_orders!$D301,Data_products!$A$1:$A$49,0), MATCH(Data_orders!L$1,Data_products!$A$1:$G$1,0))</f>
        <v>34.154999999999994</v>
      </c>
      <c r="M301">
        <f t="shared" si="8"/>
        <v>204.92999999999995</v>
      </c>
      <c r="N301" t="str" cm="1">
        <f t="array" ref="N301">_xlfn.IFS(I301 = "Rob", "Robusta", I301 = "Exc", "Excelsa", I301 = "Ara", "Arabica", I301 = "Lib", "Liberica")</f>
        <v>Excelsa</v>
      </c>
      <c r="O301" t="str">
        <f t="shared" si="9"/>
        <v>Light</v>
      </c>
      <c r="P301" t="str">
        <f>_xlfn.XLOOKUP(Table1[[#This Row],[Customer ID]],Data_customers!$A$2:$A$1001,Data_customers!$I$2:$I$1001,,0)</f>
        <v>Yes</v>
      </c>
    </row>
    <row r="302" spans="1:16" x14ac:dyDescent="0.2">
      <c r="A302" s="2" t="s">
        <v>2181</v>
      </c>
      <c r="B302" s="3">
        <v>44646</v>
      </c>
      <c r="C302" s="2" t="s">
        <v>2182</v>
      </c>
      <c r="D302" t="s">
        <v>6140</v>
      </c>
      <c r="E302" s="2">
        <v>3</v>
      </c>
      <c r="F302" s="2" t="str">
        <f>_xlfn.XLOOKUP(Data_orders!C302,Data_customers!$A$1:$A$1001,Data_customers!$B$1:$B$1001,,0)</f>
        <v>Arel De Lasci</v>
      </c>
      <c r="G302" s="2" t="str">
        <f>IF(_xlfn.XLOOKUP(C302,Data_customers!$A$1:$A$1001,Data_customers!$C$1:$C$1001,,0)=0,"",_xlfn.XLOOKUP(C302,Data_customers!$A$1:$A$1001,Data_customers!$C$1:$C$1001,,0))</f>
        <v>ade8c@1und1.de</v>
      </c>
      <c r="H302" s="2" t="str">
        <f>_xlfn.XLOOKUP(C302,Data_customers!$A$1:$A$1001,Data_customers!$G$1:$G$1001,"",0)</f>
        <v>United States</v>
      </c>
      <c r="I302" t="str">
        <f>INDEX(Data_products!$A$1:$G$49, MATCH(Data_orders!$D302,Data_products!$A$1:$A$49,0), MATCH(Data_orders!I$1,Data_products!$A$1:$G$1,0))</f>
        <v>Ara</v>
      </c>
      <c r="J302" t="str">
        <f>INDEX(Data_products!$A$1:$G$49, MATCH(Data_orders!$D302,Data_products!$A$1:$A$49,0), MATCH(Data_orders!J$1,Data_products!$A$1:$G$1,0))</f>
        <v>L</v>
      </c>
      <c r="K302" s="4">
        <f>INDEX(Data_products!$A$1:$G$49, MATCH(Data_orders!$D302,Data_products!$A$1:$A$49,0), MATCH(Data_orders!K$1,Data_products!$A$1:$G$1,0))</f>
        <v>1</v>
      </c>
      <c r="L302">
        <f>INDEX(Data_products!$A$1:$G$49, MATCH(Data_orders!$D302,Data_products!$A$1:$A$49,0), MATCH(Data_orders!L$1,Data_products!$A$1:$G$1,0))</f>
        <v>12.95</v>
      </c>
      <c r="M302">
        <f t="shared" si="8"/>
        <v>38.849999999999994</v>
      </c>
      <c r="N302" t="str" cm="1">
        <f t="array" ref="N302">_xlfn.IFS(I302 = "Rob", "Robusta", I302 = "Exc", "Excelsa", I302 = "Ara", "Arabica", I302 = "Lib", "Liberica")</f>
        <v>Arabica</v>
      </c>
      <c r="O302" t="str">
        <f t="shared" si="9"/>
        <v>Light</v>
      </c>
      <c r="P302" t="str">
        <f>_xlfn.XLOOKUP(Table1[[#This Row],[Customer ID]],Data_customers!$A$2:$A$1001,Data_customers!$I$2:$I$1001,,0)</f>
        <v>Yes</v>
      </c>
    </row>
    <row r="303" spans="1:16" x14ac:dyDescent="0.2">
      <c r="A303" s="2" t="s">
        <v>2187</v>
      </c>
      <c r="B303" s="3">
        <v>44102</v>
      </c>
      <c r="C303" s="2" t="s">
        <v>2188</v>
      </c>
      <c r="D303" t="s">
        <v>6150</v>
      </c>
      <c r="E303" s="2">
        <v>4</v>
      </c>
      <c r="F303" s="2" t="str">
        <f>_xlfn.XLOOKUP(Data_orders!C303,Data_customers!$A$1:$A$1001,Data_customers!$B$1:$B$1001,,0)</f>
        <v>Trescha Jedrachowicz</v>
      </c>
      <c r="G303" s="2" t="str">
        <f>IF(_xlfn.XLOOKUP(C303,Data_customers!$A$1:$A$1001,Data_customers!$C$1:$C$1001,,0)=0,"",_xlfn.XLOOKUP(C303,Data_customers!$A$1:$A$1001,Data_customers!$C$1:$C$1001,,0))</f>
        <v>tjedrachowicz8d@acquirethisname.com</v>
      </c>
      <c r="H303" s="2" t="str">
        <f>_xlfn.XLOOKUP(C303,Data_customers!$A$1:$A$1001,Data_customers!$G$1:$G$1001,"",0)</f>
        <v>United States</v>
      </c>
      <c r="I303" t="str">
        <f>INDEX(Data_products!$A$1:$G$49, MATCH(Data_orders!$D303,Data_products!$A$1:$A$49,0), MATCH(Data_orders!I$1,Data_products!$A$1:$G$1,0))</f>
        <v>Lib</v>
      </c>
      <c r="J303" t="str">
        <f>INDEX(Data_products!$A$1:$G$49, MATCH(Data_orders!$D303,Data_products!$A$1:$A$49,0), MATCH(Data_orders!J$1,Data_products!$A$1:$G$1,0))</f>
        <v>D</v>
      </c>
      <c r="K303" s="4">
        <f>INDEX(Data_products!$A$1:$G$49, MATCH(Data_orders!$D303,Data_products!$A$1:$A$49,0), MATCH(Data_orders!K$1,Data_products!$A$1:$G$1,0))</f>
        <v>0.2</v>
      </c>
      <c r="L303">
        <f>INDEX(Data_products!$A$1:$G$49, MATCH(Data_orders!$D303,Data_products!$A$1:$A$49,0), MATCH(Data_orders!L$1,Data_products!$A$1:$G$1,0))</f>
        <v>3.8849999999999998</v>
      </c>
      <c r="M303">
        <f t="shared" si="8"/>
        <v>15.54</v>
      </c>
      <c r="N303" t="str" cm="1">
        <f t="array" ref="N303">_xlfn.IFS(I303 = "Rob", "Robusta", I303 = "Exc", "Excelsa", I303 = "Ara", "Arabica", I303 = "Lib", "Liberica")</f>
        <v>Liberica</v>
      </c>
      <c r="O303" t="str">
        <f t="shared" si="9"/>
        <v>Dark</v>
      </c>
      <c r="P303" t="str">
        <f>_xlfn.XLOOKUP(Table1[[#This Row],[Customer ID]],Data_customers!$A$2:$A$1001,Data_customers!$I$2:$I$1001,,0)</f>
        <v>Yes</v>
      </c>
    </row>
    <row r="304" spans="1:16" x14ac:dyDescent="0.2">
      <c r="A304" s="2" t="s">
        <v>2193</v>
      </c>
      <c r="B304" s="3">
        <v>43762</v>
      </c>
      <c r="C304" s="2" t="s">
        <v>2194</v>
      </c>
      <c r="D304" t="s">
        <v>6157</v>
      </c>
      <c r="E304" s="2">
        <v>1</v>
      </c>
      <c r="F304" s="2" t="str">
        <f>_xlfn.XLOOKUP(Data_orders!C304,Data_customers!$A$1:$A$1001,Data_customers!$B$1:$B$1001,,0)</f>
        <v>Perkin Stonner</v>
      </c>
      <c r="G304" s="2" t="str">
        <f>IF(_xlfn.XLOOKUP(C304,Data_customers!$A$1:$A$1001,Data_customers!$C$1:$C$1001,,0)=0,"",_xlfn.XLOOKUP(C304,Data_customers!$A$1:$A$1001,Data_customers!$C$1:$C$1001,,0))</f>
        <v>pstonner8e@moonfruit.com</v>
      </c>
      <c r="H304" s="2" t="str">
        <f>_xlfn.XLOOKUP(C304,Data_customers!$A$1:$A$1001,Data_customers!$G$1:$G$1001,"",0)</f>
        <v>United States</v>
      </c>
      <c r="I304" t="str">
        <f>INDEX(Data_products!$A$1:$G$49, MATCH(Data_orders!$D304,Data_products!$A$1:$A$49,0), MATCH(Data_orders!I$1,Data_products!$A$1:$G$1,0))</f>
        <v>Ara</v>
      </c>
      <c r="J304" t="str">
        <f>INDEX(Data_products!$A$1:$G$49, MATCH(Data_orders!$D304,Data_products!$A$1:$A$49,0), MATCH(Data_orders!J$1,Data_products!$A$1:$G$1,0))</f>
        <v>M</v>
      </c>
      <c r="K304" s="4">
        <f>INDEX(Data_products!$A$1:$G$49, MATCH(Data_orders!$D304,Data_products!$A$1:$A$49,0), MATCH(Data_orders!K$1,Data_products!$A$1:$G$1,0))</f>
        <v>0.5</v>
      </c>
      <c r="L304">
        <f>INDEX(Data_products!$A$1:$G$49, MATCH(Data_orders!$D304,Data_products!$A$1:$A$49,0), MATCH(Data_orders!L$1,Data_products!$A$1:$G$1,0))</f>
        <v>6.75</v>
      </c>
      <c r="M304">
        <f t="shared" si="8"/>
        <v>6.75</v>
      </c>
      <c r="N304" t="str" cm="1">
        <f t="array" ref="N304">_xlfn.IFS(I304 = "Rob", "Robusta", I304 = "Exc", "Excelsa", I304 = "Ara", "Arabica", I304 = "Lib", "Liberica")</f>
        <v>Arabica</v>
      </c>
      <c r="O304" t="str">
        <f t="shared" si="9"/>
        <v>Medium</v>
      </c>
      <c r="P304" t="str">
        <f>_xlfn.XLOOKUP(Table1[[#This Row],[Customer ID]],Data_customers!$A$2:$A$1001,Data_customers!$I$2:$I$1001,,0)</f>
        <v>No</v>
      </c>
    </row>
    <row r="305" spans="1:16" x14ac:dyDescent="0.2">
      <c r="A305" s="2" t="s">
        <v>2199</v>
      </c>
      <c r="B305" s="3">
        <v>44412</v>
      </c>
      <c r="C305" s="2" t="s">
        <v>2200</v>
      </c>
      <c r="D305" t="s">
        <v>6185</v>
      </c>
      <c r="E305" s="2">
        <v>4</v>
      </c>
      <c r="F305" s="2" t="str">
        <f>_xlfn.XLOOKUP(Data_orders!C305,Data_customers!$A$1:$A$1001,Data_customers!$B$1:$B$1001,,0)</f>
        <v>Darrin Tingly</v>
      </c>
      <c r="G305" s="2" t="str">
        <f>IF(_xlfn.XLOOKUP(C305,Data_customers!$A$1:$A$1001,Data_customers!$C$1:$C$1001,,0)=0,"",_xlfn.XLOOKUP(C305,Data_customers!$A$1:$A$1001,Data_customers!$C$1:$C$1001,,0))</f>
        <v>dtingly8f@goo.ne.jp</v>
      </c>
      <c r="H305" s="2" t="str">
        <f>_xlfn.XLOOKUP(C305,Data_customers!$A$1:$A$1001,Data_customers!$G$1:$G$1001,"",0)</f>
        <v>United States</v>
      </c>
      <c r="I305" t="str">
        <f>INDEX(Data_products!$A$1:$G$49, MATCH(Data_orders!$D305,Data_products!$A$1:$A$49,0), MATCH(Data_orders!I$1,Data_products!$A$1:$G$1,0))</f>
        <v>Exc</v>
      </c>
      <c r="J305" t="str">
        <f>INDEX(Data_products!$A$1:$G$49, MATCH(Data_orders!$D305,Data_products!$A$1:$A$49,0), MATCH(Data_orders!J$1,Data_products!$A$1:$G$1,0))</f>
        <v>D</v>
      </c>
      <c r="K305" s="4">
        <f>INDEX(Data_products!$A$1:$G$49, MATCH(Data_orders!$D305,Data_products!$A$1:$A$49,0), MATCH(Data_orders!K$1,Data_products!$A$1:$G$1,0))</f>
        <v>2.5</v>
      </c>
      <c r="L305">
        <f>INDEX(Data_products!$A$1:$G$49, MATCH(Data_orders!$D305,Data_products!$A$1:$A$49,0), MATCH(Data_orders!L$1,Data_products!$A$1:$G$1,0))</f>
        <v>27.945</v>
      </c>
      <c r="M305">
        <f t="shared" si="8"/>
        <v>111.78</v>
      </c>
      <c r="N305" t="str" cm="1">
        <f t="array" ref="N305">_xlfn.IFS(I305 = "Rob", "Robusta", I305 = "Exc", "Excelsa", I305 = "Ara", "Arabica", I305 = "Lib", "Liberica")</f>
        <v>Excelsa</v>
      </c>
      <c r="O305" t="str">
        <f t="shared" si="9"/>
        <v>Dark</v>
      </c>
      <c r="P305" t="str">
        <f>_xlfn.XLOOKUP(Table1[[#This Row],[Customer ID]],Data_customers!$A$2:$A$1001,Data_customers!$I$2:$I$1001,,0)</f>
        <v>Yes</v>
      </c>
    </row>
    <row r="306" spans="1:16" x14ac:dyDescent="0.2">
      <c r="A306" s="2" t="s">
        <v>2204</v>
      </c>
      <c r="B306" s="3">
        <v>43828</v>
      </c>
      <c r="C306" s="2" t="s">
        <v>2245</v>
      </c>
      <c r="D306" t="s">
        <v>6167</v>
      </c>
      <c r="E306" s="2">
        <v>1</v>
      </c>
      <c r="F306" s="2" t="str">
        <f>_xlfn.XLOOKUP(Data_orders!C306,Data_customers!$A$1:$A$1001,Data_customers!$B$1:$B$1001,,0)</f>
        <v>Claudetta Rushe</v>
      </c>
      <c r="G306" s="2" t="str">
        <f>IF(_xlfn.XLOOKUP(C306,Data_customers!$A$1:$A$1001,Data_customers!$C$1:$C$1001,,0)=0,"",_xlfn.XLOOKUP(C306,Data_customers!$A$1:$A$1001,Data_customers!$C$1:$C$1001,,0))</f>
        <v>crushe8n@about.me</v>
      </c>
      <c r="H306" s="2" t="str">
        <f>_xlfn.XLOOKUP(C306,Data_customers!$A$1:$A$1001,Data_customers!$G$1:$G$1001,"",0)</f>
        <v>United States</v>
      </c>
      <c r="I306" t="str">
        <f>INDEX(Data_products!$A$1:$G$49, MATCH(Data_orders!$D306,Data_products!$A$1:$A$49,0), MATCH(Data_orders!I$1,Data_products!$A$1:$G$1,0))</f>
        <v>Ara</v>
      </c>
      <c r="J306" t="str">
        <f>INDEX(Data_products!$A$1:$G$49, MATCH(Data_orders!$D306,Data_products!$A$1:$A$49,0), MATCH(Data_orders!J$1,Data_products!$A$1:$G$1,0))</f>
        <v>L</v>
      </c>
      <c r="K306" s="4">
        <f>INDEX(Data_products!$A$1:$G$49, MATCH(Data_orders!$D306,Data_products!$A$1:$A$49,0), MATCH(Data_orders!K$1,Data_products!$A$1:$G$1,0))</f>
        <v>0.2</v>
      </c>
      <c r="L306">
        <f>INDEX(Data_products!$A$1:$G$49, MATCH(Data_orders!$D306,Data_products!$A$1:$A$49,0), MATCH(Data_orders!L$1,Data_products!$A$1:$G$1,0))</f>
        <v>3.8849999999999998</v>
      </c>
      <c r="M306">
        <f t="shared" si="8"/>
        <v>3.8849999999999998</v>
      </c>
      <c r="N306" t="str" cm="1">
        <f t="array" ref="N306">_xlfn.IFS(I306 = "Rob", "Robusta", I306 = "Exc", "Excelsa", I306 = "Ara", "Arabica", I306 = "Lib", "Liberica")</f>
        <v>Arabica</v>
      </c>
      <c r="O306" t="str">
        <f t="shared" si="9"/>
        <v>Light</v>
      </c>
      <c r="P306" t="str">
        <f>_xlfn.XLOOKUP(Table1[[#This Row],[Customer ID]],Data_customers!$A$2:$A$1001,Data_customers!$I$2:$I$1001,,0)</f>
        <v>Yes</v>
      </c>
    </row>
    <row r="307" spans="1:16" x14ac:dyDescent="0.2">
      <c r="A307" s="2" t="s">
        <v>2209</v>
      </c>
      <c r="B307" s="3">
        <v>43796</v>
      </c>
      <c r="C307" s="2" t="s">
        <v>2210</v>
      </c>
      <c r="D307" t="s">
        <v>6159</v>
      </c>
      <c r="E307" s="2">
        <v>5</v>
      </c>
      <c r="F307" s="2" t="str">
        <f>_xlfn.XLOOKUP(Data_orders!C307,Data_customers!$A$1:$A$1001,Data_customers!$B$1:$B$1001,,0)</f>
        <v>Benn Checci</v>
      </c>
      <c r="G307" s="2" t="str">
        <f>IF(_xlfn.XLOOKUP(C307,Data_customers!$A$1:$A$1001,Data_customers!$C$1:$C$1001,,0)=0,"",_xlfn.XLOOKUP(C307,Data_customers!$A$1:$A$1001,Data_customers!$C$1:$C$1001,,0))</f>
        <v>bchecci8h@usa.gov</v>
      </c>
      <c r="H307" s="2" t="str">
        <f>_xlfn.XLOOKUP(C307,Data_customers!$A$1:$A$1001,Data_customers!$G$1:$G$1001,"",0)</f>
        <v>United Kingdom</v>
      </c>
      <c r="I307" t="str">
        <f>INDEX(Data_products!$A$1:$G$49, MATCH(Data_orders!$D307,Data_products!$A$1:$A$49,0), MATCH(Data_orders!I$1,Data_products!$A$1:$G$1,0))</f>
        <v>Lib</v>
      </c>
      <c r="J307" t="str">
        <f>INDEX(Data_products!$A$1:$G$49, MATCH(Data_orders!$D307,Data_products!$A$1:$A$49,0), MATCH(Data_orders!J$1,Data_products!$A$1:$G$1,0))</f>
        <v>M</v>
      </c>
      <c r="K307" s="4">
        <f>INDEX(Data_products!$A$1:$G$49, MATCH(Data_orders!$D307,Data_products!$A$1:$A$49,0), MATCH(Data_orders!K$1,Data_products!$A$1:$G$1,0))</f>
        <v>0.2</v>
      </c>
      <c r="L307">
        <f>INDEX(Data_products!$A$1:$G$49, MATCH(Data_orders!$D307,Data_products!$A$1:$A$49,0), MATCH(Data_orders!L$1,Data_products!$A$1:$G$1,0))</f>
        <v>4.3650000000000002</v>
      </c>
      <c r="M307">
        <f t="shared" si="8"/>
        <v>21.825000000000003</v>
      </c>
      <c r="N307" t="str" cm="1">
        <f t="array" ref="N307">_xlfn.IFS(I307 = "Rob", "Robusta", I307 = "Exc", "Excelsa", I307 = "Ara", "Arabica", I307 = "Lib", "Liberica")</f>
        <v>Liberica</v>
      </c>
      <c r="O307" t="str">
        <f t="shared" si="9"/>
        <v>Medium</v>
      </c>
      <c r="P307" t="str">
        <f>_xlfn.XLOOKUP(Table1[[#This Row],[Customer ID]],Data_customers!$A$2:$A$1001,Data_customers!$I$2:$I$1001,,0)</f>
        <v>No</v>
      </c>
    </row>
    <row r="308" spans="1:16" x14ac:dyDescent="0.2">
      <c r="A308" s="2" t="s">
        <v>2215</v>
      </c>
      <c r="B308" s="3">
        <v>43890</v>
      </c>
      <c r="C308" s="2" t="s">
        <v>2216</v>
      </c>
      <c r="D308" t="s">
        <v>6174</v>
      </c>
      <c r="E308" s="2">
        <v>5</v>
      </c>
      <c r="F308" s="2" t="str">
        <f>_xlfn.XLOOKUP(Data_orders!C308,Data_customers!$A$1:$A$1001,Data_customers!$B$1:$B$1001,,0)</f>
        <v>Janifer Bagot</v>
      </c>
      <c r="G308" s="2" t="str">
        <f>IF(_xlfn.XLOOKUP(C308,Data_customers!$A$1:$A$1001,Data_customers!$C$1:$C$1001,,0)=0,"",_xlfn.XLOOKUP(C308,Data_customers!$A$1:$A$1001,Data_customers!$C$1:$C$1001,,0))</f>
        <v>jbagot8i@mac.com</v>
      </c>
      <c r="H308" s="2" t="str">
        <f>_xlfn.XLOOKUP(C308,Data_customers!$A$1:$A$1001,Data_customers!$G$1:$G$1001,"",0)</f>
        <v>United States</v>
      </c>
      <c r="I308" t="str">
        <f>INDEX(Data_products!$A$1:$G$49, MATCH(Data_orders!$D308,Data_products!$A$1:$A$49,0), MATCH(Data_orders!I$1,Data_products!$A$1:$G$1,0))</f>
        <v>Rob</v>
      </c>
      <c r="J308" t="str">
        <f>INDEX(Data_products!$A$1:$G$49, MATCH(Data_orders!$D308,Data_products!$A$1:$A$49,0), MATCH(Data_orders!J$1,Data_products!$A$1:$G$1,0))</f>
        <v>M</v>
      </c>
      <c r="K308" s="4">
        <f>INDEX(Data_products!$A$1:$G$49, MATCH(Data_orders!$D308,Data_products!$A$1:$A$49,0), MATCH(Data_orders!K$1,Data_products!$A$1:$G$1,0))</f>
        <v>0.2</v>
      </c>
      <c r="L308">
        <f>INDEX(Data_products!$A$1:$G$49, MATCH(Data_orders!$D308,Data_products!$A$1:$A$49,0), MATCH(Data_orders!L$1,Data_products!$A$1:$G$1,0))</f>
        <v>2.9849999999999999</v>
      </c>
      <c r="M308">
        <f t="shared" si="8"/>
        <v>14.924999999999999</v>
      </c>
      <c r="N308" t="str" cm="1">
        <f t="array" ref="N308">_xlfn.IFS(I308 = "Rob", "Robusta", I308 = "Exc", "Excelsa", I308 = "Ara", "Arabica", I308 = "Lib", "Liberica")</f>
        <v>Robusta</v>
      </c>
      <c r="O308" t="str">
        <f t="shared" si="9"/>
        <v>Medium</v>
      </c>
      <c r="P308" t="str">
        <f>_xlfn.XLOOKUP(Table1[[#This Row],[Customer ID]],Data_customers!$A$2:$A$1001,Data_customers!$I$2:$I$1001,,0)</f>
        <v>No</v>
      </c>
    </row>
    <row r="309" spans="1:16" x14ac:dyDescent="0.2">
      <c r="A309" s="2" t="s">
        <v>2221</v>
      </c>
      <c r="B309" s="3">
        <v>44227</v>
      </c>
      <c r="C309" s="2" t="s">
        <v>2222</v>
      </c>
      <c r="D309" t="s">
        <v>6155</v>
      </c>
      <c r="E309" s="2">
        <v>3</v>
      </c>
      <c r="F309" s="2" t="str">
        <f>_xlfn.XLOOKUP(Data_orders!C309,Data_customers!$A$1:$A$1001,Data_customers!$B$1:$B$1001,,0)</f>
        <v>Ermin Beeble</v>
      </c>
      <c r="G309" s="2" t="str">
        <f>IF(_xlfn.XLOOKUP(C309,Data_customers!$A$1:$A$1001,Data_customers!$C$1:$C$1001,,0)=0,"",_xlfn.XLOOKUP(C309,Data_customers!$A$1:$A$1001,Data_customers!$C$1:$C$1001,,0))</f>
        <v>ebeeble8j@soundcloud.com</v>
      </c>
      <c r="H309" s="2" t="str">
        <f>_xlfn.XLOOKUP(C309,Data_customers!$A$1:$A$1001,Data_customers!$G$1:$G$1001,"",0)</f>
        <v>United States</v>
      </c>
      <c r="I309" t="str">
        <f>INDEX(Data_products!$A$1:$G$49, MATCH(Data_orders!$D309,Data_products!$A$1:$A$49,0), MATCH(Data_orders!I$1,Data_products!$A$1:$G$1,0))</f>
        <v>Ara</v>
      </c>
      <c r="J309" t="str">
        <f>INDEX(Data_products!$A$1:$G$49, MATCH(Data_orders!$D309,Data_products!$A$1:$A$49,0), MATCH(Data_orders!J$1,Data_products!$A$1:$G$1,0))</f>
        <v>M</v>
      </c>
      <c r="K309" s="4">
        <f>INDEX(Data_products!$A$1:$G$49, MATCH(Data_orders!$D309,Data_products!$A$1:$A$49,0), MATCH(Data_orders!K$1,Data_products!$A$1:$G$1,0))</f>
        <v>1</v>
      </c>
      <c r="L309">
        <f>INDEX(Data_products!$A$1:$G$49, MATCH(Data_orders!$D309,Data_products!$A$1:$A$49,0), MATCH(Data_orders!L$1,Data_products!$A$1:$G$1,0))</f>
        <v>11.25</v>
      </c>
      <c r="M309">
        <f t="shared" si="8"/>
        <v>33.75</v>
      </c>
      <c r="N309" t="str" cm="1">
        <f t="array" ref="N309">_xlfn.IFS(I309 = "Rob", "Robusta", I309 = "Exc", "Excelsa", I309 = "Ara", "Arabica", I309 = "Lib", "Liberica")</f>
        <v>Arabica</v>
      </c>
      <c r="O309" t="str">
        <f t="shared" si="9"/>
        <v>Medium</v>
      </c>
      <c r="P309" t="str">
        <f>_xlfn.XLOOKUP(Table1[[#This Row],[Customer ID]],Data_customers!$A$2:$A$1001,Data_customers!$I$2:$I$1001,,0)</f>
        <v>Yes</v>
      </c>
    </row>
    <row r="310" spans="1:16" x14ac:dyDescent="0.2">
      <c r="A310" s="2" t="s">
        <v>2227</v>
      </c>
      <c r="B310" s="3">
        <v>44729</v>
      </c>
      <c r="C310" s="2" t="s">
        <v>2228</v>
      </c>
      <c r="D310" t="s">
        <v>6155</v>
      </c>
      <c r="E310" s="2">
        <v>3</v>
      </c>
      <c r="F310" s="2" t="str">
        <f>_xlfn.XLOOKUP(Data_orders!C310,Data_customers!$A$1:$A$1001,Data_customers!$B$1:$B$1001,,0)</f>
        <v>Cos Fluin</v>
      </c>
      <c r="G310" s="2" t="str">
        <f>IF(_xlfn.XLOOKUP(C310,Data_customers!$A$1:$A$1001,Data_customers!$C$1:$C$1001,,0)=0,"",_xlfn.XLOOKUP(C310,Data_customers!$A$1:$A$1001,Data_customers!$C$1:$C$1001,,0))</f>
        <v>cfluin8k@flickr.com</v>
      </c>
      <c r="H310" s="2" t="str">
        <f>_xlfn.XLOOKUP(C310,Data_customers!$A$1:$A$1001,Data_customers!$G$1:$G$1001,"",0)</f>
        <v>United Kingdom</v>
      </c>
      <c r="I310" t="str">
        <f>INDEX(Data_products!$A$1:$G$49, MATCH(Data_orders!$D310,Data_products!$A$1:$A$49,0), MATCH(Data_orders!I$1,Data_products!$A$1:$G$1,0))</f>
        <v>Ara</v>
      </c>
      <c r="J310" t="str">
        <f>INDEX(Data_products!$A$1:$G$49, MATCH(Data_orders!$D310,Data_products!$A$1:$A$49,0), MATCH(Data_orders!J$1,Data_products!$A$1:$G$1,0))</f>
        <v>M</v>
      </c>
      <c r="K310" s="4">
        <f>INDEX(Data_products!$A$1:$G$49, MATCH(Data_orders!$D310,Data_products!$A$1:$A$49,0), MATCH(Data_orders!K$1,Data_products!$A$1:$G$1,0))</f>
        <v>1</v>
      </c>
      <c r="L310">
        <f>INDEX(Data_products!$A$1:$G$49, MATCH(Data_orders!$D310,Data_products!$A$1:$A$49,0), MATCH(Data_orders!L$1,Data_products!$A$1:$G$1,0))</f>
        <v>11.25</v>
      </c>
      <c r="M310">
        <f t="shared" si="8"/>
        <v>33.75</v>
      </c>
      <c r="N310" t="str" cm="1">
        <f t="array" ref="N310">_xlfn.IFS(I310 = "Rob", "Robusta", I310 = "Exc", "Excelsa", I310 = "Ara", "Arabica", I310 = "Lib", "Liberica")</f>
        <v>Arabica</v>
      </c>
      <c r="O310" t="str">
        <f t="shared" si="9"/>
        <v>Medium</v>
      </c>
      <c r="P310" t="str">
        <f>_xlfn.XLOOKUP(Table1[[#This Row],[Customer ID]],Data_customers!$A$2:$A$1001,Data_customers!$I$2:$I$1001,,0)</f>
        <v>No</v>
      </c>
    </row>
    <row r="311" spans="1:16" x14ac:dyDescent="0.2">
      <c r="A311" s="2" t="s">
        <v>2232</v>
      </c>
      <c r="B311" s="3">
        <v>43864</v>
      </c>
      <c r="C311" s="2" t="s">
        <v>2233</v>
      </c>
      <c r="D311" t="s">
        <v>6159</v>
      </c>
      <c r="E311" s="2">
        <v>6</v>
      </c>
      <c r="F311" s="2" t="str">
        <f>_xlfn.XLOOKUP(Data_orders!C311,Data_customers!$A$1:$A$1001,Data_customers!$B$1:$B$1001,,0)</f>
        <v>Eveleen Bletsor</v>
      </c>
      <c r="G311" s="2" t="str">
        <f>IF(_xlfn.XLOOKUP(C311,Data_customers!$A$1:$A$1001,Data_customers!$C$1:$C$1001,,0)=0,"",_xlfn.XLOOKUP(C311,Data_customers!$A$1:$A$1001,Data_customers!$C$1:$C$1001,,0))</f>
        <v>ebletsor8l@vinaora.com</v>
      </c>
      <c r="H311" s="2" t="str">
        <f>_xlfn.XLOOKUP(C311,Data_customers!$A$1:$A$1001,Data_customers!$G$1:$G$1001,"",0)</f>
        <v>United States</v>
      </c>
      <c r="I311" t="str">
        <f>INDEX(Data_products!$A$1:$G$49, MATCH(Data_orders!$D311,Data_products!$A$1:$A$49,0), MATCH(Data_orders!I$1,Data_products!$A$1:$G$1,0))</f>
        <v>Lib</v>
      </c>
      <c r="J311" t="str">
        <f>INDEX(Data_products!$A$1:$G$49, MATCH(Data_orders!$D311,Data_products!$A$1:$A$49,0), MATCH(Data_orders!J$1,Data_products!$A$1:$G$1,0))</f>
        <v>M</v>
      </c>
      <c r="K311" s="4">
        <f>INDEX(Data_products!$A$1:$G$49, MATCH(Data_orders!$D311,Data_products!$A$1:$A$49,0), MATCH(Data_orders!K$1,Data_products!$A$1:$G$1,0))</f>
        <v>0.2</v>
      </c>
      <c r="L311">
        <f>INDEX(Data_products!$A$1:$G$49, MATCH(Data_orders!$D311,Data_products!$A$1:$A$49,0), MATCH(Data_orders!L$1,Data_products!$A$1:$G$1,0))</f>
        <v>4.3650000000000002</v>
      </c>
      <c r="M311">
        <f t="shared" si="8"/>
        <v>26.19</v>
      </c>
      <c r="N311" t="str" cm="1">
        <f t="array" ref="N311">_xlfn.IFS(I311 = "Rob", "Robusta", I311 = "Exc", "Excelsa", I311 = "Ara", "Arabica", I311 = "Lib", "Liberica")</f>
        <v>Liberica</v>
      </c>
      <c r="O311" t="str">
        <f t="shared" si="9"/>
        <v>Medium</v>
      </c>
      <c r="P311" t="str">
        <f>_xlfn.XLOOKUP(Table1[[#This Row],[Customer ID]],Data_customers!$A$2:$A$1001,Data_customers!$I$2:$I$1001,,0)</f>
        <v>Yes</v>
      </c>
    </row>
    <row r="312" spans="1:16" x14ac:dyDescent="0.2">
      <c r="A312" s="2" t="s">
        <v>2238</v>
      </c>
      <c r="B312" s="3">
        <v>44586</v>
      </c>
      <c r="C312" s="2" t="s">
        <v>2239</v>
      </c>
      <c r="D312" t="s">
        <v>6171</v>
      </c>
      <c r="E312" s="2">
        <v>1</v>
      </c>
      <c r="F312" s="2" t="str">
        <f>_xlfn.XLOOKUP(Data_orders!C312,Data_customers!$A$1:$A$1001,Data_customers!$B$1:$B$1001,,0)</f>
        <v>Paola Brydell</v>
      </c>
      <c r="G312" s="2" t="str">
        <f>IF(_xlfn.XLOOKUP(C312,Data_customers!$A$1:$A$1001,Data_customers!$C$1:$C$1001,,0)=0,"",_xlfn.XLOOKUP(C312,Data_customers!$A$1:$A$1001,Data_customers!$C$1:$C$1001,,0))</f>
        <v>pbrydell8m@bloglovin.com</v>
      </c>
      <c r="H312" s="2" t="str">
        <f>_xlfn.XLOOKUP(C312,Data_customers!$A$1:$A$1001,Data_customers!$G$1:$G$1001,"",0)</f>
        <v>Ireland</v>
      </c>
      <c r="I312" t="str">
        <f>INDEX(Data_products!$A$1:$G$49, MATCH(Data_orders!$D312,Data_products!$A$1:$A$49,0), MATCH(Data_orders!I$1,Data_products!$A$1:$G$1,0))</f>
        <v>Exc</v>
      </c>
      <c r="J312" t="str">
        <f>INDEX(Data_products!$A$1:$G$49, MATCH(Data_orders!$D312,Data_products!$A$1:$A$49,0), MATCH(Data_orders!J$1,Data_products!$A$1:$G$1,0))</f>
        <v>L</v>
      </c>
      <c r="K312" s="4">
        <f>INDEX(Data_products!$A$1:$G$49, MATCH(Data_orders!$D312,Data_products!$A$1:$A$49,0), MATCH(Data_orders!K$1,Data_products!$A$1:$G$1,0))</f>
        <v>1</v>
      </c>
      <c r="L312">
        <f>INDEX(Data_products!$A$1:$G$49, MATCH(Data_orders!$D312,Data_products!$A$1:$A$49,0), MATCH(Data_orders!L$1,Data_products!$A$1:$G$1,0))</f>
        <v>14.85</v>
      </c>
      <c r="M312">
        <f t="shared" si="8"/>
        <v>14.85</v>
      </c>
      <c r="N312" t="str" cm="1">
        <f t="array" ref="N312">_xlfn.IFS(I312 = "Rob", "Robusta", I312 = "Exc", "Excelsa", I312 = "Ara", "Arabica", I312 = "Lib", "Liberica")</f>
        <v>Excelsa</v>
      </c>
      <c r="O312" t="str">
        <f t="shared" si="9"/>
        <v>Light</v>
      </c>
      <c r="P312" t="str">
        <f>_xlfn.XLOOKUP(Table1[[#This Row],[Customer ID]],Data_customers!$A$2:$A$1001,Data_customers!$I$2:$I$1001,,0)</f>
        <v>No</v>
      </c>
    </row>
    <row r="313" spans="1:16" x14ac:dyDescent="0.2">
      <c r="A313" s="2" t="s">
        <v>2244</v>
      </c>
      <c r="B313" s="3">
        <v>43951</v>
      </c>
      <c r="C313" s="2" t="s">
        <v>2245</v>
      </c>
      <c r="D313" t="s">
        <v>6166</v>
      </c>
      <c r="E313" s="2">
        <v>6</v>
      </c>
      <c r="F313" s="2" t="str">
        <f>_xlfn.XLOOKUP(Data_orders!C313,Data_customers!$A$1:$A$1001,Data_customers!$B$1:$B$1001,,0)</f>
        <v>Claudetta Rushe</v>
      </c>
      <c r="G313" s="2" t="str">
        <f>IF(_xlfn.XLOOKUP(C313,Data_customers!$A$1:$A$1001,Data_customers!$C$1:$C$1001,,0)=0,"",_xlfn.XLOOKUP(C313,Data_customers!$A$1:$A$1001,Data_customers!$C$1:$C$1001,,0))</f>
        <v>crushe8n@about.me</v>
      </c>
      <c r="H313" s="2" t="str">
        <f>_xlfn.XLOOKUP(C313,Data_customers!$A$1:$A$1001,Data_customers!$G$1:$G$1001,"",0)</f>
        <v>United States</v>
      </c>
      <c r="I313" t="str">
        <f>INDEX(Data_products!$A$1:$G$49, MATCH(Data_orders!$D313,Data_products!$A$1:$A$49,0), MATCH(Data_orders!I$1,Data_products!$A$1:$G$1,0))</f>
        <v>Exc</v>
      </c>
      <c r="J313" t="str">
        <f>INDEX(Data_products!$A$1:$G$49, MATCH(Data_orders!$D313,Data_products!$A$1:$A$49,0), MATCH(Data_orders!J$1,Data_products!$A$1:$G$1,0))</f>
        <v>M</v>
      </c>
      <c r="K313" s="4">
        <f>INDEX(Data_products!$A$1:$G$49, MATCH(Data_orders!$D313,Data_products!$A$1:$A$49,0), MATCH(Data_orders!K$1,Data_products!$A$1:$G$1,0))</f>
        <v>2.5</v>
      </c>
      <c r="L313">
        <f>INDEX(Data_products!$A$1:$G$49, MATCH(Data_orders!$D313,Data_products!$A$1:$A$49,0), MATCH(Data_orders!L$1,Data_products!$A$1:$G$1,0))</f>
        <v>31.624999999999996</v>
      </c>
      <c r="M313">
        <f t="shared" si="8"/>
        <v>189.74999999999997</v>
      </c>
      <c r="N313" t="str" cm="1">
        <f t="array" ref="N313">_xlfn.IFS(I313 = "Rob", "Robusta", I313 = "Exc", "Excelsa", I313 = "Ara", "Arabica", I313 = "Lib", "Liberica")</f>
        <v>Excelsa</v>
      </c>
      <c r="O313" t="str">
        <f t="shared" si="9"/>
        <v>Medium</v>
      </c>
      <c r="P313" t="str">
        <f>_xlfn.XLOOKUP(Table1[[#This Row],[Customer ID]],Data_customers!$A$2:$A$1001,Data_customers!$I$2:$I$1001,,0)</f>
        <v>Yes</v>
      </c>
    </row>
    <row r="314" spans="1:16" x14ac:dyDescent="0.2">
      <c r="A314" s="2" t="s">
        <v>2250</v>
      </c>
      <c r="B314" s="3">
        <v>44317</v>
      </c>
      <c r="C314" s="2" t="s">
        <v>2251</v>
      </c>
      <c r="D314" t="s">
        <v>6146</v>
      </c>
      <c r="E314" s="2">
        <v>1</v>
      </c>
      <c r="F314" s="2" t="str">
        <f>_xlfn.XLOOKUP(Data_orders!C314,Data_customers!$A$1:$A$1001,Data_customers!$B$1:$B$1001,,0)</f>
        <v>Natka Leethem</v>
      </c>
      <c r="G314" s="2" t="str">
        <f>IF(_xlfn.XLOOKUP(C314,Data_customers!$A$1:$A$1001,Data_customers!$C$1:$C$1001,,0)=0,"",_xlfn.XLOOKUP(C314,Data_customers!$A$1:$A$1001,Data_customers!$C$1:$C$1001,,0))</f>
        <v>nleethem8o@mac.com</v>
      </c>
      <c r="H314" s="2" t="str">
        <f>_xlfn.XLOOKUP(C314,Data_customers!$A$1:$A$1001,Data_customers!$G$1:$G$1001,"",0)</f>
        <v>United States</v>
      </c>
      <c r="I314" t="str">
        <f>INDEX(Data_products!$A$1:$G$49, MATCH(Data_orders!$D314,Data_products!$A$1:$A$49,0), MATCH(Data_orders!I$1,Data_products!$A$1:$G$1,0))</f>
        <v>Rob</v>
      </c>
      <c r="J314" t="str">
        <f>INDEX(Data_products!$A$1:$G$49, MATCH(Data_orders!$D314,Data_products!$A$1:$A$49,0), MATCH(Data_orders!J$1,Data_products!$A$1:$G$1,0))</f>
        <v>M</v>
      </c>
      <c r="K314" s="4">
        <f>INDEX(Data_products!$A$1:$G$49, MATCH(Data_orders!$D314,Data_products!$A$1:$A$49,0), MATCH(Data_orders!K$1,Data_products!$A$1:$G$1,0))</f>
        <v>0.5</v>
      </c>
      <c r="L314">
        <f>INDEX(Data_products!$A$1:$G$49, MATCH(Data_orders!$D314,Data_products!$A$1:$A$49,0), MATCH(Data_orders!L$1,Data_products!$A$1:$G$1,0))</f>
        <v>5.97</v>
      </c>
      <c r="M314">
        <f t="shared" si="8"/>
        <v>5.97</v>
      </c>
      <c r="N314" t="str" cm="1">
        <f t="array" ref="N314">_xlfn.IFS(I314 = "Rob", "Robusta", I314 = "Exc", "Excelsa", I314 = "Ara", "Arabica", I314 = "Lib", "Liberica")</f>
        <v>Robusta</v>
      </c>
      <c r="O314" t="str">
        <f t="shared" si="9"/>
        <v>Medium</v>
      </c>
      <c r="P314" t="str">
        <f>_xlfn.XLOOKUP(Table1[[#This Row],[Customer ID]],Data_customers!$A$2:$A$1001,Data_customers!$I$2:$I$1001,,0)</f>
        <v>Yes</v>
      </c>
    </row>
    <row r="315" spans="1:16" x14ac:dyDescent="0.2">
      <c r="A315" s="2" t="s">
        <v>2256</v>
      </c>
      <c r="B315" s="3">
        <v>44497</v>
      </c>
      <c r="C315" s="2" t="s">
        <v>2257</v>
      </c>
      <c r="D315" t="s">
        <v>6138</v>
      </c>
      <c r="E315" s="2">
        <v>3</v>
      </c>
      <c r="F315" s="2" t="str">
        <f>_xlfn.XLOOKUP(Data_orders!C315,Data_customers!$A$1:$A$1001,Data_customers!$B$1:$B$1001,,0)</f>
        <v>Ailene Nesfield</v>
      </c>
      <c r="G315" s="2" t="str">
        <f>IF(_xlfn.XLOOKUP(C315,Data_customers!$A$1:$A$1001,Data_customers!$C$1:$C$1001,,0)=0,"",_xlfn.XLOOKUP(C315,Data_customers!$A$1:$A$1001,Data_customers!$C$1:$C$1001,,0))</f>
        <v>anesfield8p@people.com.cn</v>
      </c>
      <c r="H315" s="2" t="str">
        <f>_xlfn.XLOOKUP(C315,Data_customers!$A$1:$A$1001,Data_customers!$G$1:$G$1001,"",0)</f>
        <v>United Kingdom</v>
      </c>
      <c r="I315" t="str">
        <f>INDEX(Data_products!$A$1:$G$49, MATCH(Data_orders!$D315,Data_products!$A$1:$A$49,0), MATCH(Data_orders!I$1,Data_products!$A$1:$G$1,0))</f>
        <v>Rob</v>
      </c>
      <c r="J315" t="str">
        <f>INDEX(Data_products!$A$1:$G$49, MATCH(Data_orders!$D315,Data_products!$A$1:$A$49,0), MATCH(Data_orders!J$1,Data_products!$A$1:$G$1,0))</f>
        <v>M</v>
      </c>
      <c r="K315" s="4">
        <f>INDEX(Data_products!$A$1:$G$49, MATCH(Data_orders!$D315,Data_products!$A$1:$A$49,0), MATCH(Data_orders!K$1,Data_products!$A$1:$G$1,0))</f>
        <v>1</v>
      </c>
      <c r="L315">
        <f>INDEX(Data_products!$A$1:$G$49, MATCH(Data_orders!$D315,Data_products!$A$1:$A$49,0), MATCH(Data_orders!L$1,Data_products!$A$1:$G$1,0))</f>
        <v>9.9499999999999993</v>
      </c>
      <c r="M315">
        <f t="shared" si="8"/>
        <v>29.849999999999998</v>
      </c>
      <c r="N315" t="str" cm="1">
        <f t="array" ref="N315">_xlfn.IFS(I315 = "Rob", "Robusta", I315 = "Exc", "Excelsa", I315 = "Ara", "Arabica", I315 = "Lib", "Liberica")</f>
        <v>Robusta</v>
      </c>
      <c r="O315" t="str">
        <f t="shared" si="9"/>
        <v>Medium</v>
      </c>
      <c r="P315" t="str">
        <f>_xlfn.XLOOKUP(Table1[[#This Row],[Customer ID]],Data_customers!$A$2:$A$1001,Data_customers!$I$2:$I$1001,,0)</f>
        <v>Yes</v>
      </c>
    </row>
    <row r="316" spans="1:16" x14ac:dyDescent="0.2">
      <c r="A316" s="2" t="s">
        <v>2262</v>
      </c>
      <c r="B316" s="3">
        <v>44437</v>
      </c>
      <c r="C316" s="2" t="s">
        <v>2263</v>
      </c>
      <c r="D316" t="s">
        <v>6177</v>
      </c>
      <c r="E316" s="2">
        <v>5</v>
      </c>
      <c r="F316" s="2" t="str">
        <f>_xlfn.XLOOKUP(Data_orders!C316,Data_customers!$A$1:$A$1001,Data_customers!$B$1:$B$1001,,0)</f>
        <v>Stacy Pickworth</v>
      </c>
      <c r="G316" s="2" t="str">
        <f>IF(_xlfn.XLOOKUP(C316,Data_customers!$A$1:$A$1001,Data_customers!$C$1:$C$1001,,0)=0,"",_xlfn.XLOOKUP(C316,Data_customers!$A$1:$A$1001,Data_customers!$C$1:$C$1001,,0))</f>
        <v/>
      </c>
      <c r="H316" s="2" t="str">
        <f>_xlfn.XLOOKUP(C316,Data_customers!$A$1:$A$1001,Data_customers!$G$1:$G$1001,"",0)</f>
        <v>United States</v>
      </c>
      <c r="I316" t="str">
        <f>INDEX(Data_products!$A$1:$G$49, MATCH(Data_orders!$D316,Data_products!$A$1:$A$49,0), MATCH(Data_orders!I$1,Data_products!$A$1:$G$1,0))</f>
        <v>Rob</v>
      </c>
      <c r="J316" t="str">
        <f>INDEX(Data_products!$A$1:$G$49, MATCH(Data_orders!$D316,Data_products!$A$1:$A$49,0), MATCH(Data_orders!J$1,Data_products!$A$1:$G$1,0))</f>
        <v>D</v>
      </c>
      <c r="K316" s="4">
        <f>INDEX(Data_products!$A$1:$G$49, MATCH(Data_orders!$D316,Data_products!$A$1:$A$49,0), MATCH(Data_orders!K$1,Data_products!$A$1:$G$1,0))</f>
        <v>1</v>
      </c>
      <c r="L316">
        <f>INDEX(Data_products!$A$1:$G$49, MATCH(Data_orders!$D316,Data_products!$A$1:$A$49,0), MATCH(Data_orders!L$1,Data_products!$A$1:$G$1,0))</f>
        <v>8.9499999999999993</v>
      </c>
      <c r="M316">
        <f t="shared" si="8"/>
        <v>44.75</v>
      </c>
      <c r="N316" t="str" cm="1">
        <f t="array" ref="N316">_xlfn.IFS(I316 = "Rob", "Robusta", I316 = "Exc", "Excelsa", I316 = "Ara", "Arabica", I316 = "Lib", "Liberica")</f>
        <v>Robusta</v>
      </c>
      <c r="O316" t="str">
        <f t="shared" si="9"/>
        <v>Dark</v>
      </c>
      <c r="P316" t="str">
        <f>_xlfn.XLOOKUP(Table1[[#This Row],[Customer ID]],Data_customers!$A$2:$A$1001,Data_customers!$I$2:$I$1001,,0)</f>
        <v>No</v>
      </c>
    </row>
    <row r="317" spans="1:16" x14ac:dyDescent="0.2">
      <c r="A317" s="2" t="s">
        <v>2267</v>
      </c>
      <c r="B317" s="3">
        <v>43826</v>
      </c>
      <c r="C317" s="2" t="s">
        <v>2268</v>
      </c>
      <c r="D317" t="s">
        <v>6148</v>
      </c>
      <c r="E317" s="2">
        <v>1</v>
      </c>
      <c r="F317" s="2" t="str">
        <f>_xlfn.XLOOKUP(Data_orders!C317,Data_customers!$A$1:$A$1001,Data_customers!$B$1:$B$1001,,0)</f>
        <v>Melli Brockway</v>
      </c>
      <c r="G317" s="2" t="str">
        <f>IF(_xlfn.XLOOKUP(C317,Data_customers!$A$1:$A$1001,Data_customers!$C$1:$C$1001,,0)=0,"",_xlfn.XLOOKUP(C317,Data_customers!$A$1:$A$1001,Data_customers!$C$1:$C$1001,,0))</f>
        <v>mbrockway8r@ibm.com</v>
      </c>
      <c r="H317" s="2" t="str">
        <f>_xlfn.XLOOKUP(C317,Data_customers!$A$1:$A$1001,Data_customers!$G$1:$G$1001,"",0)</f>
        <v>United States</v>
      </c>
      <c r="I317" t="str">
        <f>INDEX(Data_products!$A$1:$G$49, MATCH(Data_orders!$D317,Data_products!$A$1:$A$49,0), MATCH(Data_orders!I$1,Data_products!$A$1:$G$1,0))</f>
        <v>Exc</v>
      </c>
      <c r="J317" t="str">
        <f>INDEX(Data_products!$A$1:$G$49, MATCH(Data_orders!$D317,Data_products!$A$1:$A$49,0), MATCH(Data_orders!J$1,Data_products!$A$1:$G$1,0))</f>
        <v>L</v>
      </c>
      <c r="K317" s="4">
        <f>INDEX(Data_products!$A$1:$G$49, MATCH(Data_orders!$D317,Data_products!$A$1:$A$49,0), MATCH(Data_orders!K$1,Data_products!$A$1:$G$1,0))</f>
        <v>2.5</v>
      </c>
      <c r="L317">
        <f>INDEX(Data_products!$A$1:$G$49, MATCH(Data_orders!$D317,Data_products!$A$1:$A$49,0), MATCH(Data_orders!L$1,Data_products!$A$1:$G$1,0))</f>
        <v>34.154999999999994</v>
      </c>
      <c r="M317">
        <f t="shared" si="8"/>
        <v>34.154999999999994</v>
      </c>
      <c r="N317" t="str" cm="1">
        <f t="array" ref="N317">_xlfn.IFS(I317 = "Rob", "Robusta", I317 = "Exc", "Excelsa", I317 = "Ara", "Arabica", I317 = "Lib", "Liberica")</f>
        <v>Excelsa</v>
      </c>
      <c r="O317" t="str">
        <f t="shared" si="9"/>
        <v>Light</v>
      </c>
      <c r="P317" t="str">
        <f>_xlfn.XLOOKUP(Table1[[#This Row],[Customer ID]],Data_customers!$A$2:$A$1001,Data_customers!$I$2:$I$1001,,0)</f>
        <v>Yes</v>
      </c>
    </row>
    <row r="318" spans="1:16" x14ac:dyDescent="0.2">
      <c r="A318" s="2" t="s">
        <v>2273</v>
      </c>
      <c r="B318" s="3">
        <v>43641</v>
      </c>
      <c r="C318" s="2" t="s">
        <v>2274</v>
      </c>
      <c r="D318" t="s">
        <v>6148</v>
      </c>
      <c r="E318" s="2">
        <v>6</v>
      </c>
      <c r="F318" s="2" t="str">
        <f>_xlfn.XLOOKUP(Data_orders!C318,Data_customers!$A$1:$A$1001,Data_customers!$B$1:$B$1001,,0)</f>
        <v>Nanny Lush</v>
      </c>
      <c r="G318" s="2" t="str">
        <f>IF(_xlfn.XLOOKUP(C318,Data_customers!$A$1:$A$1001,Data_customers!$C$1:$C$1001,,0)=0,"",_xlfn.XLOOKUP(C318,Data_customers!$A$1:$A$1001,Data_customers!$C$1:$C$1001,,0))</f>
        <v>nlush8s@dedecms.com</v>
      </c>
      <c r="H318" s="2" t="str">
        <f>_xlfn.XLOOKUP(C318,Data_customers!$A$1:$A$1001,Data_customers!$G$1:$G$1001,"",0)</f>
        <v>Ireland</v>
      </c>
      <c r="I318" t="str">
        <f>INDEX(Data_products!$A$1:$G$49, MATCH(Data_orders!$D318,Data_products!$A$1:$A$49,0), MATCH(Data_orders!I$1,Data_products!$A$1:$G$1,0))</f>
        <v>Exc</v>
      </c>
      <c r="J318" t="str">
        <f>INDEX(Data_products!$A$1:$G$49, MATCH(Data_orders!$D318,Data_products!$A$1:$A$49,0), MATCH(Data_orders!J$1,Data_products!$A$1:$G$1,0))</f>
        <v>L</v>
      </c>
      <c r="K318" s="4">
        <f>INDEX(Data_products!$A$1:$G$49, MATCH(Data_orders!$D318,Data_products!$A$1:$A$49,0), MATCH(Data_orders!K$1,Data_products!$A$1:$G$1,0))</f>
        <v>2.5</v>
      </c>
      <c r="L318">
        <f>INDEX(Data_products!$A$1:$G$49, MATCH(Data_orders!$D318,Data_products!$A$1:$A$49,0), MATCH(Data_orders!L$1,Data_products!$A$1:$G$1,0))</f>
        <v>34.154999999999994</v>
      </c>
      <c r="M318">
        <f t="shared" si="8"/>
        <v>204.92999999999995</v>
      </c>
      <c r="N318" t="str" cm="1">
        <f t="array" ref="N318">_xlfn.IFS(I318 = "Rob", "Robusta", I318 = "Exc", "Excelsa", I318 = "Ara", "Arabica", I318 = "Lib", "Liberica")</f>
        <v>Excelsa</v>
      </c>
      <c r="O318" t="str">
        <f t="shared" si="9"/>
        <v>Light</v>
      </c>
      <c r="P318" t="str">
        <f>_xlfn.XLOOKUP(Table1[[#This Row],[Customer ID]],Data_customers!$A$2:$A$1001,Data_customers!$I$2:$I$1001,,0)</f>
        <v>No</v>
      </c>
    </row>
    <row r="319" spans="1:16" x14ac:dyDescent="0.2">
      <c r="A319" s="2" t="s">
        <v>2279</v>
      </c>
      <c r="B319" s="3">
        <v>43526</v>
      </c>
      <c r="C319" s="2" t="s">
        <v>2280</v>
      </c>
      <c r="D319" t="s">
        <v>6144</v>
      </c>
      <c r="E319" s="2">
        <v>3</v>
      </c>
      <c r="F319" s="2" t="str">
        <f>_xlfn.XLOOKUP(Data_orders!C319,Data_customers!$A$1:$A$1001,Data_customers!$B$1:$B$1001,,0)</f>
        <v>Selma McMillian</v>
      </c>
      <c r="G319" s="2" t="str">
        <f>IF(_xlfn.XLOOKUP(C319,Data_customers!$A$1:$A$1001,Data_customers!$C$1:$C$1001,,0)=0,"",_xlfn.XLOOKUP(C319,Data_customers!$A$1:$A$1001,Data_customers!$C$1:$C$1001,,0))</f>
        <v>smcmillian8t@csmonitor.com</v>
      </c>
      <c r="H319" s="2" t="str">
        <f>_xlfn.XLOOKUP(C319,Data_customers!$A$1:$A$1001,Data_customers!$G$1:$G$1001,"",0)</f>
        <v>United States</v>
      </c>
      <c r="I319" t="str">
        <f>INDEX(Data_products!$A$1:$G$49, MATCH(Data_orders!$D319,Data_products!$A$1:$A$49,0), MATCH(Data_orders!I$1,Data_products!$A$1:$G$1,0))</f>
        <v>Exc</v>
      </c>
      <c r="J319" t="str">
        <f>INDEX(Data_products!$A$1:$G$49, MATCH(Data_orders!$D319,Data_products!$A$1:$A$49,0), MATCH(Data_orders!J$1,Data_products!$A$1:$G$1,0))</f>
        <v>D</v>
      </c>
      <c r="K319" s="4">
        <f>INDEX(Data_products!$A$1:$G$49, MATCH(Data_orders!$D319,Data_products!$A$1:$A$49,0), MATCH(Data_orders!K$1,Data_products!$A$1:$G$1,0))</f>
        <v>0.5</v>
      </c>
      <c r="L319">
        <f>INDEX(Data_products!$A$1:$G$49, MATCH(Data_orders!$D319,Data_products!$A$1:$A$49,0), MATCH(Data_orders!L$1,Data_products!$A$1:$G$1,0))</f>
        <v>7.29</v>
      </c>
      <c r="M319">
        <f t="shared" si="8"/>
        <v>21.87</v>
      </c>
      <c r="N319" t="str" cm="1">
        <f t="array" ref="N319">_xlfn.IFS(I319 = "Rob", "Robusta", I319 = "Exc", "Excelsa", I319 = "Ara", "Arabica", I319 = "Lib", "Liberica")</f>
        <v>Excelsa</v>
      </c>
      <c r="O319" t="str">
        <f t="shared" si="9"/>
        <v>Dark</v>
      </c>
      <c r="P319" t="str">
        <f>_xlfn.XLOOKUP(Table1[[#This Row],[Customer ID]],Data_customers!$A$2:$A$1001,Data_customers!$I$2:$I$1001,,0)</f>
        <v>No</v>
      </c>
    </row>
    <row r="320" spans="1:16" x14ac:dyDescent="0.2">
      <c r="A320" s="2" t="s">
        <v>2285</v>
      </c>
      <c r="B320" s="3">
        <v>44563</v>
      </c>
      <c r="C320" s="2" t="s">
        <v>2286</v>
      </c>
      <c r="D320" t="s">
        <v>6175</v>
      </c>
      <c r="E320" s="2">
        <v>2</v>
      </c>
      <c r="F320" s="2" t="str">
        <f>_xlfn.XLOOKUP(Data_orders!C320,Data_customers!$A$1:$A$1001,Data_customers!$B$1:$B$1001,,0)</f>
        <v>Tess Bennison</v>
      </c>
      <c r="G320" s="2" t="str">
        <f>IF(_xlfn.XLOOKUP(C320,Data_customers!$A$1:$A$1001,Data_customers!$C$1:$C$1001,,0)=0,"",_xlfn.XLOOKUP(C320,Data_customers!$A$1:$A$1001,Data_customers!$C$1:$C$1001,,0))</f>
        <v>tbennison8u@google.cn</v>
      </c>
      <c r="H320" s="2" t="str">
        <f>_xlfn.XLOOKUP(C320,Data_customers!$A$1:$A$1001,Data_customers!$G$1:$G$1001,"",0)</f>
        <v>United States</v>
      </c>
      <c r="I320" t="str">
        <f>INDEX(Data_products!$A$1:$G$49, MATCH(Data_orders!$D320,Data_products!$A$1:$A$49,0), MATCH(Data_orders!I$1,Data_products!$A$1:$G$1,0))</f>
        <v>Ara</v>
      </c>
      <c r="J320" t="str">
        <f>INDEX(Data_products!$A$1:$G$49, MATCH(Data_orders!$D320,Data_products!$A$1:$A$49,0), MATCH(Data_orders!J$1,Data_products!$A$1:$G$1,0))</f>
        <v>M</v>
      </c>
      <c r="K320" s="4">
        <f>INDEX(Data_products!$A$1:$G$49, MATCH(Data_orders!$D320,Data_products!$A$1:$A$49,0), MATCH(Data_orders!K$1,Data_products!$A$1:$G$1,0))</f>
        <v>2.5</v>
      </c>
      <c r="L320">
        <f>INDEX(Data_products!$A$1:$G$49, MATCH(Data_orders!$D320,Data_products!$A$1:$A$49,0), MATCH(Data_orders!L$1,Data_products!$A$1:$G$1,0))</f>
        <v>25.874999999999996</v>
      </c>
      <c r="M320">
        <f t="shared" si="8"/>
        <v>51.749999999999993</v>
      </c>
      <c r="N320" t="str" cm="1">
        <f t="array" ref="N320">_xlfn.IFS(I320 = "Rob", "Robusta", I320 = "Exc", "Excelsa", I320 = "Ara", "Arabica", I320 = "Lib", "Liberica")</f>
        <v>Arabica</v>
      </c>
      <c r="O320" t="str">
        <f t="shared" si="9"/>
        <v>Medium</v>
      </c>
      <c r="P320" t="str">
        <f>_xlfn.XLOOKUP(Table1[[#This Row],[Customer ID]],Data_customers!$A$2:$A$1001,Data_customers!$I$2:$I$1001,,0)</f>
        <v>Yes</v>
      </c>
    </row>
    <row r="321" spans="1:16" x14ac:dyDescent="0.2">
      <c r="A321" s="2" t="s">
        <v>2291</v>
      </c>
      <c r="B321" s="3">
        <v>43676</v>
      </c>
      <c r="C321" s="2" t="s">
        <v>2292</v>
      </c>
      <c r="D321" t="s">
        <v>6156</v>
      </c>
      <c r="E321" s="2">
        <v>2</v>
      </c>
      <c r="F321" s="2" t="str">
        <f>_xlfn.XLOOKUP(Data_orders!C321,Data_customers!$A$1:$A$1001,Data_customers!$B$1:$B$1001,,0)</f>
        <v>Gabie Tweed</v>
      </c>
      <c r="G321" s="2" t="str">
        <f>IF(_xlfn.XLOOKUP(C321,Data_customers!$A$1:$A$1001,Data_customers!$C$1:$C$1001,,0)=0,"",_xlfn.XLOOKUP(C321,Data_customers!$A$1:$A$1001,Data_customers!$C$1:$C$1001,,0))</f>
        <v>gtweed8v@yolasite.com</v>
      </c>
      <c r="H321" s="2" t="str">
        <f>_xlfn.XLOOKUP(C321,Data_customers!$A$1:$A$1001,Data_customers!$G$1:$G$1001,"",0)</f>
        <v>United States</v>
      </c>
      <c r="I321" t="str">
        <f>INDEX(Data_products!$A$1:$G$49, MATCH(Data_orders!$D321,Data_products!$A$1:$A$49,0), MATCH(Data_orders!I$1,Data_products!$A$1:$G$1,0))</f>
        <v>Exc</v>
      </c>
      <c r="J321" t="str">
        <f>INDEX(Data_products!$A$1:$G$49, MATCH(Data_orders!$D321,Data_products!$A$1:$A$49,0), MATCH(Data_orders!J$1,Data_products!$A$1:$G$1,0))</f>
        <v>M</v>
      </c>
      <c r="K321" s="4">
        <f>INDEX(Data_products!$A$1:$G$49, MATCH(Data_orders!$D321,Data_products!$A$1:$A$49,0), MATCH(Data_orders!K$1,Data_products!$A$1:$G$1,0))</f>
        <v>0.2</v>
      </c>
      <c r="L321">
        <f>INDEX(Data_products!$A$1:$G$49, MATCH(Data_orders!$D321,Data_products!$A$1:$A$49,0), MATCH(Data_orders!L$1,Data_products!$A$1:$G$1,0))</f>
        <v>4.125</v>
      </c>
      <c r="M321">
        <f t="shared" si="8"/>
        <v>8.25</v>
      </c>
      <c r="N321" t="str" cm="1">
        <f t="array" ref="N321">_xlfn.IFS(I321 = "Rob", "Robusta", I321 = "Exc", "Excelsa", I321 = "Ara", "Arabica", I321 = "Lib", "Liberica")</f>
        <v>Excelsa</v>
      </c>
      <c r="O321" t="str">
        <f t="shared" si="9"/>
        <v>Medium</v>
      </c>
      <c r="P321" t="str">
        <f>_xlfn.XLOOKUP(Table1[[#This Row],[Customer ID]],Data_customers!$A$2:$A$1001,Data_customers!$I$2:$I$1001,,0)</f>
        <v>Yes</v>
      </c>
    </row>
    <row r="322" spans="1:16" x14ac:dyDescent="0.2">
      <c r="A322" s="2" t="s">
        <v>2291</v>
      </c>
      <c r="B322" s="3">
        <v>43676</v>
      </c>
      <c r="C322" s="2" t="s">
        <v>2292</v>
      </c>
      <c r="D322" t="s">
        <v>6167</v>
      </c>
      <c r="E322" s="2">
        <v>5</v>
      </c>
      <c r="F322" s="2" t="str">
        <f>_xlfn.XLOOKUP(Data_orders!C322,Data_customers!$A$1:$A$1001,Data_customers!$B$1:$B$1001,,0)</f>
        <v>Gabie Tweed</v>
      </c>
      <c r="G322" s="2" t="str">
        <f>IF(_xlfn.XLOOKUP(C322,Data_customers!$A$1:$A$1001,Data_customers!$C$1:$C$1001,,0)=0,"",_xlfn.XLOOKUP(C322,Data_customers!$A$1:$A$1001,Data_customers!$C$1:$C$1001,,0))</f>
        <v>gtweed8v@yolasite.com</v>
      </c>
      <c r="H322" s="2" t="str">
        <f>_xlfn.XLOOKUP(C322,Data_customers!$A$1:$A$1001,Data_customers!$G$1:$G$1001,"",0)</f>
        <v>United States</v>
      </c>
      <c r="I322" t="str">
        <f>INDEX(Data_products!$A$1:$G$49, MATCH(Data_orders!$D322,Data_products!$A$1:$A$49,0), MATCH(Data_orders!I$1,Data_products!$A$1:$G$1,0))</f>
        <v>Ara</v>
      </c>
      <c r="J322" t="str">
        <f>INDEX(Data_products!$A$1:$G$49, MATCH(Data_orders!$D322,Data_products!$A$1:$A$49,0), MATCH(Data_orders!J$1,Data_products!$A$1:$G$1,0))</f>
        <v>L</v>
      </c>
      <c r="K322" s="4">
        <f>INDEX(Data_products!$A$1:$G$49, MATCH(Data_orders!$D322,Data_products!$A$1:$A$49,0), MATCH(Data_orders!K$1,Data_products!$A$1:$G$1,0))</f>
        <v>0.2</v>
      </c>
      <c r="L322">
        <f>INDEX(Data_products!$A$1:$G$49, MATCH(Data_orders!$D322,Data_products!$A$1:$A$49,0), MATCH(Data_orders!L$1,Data_products!$A$1:$G$1,0))</f>
        <v>3.8849999999999998</v>
      </c>
      <c r="M322">
        <f t="shared" si="8"/>
        <v>19.424999999999997</v>
      </c>
      <c r="N322" t="str" cm="1">
        <f t="array" ref="N322">_xlfn.IFS(I322 = "Rob", "Robusta", I322 = "Exc", "Excelsa", I322 = "Ara", "Arabica", I322 = "Lib", "Liberica")</f>
        <v>Arabica</v>
      </c>
      <c r="O322" t="str">
        <f t="shared" si="9"/>
        <v>Light</v>
      </c>
      <c r="P322" t="str">
        <f>_xlfn.XLOOKUP(Table1[[#This Row],[Customer ID]],Data_customers!$A$2:$A$1001,Data_customers!$I$2:$I$1001,,0)</f>
        <v>Yes</v>
      </c>
    </row>
    <row r="323" spans="1:16" x14ac:dyDescent="0.2">
      <c r="A323" s="2" t="s">
        <v>2301</v>
      </c>
      <c r="B323" s="3">
        <v>44170</v>
      </c>
      <c r="C323" s="2" t="s">
        <v>2302</v>
      </c>
      <c r="D323" t="s">
        <v>6152</v>
      </c>
      <c r="E323" s="2">
        <v>6</v>
      </c>
      <c r="F323" s="2" t="str">
        <f>_xlfn.XLOOKUP(Data_orders!C323,Data_customers!$A$1:$A$1001,Data_customers!$B$1:$B$1001,,0)</f>
        <v>Gaile Goggin</v>
      </c>
      <c r="G323" s="2" t="str">
        <f>IF(_xlfn.XLOOKUP(C323,Data_customers!$A$1:$A$1001,Data_customers!$C$1:$C$1001,,0)=0,"",_xlfn.XLOOKUP(C323,Data_customers!$A$1:$A$1001,Data_customers!$C$1:$C$1001,,0))</f>
        <v>ggoggin8x@wix.com</v>
      </c>
      <c r="H323" s="2" t="str">
        <f>_xlfn.XLOOKUP(C323,Data_customers!$A$1:$A$1001,Data_customers!$G$1:$G$1001,"",0)</f>
        <v>Ireland</v>
      </c>
      <c r="I323" t="str">
        <f>INDEX(Data_products!$A$1:$G$49, MATCH(Data_orders!$D323,Data_products!$A$1:$A$49,0), MATCH(Data_orders!I$1,Data_products!$A$1:$G$1,0))</f>
        <v>Ara</v>
      </c>
      <c r="J323" t="str">
        <f>INDEX(Data_products!$A$1:$G$49, MATCH(Data_orders!$D323,Data_products!$A$1:$A$49,0), MATCH(Data_orders!J$1,Data_products!$A$1:$G$1,0))</f>
        <v>M</v>
      </c>
      <c r="K323" s="4">
        <f>INDEX(Data_products!$A$1:$G$49, MATCH(Data_orders!$D323,Data_products!$A$1:$A$49,0), MATCH(Data_orders!K$1,Data_products!$A$1:$G$1,0))</f>
        <v>0.2</v>
      </c>
      <c r="L323">
        <f>INDEX(Data_products!$A$1:$G$49, MATCH(Data_orders!$D323,Data_products!$A$1:$A$49,0), MATCH(Data_orders!L$1,Data_products!$A$1:$G$1,0))</f>
        <v>3.375</v>
      </c>
      <c r="M323">
        <f t="shared" ref="M323:M386" si="10">L323*E323</f>
        <v>20.25</v>
      </c>
      <c r="N323" t="str" cm="1">
        <f t="array" ref="N323">_xlfn.IFS(I323 = "Rob", "Robusta", I323 = "Exc", "Excelsa", I323 = "Ara", "Arabica", I323 = "Lib", "Liberica")</f>
        <v>Arabica</v>
      </c>
      <c r="O323" t="str">
        <f t="shared" ref="O323:O386" si="11">IF(J323 = "M", "Medium", IF(J323 =  "L", "Light", IF(J323 = "D", "Dark", "")))</f>
        <v>Medium</v>
      </c>
      <c r="P323" t="str">
        <f>_xlfn.XLOOKUP(Table1[[#This Row],[Customer ID]],Data_customers!$A$2:$A$1001,Data_customers!$I$2:$I$1001,,0)</f>
        <v>Yes</v>
      </c>
    </row>
    <row r="324" spans="1:16" x14ac:dyDescent="0.2">
      <c r="A324" s="2" t="s">
        <v>2307</v>
      </c>
      <c r="B324" s="3">
        <v>44182</v>
      </c>
      <c r="C324" s="2" t="s">
        <v>2308</v>
      </c>
      <c r="D324" t="s">
        <v>6169</v>
      </c>
      <c r="E324" s="2">
        <v>3</v>
      </c>
      <c r="F324" s="2" t="str">
        <f>_xlfn.XLOOKUP(Data_orders!C324,Data_customers!$A$1:$A$1001,Data_customers!$B$1:$B$1001,,0)</f>
        <v>Skylar Jeyness</v>
      </c>
      <c r="G324" s="2" t="str">
        <f>IF(_xlfn.XLOOKUP(C324,Data_customers!$A$1:$A$1001,Data_customers!$C$1:$C$1001,,0)=0,"",_xlfn.XLOOKUP(C324,Data_customers!$A$1:$A$1001,Data_customers!$C$1:$C$1001,,0))</f>
        <v>sjeyness8y@biglobe.ne.jp</v>
      </c>
      <c r="H324" s="2" t="str">
        <f>_xlfn.XLOOKUP(C324,Data_customers!$A$1:$A$1001,Data_customers!$G$1:$G$1001,"",0)</f>
        <v>Ireland</v>
      </c>
      <c r="I324" t="str">
        <f>INDEX(Data_products!$A$1:$G$49, MATCH(Data_orders!$D324,Data_products!$A$1:$A$49,0), MATCH(Data_orders!I$1,Data_products!$A$1:$G$1,0))</f>
        <v>Lib</v>
      </c>
      <c r="J324" t="str">
        <f>INDEX(Data_products!$A$1:$G$49, MATCH(Data_orders!$D324,Data_products!$A$1:$A$49,0), MATCH(Data_orders!J$1,Data_products!$A$1:$G$1,0))</f>
        <v>D</v>
      </c>
      <c r="K324" s="4">
        <f>INDEX(Data_products!$A$1:$G$49, MATCH(Data_orders!$D324,Data_products!$A$1:$A$49,0), MATCH(Data_orders!K$1,Data_products!$A$1:$G$1,0))</f>
        <v>0.5</v>
      </c>
      <c r="L324">
        <f>INDEX(Data_products!$A$1:$G$49, MATCH(Data_orders!$D324,Data_products!$A$1:$A$49,0), MATCH(Data_orders!L$1,Data_products!$A$1:$G$1,0))</f>
        <v>7.77</v>
      </c>
      <c r="M324">
        <f t="shared" si="10"/>
        <v>23.31</v>
      </c>
      <c r="N324" t="str" cm="1">
        <f t="array" ref="N324">_xlfn.IFS(I324 = "Rob", "Robusta", I324 = "Exc", "Excelsa", I324 = "Ara", "Arabica", I324 = "Lib", "Liberica")</f>
        <v>Liberica</v>
      </c>
      <c r="O324" t="str">
        <f t="shared" si="11"/>
        <v>Dark</v>
      </c>
      <c r="P324" t="str">
        <f>_xlfn.XLOOKUP(Table1[[#This Row],[Customer ID]],Data_customers!$A$2:$A$1001,Data_customers!$I$2:$I$1001,,0)</f>
        <v>No</v>
      </c>
    </row>
    <row r="325" spans="1:16" x14ac:dyDescent="0.2">
      <c r="A325" s="2" t="s">
        <v>2313</v>
      </c>
      <c r="B325" s="3">
        <v>44373</v>
      </c>
      <c r="C325" s="2" t="s">
        <v>2314</v>
      </c>
      <c r="D325" t="s">
        <v>6153</v>
      </c>
      <c r="E325" s="2">
        <v>5</v>
      </c>
      <c r="F325" s="2" t="str">
        <f>_xlfn.XLOOKUP(Data_orders!C325,Data_customers!$A$1:$A$1001,Data_customers!$B$1:$B$1001,,0)</f>
        <v>Donica Bonhome</v>
      </c>
      <c r="G325" s="2" t="str">
        <f>IF(_xlfn.XLOOKUP(C325,Data_customers!$A$1:$A$1001,Data_customers!$C$1:$C$1001,,0)=0,"",_xlfn.XLOOKUP(C325,Data_customers!$A$1:$A$1001,Data_customers!$C$1:$C$1001,,0))</f>
        <v>dbonhome8z@shinystat.com</v>
      </c>
      <c r="H325" s="2" t="str">
        <f>_xlfn.XLOOKUP(C325,Data_customers!$A$1:$A$1001,Data_customers!$G$1:$G$1001,"",0)</f>
        <v>United States</v>
      </c>
      <c r="I325" t="str">
        <f>INDEX(Data_products!$A$1:$G$49, MATCH(Data_orders!$D325,Data_products!$A$1:$A$49,0), MATCH(Data_orders!I$1,Data_products!$A$1:$G$1,0))</f>
        <v>Exc</v>
      </c>
      <c r="J325" t="str">
        <f>INDEX(Data_products!$A$1:$G$49, MATCH(Data_orders!$D325,Data_products!$A$1:$A$49,0), MATCH(Data_orders!J$1,Data_products!$A$1:$G$1,0))</f>
        <v>D</v>
      </c>
      <c r="K325" s="4">
        <f>INDEX(Data_products!$A$1:$G$49, MATCH(Data_orders!$D325,Data_products!$A$1:$A$49,0), MATCH(Data_orders!K$1,Data_products!$A$1:$G$1,0))</f>
        <v>0.2</v>
      </c>
      <c r="L325">
        <f>INDEX(Data_products!$A$1:$G$49, MATCH(Data_orders!$D325,Data_products!$A$1:$A$49,0), MATCH(Data_orders!L$1,Data_products!$A$1:$G$1,0))</f>
        <v>3.645</v>
      </c>
      <c r="M325">
        <f t="shared" si="10"/>
        <v>18.225000000000001</v>
      </c>
      <c r="N325" t="str" cm="1">
        <f t="array" ref="N325">_xlfn.IFS(I325 = "Rob", "Robusta", I325 = "Exc", "Excelsa", I325 = "Ara", "Arabica", I325 = "Lib", "Liberica")</f>
        <v>Excelsa</v>
      </c>
      <c r="O325" t="str">
        <f t="shared" si="11"/>
        <v>Dark</v>
      </c>
      <c r="P325" t="str">
        <f>_xlfn.XLOOKUP(Table1[[#This Row],[Customer ID]],Data_customers!$A$2:$A$1001,Data_customers!$I$2:$I$1001,,0)</f>
        <v>Yes</v>
      </c>
    </row>
    <row r="326" spans="1:16" x14ac:dyDescent="0.2">
      <c r="A326" s="2" t="s">
        <v>2319</v>
      </c>
      <c r="B326" s="3">
        <v>43666</v>
      </c>
      <c r="C326" s="2" t="s">
        <v>2320</v>
      </c>
      <c r="D326" t="s">
        <v>6141</v>
      </c>
      <c r="E326" s="2">
        <v>1</v>
      </c>
      <c r="F326" s="2" t="str">
        <f>_xlfn.XLOOKUP(Data_orders!C326,Data_customers!$A$1:$A$1001,Data_customers!$B$1:$B$1001,,0)</f>
        <v>Diena Peetermann</v>
      </c>
      <c r="G326" s="2" t="str">
        <f>IF(_xlfn.XLOOKUP(C326,Data_customers!$A$1:$A$1001,Data_customers!$C$1:$C$1001,,0)=0,"",_xlfn.XLOOKUP(C326,Data_customers!$A$1:$A$1001,Data_customers!$C$1:$C$1001,,0))</f>
        <v/>
      </c>
      <c r="H326" s="2" t="str">
        <f>_xlfn.XLOOKUP(C326,Data_customers!$A$1:$A$1001,Data_customers!$G$1:$G$1001,"",0)</f>
        <v>United States</v>
      </c>
      <c r="I326" t="str">
        <f>INDEX(Data_products!$A$1:$G$49, MATCH(Data_orders!$D326,Data_products!$A$1:$A$49,0), MATCH(Data_orders!I$1,Data_products!$A$1:$G$1,0))</f>
        <v>Exc</v>
      </c>
      <c r="J326" t="str">
        <f>INDEX(Data_products!$A$1:$G$49, MATCH(Data_orders!$D326,Data_products!$A$1:$A$49,0), MATCH(Data_orders!J$1,Data_products!$A$1:$G$1,0))</f>
        <v>M</v>
      </c>
      <c r="K326" s="4">
        <f>INDEX(Data_products!$A$1:$G$49, MATCH(Data_orders!$D326,Data_products!$A$1:$A$49,0), MATCH(Data_orders!K$1,Data_products!$A$1:$G$1,0))</f>
        <v>1</v>
      </c>
      <c r="L326">
        <f>INDEX(Data_products!$A$1:$G$49, MATCH(Data_orders!$D326,Data_products!$A$1:$A$49,0), MATCH(Data_orders!L$1,Data_products!$A$1:$G$1,0))</f>
        <v>13.75</v>
      </c>
      <c r="M326">
        <f t="shared" si="10"/>
        <v>13.75</v>
      </c>
      <c r="N326" t="str" cm="1">
        <f t="array" ref="N326">_xlfn.IFS(I326 = "Rob", "Robusta", I326 = "Exc", "Excelsa", I326 = "Ara", "Arabica", I326 = "Lib", "Liberica")</f>
        <v>Excelsa</v>
      </c>
      <c r="O326" t="str">
        <f t="shared" si="11"/>
        <v>Medium</v>
      </c>
      <c r="P326" t="str">
        <f>_xlfn.XLOOKUP(Table1[[#This Row],[Customer ID]],Data_customers!$A$2:$A$1001,Data_customers!$I$2:$I$1001,,0)</f>
        <v>No</v>
      </c>
    </row>
    <row r="327" spans="1:16" x14ac:dyDescent="0.2">
      <c r="A327" s="2" t="s">
        <v>2324</v>
      </c>
      <c r="B327" s="3">
        <v>44756</v>
      </c>
      <c r="C327" s="2" t="s">
        <v>2325</v>
      </c>
      <c r="D327" t="s">
        <v>6182</v>
      </c>
      <c r="E327" s="2">
        <v>1</v>
      </c>
      <c r="F327" s="2" t="str">
        <f>_xlfn.XLOOKUP(Data_orders!C327,Data_customers!$A$1:$A$1001,Data_customers!$B$1:$B$1001,,0)</f>
        <v>Trina Le Sarr</v>
      </c>
      <c r="G327" s="2" t="str">
        <f>IF(_xlfn.XLOOKUP(C327,Data_customers!$A$1:$A$1001,Data_customers!$C$1:$C$1001,,0)=0,"",_xlfn.XLOOKUP(C327,Data_customers!$A$1:$A$1001,Data_customers!$C$1:$C$1001,,0))</f>
        <v>tle91@epa.gov</v>
      </c>
      <c r="H327" s="2" t="str">
        <f>_xlfn.XLOOKUP(C327,Data_customers!$A$1:$A$1001,Data_customers!$G$1:$G$1001,"",0)</f>
        <v>United States</v>
      </c>
      <c r="I327" t="str">
        <f>INDEX(Data_products!$A$1:$G$49, MATCH(Data_orders!$D327,Data_products!$A$1:$A$49,0), MATCH(Data_orders!I$1,Data_products!$A$1:$G$1,0))</f>
        <v>Ara</v>
      </c>
      <c r="J327" t="str">
        <f>INDEX(Data_products!$A$1:$G$49, MATCH(Data_orders!$D327,Data_products!$A$1:$A$49,0), MATCH(Data_orders!J$1,Data_products!$A$1:$G$1,0))</f>
        <v>L</v>
      </c>
      <c r="K327" s="4">
        <f>INDEX(Data_products!$A$1:$G$49, MATCH(Data_orders!$D327,Data_products!$A$1:$A$49,0), MATCH(Data_orders!K$1,Data_products!$A$1:$G$1,0))</f>
        <v>2.5</v>
      </c>
      <c r="L327">
        <f>INDEX(Data_products!$A$1:$G$49, MATCH(Data_orders!$D327,Data_products!$A$1:$A$49,0), MATCH(Data_orders!L$1,Data_products!$A$1:$G$1,0))</f>
        <v>29.784999999999997</v>
      </c>
      <c r="M327">
        <f t="shared" si="10"/>
        <v>29.784999999999997</v>
      </c>
      <c r="N327" t="str" cm="1">
        <f t="array" ref="N327">_xlfn.IFS(I327 = "Rob", "Robusta", I327 = "Exc", "Excelsa", I327 = "Ara", "Arabica", I327 = "Lib", "Liberica")</f>
        <v>Arabica</v>
      </c>
      <c r="O327" t="str">
        <f t="shared" si="11"/>
        <v>Light</v>
      </c>
      <c r="P327" t="str">
        <f>_xlfn.XLOOKUP(Table1[[#This Row],[Customer ID]],Data_customers!$A$2:$A$1001,Data_customers!$I$2:$I$1001,,0)</f>
        <v>Yes</v>
      </c>
    </row>
    <row r="328" spans="1:16" x14ac:dyDescent="0.2">
      <c r="A328" s="2" t="s">
        <v>2330</v>
      </c>
      <c r="B328" s="3">
        <v>44057</v>
      </c>
      <c r="C328" s="2" t="s">
        <v>2331</v>
      </c>
      <c r="D328" t="s">
        <v>6177</v>
      </c>
      <c r="E328" s="2">
        <v>5</v>
      </c>
      <c r="F328" s="2" t="str">
        <f>_xlfn.XLOOKUP(Data_orders!C328,Data_customers!$A$1:$A$1001,Data_customers!$B$1:$B$1001,,0)</f>
        <v>Flynn Antony</v>
      </c>
      <c r="G328" s="2" t="str">
        <f>IF(_xlfn.XLOOKUP(C328,Data_customers!$A$1:$A$1001,Data_customers!$C$1:$C$1001,,0)=0,"",_xlfn.XLOOKUP(C328,Data_customers!$A$1:$A$1001,Data_customers!$C$1:$C$1001,,0))</f>
        <v/>
      </c>
      <c r="H328" s="2" t="str">
        <f>_xlfn.XLOOKUP(C328,Data_customers!$A$1:$A$1001,Data_customers!$G$1:$G$1001,"",0)</f>
        <v>United States</v>
      </c>
      <c r="I328" t="str">
        <f>INDEX(Data_products!$A$1:$G$49, MATCH(Data_orders!$D328,Data_products!$A$1:$A$49,0), MATCH(Data_orders!I$1,Data_products!$A$1:$G$1,0))</f>
        <v>Rob</v>
      </c>
      <c r="J328" t="str">
        <f>INDEX(Data_products!$A$1:$G$49, MATCH(Data_orders!$D328,Data_products!$A$1:$A$49,0), MATCH(Data_orders!J$1,Data_products!$A$1:$G$1,0))</f>
        <v>D</v>
      </c>
      <c r="K328" s="4">
        <f>INDEX(Data_products!$A$1:$G$49, MATCH(Data_orders!$D328,Data_products!$A$1:$A$49,0), MATCH(Data_orders!K$1,Data_products!$A$1:$G$1,0))</f>
        <v>1</v>
      </c>
      <c r="L328">
        <f>INDEX(Data_products!$A$1:$G$49, MATCH(Data_orders!$D328,Data_products!$A$1:$A$49,0), MATCH(Data_orders!L$1,Data_products!$A$1:$G$1,0))</f>
        <v>8.9499999999999993</v>
      </c>
      <c r="M328">
        <f t="shared" si="10"/>
        <v>44.75</v>
      </c>
      <c r="N328" t="str" cm="1">
        <f t="array" ref="N328">_xlfn.IFS(I328 = "Rob", "Robusta", I328 = "Exc", "Excelsa", I328 = "Ara", "Arabica", I328 = "Lib", "Liberica")</f>
        <v>Robusta</v>
      </c>
      <c r="O328" t="str">
        <f t="shared" si="11"/>
        <v>Dark</v>
      </c>
      <c r="P328" t="str">
        <f>_xlfn.XLOOKUP(Table1[[#This Row],[Customer ID]],Data_customers!$A$2:$A$1001,Data_customers!$I$2:$I$1001,,0)</f>
        <v>No</v>
      </c>
    </row>
    <row r="329" spans="1:16" x14ac:dyDescent="0.2">
      <c r="A329" s="2" t="s">
        <v>2335</v>
      </c>
      <c r="B329" s="3">
        <v>43579</v>
      </c>
      <c r="C329" s="2" t="s">
        <v>2336</v>
      </c>
      <c r="D329" t="s">
        <v>6177</v>
      </c>
      <c r="E329" s="2">
        <v>5</v>
      </c>
      <c r="F329" s="2" t="str">
        <f>_xlfn.XLOOKUP(Data_orders!C329,Data_customers!$A$1:$A$1001,Data_customers!$B$1:$B$1001,,0)</f>
        <v>Baudoin Alldridge</v>
      </c>
      <c r="G329" s="2" t="str">
        <f>IF(_xlfn.XLOOKUP(C329,Data_customers!$A$1:$A$1001,Data_customers!$C$1:$C$1001,,0)=0,"",_xlfn.XLOOKUP(C329,Data_customers!$A$1:$A$1001,Data_customers!$C$1:$C$1001,,0))</f>
        <v>balldridge93@yandex.ru</v>
      </c>
      <c r="H329" s="2" t="str">
        <f>_xlfn.XLOOKUP(C329,Data_customers!$A$1:$A$1001,Data_customers!$G$1:$G$1001,"",0)</f>
        <v>United States</v>
      </c>
      <c r="I329" t="str">
        <f>INDEX(Data_products!$A$1:$G$49, MATCH(Data_orders!$D329,Data_products!$A$1:$A$49,0), MATCH(Data_orders!I$1,Data_products!$A$1:$G$1,0))</f>
        <v>Rob</v>
      </c>
      <c r="J329" t="str">
        <f>INDEX(Data_products!$A$1:$G$49, MATCH(Data_orders!$D329,Data_products!$A$1:$A$49,0), MATCH(Data_orders!J$1,Data_products!$A$1:$G$1,0))</f>
        <v>D</v>
      </c>
      <c r="K329" s="4">
        <f>INDEX(Data_products!$A$1:$G$49, MATCH(Data_orders!$D329,Data_products!$A$1:$A$49,0), MATCH(Data_orders!K$1,Data_products!$A$1:$G$1,0))</f>
        <v>1</v>
      </c>
      <c r="L329">
        <f>INDEX(Data_products!$A$1:$G$49, MATCH(Data_orders!$D329,Data_products!$A$1:$A$49,0), MATCH(Data_orders!L$1,Data_products!$A$1:$G$1,0))</f>
        <v>8.9499999999999993</v>
      </c>
      <c r="M329">
        <f t="shared" si="10"/>
        <v>44.75</v>
      </c>
      <c r="N329" t="str" cm="1">
        <f t="array" ref="N329">_xlfn.IFS(I329 = "Rob", "Robusta", I329 = "Exc", "Excelsa", I329 = "Ara", "Arabica", I329 = "Lib", "Liberica")</f>
        <v>Robusta</v>
      </c>
      <c r="O329" t="str">
        <f t="shared" si="11"/>
        <v>Dark</v>
      </c>
      <c r="P329" t="str">
        <f>_xlfn.XLOOKUP(Table1[[#This Row],[Customer ID]],Data_customers!$A$2:$A$1001,Data_customers!$I$2:$I$1001,,0)</f>
        <v>Yes</v>
      </c>
    </row>
    <row r="330" spans="1:16" x14ac:dyDescent="0.2">
      <c r="A330" s="2" t="s">
        <v>2341</v>
      </c>
      <c r="B330" s="3">
        <v>43620</v>
      </c>
      <c r="C330" s="2" t="s">
        <v>2342</v>
      </c>
      <c r="D330" t="s">
        <v>6161</v>
      </c>
      <c r="E330" s="2">
        <v>4</v>
      </c>
      <c r="F330" s="2" t="str">
        <f>_xlfn.XLOOKUP(Data_orders!C330,Data_customers!$A$1:$A$1001,Data_customers!$B$1:$B$1001,,0)</f>
        <v>Homer Dulany</v>
      </c>
      <c r="G330" s="2" t="str">
        <f>IF(_xlfn.XLOOKUP(C330,Data_customers!$A$1:$A$1001,Data_customers!$C$1:$C$1001,,0)=0,"",_xlfn.XLOOKUP(C330,Data_customers!$A$1:$A$1001,Data_customers!$C$1:$C$1001,,0))</f>
        <v/>
      </c>
      <c r="H330" s="2" t="str">
        <f>_xlfn.XLOOKUP(C330,Data_customers!$A$1:$A$1001,Data_customers!$G$1:$G$1001,"",0)</f>
        <v>United States</v>
      </c>
      <c r="I330" t="str">
        <f>INDEX(Data_products!$A$1:$G$49, MATCH(Data_orders!$D330,Data_products!$A$1:$A$49,0), MATCH(Data_orders!I$1,Data_products!$A$1:$G$1,0))</f>
        <v>Lib</v>
      </c>
      <c r="J330" t="str">
        <f>INDEX(Data_products!$A$1:$G$49, MATCH(Data_orders!$D330,Data_products!$A$1:$A$49,0), MATCH(Data_orders!J$1,Data_products!$A$1:$G$1,0))</f>
        <v>L</v>
      </c>
      <c r="K330" s="4">
        <f>INDEX(Data_products!$A$1:$G$49, MATCH(Data_orders!$D330,Data_products!$A$1:$A$49,0), MATCH(Data_orders!K$1,Data_products!$A$1:$G$1,0))</f>
        <v>0.5</v>
      </c>
      <c r="L330">
        <f>INDEX(Data_products!$A$1:$G$49, MATCH(Data_orders!$D330,Data_products!$A$1:$A$49,0), MATCH(Data_orders!L$1,Data_products!$A$1:$G$1,0))</f>
        <v>9.51</v>
      </c>
      <c r="M330">
        <f t="shared" si="10"/>
        <v>38.04</v>
      </c>
      <c r="N330" t="str" cm="1">
        <f t="array" ref="N330">_xlfn.IFS(I330 = "Rob", "Robusta", I330 = "Exc", "Excelsa", I330 = "Ara", "Arabica", I330 = "Lib", "Liberica")</f>
        <v>Liberica</v>
      </c>
      <c r="O330" t="str">
        <f t="shared" si="11"/>
        <v>Light</v>
      </c>
      <c r="P330" t="str">
        <f>_xlfn.XLOOKUP(Table1[[#This Row],[Customer ID]],Data_customers!$A$2:$A$1001,Data_customers!$I$2:$I$1001,,0)</f>
        <v>Yes</v>
      </c>
    </row>
    <row r="331" spans="1:16" x14ac:dyDescent="0.2">
      <c r="A331" s="2" t="s">
        <v>2346</v>
      </c>
      <c r="B331" s="3">
        <v>44781</v>
      </c>
      <c r="C331" s="2" t="s">
        <v>2347</v>
      </c>
      <c r="D331" t="s">
        <v>6172</v>
      </c>
      <c r="E331" s="2">
        <v>4</v>
      </c>
      <c r="F331" s="2" t="str">
        <f>_xlfn.XLOOKUP(Data_orders!C331,Data_customers!$A$1:$A$1001,Data_customers!$B$1:$B$1001,,0)</f>
        <v>Lisa Goodger</v>
      </c>
      <c r="G331" s="2" t="str">
        <f>IF(_xlfn.XLOOKUP(C331,Data_customers!$A$1:$A$1001,Data_customers!$C$1:$C$1001,,0)=0,"",_xlfn.XLOOKUP(C331,Data_customers!$A$1:$A$1001,Data_customers!$C$1:$C$1001,,0))</f>
        <v>lgoodger95@guardian.co.uk</v>
      </c>
      <c r="H331" s="2" t="str">
        <f>_xlfn.XLOOKUP(C331,Data_customers!$A$1:$A$1001,Data_customers!$G$1:$G$1001,"",0)</f>
        <v>United States</v>
      </c>
      <c r="I331" t="str">
        <f>INDEX(Data_products!$A$1:$G$49, MATCH(Data_orders!$D331,Data_products!$A$1:$A$49,0), MATCH(Data_orders!I$1,Data_products!$A$1:$G$1,0))</f>
        <v>Rob</v>
      </c>
      <c r="J331" t="str">
        <f>INDEX(Data_products!$A$1:$G$49, MATCH(Data_orders!$D331,Data_products!$A$1:$A$49,0), MATCH(Data_orders!J$1,Data_products!$A$1:$G$1,0))</f>
        <v>D</v>
      </c>
      <c r="K331" s="4">
        <f>INDEX(Data_products!$A$1:$G$49, MATCH(Data_orders!$D331,Data_products!$A$1:$A$49,0), MATCH(Data_orders!K$1,Data_products!$A$1:$G$1,0))</f>
        <v>0.5</v>
      </c>
      <c r="L331">
        <f>INDEX(Data_products!$A$1:$G$49, MATCH(Data_orders!$D331,Data_products!$A$1:$A$49,0), MATCH(Data_orders!L$1,Data_products!$A$1:$G$1,0))</f>
        <v>5.3699999999999992</v>
      </c>
      <c r="M331">
        <f t="shared" si="10"/>
        <v>21.479999999999997</v>
      </c>
      <c r="N331" t="str" cm="1">
        <f t="array" ref="N331">_xlfn.IFS(I331 = "Rob", "Robusta", I331 = "Exc", "Excelsa", I331 = "Ara", "Arabica", I331 = "Lib", "Liberica")</f>
        <v>Robusta</v>
      </c>
      <c r="O331" t="str">
        <f t="shared" si="11"/>
        <v>Dark</v>
      </c>
      <c r="P331" t="str">
        <f>_xlfn.XLOOKUP(Table1[[#This Row],[Customer ID]],Data_customers!$A$2:$A$1001,Data_customers!$I$2:$I$1001,,0)</f>
        <v>Yes</v>
      </c>
    </row>
    <row r="332" spans="1:16" x14ac:dyDescent="0.2">
      <c r="A332" s="2" t="s">
        <v>2351</v>
      </c>
      <c r="B332" s="3">
        <v>43782</v>
      </c>
      <c r="C332" s="2" t="s">
        <v>2280</v>
      </c>
      <c r="D332" t="s">
        <v>6172</v>
      </c>
      <c r="E332" s="2">
        <v>3</v>
      </c>
      <c r="F332" s="2" t="str">
        <f>_xlfn.XLOOKUP(Data_orders!C332,Data_customers!$A$1:$A$1001,Data_customers!$B$1:$B$1001,,0)</f>
        <v>Selma McMillian</v>
      </c>
      <c r="G332" s="2" t="str">
        <f>IF(_xlfn.XLOOKUP(C332,Data_customers!$A$1:$A$1001,Data_customers!$C$1:$C$1001,,0)=0,"",_xlfn.XLOOKUP(C332,Data_customers!$A$1:$A$1001,Data_customers!$C$1:$C$1001,,0))</f>
        <v>smcmillian8t@csmonitor.com</v>
      </c>
      <c r="H332" s="2" t="str">
        <f>_xlfn.XLOOKUP(C332,Data_customers!$A$1:$A$1001,Data_customers!$G$1:$G$1001,"",0)</f>
        <v>United States</v>
      </c>
      <c r="I332" t="str">
        <f>INDEX(Data_products!$A$1:$G$49, MATCH(Data_orders!$D332,Data_products!$A$1:$A$49,0), MATCH(Data_orders!I$1,Data_products!$A$1:$G$1,0))</f>
        <v>Rob</v>
      </c>
      <c r="J332" t="str">
        <f>INDEX(Data_products!$A$1:$G$49, MATCH(Data_orders!$D332,Data_products!$A$1:$A$49,0), MATCH(Data_orders!J$1,Data_products!$A$1:$G$1,0))</f>
        <v>D</v>
      </c>
      <c r="K332" s="4">
        <f>INDEX(Data_products!$A$1:$G$49, MATCH(Data_orders!$D332,Data_products!$A$1:$A$49,0), MATCH(Data_orders!K$1,Data_products!$A$1:$G$1,0))</f>
        <v>0.5</v>
      </c>
      <c r="L332">
        <f>INDEX(Data_products!$A$1:$G$49, MATCH(Data_orders!$D332,Data_products!$A$1:$A$49,0), MATCH(Data_orders!L$1,Data_products!$A$1:$G$1,0))</f>
        <v>5.3699999999999992</v>
      </c>
      <c r="M332">
        <f t="shared" si="10"/>
        <v>16.11</v>
      </c>
      <c r="N332" t="str" cm="1">
        <f t="array" ref="N332">_xlfn.IFS(I332 = "Rob", "Robusta", I332 = "Exc", "Excelsa", I332 = "Ara", "Arabica", I332 = "Lib", "Liberica")</f>
        <v>Robusta</v>
      </c>
      <c r="O332" t="str">
        <f t="shared" si="11"/>
        <v>Dark</v>
      </c>
      <c r="P332" t="str">
        <f>_xlfn.XLOOKUP(Table1[[#This Row],[Customer ID]],Data_customers!$A$2:$A$1001,Data_customers!$I$2:$I$1001,,0)</f>
        <v>No</v>
      </c>
    </row>
    <row r="333" spans="1:16" x14ac:dyDescent="0.2">
      <c r="A333" s="2" t="s">
        <v>2357</v>
      </c>
      <c r="B333" s="3">
        <v>43989</v>
      </c>
      <c r="C333" s="2" t="s">
        <v>2358</v>
      </c>
      <c r="D333" t="s">
        <v>6151</v>
      </c>
      <c r="E333" s="2">
        <v>1</v>
      </c>
      <c r="F333" s="2" t="str">
        <f>_xlfn.XLOOKUP(Data_orders!C333,Data_customers!$A$1:$A$1001,Data_customers!$B$1:$B$1001,,0)</f>
        <v>Corine Drewett</v>
      </c>
      <c r="G333" s="2" t="str">
        <f>IF(_xlfn.XLOOKUP(C333,Data_customers!$A$1:$A$1001,Data_customers!$C$1:$C$1001,,0)=0,"",_xlfn.XLOOKUP(C333,Data_customers!$A$1:$A$1001,Data_customers!$C$1:$C$1001,,0))</f>
        <v>cdrewett97@wikipedia.org</v>
      </c>
      <c r="H333" s="2" t="str">
        <f>_xlfn.XLOOKUP(C333,Data_customers!$A$1:$A$1001,Data_customers!$G$1:$G$1001,"",0)</f>
        <v>United States</v>
      </c>
      <c r="I333" t="str">
        <f>INDEX(Data_products!$A$1:$G$49, MATCH(Data_orders!$D333,Data_products!$A$1:$A$49,0), MATCH(Data_orders!I$1,Data_products!$A$1:$G$1,0))</f>
        <v>Rob</v>
      </c>
      <c r="J333" t="str">
        <f>INDEX(Data_products!$A$1:$G$49, MATCH(Data_orders!$D333,Data_products!$A$1:$A$49,0), MATCH(Data_orders!J$1,Data_products!$A$1:$G$1,0))</f>
        <v>M</v>
      </c>
      <c r="K333" s="4">
        <f>INDEX(Data_products!$A$1:$G$49, MATCH(Data_orders!$D333,Data_products!$A$1:$A$49,0), MATCH(Data_orders!K$1,Data_products!$A$1:$G$1,0))</f>
        <v>2.5</v>
      </c>
      <c r="L333">
        <f>INDEX(Data_products!$A$1:$G$49, MATCH(Data_orders!$D333,Data_products!$A$1:$A$49,0), MATCH(Data_orders!L$1,Data_products!$A$1:$G$1,0))</f>
        <v>22.884999999999998</v>
      </c>
      <c r="M333">
        <f t="shared" si="10"/>
        <v>22.884999999999998</v>
      </c>
      <c r="N333" t="str" cm="1">
        <f t="array" ref="N333">_xlfn.IFS(I333 = "Rob", "Robusta", I333 = "Exc", "Excelsa", I333 = "Ara", "Arabica", I333 = "Lib", "Liberica")</f>
        <v>Robusta</v>
      </c>
      <c r="O333" t="str">
        <f t="shared" si="11"/>
        <v>Medium</v>
      </c>
      <c r="P333" t="str">
        <f>_xlfn.XLOOKUP(Table1[[#This Row],[Customer ID]],Data_customers!$A$2:$A$1001,Data_customers!$I$2:$I$1001,,0)</f>
        <v>Yes</v>
      </c>
    </row>
    <row r="334" spans="1:16" x14ac:dyDescent="0.2">
      <c r="A334" s="2" t="s">
        <v>2363</v>
      </c>
      <c r="B334" s="3">
        <v>43689</v>
      </c>
      <c r="C334" s="2" t="s">
        <v>2364</v>
      </c>
      <c r="D334" t="s">
        <v>6158</v>
      </c>
      <c r="E334" s="2">
        <v>3</v>
      </c>
      <c r="F334" s="2" t="str">
        <f>_xlfn.XLOOKUP(Data_orders!C334,Data_customers!$A$1:$A$1001,Data_customers!$B$1:$B$1001,,0)</f>
        <v>Quinn Parsons</v>
      </c>
      <c r="G334" s="2" t="str">
        <f>IF(_xlfn.XLOOKUP(C334,Data_customers!$A$1:$A$1001,Data_customers!$C$1:$C$1001,,0)=0,"",_xlfn.XLOOKUP(C334,Data_customers!$A$1:$A$1001,Data_customers!$C$1:$C$1001,,0))</f>
        <v>qparsons98@blogtalkradio.com</v>
      </c>
      <c r="H334" s="2" t="str">
        <f>_xlfn.XLOOKUP(C334,Data_customers!$A$1:$A$1001,Data_customers!$G$1:$G$1001,"",0)</f>
        <v>United States</v>
      </c>
      <c r="I334" t="str">
        <f>INDEX(Data_products!$A$1:$G$49, MATCH(Data_orders!$D334,Data_products!$A$1:$A$49,0), MATCH(Data_orders!I$1,Data_products!$A$1:$G$1,0))</f>
        <v>Ara</v>
      </c>
      <c r="J334" t="str">
        <f>INDEX(Data_products!$A$1:$G$49, MATCH(Data_orders!$D334,Data_products!$A$1:$A$49,0), MATCH(Data_orders!J$1,Data_products!$A$1:$G$1,0))</f>
        <v>D</v>
      </c>
      <c r="K334" s="4">
        <f>INDEX(Data_products!$A$1:$G$49, MATCH(Data_orders!$D334,Data_products!$A$1:$A$49,0), MATCH(Data_orders!K$1,Data_products!$A$1:$G$1,0))</f>
        <v>0.5</v>
      </c>
      <c r="L334">
        <f>INDEX(Data_products!$A$1:$G$49, MATCH(Data_orders!$D334,Data_products!$A$1:$A$49,0), MATCH(Data_orders!L$1,Data_products!$A$1:$G$1,0))</f>
        <v>5.97</v>
      </c>
      <c r="M334">
        <f t="shared" si="10"/>
        <v>17.91</v>
      </c>
      <c r="N334" t="str" cm="1">
        <f t="array" ref="N334">_xlfn.IFS(I334 = "Rob", "Robusta", I334 = "Exc", "Excelsa", I334 = "Ara", "Arabica", I334 = "Lib", "Liberica")</f>
        <v>Arabica</v>
      </c>
      <c r="O334" t="str">
        <f t="shared" si="11"/>
        <v>Dark</v>
      </c>
      <c r="P334" t="str">
        <f>_xlfn.XLOOKUP(Table1[[#This Row],[Customer ID]],Data_customers!$A$2:$A$1001,Data_customers!$I$2:$I$1001,,0)</f>
        <v>Yes</v>
      </c>
    </row>
    <row r="335" spans="1:16" x14ac:dyDescent="0.2">
      <c r="A335" s="2" t="s">
        <v>2369</v>
      </c>
      <c r="B335" s="3">
        <v>43712</v>
      </c>
      <c r="C335" s="2" t="s">
        <v>2370</v>
      </c>
      <c r="D335" t="s">
        <v>6146</v>
      </c>
      <c r="E335" s="2">
        <v>4</v>
      </c>
      <c r="F335" s="2" t="str">
        <f>_xlfn.XLOOKUP(Data_orders!C335,Data_customers!$A$1:$A$1001,Data_customers!$B$1:$B$1001,,0)</f>
        <v>Vivyan Ceely</v>
      </c>
      <c r="G335" s="2" t="str">
        <f>IF(_xlfn.XLOOKUP(C335,Data_customers!$A$1:$A$1001,Data_customers!$C$1:$C$1001,,0)=0,"",_xlfn.XLOOKUP(C335,Data_customers!$A$1:$A$1001,Data_customers!$C$1:$C$1001,,0))</f>
        <v>vceely99@auda.org.au</v>
      </c>
      <c r="H335" s="2" t="str">
        <f>_xlfn.XLOOKUP(C335,Data_customers!$A$1:$A$1001,Data_customers!$G$1:$G$1001,"",0)</f>
        <v>United States</v>
      </c>
      <c r="I335" t="str">
        <f>INDEX(Data_products!$A$1:$G$49, MATCH(Data_orders!$D335,Data_products!$A$1:$A$49,0), MATCH(Data_orders!I$1,Data_products!$A$1:$G$1,0))</f>
        <v>Rob</v>
      </c>
      <c r="J335" t="str">
        <f>INDEX(Data_products!$A$1:$G$49, MATCH(Data_orders!$D335,Data_products!$A$1:$A$49,0), MATCH(Data_orders!J$1,Data_products!$A$1:$G$1,0))</f>
        <v>M</v>
      </c>
      <c r="K335" s="4">
        <f>INDEX(Data_products!$A$1:$G$49, MATCH(Data_orders!$D335,Data_products!$A$1:$A$49,0), MATCH(Data_orders!K$1,Data_products!$A$1:$G$1,0))</f>
        <v>0.5</v>
      </c>
      <c r="L335">
        <f>INDEX(Data_products!$A$1:$G$49, MATCH(Data_orders!$D335,Data_products!$A$1:$A$49,0), MATCH(Data_orders!L$1,Data_products!$A$1:$G$1,0))</f>
        <v>5.97</v>
      </c>
      <c r="M335">
        <f t="shared" si="10"/>
        <v>23.88</v>
      </c>
      <c r="N335" t="str" cm="1">
        <f t="array" ref="N335">_xlfn.IFS(I335 = "Rob", "Robusta", I335 = "Exc", "Excelsa", I335 = "Ara", "Arabica", I335 = "Lib", "Liberica")</f>
        <v>Robusta</v>
      </c>
      <c r="O335" t="str">
        <f t="shared" si="11"/>
        <v>Medium</v>
      </c>
      <c r="P335" t="str">
        <f>_xlfn.XLOOKUP(Table1[[#This Row],[Customer ID]],Data_customers!$A$2:$A$1001,Data_customers!$I$2:$I$1001,,0)</f>
        <v>Yes</v>
      </c>
    </row>
    <row r="336" spans="1:16" x14ac:dyDescent="0.2">
      <c r="A336" s="2" t="s">
        <v>2375</v>
      </c>
      <c r="B336" s="3">
        <v>43742</v>
      </c>
      <c r="C336" s="2" t="s">
        <v>2376</v>
      </c>
      <c r="D336" t="s">
        <v>6179</v>
      </c>
      <c r="E336" s="2">
        <v>5</v>
      </c>
      <c r="F336" s="2" t="str">
        <f>_xlfn.XLOOKUP(Data_orders!C336,Data_customers!$A$1:$A$1001,Data_customers!$B$1:$B$1001,,0)</f>
        <v>Elonore Goodings</v>
      </c>
      <c r="G336" s="2" t="str">
        <f>IF(_xlfn.XLOOKUP(C336,Data_customers!$A$1:$A$1001,Data_customers!$C$1:$C$1001,,0)=0,"",_xlfn.XLOOKUP(C336,Data_customers!$A$1:$A$1001,Data_customers!$C$1:$C$1001,,0))</f>
        <v/>
      </c>
      <c r="H336" s="2" t="str">
        <f>_xlfn.XLOOKUP(C336,Data_customers!$A$1:$A$1001,Data_customers!$G$1:$G$1001,"",0)</f>
        <v>United States</v>
      </c>
      <c r="I336" t="str">
        <f>INDEX(Data_products!$A$1:$G$49, MATCH(Data_orders!$D336,Data_products!$A$1:$A$49,0), MATCH(Data_orders!I$1,Data_products!$A$1:$G$1,0))</f>
        <v>Rob</v>
      </c>
      <c r="J336" t="str">
        <f>INDEX(Data_products!$A$1:$G$49, MATCH(Data_orders!$D336,Data_products!$A$1:$A$49,0), MATCH(Data_orders!J$1,Data_products!$A$1:$G$1,0))</f>
        <v>L</v>
      </c>
      <c r="K336" s="4">
        <f>INDEX(Data_products!$A$1:$G$49, MATCH(Data_orders!$D336,Data_products!$A$1:$A$49,0), MATCH(Data_orders!K$1,Data_products!$A$1:$G$1,0))</f>
        <v>1</v>
      </c>
      <c r="L336">
        <f>INDEX(Data_products!$A$1:$G$49, MATCH(Data_orders!$D336,Data_products!$A$1:$A$49,0), MATCH(Data_orders!L$1,Data_products!$A$1:$G$1,0))</f>
        <v>11.95</v>
      </c>
      <c r="M336">
        <f t="shared" si="10"/>
        <v>59.75</v>
      </c>
      <c r="N336" t="str" cm="1">
        <f t="array" ref="N336">_xlfn.IFS(I336 = "Rob", "Robusta", I336 = "Exc", "Excelsa", I336 = "Ara", "Arabica", I336 = "Lib", "Liberica")</f>
        <v>Robusta</v>
      </c>
      <c r="O336" t="str">
        <f t="shared" si="11"/>
        <v>Light</v>
      </c>
      <c r="P336" t="str">
        <f>_xlfn.XLOOKUP(Table1[[#This Row],[Customer ID]],Data_customers!$A$2:$A$1001,Data_customers!$I$2:$I$1001,,0)</f>
        <v>No</v>
      </c>
    </row>
    <row r="337" spans="1:16" x14ac:dyDescent="0.2">
      <c r="A337" s="2" t="s">
        <v>2379</v>
      </c>
      <c r="B337" s="3">
        <v>43885</v>
      </c>
      <c r="C337" s="2" t="s">
        <v>2380</v>
      </c>
      <c r="D337" t="s">
        <v>6145</v>
      </c>
      <c r="E337" s="2">
        <v>6</v>
      </c>
      <c r="F337" s="2" t="str">
        <f>_xlfn.XLOOKUP(Data_orders!C337,Data_customers!$A$1:$A$1001,Data_customers!$B$1:$B$1001,,0)</f>
        <v>Clement Vasiliev</v>
      </c>
      <c r="G337" s="2" t="str">
        <f>IF(_xlfn.XLOOKUP(C337,Data_customers!$A$1:$A$1001,Data_customers!$C$1:$C$1001,,0)=0,"",_xlfn.XLOOKUP(C337,Data_customers!$A$1:$A$1001,Data_customers!$C$1:$C$1001,,0))</f>
        <v>cvasiliev9b@discuz.net</v>
      </c>
      <c r="H337" s="2" t="str">
        <f>_xlfn.XLOOKUP(C337,Data_customers!$A$1:$A$1001,Data_customers!$G$1:$G$1001,"",0)</f>
        <v>United States</v>
      </c>
      <c r="I337" t="str">
        <f>INDEX(Data_products!$A$1:$G$49, MATCH(Data_orders!$D337,Data_products!$A$1:$A$49,0), MATCH(Data_orders!I$1,Data_products!$A$1:$G$1,0))</f>
        <v>Lib</v>
      </c>
      <c r="J337" t="str">
        <f>INDEX(Data_products!$A$1:$G$49, MATCH(Data_orders!$D337,Data_products!$A$1:$A$49,0), MATCH(Data_orders!J$1,Data_products!$A$1:$G$1,0))</f>
        <v>L</v>
      </c>
      <c r="K337" s="4">
        <f>INDEX(Data_products!$A$1:$G$49, MATCH(Data_orders!$D337,Data_products!$A$1:$A$49,0), MATCH(Data_orders!K$1,Data_products!$A$1:$G$1,0))</f>
        <v>0.2</v>
      </c>
      <c r="L337">
        <f>INDEX(Data_products!$A$1:$G$49, MATCH(Data_orders!$D337,Data_products!$A$1:$A$49,0), MATCH(Data_orders!L$1,Data_products!$A$1:$G$1,0))</f>
        <v>4.7549999999999999</v>
      </c>
      <c r="M337">
        <f t="shared" si="10"/>
        <v>28.53</v>
      </c>
      <c r="N337" t="str" cm="1">
        <f t="array" ref="N337">_xlfn.IFS(I337 = "Rob", "Robusta", I337 = "Exc", "Excelsa", I337 = "Ara", "Arabica", I337 = "Lib", "Liberica")</f>
        <v>Liberica</v>
      </c>
      <c r="O337" t="str">
        <f t="shared" si="11"/>
        <v>Light</v>
      </c>
      <c r="P337" t="str">
        <f>_xlfn.XLOOKUP(Table1[[#This Row],[Customer ID]],Data_customers!$A$2:$A$1001,Data_customers!$I$2:$I$1001,,0)</f>
        <v>Yes</v>
      </c>
    </row>
    <row r="338" spans="1:16" x14ac:dyDescent="0.2">
      <c r="A338" s="2" t="s">
        <v>2385</v>
      </c>
      <c r="B338" s="3">
        <v>44434</v>
      </c>
      <c r="C338" s="2" t="s">
        <v>2386</v>
      </c>
      <c r="D338" t="s">
        <v>6155</v>
      </c>
      <c r="E338" s="2">
        <v>4</v>
      </c>
      <c r="F338" s="2" t="str">
        <f>_xlfn.XLOOKUP(Data_orders!C338,Data_customers!$A$1:$A$1001,Data_customers!$B$1:$B$1001,,0)</f>
        <v>Terencio O'Moylan</v>
      </c>
      <c r="G338" s="2" t="str">
        <f>IF(_xlfn.XLOOKUP(C338,Data_customers!$A$1:$A$1001,Data_customers!$C$1:$C$1001,,0)=0,"",_xlfn.XLOOKUP(C338,Data_customers!$A$1:$A$1001,Data_customers!$C$1:$C$1001,,0))</f>
        <v>tomoylan9c@liveinternet.ru</v>
      </c>
      <c r="H338" s="2" t="str">
        <f>_xlfn.XLOOKUP(C338,Data_customers!$A$1:$A$1001,Data_customers!$G$1:$G$1001,"",0)</f>
        <v>United Kingdom</v>
      </c>
      <c r="I338" t="str">
        <f>INDEX(Data_products!$A$1:$G$49, MATCH(Data_orders!$D338,Data_products!$A$1:$A$49,0), MATCH(Data_orders!I$1,Data_products!$A$1:$G$1,0))</f>
        <v>Ara</v>
      </c>
      <c r="J338" t="str">
        <f>INDEX(Data_products!$A$1:$G$49, MATCH(Data_orders!$D338,Data_products!$A$1:$A$49,0), MATCH(Data_orders!J$1,Data_products!$A$1:$G$1,0))</f>
        <v>M</v>
      </c>
      <c r="K338" s="4">
        <f>INDEX(Data_products!$A$1:$G$49, MATCH(Data_orders!$D338,Data_products!$A$1:$A$49,0), MATCH(Data_orders!K$1,Data_products!$A$1:$G$1,0))</f>
        <v>1</v>
      </c>
      <c r="L338">
        <f>INDEX(Data_products!$A$1:$G$49, MATCH(Data_orders!$D338,Data_products!$A$1:$A$49,0), MATCH(Data_orders!L$1,Data_products!$A$1:$G$1,0))</f>
        <v>11.25</v>
      </c>
      <c r="M338">
        <f t="shared" si="10"/>
        <v>45</v>
      </c>
      <c r="N338" t="str" cm="1">
        <f t="array" ref="N338">_xlfn.IFS(I338 = "Rob", "Robusta", I338 = "Exc", "Excelsa", I338 = "Ara", "Arabica", I338 = "Lib", "Liberica")</f>
        <v>Arabica</v>
      </c>
      <c r="O338" t="str">
        <f t="shared" si="11"/>
        <v>Medium</v>
      </c>
      <c r="P338" t="str">
        <f>_xlfn.XLOOKUP(Table1[[#This Row],[Customer ID]],Data_customers!$A$2:$A$1001,Data_customers!$I$2:$I$1001,,0)</f>
        <v>No</v>
      </c>
    </row>
    <row r="339" spans="1:16" x14ac:dyDescent="0.2">
      <c r="A339" s="2" t="s">
        <v>2391</v>
      </c>
      <c r="B339" s="3">
        <v>44472</v>
      </c>
      <c r="C339" s="2" t="s">
        <v>2331</v>
      </c>
      <c r="D339" t="s">
        <v>6185</v>
      </c>
      <c r="E339" s="2">
        <v>2</v>
      </c>
      <c r="F339" s="2" t="str">
        <f>_xlfn.XLOOKUP(Data_orders!C339,Data_customers!$A$1:$A$1001,Data_customers!$B$1:$B$1001,,0)</f>
        <v>Flynn Antony</v>
      </c>
      <c r="G339" s="2" t="str">
        <f>IF(_xlfn.XLOOKUP(C339,Data_customers!$A$1:$A$1001,Data_customers!$C$1:$C$1001,,0)=0,"",_xlfn.XLOOKUP(C339,Data_customers!$A$1:$A$1001,Data_customers!$C$1:$C$1001,,0))</f>
        <v/>
      </c>
      <c r="H339" s="2" t="str">
        <f>_xlfn.XLOOKUP(C339,Data_customers!$A$1:$A$1001,Data_customers!$G$1:$G$1001,"",0)</f>
        <v>United States</v>
      </c>
      <c r="I339" t="str">
        <f>INDEX(Data_products!$A$1:$G$49, MATCH(Data_orders!$D339,Data_products!$A$1:$A$49,0), MATCH(Data_orders!I$1,Data_products!$A$1:$G$1,0))</f>
        <v>Exc</v>
      </c>
      <c r="J339" t="str">
        <f>INDEX(Data_products!$A$1:$G$49, MATCH(Data_orders!$D339,Data_products!$A$1:$A$49,0), MATCH(Data_orders!J$1,Data_products!$A$1:$G$1,0))</f>
        <v>D</v>
      </c>
      <c r="K339" s="4">
        <f>INDEX(Data_products!$A$1:$G$49, MATCH(Data_orders!$D339,Data_products!$A$1:$A$49,0), MATCH(Data_orders!K$1,Data_products!$A$1:$G$1,0))</f>
        <v>2.5</v>
      </c>
      <c r="L339">
        <f>INDEX(Data_products!$A$1:$G$49, MATCH(Data_orders!$D339,Data_products!$A$1:$A$49,0), MATCH(Data_orders!L$1,Data_products!$A$1:$G$1,0))</f>
        <v>27.945</v>
      </c>
      <c r="M339">
        <f t="shared" si="10"/>
        <v>55.89</v>
      </c>
      <c r="N339" t="str" cm="1">
        <f t="array" ref="N339">_xlfn.IFS(I339 = "Rob", "Robusta", I339 = "Exc", "Excelsa", I339 = "Ara", "Arabica", I339 = "Lib", "Liberica")</f>
        <v>Excelsa</v>
      </c>
      <c r="O339" t="str">
        <f t="shared" si="11"/>
        <v>Dark</v>
      </c>
      <c r="P339" t="str">
        <f>_xlfn.XLOOKUP(Table1[[#This Row],[Customer ID]],Data_customers!$A$2:$A$1001,Data_customers!$I$2:$I$1001,,0)</f>
        <v>No</v>
      </c>
    </row>
    <row r="340" spans="1:16" x14ac:dyDescent="0.2">
      <c r="A340" s="2" t="s">
        <v>2396</v>
      </c>
      <c r="B340" s="3">
        <v>43995</v>
      </c>
      <c r="C340" s="2" t="s">
        <v>2397</v>
      </c>
      <c r="D340" t="s">
        <v>6171</v>
      </c>
      <c r="E340" s="2">
        <v>4</v>
      </c>
      <c r="F340" s="2" t="str">
        <f>_xlfn.XLOOKUP(Data_orders!C340,Data_customers!$A$1:$A$1001,Data_customers!$B$1:$B$1001,,0)</f>
        <v>Wyatan Fetherston</v>
      </c>
      <c r="G340" s="2" t="str">
        <f>IF(_xlfn.XLOOKUP(C340,Data_customers!$A$1:$A$1001,Data_customers!$C$1:$C$1001,,0)=0,"",_xlfn.XLOOKUP(C340,Data_customers!$A$1:$A$1001,Data_customers!$C$1:$C$1001,,0))</f>
        <v>wfetherston9e@constantcontact.com</v>
      </c>
      <c r="H340" s="2" t="str">
        <f>_xlfn.XLOOKUP(C340,Data_customers!$A$1:$A$1001,Data_customers!$G$1:$G$1001,"",0)</f>
        <v>United States</v>
      </c>
      <c r="I340" t="str">
        <f>INDEX(Data_products!$A$1:$G$49, MATCH(Data_orders!$D340,Data_products!$A$1:$A$49,0), MATCH(Data_orders!I$1,Data_products!$A$1:$G$1,0))</f>
        <v>Exc</v>
      </c>
      <c r="J340" t="str">
        <f>INDEX(Data_products!$A$1:$G$49, MATCH(Data_orders!$D340,Data_products!$A$1:$A$49,0), MATCH(Data_orders!J$1,Data_products!$A$1:$G$1,0))</f>
        <v>L</v>
      </c>
      <c r="K340" s="4">
        <f>INDEX(Data_products!$A$1:$G$49, MATCH(Data_orders!$D340,Data_products!$A$1:$A$49,0), MATCH(Data_orders!K$1,Data_products!$A$1:$G$1,0))</f>
        <v>1</v>
      </c>
      <c r="L340">
        <f>INDEX(Data_products!$A$1:$G$49, MATCH(Data_orders!$D340,Data_products!$A$1:$A$49,0), MATCH(Data_orders!L$1,Data_products!$A$1:$G$1,0))</f>
        <v>14.85</v>
      </c>
      <c r="M340">
        <f t="shared" si="10"/>
        <v>59.4</v>
      </c>
      <c r="N340" t="str" cm="1">
        <f t="array" ref="N340">_xlfn.IFS(I340 = "Rob", "Robusta", I340 = "Exc", "Excelsa", I340 = "Ara", "Arabica", I340 = "Lib", "Liberica")</f>
        <v>Excelsa</v>
      </c>
      <c r="O340" t="str">
        <f t="shared" si="11"/>
        <v>Light</v>
      </c>
      <c r="P340" t="str">
        <f>_xlfn.XLOOKUP(Table1[[#This Row],[Customer ID]],Data_customers!$A$2:$A$1001,Data_customers!$I$2:$I$1001,,0)</f>
        <v>No</v>
      </c>
    </row>
    <row r="341" spans="1:16" x14ac:dyDescent="0.2">
      <c r="A341" s="2" t="s">
        <v>2402</v>
      </c>
      <c r="B341" s="3">
        <v>44256</v>
      </c>
      <c r="C341" s="2" t="s">
        <v>2403</v>
      </c>
      <c r="D341" t="s">
        <v>6153</v>
      </c>
      <c r="E341" s="2">
        <v>2</v>
      </c>
      <c r="F341" s="2" t="str">
        <f>_xlfn.XLOOKUP(Data_orders!C341,Data_customers!$A$1:$A$1001,Data_customers!$B$1:$B$1001,,0)</f>
        <v>Emmaline Rasmus</v>
      </c>
      <c r="G341" s="2" t="str">
        <f>IF(_xlfn.XLOOKUP(C341,Data_customers!$A$1:$A$1001,Data_customers!$C$1:$C$1001,,0)=0,"",_xlfn.XLOOKUP(C341,Data_customers!$A$1:$A$1001,Data_customers!$C$1:$C$1001,,0))</f>
        <v>erasmus9f@techcrunch.com</v>
      </c>
      <c r="H341" s="2" t="str">
        <f>_xlfn.XLOOKUP(C341,Data_customers!$A$1:$A$1001,Data_customers!$G$1:$G$1001,"",0)</f>
        <v>United States</v>
      </c>
      <c r="I341" t="str">
        <f>INDEX(Data_products!$A$1:$G$49, MATCH(Data_orders!$D341,Data_products!$A$1:$A$49,0), MATCH(Data_orders!I$1,Data_products!$A$1:$G$1,0))</f>
        <v>Exc</v>
      </c>
      <c r="J341" t="str">
        <f>INDEX(Data_products!$A$1:$G$49, MATCH(Data_orders!$D341,Data_products!$A$1:$A$49,0), MATCH(Data_orders!J$1,Data_products!$A$1:$G$1,0))</f>
        <v>D</v>
      </c>
      <c r="K341" s="4">
        <f>INDEX(Data_products!$A$1:$G$49, MATCH(Data_orders!$D341,Data_products!$A$1:$A$49,0), MATCH(Data_orders!K$1,Data_products!$A$1:$G$1,0))</f>
        <v>0.2</v>
      </c>
      <c r="L341">
        <f>INDEX(Data_products!$A$1:$G$49, MATCH(Data_orders!$D341,Data_products!$A$1:$A$49,0), MATCH(Data_orders!L$1,Data_products!$A$1:$G$1,0))</f>
        <v>3.645</v>
      </c>
      <c r="M341">
        <f t="shared" si="10"/>
        <v>7.29</v>
      </c>
      <c r="N341" t="str" cm="1">
        <f t="array" ref="N341">_xlfn.IFS(I341 = "Rob", "Robusta", I341 = "Exc", "Excelsa", I341 = "Ara", "Arabica", I341 = "Lib", "Liberica")</f>
        <v>Excelsa</v>
      </c>
      <c r="O341" t="str">
        <f t="shared" si="11"/>
        <v>Dark</v>
      </c>
      <c r="P341" t="str">
        <f>_xlfn.XLOOKUP(Table1[[#This Row],[Customer ID]],Data_customers!$A$2:$A$1001,Data_customers!$I$2:$I$1001,,0)</f>
        <v>Yes</v>
      </c>
    </row>
    <row r="342" spans="1:16" x14ac:dyDescent="0.2">
      <c r="A342" s="2" t="s">
        <v>2408</v>
      </c>
      <c r="B342" s="3">
        <v>43528</v>
      </c>
      <c r="C342" s="2" t="s">
        <v>2409</v>
      </c>
      <c r="D342" t="s">
        <v>6144</v>
      </c>
      <c r="E342" s="2">
        <v>1</v>
      </c>
      <c r="F342" s="2" t="str">
        <f>_xlfn.XLOOKUP(Data_orders!C342,Data_customers!$A$1:$A$1001,Data_customers!$B$1:$B$1001,,0)</f>
        <v>Wesley Giorgioni</v>
      </c>
      <c r="G342" s="2" t="str">
        <f>IF(_xlfn.XLOOKUP(C342,Data_customers!$A$1:$A$1001,Data_customers!$C$1:$C$1001,,0)=0,"",_xlfn.XLOOKUP(C342,Data_customers!$A$1:$A$1001,Data_customers!$C$1:$C$1001,,0))</f>
        <v>wgiorgioni9g@wikipedia.org</v>
      </c>
      <c r="H342" s="2" t="str">
        <f>_xlfn.XLOOKUP(C342,Data_customers!$A$1:$A$1001,Data_customers!$G$1:$G$1001,"",0)</f>
        <v>United States</v>
      </c>
      <c r="I342" t="str">
        <f>INDEX(Data_products!$A$1:$G$49, MATCH(Data_orders!$D342,Data_products!$A$1:$A$49,0), MATCH(Data_orders!I$1,Data_products!$A$1:$G$1,0))</f>
        <v>Exc</v>
      </c>
      <c r="J342" t="str">
        <f>INDEX(Data_products!$A$1:$G$49, MATCH(Data_orders!$D342,Data_products!$A$1:$A$49,0), MATCH(Data_orders!J$1,Data_products!$A$1:$G$1,0))</f>
        <v>D</v>
      </c>
      <c r="K342" s="4">
        <f>INDEX(Data_products!$A$1:$G$49, MATCH(Data_orders!$D342,Data_products!$A$1:$A$49,0), MATCH(Data_orders!K$1,Data_products!$A$1:$G$1,0))</f>
        <v>0.5</v>
      </c>
      <c r="L342">
        <f>INDEX(Data_products!$A$1:$G$49, MATCH(Data_orders!$D342,Data_products!$A$1:$A$49,0), MATCH(Data_orders!L$1,Data_products!$A$1:$G$1,0))</f>
        <v>7.29</v>
      </c>
      <c r="M342">
        <f t="shared" si="10"/>
        <v>7.29</v>
      </c>
      <c r="N342" t="str" cm="1">
        <f t="array" ref="N342">_xlfn.IFS(I342 = "Rob", "Robusta", I342 = "Exc", "Excelsa", I342 = "Ara", "Arabica", I342 = "Lib", "Liberica")</f>
        <v>Excelsa</v>
      </c>
      <c r="O342" t="str">
        <f t="shared" si="11"/>
        <v>Dark</v>
      </c>
      <c r="P342" t="str">
        <f>_xlfn.XLOOKUP(Table1[[#This Row],[Customer ID]],Data_customers!$A$2:$A$1001,Data_customers!$I$2:$I$1001,,0)</f>
        <v>Yes</v>
      </c>
    </row>
    <row r="343" spans="1:16" x14ac:dyDescent="0.2">
      <c r="A343" s="2" t="s">
        <v>2414</v>
      </c>
      <c r="B343" s="3">
        <v>43751</v>
      </c>
      <c r="C343" s="2" t="s">
        <v>2415</v>
      </c>
      <c r="D343" t="s">
        <v>6176</v>
      </c>
      <c r="E343" s="2">
        <v>2</v>
      </c>
      <c r="F343" s="2" t="str">
        <f>_xlfn.XLOOKUP(Data_orders!C343,Data_customers!$A$1:$A$1001,Data_customers!$B$1:$B$1001,,0)</f>
        <v>Lucienne Scargle</v>
      </c>
      <c r="G343" s="2" t="str">
        <f>IF(_xlfn.XLOOKUP(C343,Data_customers!$A$1:$A$1001,Data_customers!$C$1:$C$1001,,0)=0,"",_xlfn.XLOOKUP(C343,Data_customers!$A$1:$A$1001,Data_customers!$C$1:$C$1001,,0))</f>
        <v>lscargle9h@myspace.com</v>
      </c>
      <c r="H343" s="2" t="str">
        <f>_xlfn.XLOOKUP(C343,Data_customers!$A$1:$A$1001,Data_customers!$G$1:$G$1001,"",0)</f>
        <v>United States</v>
      </c>
      <c r="I343" t="str">
        <f>INDEX(Data_products!$A$1:$G$49, MATCH(Data_orders!$D343,Data_products!$A$1:$A$49,0), MATCH(Data_orders!I$1,Data_products!$A$1:$G$1,0))</f>
        <v>Exc</v>
      </c>
      <c r="J343" t="str">
        <f>INDEX(Data_products!$A$1:$G$49, MATCH(Data_orders!$D343,Data_products!$A$1:$A$49,0), MATCH(Data_orders!J$1,Data_products!$A$1:$G$1,0))</f>
        <v>L</v>
      </c>
      <c r="K343" s="4">
        <f>INDEX(Data_products!$A$1:$G$49, MATCH(Data_orders!$D343,Data_products!$A$1:$A$49,0), MATCH(Data_orders!K$1,Data_products!$A$1:$G$1,0))</f>
        <v>0.5</v>
      </c>
      <c r="L343">
        <f>INDEX(Data_products!$A$1:$G$49, MATCH(Data_orders!$D343,Data_products!$A$1:$A$49,0), MATCH(Data_orders!L$1,Data_products!$A$1:$G$1,0))</f>
        <v>8.91</v>
      </c>
      <c r="M343">
        <f t="shared" si="10"/>
        <v>17.82</v>
      </c>
      <c r="N343" t="str" cm="1">
        <f t="array" ref="N343">_xlfn.IFS(I343 = "Rob", "Robusta", I343 = "Exc", "Excelsa", I343 = "Ara", "Arabica", I343 = "Lib", "Liberica")</f>
        <v>Excelsa</v>
      </c>
      <c r="O343" t="str">
        <f t="shared" si="11"/>
        <v>Light</v>
      </c>
      <c r="P343" t="str">
        <f>_xlfn.XLOOKUP(Table1[[#This Row],[Customer ID]],Data_customers!$A$2:$A$1001,Data_customers!$I$2:$I$1001,,0)</f>
        <v>No</v>
      </c>
    </row>
    <row r="344" spans="1:16" x14ac:dyDescent="0.2">
      <c r="A344" s="2" t="s">
        <v>2414</v>
      </c>
      <c r="B344" s="3">
        <v>43751</v>
      </c>
      <c r="C344" s="2" t="s">
        <v>2415</v>
      </c>
      <c r="D344" t="s">
        <v>6169</v>
      </c>
      <c r="E344" s="2">
        <v>5</v>
      </c>
      <c r="F344" s="2" t="str">
        <f>_xlfn.XLOOKUP(Data_orders!C344,Data_customers!$A$1:$A$1001,Data_customers!$B$1:$B$1001,,0)</f>
        <v>Lucienne Scargle</v>
      </c>
      <c r="G344" s="2" t="str">
        <f>IF(_xlfn.XLOOKUP(C344,Data_customers!$A$1:$A$1001,Data_customers!$C$1:$C$1001,,0)=0,"",_xlfn.XLOOKUP(C344,Data_customers!$A$1:$A$1001,Data_customers!$C$1:$C$1001,,0))</f>
        <v>lscargle9h@myspace.com</v>
      </c>
      <c r="H344" s="2" t="str">
        <f>_xlfn.XLOOKUP(C344,Data_customers!$A$1:$A$1001,Data_customers!$G$1:$G$1001,"",0)</f>
        <v>United States</v>
      </c>
      <c r="I344" t="str">
        <f>INDEX(Data_products!$A$1:$G$49, MATCH(Data_orders!$D344,Data_products!$A$1:$A$49,0), MATCH(Data_orders!I$1,Data_products!$A$1:$G$1,0))</f>
        <v>Lib</v>
      </c>
      <c r="J344" t="str">
        <f>INDEX(Data_products!$A$1:$G$49, MATCH(Data_orders!$D344,Data_products!$A$1:$A$49,0), MATCH(Data_orders!J$1,Data_products!$A$1:$G$1,0))</f>
        <v>D</v>
      </c>
      <c r="K344" s="4">
        <f>INDEX(Data_products!$A$1:$G$49, MATCH(Data_orders!$D344,Data_products!$A$1:$A$49,0), MATCH(Data_orders!K$1,Data_products!$A$1:$G$1,0))</f>
        <v>0.5</v>
      </c>
      <c r="L344">
        <f>INDEX(Data_products!$A$1:$G$49, MATCH(Data_orders!$D344,Data_products!$A$1:$A$49,0), MATCH(Data_orders!L$1,Data_products!$A$1:$G$1,0))</f>
        <v>7.77</v>
      </c>
      <c r="M344">
        <f t="shared" si="10"/>
        <v>38.849999999999994</v>
      </c>
      <c r="N344" t="str" cm="1">
        <f t="array" ref="N344">_xlfn.IFS(I344 = "Rob", "Robusta", I344 = "Exc", "Excelsa", I344 = "Ara", "Arabica", I344 = "Lib", "Liberica")</f>
        <v>Liberica</v>
      </c>
      <c r="O344" t="str">
        <f t="shared" si="11"/>
        <v>Dark</v>
      </c>
      <c r="P344" t="str">
        <f>_xlfn.XLOOKUP(Table1[[#This Row],[Customer ID]],Data_customers!$A$2:$A$1001,Data_customers!$I$2:$I$1001,,0)</f>
        <v>No</v>
      </c>
    </row>
    <row r="345" spans="1:16" x14ac:dyDescent="0.2">
      <c r="A345" s="2" t="s">
        <v>2424</v>
      </c>
      <c r="B345" s="3">
        <v>43692</v>
      </c>
      <c r="C345" s="2" t="s">
        <v>2425</v>
      </c>
      <c r="D345" t="s">
        <v>6172</v>
      </c>
      <c r="E345" s="2">
        <v>6</v>
      </c>
      <c r="F345" s="2" t="str">
        <f>_xlfn.XLOOKUP(Data_orders!C345,Data_customers!$A$1:$A$1001,Data_customers!$B$1:$B$1001,,0)</f>
        <v>Noam Climance</v>
      </c>
      <c r="G345" s="2" t="str">
        <f>IF(_xlfn.XLOOKUP(C345,Data_customers!$A$1:$A$1001,Data_customers!$C$1:$C$1001,,0)=0,"",_xlfn.XLOOKUP(C345,Data_customers!$A$1:$A$1001,Data_customers!$C$1:$C$1001,,0))</f>
        <v>nclimance9j@europa.eu</v>
      </c>
      <c r="H345" s="2" t="str">
        <f>_xlfn.XLOOKUP(C345,Data_customers!$A$1:$A$1001,Data_customers!$G$1:$G$1001,"",0)</f>
        <v>United States</v>
      </c>
      <c r="I345" t="str">
        <f>INDEX(Data_products!$A$1:$G$49, MATCH(Data_orders!$D345,Data_products!$A$1:$A$49,0), MATCH(Data_orders!I$1,Data_products!$A$1:$G$1,0))</f>
        <v>Rob</v>
      </c>
      <c r="J345" t="str">
        <f>INDEX(Data_products!$A$1:$G$49, MATCH(Data_orders!$D345,Data_products!$A$1:$A$49,0), MATCH(Data_orders!J$1,Data_products!$A$1:$G$1,0))</f>
        <v>D</v>
      </c>
      <c r="K345" s="4">
        <f>INDEX(Data_products!$A$1:$G$49, MATCH(Data_orders!$D345,Data_products!$A$1:$A$49,0), MATCH(Data_orders!K$1,Data_products!$A$1:$G$1,0))</f>
        <v>0.5</v>
      </c>
      <c r="L345">
        <f>INDEX(Data_products!$A$1:$G$49, MATCH(Data_orders!$D345,Data_products!$A$1:$A$49,0), MATCH(Data_orders!L$1,Data_products!$A$1:$G$1,0))</f>
        <v>5.3699999999999992</v>
      </c>
      <c r="M345">
        <f t="shared" si="10"/>
        <v>32.22</v>
      </c>
      <c r="N345" t="str" cm="1">
        <f t="array" ref="N345">_xlfn.IFS(I345 = "Rob", "Robusta", I345 = "Exc", "Excelsa", I345 = "Ara", "Arabica", I345 = "Lib", "Liberica")</f>
        <v>Robusta</v>
      </c>
      <c r="O345" t="str">
        <f t="shared" si="11"/>
        <v>Dark</v>
      </c>
      <c r="P345" t="str">
        <f>_xlfn.XLOOKUP(Table1[[#This Row],[Customer ID]],Data_customers!$A$2:$A$1001,Data_customers!$I$2:$I$1001,,0)</f>
        <v>No</v>
      </c>
    </row>
    <row r="346" spans="1:16" x14ac:dyDescent="0.2">
      <c r="A346" s="2" t="s">
        <v>2429</v>
      </c>
      <c r="B346" s="3">
        <v>44529</v>
      </c>
      <c r="C346" s="2" t="s">
        <v>2430</v>
      </c>
      <c r="D346" t="s">
        <v>6138</v>
      </c>
      <c r="E346" s="2">
        <v>2</v>
      </c>
      <c r="F346" s="2" t="str">
        <f>_xlfn.XLOOKUP(Data_orders!C346,Data_customers!$A$1:$A$1001,Data_customers!$B$1:$B$1001,,0)</f>
        <v>Catarina Donn</v>
      </c>
      <c r="G346" s="2" t="str">
        <f>IF(_xlfn.XLOOKUP(C346,Data_customers!$A$1:$A$1001,Data_customers!$C$1:$C$1001,,0)=0,"",_xlfn.XLOOKUP(C346,Data_customers!$A$1:$A$1001,Data_customers!$C$1:$C$1001,,0))</f>
        <v/>
      </c>
      <c r="H346" s="2" t="str">
        <f>_xlfn.XLOOKUP(C346,Data_customers!$A$1:$A$1001,Data_customers!$G$1:$G$1001,"",0)</f>
        <v>Ireland</v>
      </c>
      <c r="I346" t="str">
        <f>INDEX(Data_products!$A$1:$G$49, MATCH(Data_orders!$D346,Data_products!$A$1:$A$49,0), MATCH(Data_orders!I$1,Data_products!$A$1:$G$1,0))</f>
        <v>Rob</v>
      </c>
      <c r="J346" t="str">
        <f>INDEX(Data_products!$A$1:$G$49, MATCH(Data_orders!$D346,Data_products!$A$1:$A$49,0), MATCH(Data_orders!J$1,Data_products!$A$1:$G$1,0))</f>
        <v>M</v>
      </c>
      <c r="K346" s="4">
        <f>INDEX(Data_products!$A$1:$G$49, MATCH(Data_orders!$D346,Data_products!$A$1:$A$49,0), MATCH(Data_orders!K$1,Data_products!$A$1:$G$1,0))</f>
        <v>1</v>
      </c>
      <c r="L346">
        <f>INDEX(Data_products!$A$1:$G$49, MATCH(Data_orders!$D346,Data_products!$A$1:$A$49,0), MATCH(Data_orders!L$1,Data_products!$A$1:$G$1,0))</f>
        <v>9.9499999999999993</v>
      </c>
      <c r="M346">
        <f t="shared" si="10"/>
        <v>19.899999999999999</v>
      </c>
      <c r="N346" t="str" cm="1">
        <f t="array" ref="N346">_xlfn.IFS(I346 = "Rob", "Robusta", I346 = "Exc", "Excelsa", I346 = "Ara", "Arabica", I346 = "Lib", "Liberica")</f>
        <v>Robusta</v>
      </c>
      <c r="O346" t="str">
        <f t="shared" si="11"/>
        <v>Medium</v>
      </c>
      <c r="P346" t="str">
        <f>_xlfn.XLOOKUP(Table1[[#This Row],[Customer ID]],Data_customers!$A$2:$A$1001,Data_customers!$I$2:$I$1001,,0)</f>
        <v>Yes</v>
      </c>
    </row>
    <row r="347" spans="1:16" x14ac:dyDescent="0.2">
      <c r="A347" s="2" t="s">
        <v>2434</v>
      </c>
      <c r="B347" s="3">
        <v>43849</v>
      </c>
      <c r="C347" s="2" t="s">
        <v>2435</v>
      </c>
      <c r="D347" t="s">
        <v>6179</v>
      </c>
      <c r="E347" s="2">
        <v>5</v>
      </c>
      <c r="F347" s="2" t="str">
        <f>_xlfn.XLOOKUP(Data_orders!C347,Data_customers!$A$1:$A$1001,Data_customers!$B$1:$B$1001,,0)</f>
        <v>Ameline Snazle</v>
      </c>
      <c r="G347" s="2" t="str">
        <f>IF(_xlfn.XLOOKUP(C347,Data_customers!$A$1:$A$1001,Data_customers!$C$1:$C$1001,,0)=0,"",_xlfn.XLOOKUP(C347,Data_customers!$A$1:$A$1001,Data_customers!$C$1:$C$1001,,0))</f>
        <v>asnazle9l@oracle.com</v>
      </c>
      <c r="H347" s="2" t="str">
        <f>_xlfn.XLOOKUP(C347,Data_customers!$A$1:$A$1001,Data_customers!$G$1:$G$1001,"",0)</f>
        <v>United States</v>
      </c>
      <c r="I347" t="str">
        <f>INDEX(Data_products!$A$1:$G$49, MATCH(Data_orders!$D347,Data_products!$A$1:$A$49,0), MATCH(Data_orders!I$1,Data_products!$A$1:$G$1,0))</f>
        <v>Rob</v>
      </c>
      <c r="J347" t="str">
        <f>INDEX(Data_products!$A$1:$G$49, MATCH(Data_orders!$D347,Data_products!$A$1:$A$49,0), MATCH(Data_orders!J$1,Data_products!$A$1:$G$1,0))</f>
        <v>L</v>
      </c>
      <c r="K347" s="4">
        <f>INDEX(Data_products!$A$1:$G$49, MATCH(Data_orders!$D347,Data_products!$A$1:$A$49,0), MATCH(Data_orders!K$1,Data_products!$A$1:$G$1,0))</f>
        <v>1</v>
      </c>
      <c r="L347">
        <f>INDEX(Data_products!$A$1:$G$49, MATCH(Data_orders!$D347,Data_products!$A$1:$A$49,0), MATCH(Data_orders!L$1,Data_products!$A$1:$G$1,0))</f>
        <v>11.95</v>
      </c>
      <c r="M347">
        <f t="shared" si="10"/>
        <v>59.75</v>
      </c>
      <c r="N347" t="str" cm="1">
        <f t="array" ref="N347">_xlfn.IFS(I347 = "Rob", "Robusta", I347 = "Exc", "Excelsa", I347 = "Ara", "Arabica", I347 = "Lib", "Liberica")</f>
        <v>Robusta</v>
      </c>
      <c r="O347" t="str">
        <f t="shared" si="11"/>
        <v>Light</v>
      </c>
      <c r="P347" t="str">
        <f>_xlfn.XLOOKUP(Table1[[#This Row],[Customer ID]],Data_customers!$A$2:$A$1001,Data_customers!$I$2:$I$1001,,0)</f>
        <v>No</v>
      </c>
    </row>
    <row r="348" spans="1:16" x14ac:dyDescent="0.2">
      <c r="A348" s="2" t="s">
        <v>2440</v>
      </c>
      <c r="B348" s="3">
        <v>44344</v>
      </c>
      <c r="C348" s="2" t="s">
        <v>2441</v>
      </c>
      <c r="D348" t="s">
        <v>6180</v>
      </c>
      <c r="E348" s="2">
        <v>3</v>
      </c>
      <c r="F348" s="2" t="str">
        <f>_xlfn.XLOOKUP(Data_orders!C348,Data_customers!$A$1:$A$1001,Data_customers!$B$1:$B$1001,,0)</f>
        <v>Rebeka Worg</v>
      </c>
      <c r="G348" s="2" t="str">
        <f>IF(_xlfn.XLOOKUP(C348,Data_customers!$A$1:$A$1001,Data_customers!$C$1:$C$1001,,0)=0,"",_xlfn.XLOOKUP(C348,Data_customers!$A$1:$A$1001,Data_customers!$C$1:$C$1001,,0))</f>
        <v>rworg9m@arstechnica.com</v>
      </c>
      <c r="H348" s="2" t="str">
        <f>_xlfn.XLOOKUP(C348,Data_customers!$A$1:$A$1001,Data_customers!$G$1:$G$1001,"",0)</f>
        <v>United States</v>
      </c>
      <c r="I348" t="str">
        <f>INDEX(Data_products!$A$1:$G$49, MATCH(Data_orders!$D348,Data_products!$A$1:$A$49,0), MATCH(Data_orders!I$1,Data_products!$A$1:$G$1,0))</f>
        <v>Ara</v>
      </c>
      <c r="J348" t="str">
        <f>INDEX(Data_products!$A$1:$G$49, MATCH(Data_orders!$D348,Data_products!$A$1:$A$49,0), MATCH(Data_orders!J$1,Data_products!$A$1:$G$1,0))</f>
        <v>L</v>
      </c>
      <c r="K348" s="4">
        <f>INDEX(Data_products!$A$1:$G$49, MATCH(Data_orders!$D348,Data_products!$A$1:$A$49,0), MATCH(Data_orders!K$1,Data_products!$A$1:$G$1,0))</f>
        <v>0.5</v>
      </c>
      <c r="L348">
        <f>INDEX(Data_products!$A$1:$G$49, MATCH(Data_orders!$D348,Data_products!$A$1:$A$49,0), MATCH(Data_orders!L$1,Data_products!$A$1:$G$1,0))</f>
        <v>7.77</v>
      </c>
      <c r="M348">
        <f t="shared" si="10"/>
        <v>23.31</v>
      </c>
      <c r="N348" t="str" cm="1">
        <f t="array" ref="N348">_xlfn.IFS(I348 = "Rob", "Robusta", I348 = "Exc", "Excelsa", I348 = "Ara", "Arabica", I348 = "Lib", "Liberica")</f>
        <v>Arabica</v>
      </c>
      <c r="O348" t="str">
        <f t="shared" si="11"/>
        <v>Light</v>
      </c>
      <c r="P348" t="str">
        <f>_xlfn.XLOOKUP(Table1[[#This Row],[Customer ID]],Data_customers!$A$2:$A$1001,Data_customers!$I$2:$I$1001,,0)</f>
        <v>Yes</v>
      </c>
    </row>
    <row r="349" spans="1:16" x14ac:dyDescent="0.2">
      <c r="A349" s="2" t="s">
        <v>2446</v>
      </c>
      <c r="B349" s="3">
        <v>44576</v>
      </c>
      <c r="C349" s="2" t="s">
        <v>2447</v>
      </c>
      <c r="D349" t="s">
        <v>6162</v>
      </c>
      <c r="E349" s="2">
        <v>3</v>
      </c>
      <c r="F349" s="2" t="str">
        <f>_xlfn.XLOOKUP(Data_orders!C349,Data_customers!$A$1:$A$1001,Data_customers!$B$1:$B$1001,,0)</f>
        <v>Lewes Danes</v>
      </c>
      <c r="G349" s="2" t="str">
        <f>IF(_xlfn.XLOOKUP(C349,Data_customers!$A$1:$A$1001,Data_customers!$C$1:$C$1001,,0)=0,"",_xlfn.XLOOKUP(C349,Data_customers!$A$1:$A$1001,Data_customers!$C$1:$C$1001,,0))</f>
        <v>ldanes9n@umn.edu</v>
      </c>
      <c r="H349" s="2" t="str">
        <f>_xlfn.XLOOKUP(C349,Data_customers!$A$1:$A$1001,Data_customers!$G$1:$G$1001,"",0)</f>
        <v>United States</v>
      </c>
      <c r="I349" t="str">
        <f>INDEX(Data_products!$A$1:$G$49, MATCH(Data_orders!$D349,Data_products!$A$1:$A$49,0), MATCH(Data_orders!I$1,Data_products!$A$1:$G$1,0))</f>
        <v>Lib</v>
      </c>
      <c r="J349" t="str">
        <f>INDEX(Data_products!$A$1:$G$49, MATCH(Data_orders!$D349,Data_products!$A$1:$A$49,0), MATCH(Data_orders!J$1,Data_products!$A$1:$G$1,0))</f>
        <v>M</v>
      </c>
      <c r="K349" s="4">
        <f>INDEX(Data_products!$A$1:$G$49, MATCH(Data_orders!$D349,Data_products!$A$1:$A$49,0), MATCH(Data_orders!K$1,Data_products!$A$1:$G$1,0))</f>
        <v>1</v>
      </c>
      <c r="L349">
        <f>INDEX(Data_products!$A$1:$G$49, MATCH(Data_orders!$D349,Data_products!$A$1:$A$49,0), MATCH(Data_orders!L$1,Data_products!$A$1:$G$1,0))</f>
        <v>14.55</v>
      </c>
      <c r="M349">
        <f t="shared" si="10"/>
        <v>43.650000000000006</v>
      </c>
      <c r="N349" t="str" cm="1">
        <f t="array" ref="N349">_xlfn.IFS(I349 = "Rob", "Robusta", I349 = "Exc", "Excelsa", I349 = "Ara", "Arabica", I349 = "Lib", "Liberica")</f>
        <v>Liberica</v>
      </c>
      <c r="O349" t="str">
        <f t="shared" si="11"/>
        <v>Medium</v>
      </c>
      <c r="P349" t="str">
        <f>_xlfn.XLOOKUP(Table1[[#This Row],[Customer ID]],Data_customers!$A$2:$A$1001,Data_customers!$I$2:$I$1001,,0)</f>
        <v>No</v>
      </c>
    </row>
    <row r="350" spans="1:16" x14ac:dyDescent="0.2">
      <c r="A350" s="2" t="s">
        <v>2452</v>
      </c>
      <c r="B350" s="3">
        <v>43803</v>
      </c>
      <c r="C350" s="2" t="s">
        <v>2453</v>
      </c>
      <c r="D350" t="s">
        <v>6148</v>
      </c>
      <c r="E350" s="2">
        <v>6</v>
      </c>
      <c r="F350" s="2" t="str">
        <f>_xlfn.XLOOKUP(Data_orders!C350,Data_customers!$A$1:$A$1001,Data_customers!$B$1:$B$1001,,0)</f>
        <v>Shelli Keynd</v>
      </c>
      <c r="G350" s="2" t="str">
        <f>IF(_xlfn.XLOOKUP(C350,Data_customers!$A$1:$A$1001,Data_customers!$C$1:$C$1001,,0)=0,"",_xlfn.XLOOKUP(C350,Data_customers!$A$1:$A$1001,Data_customers!$C$1:$C$1001,,0))</f>
        <v>skeynd9o@narod.ru</v>
      </c>
      <c r="H350" s="2" t="str">
        <f>_xlfn.XLOOKUP(C350,Data_customers!$A$1:$A$1001,Data_customers!$G$1:$G$1001,"",0)</f>
        <v>United States</v>
      </c>
      <c r="I350" t="str">
        <f>INDEX(Data_products!$A$1:$G$49, MATCH(Data_orders!$D350,Data_products!$A$1:$A$49,0), MATCH(Data_orders!I$1,Data_products!$A$1:$G$1,0))</f>
        <v>Exc</v>
      </c>
      <c r="J350" t="str">
        <f>INDEX(Data_products!$A$1:$G$49, MATCH(Data_orders!$D350,Data_products!$A$1:$A$49,0), MATCH(Data_orders!J$1,Data_products!$A$1:$G$1,0))</f>
        <v>L</v>
      </c>
      <c r="K350" s="4">
        <f>INDEX(Data_products!$A$1:$G$49, MATCH(Data_orders!$D350,Data_products!$A$1:$A$49,0), MATCH(Data_orders!K$1,Data_products!$A$1:$G$1,0))</f>
        <v>2.5</v>
      </c>
      <c r="L350">
        <f>INDEX(Data_products!$A$1:$G$49, MATCH(Data_orders!$D350,Data_products!$A$1:$A$49,0), MATCH(Data_orders!L$1,Data_products!$A$1:$G$1,0))</f>
        <v>34.154999999999994</v>
      </c>
      <c r="M350">
        <f t="shared" si="10"/>
        <v>204.92999999999995</v>
      </c>
      <c r="N350" t="str" cm="1">
        <f t="array" ref="N350">_xlfn.IFS(I350 = "Rob", "Robusta", I350 = "Exc", "Excelsa", I350 = "Ara", "Arabica", I350 = "Lib", "Liberica")</f>
        <v>Excelsa</v>
      </c>
      <c r="O350" t="str">
        <f t="shared" si="11"/>
        <v>Light</v>
      </c>
      <c r="P350" t="str">
        <f>_xlfn.XLOOKUP(Table1[[#This Row],[Customer ID]],Data_customers!$A$2:$A$1001,Data_customers!$I$2:$I$1001,,0)</f>
        <v>No</v>
      </c>
    </row>
    <row r="351" spans="1:16" x14ac:dyDescent="0.2">
      <c r="A351" s="2" t="s">
        <v>2458</v>
      </c>
      <c r="B351" s="3">
        <v>44743</v>
      </c>
      <c r="C351" s="2" t="s">
        <v>2459</v>
      </c>
      <c r="D351" t="s">
        <v>6178</v>
      </c>
      <c r="E351" s="2">
        <v>4</v>
      </c>
      <c r="F351" s="2" t="str">
        <f>_xlfn.XLOOKUP(Data_orders!C351,Data_customers!$A$1:$A$1001,Data_customers!$B$1:$B$1001,,0)</f>
        <v>Dell Daveridge</v>
      </c>
      <c r="G351" s="2" t="str">
        <f>IF(_xlfn.XLOOKUP(C351,Data_customers!$A$1:$A$1001,Data_customers!$C$1:$C$1001,,0)=0,"",_xlfn.XLOOKUP(C351,Data_customers!$A$1:$A$1001,Data_customers!$C$1:$C$1001,,0))</f>
        <v>ddaveridge9p@arstechnica.com</v>
      </c>
      <c r="H351" s="2" t="str">
        <f>_xlfn.XLOOKUP(C351,Data_customers!$A$1:$A$1001,Data_customers!$G$1:$G$1001,"",0)</f>
        <v>United States</v>
      </c>
      <c r="I351" t="str">
        <f>INDEX(Data_products!$A$1:$G$49, MATCH(Data_orders!$D351,Data_products!$A$1:$A$49,0), MATCH(Data_orders!I$1,Data_products!$A$1:$G$1,0))</f>
        <v>Rob</v>
      </c>
      <c r="J351" t="str">
        <f>INDEX(Data_products!$A$1:$G$49, MATCH(Data_orders!$D351,Data_products!$A$1:$A$49,0), MATCH(Data_orders!J$1,Data_products!$A$1:$G$1,0))</f>
        <v>L</v>
      </c>
      <c r="K351" s="4">
        <f>INDEX(Data_products!$A$1:$G$49, MATCH(Data_orders!$D351,Data_products!$A$1:$A$49,0), MATCH(Data_orders!K$1,Data_products!$A$1:$G$1,0))</f>
        <v>0.2</v>
      </c>
      <c r="L351">
        <f>INDEX(Data_products!$A$1:$G$49, MATCH(Data_orders!$D351,Data_products!$A$1:$A$49,0), MATCH(Data_orders!L$1,Data_products!$A$1:$G$1,0))</f>
        <v>3.5849999999999995</v>
      </c>
      <c r="M351">
        <f t="shared" si="10"/>
        <v>14.339999999999998</v>
      </c>
      <c r="N351" t="str" cm="1">
        <f t="array" ref="N351">_xlfn.IFS(I351 = "Rob", "Robusta", I351 = "Exc", "Excelsa", I351 = "Ara", "Arabica", I351 = "Lib", "Liberica")</f>
        <v>Robusta</v>
      </c>
      <c r="O351" t="str">
        <f t="shared" si="11"/>
        <v>Light</v>
      </c>
      <c r="P351" t="str">
        <f>_xlfn.XLOOKUP(Table1[[#This Row],[Customer ID]],Data_customers!$A$2:$A$1001,Data_customers!$I$2:$I$1001,,0)</f>
        <v>No</v>
      </c>
    </row>
    <row r="352" spans="1:16" x14ac:dyDescent="0.2">
      <c r="A352" s="2" t="s">
        <v>2464</v>
      </c>
      <c r="B352" s="3">
        <v>43592</v>
      </c>
      <c r="C352" s="2" t="s">
        <v>2465</v>
      </c>
      <c r="D352" t="s">
        <v>6158</v>
      </c>
      <c r="E352" s="2">
        <v>4</v>
      </c>
      <c r="F352" s="2" t="str">
        <f>_xlfn.XLOOKUP(Data_orders!C352,Data_customers!$A$1:$A$1001,Data_customers!$B$1:$B$1001,,0)</f>
        <v>Joshuah Awdry</v>
      </c>
      <c r="G352" s="2" t="str">
        <f>IF(_xlfn.XLOOKUP(C352,Data_customers!$A$1:$A$1001,Data_customers!$C$1:$C$1001,,0)=0,"",_xlfn.XLOOKUP(C352,Data_customers!$A$1:$A$1001,Data_customers!$C$1:$C$1001,,0))</f>
        <v>jawdry9q@utexas.edu</v>
      </c>
      <c r="H352" s="2" t="str">
        <f>_xlfn.XLOOKUP(C352,Data_customers!$A$1:$A$1001,Data_customers!$G$1:$G$1001,"",0)</f>
        <v>United States</v>
      </c>
      <c r="I352" t="str">
        <f>INDEX(Data_products!$A$1:$G$49, MATCH(Data_orders!$D352,Data_products!$A$1:$A$49,0), MATCH(Data_orders!I$1,Data_products!$A$1:$G$1,0))</f>
        <v>Ara</v>
      </c>
      <c r="J352" t="str">
        <f>INDEX(Data_products!$A$1:$G$49, MATCH(Data_orders!$D352,Data_products!$A$1:$A$49,0), MATCH(Data_orders!J$1,Data_products!$A$1:$G$1,0))</f>
        <v>D</v>
      </c>
      <c r="K352" s="4">
        <f>INDEX(Data_products!$A$1:$G$49, MATCH(Data_orders!$D352,Data_products!$A$1:$A$49,0), MATCH(Data_orders!K$1,Data_products!$A$1:$G$1,0))</f>
        <v>0.5</v>
      </c>
      <c r="L352">
        <f>INDEX(Data_products!$A$1:$G$49, MATCH(Data_orders!$D352,Data_products!$A$1:$A$49,0), MATCH(Data_orders!L$1,Data_products!$A$1:$G$1,0))</f>
        <v>5.97</v>
      </c>
      <c r="M352">
        <f t="shared" si="10"/>
        <v>23.88</v>
      </c>
      <c r="N352" t="str" cm="1">
        <f t="array" ref="N352">_xlfn.IFS(I352 = "Rob", "Robusta", I352 = "Exc", "Excelsa", I352 = "Ara", "Arabica", I352 = "Lib", "Liberica")</f>
        <v>Arabica</v>
      </c>
      <c r="O352" t="str">
        <f t="shared" si="11"/>
        <v>Dark</v>
      </c>
      <c r="P352" t="str">
        <f>_xlfn.XLOOKUP(Table1[[#This Row],[Customer ID]],Data_customers!$A$2:$A$1001,Data_customers!$I$2:$I$1001,,0)</f>
        <v>No</v>
      </c>
    </row>
    <row r="353" spans="1:16" x14ac:dyDescent="0.2">
      <c r="A353" s="2" t="s">
        <v>2470</v>
      </c>
      <c r="B353" s="3">
        <v>44066</v>
      </c>
      <c r="C353" s="2" t="s">
        <v>2471</v>
      </c>
      <c r="D353" t="s">
        <v>6155</v>
      </c>
      <c r="E353" s="2">
        <v>2</v>
      </c>
      <c r="F353" s="2" t="str">
        <f>_xlfn.XLOOKUP(Data_orders!C353,Data_customers!$A$1:$A$1001,Data_customers!$B$1:$B$1001,,0)</f>
        <v>Ethel Ryles</v>
      </c>
      <c r="G353" s="2" t="str">
        <f>IF(_xlfn.XLOOKUP(C353,Data_customers!$A$1:$A$1001,Data_customers!$C$1:$C$1001,,0)=0,"",_xlfn.XLOOKUP(C353,Data_customers!$A$1:$A$1001,Data_customers!$C$1:$C$1001,,0))</f>
        <v>eryles9r@fastcompany.com</v>
      </c>
      <c r="H353" s="2" t="str">
        <f>_xlfn.XLOOKUP(C353,Data_customers!$A$1:$A$1001,Data_customers!$G$1:$G$1001,"",0)</f>
        <v>United States</v>
      </c>
      <c r="I353" t="str">
        <f>INDEX(Data_products!$A$1:$G$49, MATCH(Data_orders!$D353,Data_products!$A$1:$A$49,0), MATCH(Data_orders!I$1,Data_products!$A$1:$G$1,0))</f>
        <v>Ara</v>
      </c>
      <c r="J353" t="str">
        <f>INDEX(Data_products!$A$1:$G$49, MATCH(Data_orders!$D353,Data_products!$A$1:$A$49,0), MATCH(Data_orders!J$1,Data_products!$A$1:$G$1,0))</f>
        <v>M</v>
      </c>
      <c r="K353" s="4">
        <f>INDEX(Data_products!$A$1:$G$49, MATCH(Data_orders!$D353,Data_products!$A$1:$A$49,0), MATCH(Data_orders!K$1,Data_products!$A$1:$G$1,0))</f>
        <v>1</v>
      </c>
      <c r="L353">
        <f>INDEX(Data_products!$A$1:$G$49, MATCH(Data_orders!$D353,Data_products!$A$1:$A$49,0), MATCH(Data_orders!L$1,Data_products!$A$1:$G$1,0))</f>
        <v>11.25</v>
      </c>
      <c r="M353">
        <f t="shared" si="10"/>
        <v>22.5</v>
      </c>
      <c r="N353" t="str" cm="1">
        <f t="array" ref="N353">_xlfn.IFS(I353 = "Rob", "Robusta", I353 = "Exc", "Excelsa", I353 = "Ara", "Arabica", I353 = "Lib", "Liberica")</f>
        <v>Arabica</v>
      </c>
      <c r="O353" t="str">
        <f t="shared" si="11"/>
        <v>Medium</v>
      </c>
      <c r="P353" t="str">
        <f>_xlfn.XLOOKUP(Table1[[#This Row],[Customer ID]],Data_customers!$A$2:$A$1001,Data_customers!$I$2:$I$1001,,0)</f>
        <v>No</v>
      </c>
    </row>
    <row r="354" spans="1:16" x14ac:dyDescent="0.2">
      <c r="A354" s="2" t="s">
        <v>2476</v>
      </c>
      <c r="B354" s="3">
        <v>43984</v>
      </c>
      <c r="C354" s="2" t="s">
        <v>2331</v>
      </c>
      <c r="D354" t="s">
        <v>6144</v>
      </c>
      <c r="E354" s="2">
        <v>5</v>
      </c>
      <c r="F354" s="2" t="str">
        <f>_xlfn.XLOOKUP(Data_orders!C354,Data_customers!$A$1:$A$1001,Data_customers!$B$1:$B$1001,,0)</f>
        <v>Flynn Antony</v>
      </c>
      <c r="G354" s="2" t="str">
        <f>IF(_xlfn.XLOOKUP(C354,Data_customers!$A$1:$A$1001,Data_customers!$C$1:$C$1001,,0)=0,"",_xlfn.XLOOKUP(C354,Data_customers!$A$1:$A$1001,Data_customers!$C$1:$C$1001,,0))</f>
        <v/>
      </c>
      <c r="H354" s="2" t="str">
        <f>_xlfn.XLOOKUP(C354,Data_customers!$A$1:$A$1001,Data_customers!$G$1:$G$1001,"",0)</f>
        <v>United States</v>
      </c>
      <c r="I354" t="str">
        <f>INDEX(Data_products!$A$1:$G$49, MATCH(Data_orders!$D354,Data_products!$A$1:$A$49,0), MATCH(Data_orders!I$1,Data_products!$A$1:$G$1,0))</f>
        <v>Exc</v>
      </c>
      <c r="J354" t="str">
        <f>INDEX(Data_products!$A$1:$G$49, MATCH(Data_orders!$D354,Data_products!$A$1:$A$49,0), MATCH(Data_orders!J$1,Data_products!$A$1:$G$1,0))</f>
        <v>D</v>
      </c>
      <c r="K354" s="4">
        <f>INDEX(Data_products!$A$1:$G$49, MATCH(Data_orders!$D354,Data_products!$A$1:$A$49,0), MATCH(Data_orders!K$1,Data_products!$A$1:$G$1,0))</f>
        <v>0.5</v>
      </c>
      <c r="L354">
        <f>INDEX(Data_products!$A$1:$G$49, MATCH(Data_orders!$D354,Data_products!$A$1:$A$49,0), MATCH(Data_orders!L$1,Data_products!$A$1:$G$1,0))</f>
        <v>7.29</v>
      </c>
      <c r="M354">
        <f t="shared" si="10"/>
        <v>36.450000000000003</v>
      </c>
      <c r="N354" t="str" cm="1">
        <f t="array" ref="N354">_xlfn.IFS(I354 = "Rob", "Robusta", I354 = "Exc", "Excelsa", I354 = "Ara", "Arabica", I354 = "Lib", "Liberica")</f>
        <v>Excelsa</v>
      </c>
      <c r="O354" t="str">
        <f t="shared" si="11"/>
        <v>Dark</v>
      </c>
      <c r="P354" t="str">
        <f>_xlfn.XLOOKUP(Table1[[#This Row],[Customer ID]],Data_customers!$A$2:$A$1001,Data_customers!$I$2:$I$1001,,0)</f>
        <v>No</v>
      </c>
    </row>
    <row r="355" spans="1:16" x14ac:dyDescent="0.2">
      <c r="A355" s="2" t="s">
        <v>2482</v>
      </c>
      <c r="B355" s="3">
        <v>43860</v>
      </c>
      <c r="C355" s="2" t="s">
        <v>2483</v>
      </c>
      <c r="D355" t="s">
        <v>6157</v>
      </c>
      <c r="E355" s="2">
        <v>4</v>
      </c>
      <c r="F355" s="2" t="str">
        <f>_xlfn.XLOOKUP(Data_orders!C355,Data_customers!$A$1:$A$1001,Data_customers!$B$1:$B$1001,,0)</f>
        <v>Maitilde Boxill</v>
      </c>
      <c r="G355" s="2" t="str">
        <f>IF(_xlfn.XLOOKUP(C355,Data_customers!$A$1:$A$1001,Data_customers!$C$1:$C$1001,,0)=0,"",_xlfn.XLOOKUP(C355,Data_customers!$A$1:$A$1001,Data_customers!$C$1:$C$1001,,0))</f>
        <v/>
      </c>
      <c r="H355" s="2" t="str">
        <f>_xlfn.XLOOKUP(C355,Data_customers!$A$1:$A$1001,Data_customers!$G$1:$G$1001,"",0)</f>
        <v>United States</v>
      </c>
      <c r="I355" t="str">
        <f>INDEX(Data_products!$A$1:$G$49, MATCH(Data_orders!$D355,Data_products!$A$1:$A$49,0), MATCH(Data_orders!I$1,Data_products!$A$1:$G$1,0))</f>
        <v>Ara</v>
      </c>
      <c r="J355" t="str">
        <f>INDEX(Data_products!$A$1:$G$49, MATCH(Data_orders!$D355,Data_products!$A$1:$A$49,0), MATCH(Data_orders!J$1,Data_products!$A$1:$G$1,0))</f>
        <v>M</v>
      </c>
      <c r="K355" s="4">
        <f>INDEX(Data_products!$A$1:$G$49, MATCH(Data_orders!$D355,Data_products!$A$1:$A$49,0), MATCH(Data_orders!K$1,Data_products!$A$1:$G$1,0))</f>
        <v>0.5</v>
      </c>
      <c r="L355">
        <f>INDEX(Data_products!$A$1:$G$49, MATCH(Data_orders!$D355,Data_products!$A$1:$A$49,0), MATCH(Data_orders!L$1,Data_products!$A$1:$G$1,0))</f>
        <v>6.75</v>
      </c>
      <c r="M355">
        <f t="shared" si="10"/>
        <v>27</v>
      </c>
      <c r="N355" t="str" cm="1">
        <f t="array" ref="N355">_xlfn.IFS(I355 = "Rob", "Robusta", I355 = "Exc", "Excelsa", I355 = "Ara", "Arabica", I355 = "Lib", "Liberica")</f>
        <v>Arabica</v>
      </c>
      <c r="O355" t="str">
        <f t="shared" si="11"/>
        <v>Medium</v>
      </c>
      <c r="P355" t="str">
        <f>_xlfn.XLOOKUP(Table1[[#This Row],[Customer ID]],Data_customers!$A$2:$A$1001,Data_customers!$I$2:$I$1001,,0)</f>
        <v>Yes</v>
      </c>
    </row>
    <row r="356" spans="1:16" x14ac:dyDescent="0.2">
      <c r="A356" s="2" t="s">
        <v>2487</v>
      </c>
      <c r="B356" s="3">
        <v>43876</v>
      </c>
      <c r="C356" s="2" t="s">
        <v>2488</v>
      </c>
      <c r="D356" t="s">
        <v>6175</v>
      </c>
      <c r="E356" s="2">
        <v>6</v>
      </c>
      <c r="F356" s="2" t="str">
        <f>_xlfn.XLOOKUP(Data_orders!C356,Data_customers!$A$1:$A$1001,Data_customers!$B$1:$B$1001,,0)</f>
        <v>Jodee Caldicott</v>
      </c>
      <c r="G356" s="2" t="str">
        <f>IF(_xlfn.XLOOKUP(C356,Data_customers!$A$1:$A$1001,Data_customers!$C$1:$C$1001,,0)=0,"",_xlfn.XLOOKUP(C356,Data_customers!$A$1:$A$1001,Data_customers!$C$1:$C$1001,,0))</f>
        <v>jcaldicott9u@usda.gov</v>
      </c>
      <c r="H356" s="2" t="str">
        <f>_xlfn.XLOOKUP(C356,Data_customers!$A$1:$A$1001,Data_customers!$G$1:$G$1001,"",0)</f>
        <v>United States</v>
      </c>
      <c r="I356" t="str">
        <f>INDEX(Data_products!$A$1:$G$49, MATCH(Data_orders!$D356,Data_products!$A$1:$A$49,0), MATCH(Data_orders!I$1,Data_products!$A$1:$G$1,0))</f>
        <v>Ara</v>
      </c>
      <c r="J356" t="str">
        <f>INDEX(Data_products!$A$1:$G$49, MATCH(Data_orders!$D356,Data_products!$A$1:$A$49,0), MATCH(Data_orders!J$1,Data_products!$A$1:$G$1,0))</f>
        <v>M</v>
      </c>
      <c r="K356" s="4">
        <f>INDEX(Data_products!$A$1:$G$49, MATCH(Data_orders!$D356,Data_products!$A$1:$A$49,0), MATCH(Data_orders!K$1,Data_products!$A$1:$G$1,0))</f>
        <v>2.5</v>
      </c>
      <c r="L356">
        <f>INDEX(Data_products!$A$1:$G$49, MATCH(Data_orders!$D356,Data_products!$A$1:$A$49,0), MATCH(Data_orders!L$1,Data_products!$A$1:$G$1,0))</f>
        <v>25.874999999999996</v>
      </c>
      <c r="M356">
        <f t="shared" si="10"/>
        <v>155.24999999999997</v>
      </c>
      <c r="N356" t="str" cm="1">
        <f t="array" ref="N356">_xlfn.IFS(I356 = "Rob", "Robusta", I356 = "Exc", "Excelsa", I356 = "Ara", "Arabica", I356 = "Lib", "Liberica")</f>
        <v>Arabica</v>
      </c>
      <c r="O356" t="str">
        <f t="shared" si="11"/>
        <v>Medium</v>
      </c>
      <c r="P356" t="str">
        <f>_xlfn.XLOOKUP(Table1[[#This Row],[Customer ID]],Data_customers!$A$2:$A$1001,Data_customers!$I$2:$I$1001,,0)</f>
        <v>No</v>
      </c>
    </row>
    <row r="357" spans="1:16" x14ac:dyDescent="0.2">
      <c r="A357" s="2" t="s">
        <v>2492</v>
      </c>
      <c r="B357" s="3">
        <v>44358</v>
      </c>
      <c r="C357" s="2" t="s">
        <v>2493</v>
      </c>
      <c r="D357" t="s">
        <v>6168</v>
      </c>
      <c r="E357" s="2">
        <v>5</v>
      </c>
      <c r="F357" s="2" t="str">
        <f>_xlfn.XLOOKUP(Data_orders!C357,Data_customers!$A$1:$A$1001,Data_customers!$B$1:$B$1001,,0)</f>
        <v>Marianna Vedmore</v>
      </c>
      <c r="G357" s="2" t="str">
        <f>IF(_xlfn.XLOOKUP(C357,Data_customers!$A$1:$A$1001,Data_customers!$C$1:$C$1001,,0)=0,"",_xlfn.XLOOKUP(C357,Data_customers!$A$1:$A$1001,Data_customers!$C$1:$C$1001,,0))</f>
        <v>mvedmore9v@a8.net</v>
      </c>
      <c r="H357" s="2" t="str">
        <f>_xlfn.XLOOKUP(C357,Data_customers!$A$1:$A$1001,Data_customers!$G$1:$G$1001,"",0)</f>
        <v>United States</v>
      </c>
      <c r="I357" t="str">
        <f>INDEX(Data_products!$A$1:$G$49, MATCH(Data_orders!$D357,Data_products!$A$1:$A$49,0), MATCH(Data_orders!I$1,Data_products!$A$1:$G$1,0))</f>
        <v>Ara</v>
      </c>
      <c r="J357" t="str">
        <f>INDEX(Data_products!$A$1:$G$49, MATCH(Data_orders!$D357,Data_products!$A$1:$A$49,0), MATCH(Data_orders!J$1,Data_products!$A$1:$G$1,0))</f>
        <v>D</v>
      </c>
      <c r="K357" s="4">
        <f>INDEX(Data_products!$A$1:$G$49, MATCH(Data_orders!$D357,Data_products!$A$1:$A$49,0), MATCH(Data_orders!K$1,Data_products!$A$1:$G$1,0))</f>
        <v>2.5</v>
      </c>
      <c r="L357">
        <f>INDEX(Data_products!$A$1:$G$49, MATCH(Data_orders!$D357,Data_products!$A$1:$A$49,0), MATCH(Data_orders!L$1,Data_products!$A$1:$G$1,0))</f>
        <v>22.884999999999998</v>
      </c>
      <c r="M357">
        <f t="shared" si="10"/>
        <v>114.42499999999998</v>
      </c>
      <c r="N357" t="str" cm="1">
        <f t="array" ref="N357">_xlfn.IFS(I357 = "Rob", "Robusta", I357 = "Exc", "Excelsa", I357 = "Ara", "Arabica", I357 = "Lib", "Liberica")</f>
        <v>Arabica</v>
      </c>
      <c r="O357" t="str">
        <f t="shared" si="11"/>
        <v>Dark</v>
      </c>
      <c r="P357" t="str">
        <f>_xlfn.XLOOKUP(Table1[[#This Row],[Customer ID]],Data_customers!$A$2:$A$1001,Data_customers!$I$2:$I$1001,,0)</f>
        <v>Yes</v>
      </c>
    </row>
    <row r="358" spans="1:16" x14ac:dyDescent="0.2">
      <c r="A358" s="2" t="s">
        <v>2498</v>
      </c>
      <c r="B358" s="3">
        <v>44631</v>
      </c>
      <c r="C358" s="2" t="s">
        <v>2499</v>
      </c>
      <c r="D358" t="s">
        <v>6143</v>
      </c>
      <c r="E358" s="2">
        <v>4</v>
      </c>
      <c r="F358" s="2" t="str">
        <f>_xlfn.XLOOKUP(Data_orders!C358,Data_customers!$A$1:$A$1001,Data_customers!$B$1:$B$1001,,0)</f>
        <v>Willey Romao</v>
      </c>
      <c r="G358" s="2" t="str">
        <f>IF(_xlfn.XLOOKUP(C358,Data_customers!$A$1:$A$1001,Data_customers!$C$1:$C$1001,,0)=0,"",_xlfn.XLOOKUP(C358,Data_customers!$A$1:$A$1001,Data_customers!$C$1:$C$1001,,0))</f>
        <v>wromao9w@chronoengine.com</v>
      </c>
      <c r="H358" s="2" t="str">
        <f>_xlfn.XLOOKUP(C358,Data_customers!$A$1:$A$1001,Data_customers!$G$1:$G$1001,"",0)</f>
        <v>United States</v>
      </c>
      <c r="I358" t="str">
        <f>INDEX(Data_products!$A$1:$G$49, MATCH(Data_orders!$D358,Data_products!$A$1:$A$49,0), MATCH(Data_orders!I$1,Data_products!$A$1:$G$1,0))</f>
        <v>Lib</v>
      </c>
      <c r="J358" t="str">
        <f>INDEX(Data_products!$A$1:$G$49, MATCH(Data_orders!$D358,Data_products!$A$1:$A$49,0), MATCH(Data_orders!J$1,Data_products!$A$1:$G$1,0))</f>
        <v>D</v>
      </c>
      <c r="K358" s="4">
        <f>INDEX(Data_products!$A$1:$G$49, MATCH(Data_orders!$D358,Data_products!$A$1:$A$49,0), MATCH(Data_orders!K$1,Data_products!$A$1:$G$1,0))</f>
        <v>1</v>
      </c>
      <c r="L358">
        <f>INDEX(Data_products!$A$1:$G$49, MATCH(Data_orders!$D358,Data_products!$A$1:$A$49,0), MATCH(Data_orders!L$1,Data_products!$A$1:$G$1,0))</f>
        <v>12.95</v>
      </c>
      <c r="M358">
        <f t="shared" si="10"/>
        <v>51.8</v>
      </c>
      <c r="N358" t="str" cm="1">
        <f t="array" ref="N358">_xlfn.IFS(I358 = "Rob", "Robusta", I358 = "Exc", "Excelsa", I358 = "Ara", "Arabica", I358 = "Lib", "Liberica")</f>
        <v>Liberica</v>
      </c>
      <c r="O358" t="str">
        <f t="shared" si="11"/>
        <v>Dark</v>
      </c>
      <c r="P358" t="str">
        <f>_xlfn.XLOOKUP(Table1[[#This Row],[Customer ID]],Data_customers!$A$2:$A$1001,Data_customers!$I$2:$I$1001,,0)</f>
        <v>Yes</v>
      </c>
    </row>
    <row r="359" spans="1:16" x14ac:dyDescent="0.2">
      <c r="A359" s="2" t="s">
        <v>2504</v>
      </c>
      <c r="B359" s="3">
        <v>44448</v>
      </c>
      <c r="C359" s="2" t="s">
        <v>2505</v>
      </c>
      <c r="D359" t="s">
        <v>6175</v>
      </c>
      <c r="E359" s="2">
        <v>6</v>
      </c>
      <c r="F359" s="2" t="str">
        <f>_xlfn.XLOOKUP(Data_orders!C359,Data_customers!$A$1:$A$1001,Data_customers!$B$1:$B$1001,,0)</f>
        <v>Enriqueta Ixor</v>
      </c>
      <c r="G359" s="2" t="str">
        <f>IF(_xlfn.XLOOKUP(C359,Data_customers!$A$1:$A$1001,Data_customers!$C$1:$C$1001,,0)=0,"",_xlfn.XLOOKUP(C359,Data_customers!$A$1:$A$1001,Data_customers!$C$1:$C$1001,,0))</f>
        <v/>
      </c>
      <c r="H359" s="2" t="str">
        <f>_xlfn.XLOOKUP(C359,Data_customers!$A$1:$A$1001,Data_customers!$G$1:$G$1001,"",0)</f>
        <v>United States</v>
      </c>
      <c r="I359" t="str">
        <f>INDEX(Data_products!$A$1:$G$49, MATCH(Data_orders!$D359,Data_products!$A$1:$A$49,0), MATCH(Data_orders!I$1,Data_products!$A$1:$G$1,0))</f>
        <v>Ara</v>
      </c>
      <c r="J359" t="str">
        <f>INDEX(Data_products!$A$1:$G$49, MATCH(Data_orders!$D359,Data_products!$A$1:$A$49,0), MATCH(Data_orders!J$1,Data_products!$A$1:$G$1,0))</f>
        <v>M</v>
      </c>
      <c r="K359" s="4">
        <f>INDEX(Data_products!$A$1:$G$49, MATCH(Data_orders!$D359,Data_products!$A$1:$A$49,0), MATCH(Data_orders!K$1,Data_products!$A$1:$G$1,0))</f>
        <v>2.5</v>
      </c>
      <c r="L359">
        <f>INDEX(Data_products!$A$1:$G$49, MATCH(Data_orders!$D359,Data_products!$A$1:$A$49,0), MATCH(Data_orders!L$1,Data_products!$A$1:$G$1,0))</f>
        <v>25.874999999999996</v>
      </c>
      <c r="M359">
        <f t="shared" si="10"/>
        <v>155.24999999999997</v>
      </c>
      <c r="N359" t="str" cm="1">
        <f t="array" ref="N359">_xlfn.IFS(I359 = "Rob", "Robusta", I359 = "Exc", "Excelsa", I359 = "Ara", "Arabica", I359 = "Lib", "Liberica")</f>
        <v>Arabica</v>
      </c>
      <c r="O359" t="str">
        <f t="shared" si="11"/>
        <v>Medium</v>
      </c>
      <c r="P359" t="str">
        <f>_xlfn.XLOOKUP(Table1[[#This Row],[Customer ID]],Data_customers!$A$2:$A$1001,Data_customers!$I$2:$I$1001,,0)</f>
        <v>No</v>
      </c>
    </row>
    <row r="360" spans="1:16" x14ac:dyDescent="0.2">
      <c r="A360" s="2" t="s">
        <v>2509</v>
      </c>
      <c r="B360" s="3">
        <v>43599</v>
      </c>
      <c r="C360" s="2" t="s">
        <v>2510</v>
      </c>
      <c r="D360" t="s">
        <v>6182</v>
      </c>
      <c r="E360" s="2">
        <v>1</v>
      </c>
      <c r="F360" s="2" t="str">
        <f>_xlfn.XLOOKUP(Data_orders!C360,Data_customers!$A$1:$A$1001,Data_customers!$B$1:$B$1001,,0)</f>
        <v>Tomasina Cotmore</v>
      </c>
      <c r="G360" s="2" t="str">
        <f>IF(_xlfn.XLOOKUP(C360,Data_customers!$A$1:$A$1001,Data_customers!$C$1:$C$1001,,0)=0,"",_xlfn.XLOOKUP(C360,Data_customers!$A$1:$A$1001,Data_customers!$C$1:$C$1001,,0))</f>
        <v>tcotmore9y@amazonaws.com</v>
      </c>
      <c r="H360" s="2" t="str">
        <f>_xlfn.XLOOKUP(C360,Data_customers!$A$1:$A$1001,Data_customers!$G$1:$G$1001,"",0)</f>
        <v>United States</v>
      </c>
      <c r="I360" t="str">
        <f>INDEX(Data_products!$A$1:$G$49, MATCH(Data_orders!$D360,Data_products!$A$1:$A$49,0), MATCH(Data_orders!I$1,Data_products!$A$1:$G$1,0))</f>
        <v>Ara</v>
      </c>
      <c r="J360" t="str">
        <f>INDEX(Data_products!$A$1:$G$49, MATCH(Data_orders!$D360,Data_products!$A$1:$A$49,0), MATCH(Data_orders!J$1,Data_products!$A$1:$G$1,0))</f>
        <v>L</v>
      </c>
      <c r="K360" s="4">
        <f>INDEX(Data_products!$A$1:$G$49, MATCH(Data_orders!$D360,Data_products!$A$1:$A$49,0), MATCH(Data_orders!K$1,Data_products!$A$1:$G$1,0))</f>
        <v>2.5</v>
      </c>
      <c r="L360">
        <f>INDEX(Data_products!$A$1:$G$49, MATCH(Data_orders!$D360,Data_products!$A$1:$A$49,0), MATCH(Data_orders!L$1,Data_products!$A$1:$G$1,0))</f>
        <v>29.784999999999997</v>
      </c>
      <c r="M360">
        <f t="shared" si="10"/>
        <v>29.784999999999997</v>
      </c>
      <c r="N360" t="str" cm="1">
        <f t="array" ref="N360">_xlfn.IFS(I360 = "Rob", "Robusta", I360 = "Exc", "Excelsa", I360 = "Ara", "Arabica", I360 = "Lib", "Liberica")</f>
        <v>Arabica</v>
      </c>
      <c r="O360" t="str">
        <f t="shared" si="11"/>
        <v>Light</v>
      </c>
      <c r="P360" t="str">
        <f>_xlfn.XLOOKUP(Table1[[#This Row],[Customer ID]],Data_customers!$A$2:$A$1001,Data_customers!$I$2:$I$1001,,0)</f>
        <v>No</v>
      </c>
    </row>
    <row r="361" spans="1:16" x14ac:dyDescent="0.2">
      <c r="A361" s="2" t="s">
        <v>2515</v>
      </c>
      <c r="B361" s="3">
        <v>43563</v>
      </c>
      <c r="C361" s="2" t="s">
        <v>2516</v>
      </c>
      <c r="D361" t="s">
        <v>6178</v>
      </c>
      <c r="E361" s="2">
        <v>6</v>
      </c>
      <c r="F361" s="2" t="str">
        <f>_xlfn.XLOOKUP(Data_orders!C361,Data_customers!$A$1:$A$1001,Data_customers!$B$1:$B$1001,,0)</f>
        <v>Yuma Skipsey</v>
      </c>
      <c r="G361" s="2" t="str">
        <f>IF(_xlfn.XLOOKUP(C361,Data_customers!$A$1:$A$1001,Data_customers!$C$1:$C$1001,,0)=0,"",_xlfn.XLOOKUP(C361,Data_customers!$A$1:$A$1001,Data_customers!$C$1:$C$1001,,0))</f>
        <v>yskipsey9z@spotify.com</v>
      </c>
      <c r="H361" s="2" t="str">
        <f>_xlfn.XLOOKUP(C361,Data_customers!$A$1:$A$1001,Data_customers!$G$1:$G$1001,"",0)</f>
        <v>United Kingdom</v>
      </c>
      <c r="I361" t="str">
        <f>INDEX(Data_products!$A$1:$G$49, MATCH(Data_orders!$D361,Data_products!$A$1:$A$49,0), MATCH(Data_orders!I$1,Data_products!$A$1:$G$1,0))</f>
        <v>Rob</v>
      </c>
      <c r="J361" t="str">
        <f>INDEX(Data_products!$A$1:$G$49, MATCH(Data_orders!$D361,Data_products!$A$1:$A$49,0), MATCH(Data_orders!J$1,Data_products!$A$1:$G$1,0))</f>
        <v>L</v>
      </c>
      <c r="K361" s="4">
        <f>INDEX(Data_products!$A$1:$G$49, MATCH(Data_orders!$D361,Data_products!$A$1:$A$49,0), MATCH(Data_orders!K$1,Data_products!$A$1:$G$1,0))</f>
        <v>0.2</v>
      </c>
      <c r="L361">
        <f>INDEX(Data_products!$A$1:$G$49, MATCH(Data_orders!$D361,Data_products!$A$1:$A$49,0), MATCH(Data_orders!L$1,Data_products!$A$1:$G$1,0))</f>
        <v>3.5849999999999995</v>
      </c>
      <c r="M361">
        <f t="shared" si="10"/>
        <v>21.509999999999998</v>
      </c>
      <c r="N361" t="str" cm="1">
        <f t="array" ref="N361">_xlfn.IFS(I361 = "Rob", "Robusta", I361 = "Exc", "Excelsa", I361 = "Ara", "Arabica", I361 = "Lib", "Liberica")</f>
        <v>Robusta</v>
      </c>
      <c r="O361" t="str">
        <f t="shared" si="11"/>
        <v>Light</v>
      </c>
      <c r="P361" t="str">
        <f>_xlfn.XLOOKUP(Table1[[#This Row],[Customer ID]],Data_customers!$A$2:$A$1001,Data_customers!$I$2:$I$1001,,0)</f>
        <v>No</v>
      </c>
    </row>
    <row r="362" spans="1:16" x14ac:dyDescent="0.2">
      <c r="A362" s="2" t="s">
        <v>2521</v>
      </c>
      <c r="B362" s="3">
        <v>44058</v>
      </c>
      <c r="C362" s="2" t="s">
        <v>2522</v>
      </c>
      <c r="D362" t="s">
        <v>6149</v>
      </c>
      <c r="E362" s="2">
        <v>2</v>
      </c>
      <c r="F362" s="2" t="str">
        <f>_xlfn.XLOOKUP(Data_orders!C362,Data_customers!$A$1:$A$1001,Data_customers!$B$1:$B$1001,,0)</f>
        <v>Nicko Corps</v>
      </c>
      <c r="G362" s="2" t="str">
        <f>IF(_xlfn.XLOOKUP(C362,Data_customers!$A$1:$A$1001,Data_customers!$C$1:$C$1001,,0)=0,"",_xlfn.XLOOKUP(C362,Data_customers!$A$1:$A$1001,Data_customers!$C$1:$C$1001,,0))</f>
        <v>ncorpsa0@gmpg.org</v>
      </c>
      <c r="H362" s="2" t="str">
        <f>_xlfn.XLOOKUP(C362,Data_customers!$A$1:$A$1001,Data_customers!$G$1:$G$1001,"",0)</f>
        <v>United States</v>
      </c>
      <c r="I362" t="str">
        <f>INDEX(Data_products!$A$1:$G$49, MATCH(Data_orders!$D362,Data_products!$A$1:$A$49,0), MATCH(Data_orders!I$1,Data_products!$A$1:$G$1,0))</f>
        <v>Rob</v>
      </c>
      <c r="J362" t="str">
        <f>INDEX(Data_products!$A$1:$G$49, MATCH(Data_orders!$D362,Data_products!$A$1:$A$49,0), MATCH(Data_orders!J$1,Data_products!$A$1:$G$1,0))</f>
        <v>D</v>
      </c>
      <c r="K362" s="4">
        <f>INDEX(Data_products!$A$1:$G$49, MATCH(Data_orders!$D362,Data_products!$A$1:$A$49,0), MATCH(Data_orders!K$1,Data_products!$A$1:$G$1,0))</f>
        <v>2.5</v>
      </c>
      <c r="L362">
        <f>INDEX(Data_products!$A$1:$G$49, MATCH(Data_orders!$D362,Data_products!$A$1:$A$49,0), MATCH(Data_orders!L$1,Data_products!$A$1:$G$1,0))</f>
        <v>20.584999999999997</v>
      </c>
      <c r="M362">
        <f t="shared" si="10"/>
        <v>41.169999999999995</v>
      </c>
      <c r="N362" t="str" cm="1">
        <f t="array" ref="N362">_xlfn.IFS(I362 = "Rob", "Robusta", I362 = "Exc", "Excelsa", I362 = "Ara", "Arabica", I362 = "Lib", "Liberica")</f>
        <v>Robusta</v>
      </c>
      <c r="O362" t="str">
        <f t="shared" si="11"/>
        <v>Dark</v>
      </c>
      <c r="P362" t="str">
        <f>_xlfn.XLOOKUP(Table1[[#This Row],[Customer ID]],Data_customers!$A$2:$A$1001,Data_customers!$I$2:$I$1001,,0)</f>
        <v>No</v>
      </c>
    </row>
    <row r="363" spans="1:16" x14ac:dyDescent="0.2">
      <c r="A363" s="2" t="s">
        <v>2521</v>
      </c>
      <c r="B363" s="3">
        <v>44058</v>
      </c>
      <c r="C363" s="2" t="s">
        <v>2522</v>
      </c>
      <c r="D363" t="s">
        <v>6146</v>
      </c>
      <c r="E363" s="2">
        <v>1</v>
      </c>
      <c r="F363" s="2" t="str">
        <f>_xlfn.XLOOKUP(Data_orders!C363,Data_customers!$A$1:$A$1001,Data_customers!$B$1:$B$1001,,0)</f>
        <v>Nicko Corps</v>
      </c>
      <c r="G363" s="2" t="str">
        <f>IF(_xlfn.XLOOKUP(C363,Data_customers!$A$1:$A$1001,Data_customers!$C$1:$C$1001,,0)=0,"",_xlfn.XLOOKUP(C363,Data_customers!$A$1:$A$1001,Data_customers!$C$1:$C$1001,,0))</f>
        <v>ncorpsa0@gmpg.org</v>
      </c>
      <c r="H363" s="2" t="str">
        <f>_xlfn.XLOOKUP(C363,Data_customers!$A$1:$A$1001,Data_customers!$G$1:$G$1001,"",0)</f>
        <v>United States</v>
      </c>
      <c r="I363" t="str">
        <f>INDEX(Data_products!$A$1:$G$49, MATCH(Data_orders!$D363,Data_products!$A$1:$A$49,0), MATCH(Data_orders!I$1,Data_products!$A$1:$G$1,0))</f>
        <v>Rob</v>
      </c>
      <c r="J363" t="str">
        <f>INDEX(Data_products!$A$1:$G$49, MATCH(Data_orders!$D363,Data_products!$A$1:$A$49,0), MATCH(Data_orders!J$1,Data_products!$A$1:$G$1,0))</f>
        <v>M</v>
      </c>
      <c r="K363" s="4">
        <f>INDEX(Data_products!$A$1:$G$49, MATCH(Data_orders!$D363,Data_products!$A$1:$A$49,0), MATCH(Data_orders!K$1,Data_products!$A$1:$G$1,0))</f>
        <v>0.5</v>
      </c>
      <c r="L363">
        <f>INDEX(Data_products!$A$1:$G$49, MATCH(Data_orders!$D363,Data_products!$A$1:$A$49,0), MATCH(Data_orders!L$1,Data_products!$A$1:$G$1,0))</f>
        <v>5.97</v>
      </c>
      <c r="M363">
        <f t="shared" si="10"/>
        <v>5.97</v>
      </c>
      <c r="N363" t="str" cm="1">
        <f t="array" ref="N363">_xlfn.IFS(I363 = "Rob", "Robusta", I363 = "Exc", "Excelsa", I363 = "Ara", "Arabica", I363 = "Lib", "Liberica")</f>
        <v>Robusta</v>
      </c>
      <c r="O363" t="str">
        <f t="shared" si="11"/>
        <v>Medium</v>
      </c>
      <c r="P363" t="str">
        <f>_xlfn.XLOOKUP(Table1[[#This Row],[Customer ID]],Data_customers!$A$2:$A$1001,Data_customers!$I$2:$I$1001,,0)</f>
        <v>No</v>
      </c>
    </row>
    <row r="364" spans="1:16" x14ac:dyDescent="0.2">
      <c r="A364" s="2" t="s">
        <v>2532</v>
      </c>
      <c r="B364" s="3">
        <v>44686</v>
      </c>
      <c r="C364" s="2" t="s">
        <v>2533</v>
      </c>
      <c r="D364" t="s">
        <v>6171</v>
      </c>
      <c r="E364" s="2">
        <v>5</v>
      </c>
      <c r="F364" s="2" t="str">
        <f>_xlfn.XLOOKUP(Data_orders!C364,Data_customers!$A$1:$A$1001,Data_customers!$B$1:$B$1001,,0)</f>
        <v>Feliks Babber</v>
      </c>
      <c r="G364" s="2" t="str">
        <f>IF(_xlfn.XLOOKUP(C364,Data_customers!$A$1:$A$1001,Data_customers!$C$1:$C$1001,,0)=0,"",_xlfn.XLOOKUP(C364,Data_customers!$A$1:$A$1001,Data_customers!$C$1:$C$1001,,0))</f>
        <v>fbabbera2@stanford.edu</v>
      </c>
      <c r="H364" s="2" t="str">
        <f>_xlfn.XLOOKUP(C364,Data_customers!$A$1:$A$1001,Data_customers!$G$1:$G$1001,"",0)</f>
        <v>United States</v>
      </c>
      <c r="I364" t="str">
        <f>INDEX(Data_products!$A$1:$G$49, MATCH(Data_orders!$D364,Data_products!$A$1:$A$49,0), MATCH(Data_orders!I$1,Data_products!$A$1:$G$1,0))</f>
        <v>Exc</v>
      </c>
      <c r="J364" t="str">
        <f>INDEX(Data_products!$A$1:$G$49, MATCH(Data_orders!$D364,Data_products!$A$1:$A$49,0), MATCH(Data_orders!J$1,Data_products!$A$1:$G$1,0))</f>
        <v>L</v>
      </c>
      <c r="K364" s="4">
        <f>INDEX(Data_products!$A$1:$G$49, MATCH(Data_orders!$D364,Data_products!$A$1:$A$49,0), MATCH(Data_orders!K$1,Data_products!$A$1:$G$1,0))</f>
        <v>1</v>
      </c>
      <c r="L364">
        <f>INDEX(Data_products!$A$1:$G$49, MATCH(Data_orders!$D364,Data_products!$A$1:$A$49,0), MATCH(Data_orders!L$1,Data_products!$A$1:$G$1,0))</f>
        <v>14.85</v>
      </c>
      <c r="M364">
        <f t="shared" si="10"/>
        <v>74.25</v>
      </c>
      <c r="N364" t="str" cm="1">
        <f t="array" ref="N364">_xlfn.IFS(I364 = "Rob", "Robusta", I364 = "Exc", "Excelsa", I364 = "Ara", "Arabica", I364 = "Lib", "Liberica")</f>
        <v>Excelsa</v>
      </c>
      <c r="O364" t="str">
        <f t="shared" si="11"/>
        <v>Light</v>
      </c>
      <c r="P364" t="str">
        <f>_xlfn.XLOOKUP(Table1[[#This Row],[Customer ID]],Data_customers!$A$2:$A$1001,Data_customers!$I$2:$I$1001,,0)</f>
        <v>Yes</v>
      </c>
    </row>
    <row r="365" spans="1:16" x14ac:dyDescent="0.2">
      <c r="A365" s="2" t="s">
        <v>2538</v>
      </c>
      <c r="B365" s="3">
        <v>44282</v>
      </c>
      <c r="C365" s="2" t="s">
        <v>2539</v>
      </c>
      <c r="D365" t="s">
        <v>6162</v>
      </c>
      <c r="E365" s="2">
        <v>6</v>
      </c>
      <c r="F365" s="2" t="str">
        <f>_xlfn.XLOOKUP(Data_orders!C365,Data_customers!$A$1:$A$1001,Data_customers!$B$1:$B$1001,,0)</f>
        <v>Kaja Loxton</v>
      </c>
      <c r="G365" s="2" t="str">
        <f>IF(_xlfn.XLOOKUP(C365,Data_customers!$A$1:$A$1001,Data_customers!$C$1:$C$1001,,0)=0,"",_xlfn.XLOOKUP(C365,Data_customers!$A$1:$A$1001,Data_customers!$C$1:$C$1001,,0))</f>
        <v>kloxtona3@opensource.org</v>
      </c>
      <c r="H365" s="2" t="str">
        <f>_xlfn.XLOOKUP(C365,Data_customers!$A$1:$A$1001,Data_customers!$G$1:$G$1001,"",0)</f>
        <v>United States</v>
      </c>
      <c r="I365" t="str">
        <f>INDEX(Data_products!$A$1:$G$49, MATCH(Data_orders!$D365,Data_products!$A$1:$A$49,0), MATCH(Data_orders!I$1,Data_products!$A$1:$G$1,0))</f>
        <v>Lib</v>
      </c>
      <c r="J365" t="str">
        <f>INDEX(Data_products!$A$1:$G$49, MATCH(Data_orders!$D365,Data_products!$A$1:$A$49,0), MATCH(Data_orders!J$1,Data_products!$A$1:$G$1,0))</f>
        <v>M</v>
      </c>
      <c r="K365" s="4">
        <f>INDEX(Data_products!$A$1:$G$49, MATCH(Data_orders!$D365,Data_products!$A$1:$A$49,0), MATCH(Data_orders!K$1,Data_products!$A$1:$G$1,0))</f>
        <v>1</v>
      </c>
      <c r="L365">
        <f>INDEX(Data_products!$A$1:$G$49, MATCH(Data_orders!$D365,Data_products!$A$1:$A$49,0), MATCH(Data_orders!L$1,Data_products!$A$1:$G$1,0))</f>
        <v>14.55</v>
      </c>
      <c r="M365">
        <f t="shared" si="10"/>
        <v>87.300000000000011</v>
      </c>
      <c r="N365" t="str" cm="1">
        <f t="array" ref="N365">_xlfn.IFS(I365 = "Rob", "Robusta", I365 = "Exc", "Excelsa", I365 = "Ara", "Arabica", I365 = "Lib", "Liberica")</f>
        <v>Liberica</v>
      </c>
      <c r="O365" t="str">
        <f t="shared" si="11"/>
        <v>Medium</v>
      </c>
      <c r="P365" t="str">
        <f>_xlfn.XLOOKUP(Table1[[#This Row],[Customer ID]],Data_customers!$A$2:$A$1001,Data_customers!$I$2:$I$1001,,0)</f>
        <v>No</v>
      </c>
    </row>
    <row r="366" spans="1:16" x14ac:dyDescent="0.2">
      <c r="A366" s="2" t="s">
        <v>2543</v>
      </c>
      <c r="B366" s="3">
        <v>43582</v>
      </c>
      <c r="C366" s="2" t="s">
        <v>2544</v>
      </c>
      <c r="D366" t="s">
        <v>6183</v>
      </c>
      <c r="E366" s="2">
        <v>6</v>
      </c>
      <c r="F366" s="2" t="str">
        <f>_xlfn.XLOOKUP(Data_orders!C366,Data_customers!$A$1:$A$1001,Data_customers!$B$1:$B$1001,,0)</f>
        <v>Parker Tofful</v>
      </c>
      <c r="G366" s="2" t="str">
        <f>IF(_xlfn.XLOOKUP(C366,Data_customers!$A$1:$A$1001,Data_customers!$C$1:$C$1001,,0)=0,"",_xlfn.XLOOKUP(C366,Data_customers!$A$1:$A$1001,Data_customers!$C$1:$C$1001,,0))</f>
        <v>ptoffula4@posterous.com</v>
      </c>
      <c r="H366" s="2" t="str">
        <f>_xlfn.XLOOKUP(C366,Data_customers!$A$1:$A$1001,Data_customers!$G$1:$G$1001,"",0)</f>
        <v>United States</v>
      </c>
      <c r="I366" t="str">
        <f>INDEX(Data_products!$A$1:$G$49, MATCH(Data_orders!$D366,Data_products!$A$1:$A$49,0), MATCH(Data_orders!I$1,Data_products!$A$1:$G$1,0))</f>
        <v>Exc</v>
      </c>
      <c r="J366" t="str">
        <f>INDEX(Data_products!$A$1:$G$49, MATCH(Data_orders!$D366,Data_products!$A$1:$A$49,0), MATCH(Data_orders!J$1,Data_products!$A$1:$G$1,0))</f>
        <v>D</v>
      </c>
      <c r="K366" s="4">
        <f>INDEX(Data_products!$A$1:$G$49, MATCH(Data_orders!$D366,Data_products!$A$1:$A$49,0), MATCH(Data_orders!K$1,Data_products!$A$1:$G$1,0))</f>
        <v>1</v>
      </c>
      <c r="L366">
        <f>INDEX(Data_products!$A$1:$G$49, MATCH(Data_orders!$D366,Data_products!$A$1:$A$49,0), MATCH(Data_orders!L$1,Data_products!$A$1:$G$1,0))</f>
        <v>12.15</v>
      </c>
      <c r="M366">
        <f t="shared" si="10"/>
        <v>72.900000000000006</v>
      </c>
      <c r="N366" t="str" cm="1">
        <f t="array" ref="N366">_xlfn.IFS(I366 = "Rob", "Robusta", I366 = "Exc", "Excelsa", I366 = "Ara", "Arabica", I366 = "Lib", "Liberica")</f>
        <v>Excelsa</v>
      </c>
      <c r="O366" t="str">
        <f t="shared" si="11"/>
        <v>Dark</v>
      </c>
      <c r="P366" t="str">
        <f>_xlfn.XLOOKUP(Table1[[#This Row],[Customer ID]],Data_customers!$A$2:$A$1001,Data_customers!$I$2:$I$1001,,0)</f>
        <v>Yes</v>
      </c>
    </row>
    <row r="367" spans="1:16" x14ac:dyDescent="0.2">
      <c r="A367" s="2" t="s">
        <v>2549</v>
      </c>
      <c r="B367" s="3">
        <v>44464</v>
      </c>
      <c r="C367" s="2" t="s">
        <v>2550</v>
      </c>
      <c r="D367" t="s">
        <v>6169</v>
      </c>
      <c r="E367" s="2">
        <v>1</v>
      </c>
      <c r="F367" s="2" t="str">
        <f>_xlfn.XLOOKUP(Data_orders!C367,Data_customers!$A$1:$A$1001,Data_customers!$B$1:$B$1001,,0)</f>
        <v>Casi Gwinnett</v>
      </c>
      <c r="G367" s="2" t="str">
        <f>IF(_xlfn.XLOOKUP(C367,Data_customers!$A$1:$A$1001,Data_customers!$C$1:$C$1001,,0)=0,"",_xlfn.XLOOKUP(C367,Data_customers!$A$1:$A$1001,Data_customers!$C$1:$C$1001,,0))</f>
        <v>cgwinnetta5@behance.net</v>
      </c>
      <c r="H367" s="2" t="str">
        <f>_xlfn.XLOOKUP(C367,Data_customers!$A$1:$A$1001,Data_customers!$G$1:$G$1001,"",0)</f>
        <v>United States</v>
      </c>
      <c r="I367" t="str">
        <f>INDEX(Data_products!$A$1:$G$49, MATCH(Data_orders!$D367,Data_products!$A$1:$A$49,0), MATCH(Data_orders!I$1,Data_products!$A$1:$G$1,0))</f>
        <v>Lib</v>
      </c>
      <c r="J367" t="str">
        <f>INDEX(Data_products!$A$1:$G$49, MATCH(Data_orders!$D367,Data_products!$A$1:$A$49,0), MATCH(Data_orders!J$1,Data_products!$A$1:$G$1,0))</f>
        <v>D</v>
      </c>
      <c r="K367" s="4">
        <f>INDEX(Data_products!$A$1:$G$49, MATCH(Data_orders!$D367,Data_products!$A$1:$A$49,0), MATCH(Data_orders!K$1,Data_products!$A$1:$G$1,0))</f>
        <v>0.5</v>
      </c>
      <c r="L367">
        <f>INDEX(Data_products!$A$1:$G$49, MATCH(Data_orders!$D367,Data_products!$A$1:$A$49,0), MATCH(Data_orders!L$1,Data_products!$A$1:$G$1,0))</f>
        <v>7.77</v>
      </c>
      <c r="M367">
        <f t="shared" si="10"/>
        <v>7.77</v>
      </c>
      <c r="N367" t="str" cm="1">
        <f t="array" ref="N367">_xlfn.IFS(I367 = "Rob", "Robusta", I367 = "Exc", "Excelsa", I367 = "Ara", "Arabica", I367 = "Lib", "Liberica")</f>
        <v>Liberica</v>
      </c>
      <c r="O367" t="str">
        <f t="shared" si="11"/>
        <v>Dark</v>
      </c>
      <c r="P367" t="str">
        <f>_xlfn.XLOOKUP(Table1[[#This Row],[Customer ID]],Data_customers!$A$2:$A$1001,Data_customers!$I$2:$I$1001,,0)</f>
        <v>No</v>
      </c>
    </row>
    <row r="368" spans="1:16" x14ac:dyDescent="0.2">
      <c r="A368" s="2" t="s">
        <v>2554</v>
      </c>
      <c r="B368" s="3">
        <v>43874</v>
      </c>
      <c r="C368" s="2" t="s">
        <v>2555</v>
      </c>
      <c r="D368" t="s">
        <v>6144</v>
      </c>
      <c r="E368" s="2">
        <v>6</v>
      </c>
      <c r="F368" s="2" t="str">
        <f>_xlfn.XLOOKUP(Data_orders!C368,Data_customers!$A$1:$A$1001,Data_customers!$B$1:$B$1001,,0)</f>
        <v>Saree Ellesworth</v>
      </c>
      <c r="G368" s="2" t="str">
        <f>IF(_xlfn.XLOOKUP(C368,Data_customers!$A$1:$A$1001,Data_customers!$C$1:$C$1001,,0)=0,"",_xlfn.XLOOKUP(C368,Data_customers!$A$1:$A$1001,Data_customers!$C$1:$C$1001,,0))</f>
        <v/>
      </c>
      <c r="H368" s="2" t="str">
        <f>_xlfn.XLOOKUP(C368,Data_customers!$A$1:$A$1001,Data_customers!$G$1:$G$1001,"",0)</f>
        <v>United States</v>
      </c>
      <c r="I368" t="str">
        <f>INDEX(Data_products!$A$1:$G$49, MATCH(Data_orders!$D368,Data_products!$A$1:$A$49,0), MATCH(Data_orders!I$1,Data_products!$A$1:$G$1,0))</f>
        <v>Exc</v>
      </c>
      <c r="J368" t="str">
        <f>INDEX(Data_products!$A$1:$G$49, MATCH(Data_orders!$D368,Data_products!$A$1:$A$49,0), MATCH(Data_orders!J$1,Data_products!$A$1:$G$1,0))</f>
        <v>D</v>
      </c>
      <c r="K368" s="4">
        <f>INDEX(Data_products!$A$1:$G$49, MATCH(Data_orders!$D368,Data_products!$A$1:$A$49,0), MATCH(Data_orders!K$1,Data_products!$A$1:$G$1,0))</f>
        <v>0.5</v>
      </c>
      <c r="L368">
        <f>INDEX(Data_products!$A$1:$G$49, MATCH(Data_orders!$D368,Data_products!$A$1:$A$49,0), MATCH(Data_orders!L$1,Data_products!$A$1:$G$1,0))</f>
        <v>7.29</v>
      </c>
      <c r="M368">
        <f t="shared" si="10"/>
        <v>43.74</v>
      </c>
      <c r="N368" t="str" cm="1">
        <f t="array" ref="N368">_xlfn.IFS(I368 = "Rob", "Robusta", I368 = "Exc", "Excelsa", I368 = "Ara", "Arabica", I368 = "Lib", "Liberica")</f>
        <v>Excelsa</v>
      </c>
      <c r="O368" t="str">
        <f t="shared" si="11"/>
        <v>Dark</v>
      </c>
      <c r="P368" t="str">
        <f>_xlfn.XLOOKUP(Table1[[#This Row],[Customer ID]],Data_customers!$A$2:$A$1001,Data_customers!$I$2:$I$1001,,0)</f>
        <v>No</v>
      </c>
    </row>
    <row r="369" spans="1:16" x14ac:dyDescent="0.2">
      <c r="A369" s="2" t="s">
        <v>2559</v>
      </c>
      <c r="B369" s="3">
        <v>44393</v>
      </c>
      <c r="C369" s="2" t="s">
        <v>2560</v>
      </c>
      <c r="D369" t="s">
        <v>6159</v>
      </c>
      <c r="E369" s="2">
        <v>2</v>
      </c>
      <c r="F369" s="2" t="str">
        <f>_xlfn.XLOOKUP(Data_orders!C369,Data_customers!$A$1:$A$1001,Data_customers!$B$1:$B$1001,,0)</f>
        <v>Silvio Iorizzi</v>
      </c>
      <c r="G369" s="2" t="str">
        <f>IF(_xlfn.XLOOKUP(C369,Data_customers!$A$1:$A$1001,Data_customers!$C$1:$C$1001,,0)=0,"",_xlfn.XLOOKUP(C369,Data_customers!$A$1:$A$1001,Data_customers!$C$1:$C$1001,,0))</f>
        <v/>
      </c>
      <c r="H369" s="2" t="str">
        <f>_xlfn.XLOOKUP(C369,Data_customers!$A$1:$A$1001,Data_customers!$G$1:$G$1001,"",0)</f>
        <v>United States</v>
      </c>
      <c r="I369" t="str">
        <f>INDEX(Data_products!$A$1:$G$49, MATCH(Data_orders!$D369,Data_products!$A$1:$A$49,0), MATCH(Data_orders!I$1,Data_products!$A$1:$G$1,0))</f>
        <v>Lib</v>
      </c>
      <c r="J369" t="str">
        <f>INDEX(Data_products!$A$1:$G$49, MATCH(Data_orders!$D369,Data_products!$A$1:$A$49,0), MATCH(Data_orders!J$1,Data_products!$A$1:$G$1,0))</f>
        <v>M</v>
      </c>
      <c r="K369" s="4">
        <f>INDEX(Data_products!$A$1:$G$49, MATCH(Data_orders!$D369,Data_products!$A$1:$A$49,0), MATCH(Data_orders!K$1,Data_products!$A$1:$G$1,0))</f>
        <v>0.2</v>
      </c>
      <c r="L369">
        <f>INDEX(Data_products!$A$1:$G$49, MATCH(Data_orders!$D369,Data_products!$A$1:$A$49,0), MATCH(Data_orders!L$1,Data_products!$A$1:$G$1,0))</f>
        <v>4.3650000000000002</v>
      </c>
      <c r="M369">
        <f t="shared" si="10"/>
        <v>8.73</v>
      </c>
      <c r="N369" t="str" cm="1">
        <f t="array" ref="N369">_xlfn.IFS(I369 = "Rob", "Robusta", I369 = "Exc", "Excelsa", I369 = "Ara", "Arabica", I369 = "Lib", "Liberica")</f>
        <v>Liberica</v>
      </c>
      <c r="O369" t="str">
        <f t="shared" si="11"/>
        <v>Medium</v>
      </c>
      <c r="P369" t="str">
        <f>_xlfn.XLOOKUP(Table1[[#This Row],[Customer ID]],Data_customers!$A$2:$A$1001,Data_customers!$I$2:$I$1001,,0)</f>
        <v>Yes</v>
      </c>
    </row>
    <row r="370" spans="1:16" x14ac:dyDescent="0.2">
      <c r="A370" s="2" t="s">
        <v>2563</v>
      </c>
      <c r="B370" s="3">
        <v>44692</v>
      </c>
      <c r="C370" s="2" t="s">
        <v>2564</v>
      </c>
      <c r="D370" t="s">
        <v>6166</v>
      </c>
      <c r="E370" s="2">
        <v>2</v>
      </c>
      <c r="F370" s="2" t="str">
        <f>_xlfn.XLOOKUP(Data_orders!C370,Data_customers!$A$1:$A$1001,Data_customers!$B$1:$B$1001,,0)</f>
        <v>Leesa Flaonier</v>
      </c>
      <c r="G370" s="2" t="str">
        <f>IF(_xlfn.XLOOKUP(C370,Data_customers!$A$1:$A$1001,Data_customers!$C$1:$C$1001,,0)=0,"",_xlfn.XLOOKUP(C370,Data_customers!$A$1:$A$1001,Data_customers!$C$1:$C$1001,,0))</f>
        <v>lflaoniera8@wordpress.org</v>
      </c>
      <c r="H370" s="2" t="str">
        <f>_xlfn.XLOOKUP(C370,Data_customers!$A$1:$A$1001,Data_customers!$G$1:$G$1001,"",0)</f>
        <v>United States</v>
      </c>
      <c r="I370" t="str">
        <f>INDEX(Data_products!$A$1:$G$49, MATCH(Data_orders!$D370,Data_products!$A$1:$A$49,0), MATCH(Data_orders!I$1,Data_products!$A$1:$G$1,0))</f>
        <v>Exc</v>
      </c>
      <c r="J370" t="str">
        <f>INDEX(Data_products!$A$1:$G$49, MATCH(Data_orders!$D370,Data_products!$A$1:$A$49,0), MATCH(Data_orders!J$1,Data_products!$A$1:$G$1,0))</f>
        <v>M</v>
      </c>
      <c r="K370" s="4">
        <f>INDEX(Data_products!$A$1:$G$49, MATCH(Data_orders!$D370,Data_products!$A$1:$A$49,0), MATCH(Data_orders!K$1,Data_products!$A$1:$G$1,0))</f>
        <v>2.5</v>
      </c>
      <c r="L370">
        <f>INDEX(Data_products!$A$1:$G$49, MATCH(Data_orders!$D370,Data_products!$A$1:$A$49,0), MATCH(Data_orders!L$1,Data_products!$A$1:$G$1,0))</f>
        <v>31.624999999999996</v>
      </c>
      <c r="M370">
        <f t="shared" si="10"/>
        <v>63.249999999999993</v>
      </c>
      <c r="N370" t="str" cm="1">
        <f t="array" ref="N370">_xlfn.IFS(I370 = "Rob", "Robusta", I370 = "Exc", "Excelsa", I370 = "Ara", "Arabica", I370 = "Lib", "Liberica")</f>
        <v>Excelsa</v>
      </c>
      <c r="O370" t="str">
        <f t="shared" si="11"/>
        <v>Medium</v>
      </c>
      <c r="P370" t="str">
        <f>_xlfn.XLOOKUP(Table1[[#This Row],[Customer ID]],Data_customers!$A$2:$A$1001,Data_customers!$I$2:$I$1001,,0)</f>
        <v>No</v>
      </c>
    </row>
    <row r="371" spans="1:16" x14ac:dyDescent="0.2">
      <c r="A371" s="2" t="s">
        <v>2569</v>
      </c>
      <c r="B371" s="3">
        <v>43500</v>
      </c>
      <c r="C371" s="2" t="s">
        <v>2570</v>
      </c>
      <c r="D371" t="s">
        <v>6176</v>
      </c>
      <c r="E371" s="2">
        <v>1</v>
      </c>
      <c r="F371" s="2" t="str">
        <f>_xlfn.XLOOKUP(Data_orders!C371,Data_customers!$A$1:$A$1001,Data_customers!$B$1:$B$1001,,0)</f>
        <v>Abba Pummell</v>
      </c>
      <c r="G371" s="2" t="str">
        <f>IF(_xlfn.XLOOKUP(C371,Data_customers!$A$1:$A$1001,Data_customers!$C$1:$C$1001,,0)=0,"",_xlfn.XLOOKUP(C371,Data_customers!$A$1:$A$1001,Data_customers!$C$1:$C$1001,,0))</f>
        <v/>
      </c>
      <c r="H371" s="2" t="str">
        <f>_xlfn.XLOOKUP(C371,Data_customers!$A$1:$A$1001,Data_customers!$G$1:$G$1001,"",0)</f>
        <v>United States</v>
      </c>
      <c r="I371" t="str">
        <f>INDEX(Data_products!$A$1:$G$49, MATCH(Data_orders!$D371,Data_products!$A$1:$A$49,0), MATCH(Data_orders!I$1,Data_products!$A$1:$G$1,0))</f>
        <v>Exc</v>
      </c>
      <c r="J371" t="str">
        <f>INDEX(Data_products!$A$1:$G$49, MATCH(Data_orders!$D371,Data_products!$A$1:$A$49,0), MATCH(Data_orders!J$1,Data_products!$A$1:$G$1,0))</f>
        <v>L</v>
      </c>
      <c r="K371" s="4">
        <f>INDEX(Data_products!$A$1:$G$49, MATCH(Data_orders!$D371,Data_products!$A$1:$A$49,0), MATCH(Data_orders!K$1,Data_products!$A$1:$G$1,0))</f>
        <v>0.5</v>
      </c>
      <c r="L371">
        <f>INDEX(Data_products!$A$1:$G$49, MATCH(Data_orders!$D371,Data_products!$A$1:$A$49,0), MATCH(Data_orders!L$1,Data_products!$A$1:$G$1,0))</f>
        <v>8.91</v>
      </c>
      <c r="M371">
        <f t="shared" si="10"/>
        <v>8.91</v>
      </c>
      <c r="N371" t="str" cm="1">
        <f t="array" ref="N371">_xlfn.IFS(I371 = "Rob", "Robusta", I371 = "Exc", "Excelsa", I371 = "Ara", "Arabica", I371 = "Lib", "Liberica")</f>
        <v>Excelsa</v>
      </c>
      <c r="O371" t="str">
        <f t="shared" si="11"/>
        <v>Light</v>
      </c>
      <c r="P371" t="str">
        <f>_xlfn.XLOOKUP(Table1[[#This Row],[Customer ID]],Data_customers!$A$2:$A$1001,Data_customers!$I$2:$I$1001,,0)</f>
        <v>Yes</v>
      </c>
    </row>
    <row r="372" spans="1:16" x14ac:dyDescent="0.2">
      <c r="A372" s="2" t="s">
        <v>2573</v>
      </c>
      <c r="B372" s="3">
        <v>43501</v>
      </c>
      <c r="C372" s="2" t="s">
        <v>2574</v>
      </c>
      <c r="D372" t="s">
        <v>6183</v>
      </c>
      <c r="E372" s="2">
        <v>2</v>
      </c>
      <c r="F372" s="2" t="str">
        <f>_xlfn.XLOOKUP(Data_orders!C372,Data_customers!$A$1:$A$1001,Data_customers!$B$1:$B$1001,,0)</f>
        <v>Corinna Catcheside</v>
      </c>
      <c r="G372" s="2" t="str">
        <f>IF(_xlfn.XLOOKUP(C372,Data_customers!$A$1:$A$1001,Data_customers!$C$1:$C$1001,,0)=0,"",_xlfn.XLOOKUP(C372,Data_customers!$A$1:$A$1001,Data_customers!$C$1:$C$1001,,0))</f>
        <v>ccatchesideaa@macromedia.com</v>
      </c>
      <c r="H372" s="2" t="str">
        <f>_xlfn.XLOOKUP(C372,Data_customers!$A$1:$A$1001,Data_customers!$G$1:$G$1001,"",0)</f>
        <v>United States</v>
      </c>
      <c r="I372" t="str">
        <f>INDEX(Data_products!$A$1:$G$49, MATCH(Data_orders!$D372,Data_products!$A$1:$A$49,0), MATCH(Data_orders!I$1,Data_products!$A$1:$G$1,0))</f>
        <v>Exc</v>
      </c>
      <c r="J372" t="str">
        <f>INDEX(Data_products!$A$1:$G$49, MATCH(Data_orders!$D372,Data_products!$A$1:$A$49,0), MATCH(Data_orders!J$1,Data_products!$A$1:$G$1,0))</f>
        <v>D</v>
      </c>
      <c r="K372" s="4">
        <f>INDEX(Data_products!$A$1:$G$49, MATCH(Data_orders!$D372,Data_products!$A$1:$A$49,0), MATCH(Data_orders!K$1,Data_products!$A$1:$G$1,0))</f>
        <v>1</v>
      </c>
      <c r="L372">
        <f>INDEX(Data_products!$A$1:$G$49, MATCH(Data_orders!$D372,Data_products!$A$1:$A$49,0), MATCH(Data_orders!L$1,Data_products!$A$1:$G$1,0))</f>
        <v>12.15</v>
      </c>
      <c r="M372">
        <f t="shared" si="10"/>
        <v>24.3</v>
      </c>
      <c r="N372" t="str" cm="1">
        <f t="array" ref="N372">_xlfn.IFS(I372 = "Rob", "Robusta", I372 = "Exc", "Excelsa", I372 = "Ara", "Arabica", I372 = "Lib", "Liberica")</f>
        <v>Excelsa</v>
      </c>
      <c r="O372" t="str">
        <f t="shared" si="11"/>
        <v>Dark</v>
      </c>
      <c r="P372" t="str">
        <f>_xlfn.XLOOKUP(Table1[[#This Row],[Customer ID]],Data_customers!$A$2:$A$1001,Data_customers!$I$2:$I$1001,,0)</f>
        <v>Yes</v>
      </c>
    </row>
    <row r="373" spans="1:16" x14ac:dyDescent="0.2">
      <c r="A373" s="2" t="s">
        <v>2579</v>
      </c>
      <c r="B373" s="3">
        <v>44705</v>
      </c>
      <c r="C373" s="2" t="s">
        <v>2580</v>
      </c>
      <c r="D373" t="s">
        <v>6180</v>
      </c>
      <c r="E373" s="2">
        <v>6</v>
      </c>
      <c r="F373" s="2" t="str">
        <f>_xlfn.XLOOKUP(Data_orders!C373,Data_customers!$A$1:$A$1001,Data_customers!$B$1:$B$1001,,0)</f>
        <v>Cortney Gibbonson</v>
      </c>
      <c r="G373" s="2" t="str">
        <f>IF(_xlfn.XLOOKUP(C373,Data_customers!$A$1:$A$1001,Data_customers!$C$1:$C$1001,,0)=0,"",_xlfn.XLOOKUP(C373,Data_customers!$A$1:$A$1001,Data_customers!$C$1:$C$1001,,0))</f>
        <v>cgibbonsonab@accuweather.com</v>
      </c>
      <c r="H373" s="2" t="str">
        <f>_xlfn.XLOOKUP(C373,Data_customers!$A$1:$A$1001,Data_customers!$G$1:$G$1001,"",0)</f>
        <v>United States</v>
      </c>
      <c r="I373" t="str">
        <f>INDEX(Data_products!$A$1:$G$49, MATCH(Data_orders!$D373,Data_products!$A$1:$A$49,0), MATCH(Data_orders!I$1,Data_products!$A$1:$G$1,0))</f>
        <v>Ara</v>
      </c>
      <c r="J373" t="str">
        <f>INDEX(Data_products!$A$1:$G$49, MATCH(Data_orders!$D373,Data_products!$A$1:$A$49,0), MATCH(Data_orders!J$1,Data_products!$A$1:$G$1,0))</f>
        <v>L</v>
      </c>
      <c r="K373" s="4">
        <f>INDEX(Data_products!$A$1:$G$49, MATCH(Data_orders!$D373,Data_products!$A$1:$A$49,0), MATCH(Data_orders!K$1,Data_products!$A$1:$G$1,0))</f>
        <v>0.5</v>
      </c>
      <c r="L373">
        <f>INDEX(Data_products!$A$1:$G$49, MATCH(Data_orders!$D373,Data_products!$A$1:$A$49,0), MATCH(Data_orders!L$1,Data_products!$A$1:$G$1,0))</f>
        <v>7.77</v>
      </c>
      <c r="M373">
        <f t="shared" si="10"/>
        <v>46.62</v>
      </c>
      <c r="N373" t="str" cm="1">
        <f t="array" ref="N373">_xlfn.IFS(I373 = "Rob", "Robusta", I373 = "Exc", "Excelsa", I373 = "Ara", "Arabica", I373 = "Lib", "Liberica")</f>
        <v>Arabica</v>
      </c>
      <c r="O373" t="str">
        <f t="shared" si="11"/>
        <v>Light</v>
      </c>
      <c r="P373" t="str">
        <f>_xlfn.XLOOKUP(Table1[[#This Row],[Customer ID]],Data_customers!$A$2:$A$1001,Data_customers!$I$2:$I$1001,,0)</f>
        <v>Yes</v>
      </c>
    </row>
    <row r="374" spans="1:16" x14ac:dyDescent="0.2">
      <c r="A374" s="2" t="s">
        <v>2585</v>
      </c>
      <c r="B374" s="3">
        <v>44108</v>
      </c>
      <c r="C374" s="2" t="s">
        <v>2586</v>
      </c>
      <c r="D374" t="s">
        <v>6173</v>
      </c>
      <c r="E374" s="2">
        <v>6</v>
      </c>
      <c r="F374" s="2" t="str">
        <f>_xlfn.XLOOKUP(Data_orders!C374,Data_customers!$A$1:$A$1001,Data_customers!$B$1:$B$1001,,0)</f>
        <v>Terri Farra</v>
      </c>
      <c r="G374" s="2" t="str">
        <f>IF(_xlfn.XLOOKUP(C374,Data_customers!$A$1:$A$1001,Data_customers!$C$1:$C$1001,,0)=0,"",_xlfn.XLOOKUP(C374,Data_customers!$A$1:$A$1001,Data_customers!$C$1:$C$1001,,0))</f>
        <v>tfarraac@behance.net</v>
      </c>
      <c r="H374" s="2" t="str">
        <f>_xlfn.XLOOKUP(C374,Data_customers!$A$1:$A$1001,Data_customers!$G$1:$G$1001,"",0)</f>
        <v>United States</v>
      </c>
      <c r="I374" t="str">
        <f>INDEX(Data_products!$A$1:$G$49, MATCH(Data_orders!$D374,Data_products!$A$1:$A$49,0), MATCH(Data_orders!I$1,Data_products!$A$1:$G$1,0))</f>
        <v>Rob</v>
      </c>
      <c r="J374" t="str">
        <f>INDEX(Data_products!$A$1:$G$49, MATCH(Data_orders!$D374,Data_products!$A$1:$A$49,0), MATCH(Data_orders!J$1,Data_products!$A$1:$G$1,0))</f>
        <v>L</v>
      </c>
      <c r="K374" s="4">
        <f>INDEX(Data_products!$A$1:$G$49, MATCH(Data_orders!$D374,Data_products!$A$1:$A$49,0), MATCH(Data_orders!K$1,Data_products!$A$1:$G$1,0))</f>
        <v>0.5</v>
      </c>
      <c r="L374">
        <f>INDEX(Data_products!$A$1:$G$49, MATCH(Data_orders!$D374,Data_products!$A$1:$A$49,0), MATCH(Data_orders!L$1,Data_products!$A$1:$G$1,0))</f>
        <v>7.169999999999999</v>
      </c>
      <c r="M374">
        <f t="shared" si="10"/>
        <v>43.019999999999996</v>
      </c>
      <c r="N374" t="str" cm="1">
        <f t="array" ref="N374">_xlfn.IFS(I374 = "Rob", "Robusta", I374 = "Exc", "Excelsa", I374 = "Ara", "Arabica", I374 = "Lib", "Liberica")</f>
        <v>Robusta</v>
      </c>
      <c r="O374" t="str">
        <f t="shared" si="11"/>
        <v>Light</v>
      </c>
      <c r="P374" t="str">
        <f>_xlfn.XLOOKUP(Table1[[#This Row],[Customer ID]],Data_customers!$A$2:$A$1001,Data_customers!$I$2:$I$1001,,0)</f>
        <v>No</v>
      </c>
    </row>
    <row r="375" spans="1:16" x14ac:dyDescent="0.2">
      <c r="A375" s="2" t="s">
        <v>2591</v>
      </c>
      <c r="B375" s="3">
        <v>44742</v>
      </c>
      <c r="C375" s="2" t="s">
        <v>2592</v>
      </c>
      <c r="D375" t="s">
        <v>6158</v>
      </c>
      <c r="E375" s="2">
        <v>3</v>
      </c>
      <c r="F375" s="2" t="str">
        <f>_xlfn.XLOOKUP(Data_orders!C375,Data_customers!$A$1:$A$1001,Data_customers!$B$1:$B$1001,,0)</f>
        <v>Corney Curme</v>
      </c>
      <c r="G375" s="2" t="str">
        <f>IF(_xlfn.XLOOKUP(C375,Data_customers!$A$1:$A$1001,Data_customers!$C$1:$C$1001,,0)=0,"",_xlfn.XLOOKUP(C375,Data_customers!$A$1:$A$1001,Data_customers!$C$1:$C$1001,,0))</f>
        <v/>
      </c>
      <c r="H375" s="2" t="str">
        <f>_xlfn.XLOOKUP(C375,Data_customers!$A$1:$A$1001,Data_customers!$G$1:$G$1001,"",0)</f>
        <v>Ireland</v>
      </c>
      <c r="I375" t="str">
        <f>INDEX(Data_products!$A$1:$G$49, MATCH(Data_orders!$D375,Data_products!$A$1:$A$49,0), MATCH(Data_orders!I$1,Data_products!$A$1:$G$1,0))</f>
        <v>Ara</v>
      </c>
      <c r="J375" t="str">
        <f>INDEX(Data_products!$A$1:$G$49, MATCH(Data_orders!$D375,Data_products!$A$1:$A$49,0), MATCH(Data_orders!J$1,Data_products!$A$1:$G$1,0))</f>
        <v>D</v>
      </c>
      <c r="K375" s="4">
        <f>INDEX(Data_products!$A$1:$G$49, MATCH(Data_orders!$D375,Data_products!$A$1:$A$49,0), MATCH(Data_orders!K$1,Data_products!$A$1:$G$1,0))</f>
        <v>0.5</v>
      </c>
      <c r="L375">
        <f>INDEX(Data_products!$A$1:$G$49, MATCH(Data_orders!$D375,Data_products!$A$1:$A$49,0), MATCH(Data_orders!L$1,Data_products!$A$1:$G$1,0))</f>
        <v>5.97</v>
      </c>
      <c r="M375">
        <f t="shared" si="10"/>
        <v>17.91</v>
      </c>
      <c r="N375" t="str" cm="1">
        <f t="array" ref="N375">_xlfn.IFS(I375 = "Rob", "Robusta", I375 = "Exc", "Excelsa", I375 = "Ara", "Arabica", I375 = "Lib", "Liberica")</f>
        <v>Arabica</v>
      </c>
      <c r="O375" t="str">
        <f t="shared" si="11"/>
        <v>Dark</v>
      </c>
      <c r="P375" t="str">
        <f>_xlfn.XLOOKUP(Table1[[#This Row],[Customer ID]],Data_customers!$A$2:$A$1001,Data_customers!$I$2:$I$1001,,0)</f>
        <v>Yes</v>
      </c>
    </row>
    <row r="376" spans="1:16" x14ac:dyDescent="0.2">
      <c r="A376" s="2" t="s">
        <v>2597</v>
      </c>
      <c r="B376" s="3">
        <v>44125</v>
      </c>
      <c r="C376" s="2" t="s">
        <v>2598</v>
      </c>
      <c r="D376" t="s">
        <v>6161</v>
      </c>
      <c r="E376" s="2">
        <v>4</v>
      </c>
      <c r="F376" s="2" t="str">
        <f>_xlfn.XLOOKUP(Data_orders!C376,Data_customers!$A$1:$A$1001,Data_customers!$B$1:$B$1001,,0)</f>
        <v>Gothart Bamfield</v>
      </c>
      <c r="G376" s="2" t="str">
        <f>IF(_xlfn.XLOOKUP(C376,Data_customers!$A$1:$A$1001,Data_customers!$C$1:$C$1001,,0)=0,"",_xlfn.XLOOKUP(C376,Data_customers!$A$1:$A$1001,Data_customers!$C$1:$C$1001,,0))</f>
        <v>gbamfieldae@yellowpages.com</v>
      </c>
      <c r="H376" s="2" t="str">
        <f>_xlfn.XLOOKUP(C376,Data_customers!$A$1:$A$1001,Data_customers!$G$1:$G$1001,"",0)</f>
        <v>United States</v>
      </c>
      <c r="I376" t="str">
        <f>INDEX(Data_products!$A$1:$G$49, MATCH(Data_orders!$D376,Data_products!$A$1:$A$49,0), MATCH(Data_orders!I$1,Data_products!$A$1:$G$1,0))</f>
        <v>Lib</v>
      </c>
      <c r="J376" t="str">
        <f>INDEX(Data_products!$A$1:$G$49, MATCH(Data_orders!$D376,Data_products!$A$1:$A$49,0), MATCH(Data_orders!J$1,Data_products!$A$1:$G$1,0))</f>
        <v>L</v>
      </c>
      <c r="K376" s="4">
        <f>INDEX(Data_products!$A$1:$G$49, MATCH(Data_orders!$D376,Data_products!$A$1:$A$49,0), MATCH(Data_orders!K$1,Data_products!$A$1:$G$1,0))</f>
        <v>0.5</v>
      </c>
      <c r="L376">
        <f>INDEX(Data_products!$A$1:$G$49, MATCH(Data_orders!$D376,Data_products!$A$1:$A$49,0), MATCH(Data_orders!L$1,Data_products!$A$1:$G$1,0))</f>
        <v>9.51</v>
      </c>
      <c r="M376">
        <f t="shared" si="10"/>
        <v>38.04</v>
      </c>
      <c r="N376" t="str" cm="1">
        <f t="array" ref="N376">_xlfn.IFS(I376 = "Rob", "Robusta", I376 = "Exc", "Excelsa", I376 = "Ara", "Arabica", I376 = "Lib", "Liberica")</f>
        <v>Liberica</v>
      </c>
      <c r="O376" t="str">
        <f t="shared" si="11"/>
        <v>Light</v>
      </c>
      <c r="P376" t="str">
        <f>_xlfn.XLOOKUP(Table1[[#This Row],[Customer ID]],Data_customers!$A$2:$A$1001,Data_customers!$I$2:$I$1001,,0)</f>
        <v>Yes</v>
      </c>
    </row>
    <row r="377" spans="1:16" x14ac:dyDescent="0.2">
      <c r="A377" s="2" t="s">
        <v>2603</v>
      </c>
      <c r="B377" s="3">
        <v>44120</v>
      </c>
      <c r="C377" s="2" t="s">
        <v>2604</v>
      </c>
      <c r="D377" t="s">
        <v>6152</v>
      </c>
      <c r="E377" s="2">
        <v>2</v>
      </c>
      <c r="F377" s="2" t="str">
        <f>_xlfn.XLOOKUP(Data_orders!C377,Data_customers!$A$1:$A$1001,Data_customers!$B$1:$B$1001,,0)</f>
        <v>Waylin Hollingdale</v>
      </c>
      <c r="G377" s="2" t="str">
        <f>IF(_xlfn.XLOOKUP(C377,Data_customers!$A$1:$A$1001,Data_customers!$C$1:$C$1001,,0)=0,"",_xlfn.XLOOKUP(C377,Data_customers!$A$1:$A$1001,Data_customers!$C$1:$C$1001,,0))</f>
        <v>whollingdaleaf@about.me</v>
      </c>
      <c r="H377" s="2" t="str">
        <f>_xlfn.XLOOKUP(C377,Data_customers!$A$1:$A$1001,Data_customers!$G$1:$G$1001,"",0)</f>
        <v>United States</v>
      </c>
      <c r="I377" t="str">
        <f>INDEX(Data_products!$A$1:$G$49, MATCH(Data_orders!$D377,Data_products!$A$1:$A$49,0), MATCH(Data_orders!I$1,Data_products!$A$1:$G$1,0))</f>
        <v>Ara</v>
      </c>
      <c r="J377" t="str">
        <f>INDEX(Data_products!$A$1:$G$49, MATCH(Data_orders!$D377,Data_products!$A$1:$A$49,0), MATCH(Data_orders!J$1,Data_products!$A$1:$G$1,0))</f>
        <v>M</v>
      </c>
      <c r="K377" s="4">
        <f>INDEX(Data_products!$A$1:$G$49, MATCH(Data_orders!$D377,Data_products!$A$1:$A$49,0), MATCH(Data_orders!K$1,Data_products!$A$1:$G$1,0))</f>
        <v>0.2</v>
      </c>
      <c r="L377">
        <f>INDEX(Data_products!$A$1:$G$49, MATCH(Data_orders!$D377,Data_products!$A$1:$A$49,0), MATCH(Data_orders!L$1,Data_products!$A$1:$G$1,0))</f>
        <v>3.375</v>
      </c>
      <c r="M377">
        <f t="shared" si="10"/>
        <v>6.75</v>
      </c>
      <c r="N377" t="str" cm="1">
        <f t="array" ref="N377">_xlfn.IFS(I377 = "Rob", "Robusta", I377 = "Exc", "Excelsa", I377 = "Ara", "Arabica", I377 = "Lib", "Liberica")</f>
        <v>Arabica</v>
      </c>
      <c r="O377" t="str">
        <f t="shared" si="11"/>
        <v>Medium</v>
      </c>
      <c r="P377" t="str">
        <f>_xlfn.XLOOKUP(Table1[[#This Row],[Customer ID]],Data_customers!$A$2:$A$1001,Data_customers!$I$2:$I$1001,,0)</f>
        <v>Yes</v>
      </c>
    </row>
    <row r="378" spans="1:16" x14ac:dyDescent="0.2">
      <c r="A378" s="2" t="s">
        <v>2609</v>
      </c>
      <c r="B378" s="3">
        <v>44097</v>
      </c>
      <c r="C378" s="2" t="s">
        <v>2610</v>
      </c>
      <c r="D378" t="s">
        <v>6146</v>
      </c>
      <c r="E378" s="2">
        <v>1</v>
      </c>
      <c r="F378" s="2" t="str">
        <f>_xlfn.XLOOKUP(Data_orders!C378,Data_customers!$A$1:$A$1001,Data_customers!$B$1:$B$1001,,0)</f>
        <v>Judd De Leek</v>
      </c>
      <c r="G378" s="2" t="str">
        <f>IF(_xlfn.XLOOKUP(C378,Data_customers!$A$1:$A$1001,Data_customers!$C$1:$C$1001,,0)=0,"",_xlfn.XLOOKUP(C378,Data_customers!$A$1:$A$1001,Data_customers!$C$1:$C$1001,,0))</f>
        <v>jdeag@xrea.com</v>
      </c>
      <c r="H378" s="2" t="str">
        <f>_xlfn.XLOOKUP(C378,Data_customers!$A$1:$A$1001,Data_customers!$G$1:$G$1001,"",0)</f>
        <v>United States</v>
      </c>
      <c r="I378" t="str">
        <f>INDEX(Data_products!$A$1:$G$49, MATCH(Data_orders!$D378,Data_products!$A$1:$A$49,0), MATCH(Data_orders!I$1,Data_products!$A$1:$G$1,0))</f>
        <v>Rob</v>
      </c>
      <c r="J378" t="str">
        <f>INDEX(Data_products!$A$1:$G$49, MATCH(Data_orders!$D378,Data_products!$A$1:$A$49,0), MATCH(Data_orders!J$1,Data_products!$A$1:$G$1,0))</f>
        <v>M</v>
      </c>
      <c r="K378" s="4">
        <f>INDEX(Data_products!$A$1:$G$49, MATCH(Data_orders!$D378,Data_products!$A$1:$A$49,0), MATCH(Data_orders!K$1,Data_products!$A$1:$G$1,0))</f>
        <v>0.5</v>
      </c>
      <c r="L378">
        <f>INDEX(Data_products!$A$1:$G$49, MATCH(Data_orders!$D378,Data_products!$A$1:$A$49,0), MATCH(Data_orders!L$1,Data_products!$A$1:$G$1,0))</f>
        <v>5.97</v>
      </c>
      <c r="M378">
        <f t="shared" si="10"/>
        <v>5.97</v>
      </c>
      <c r="N378" t="str" cm="1">
        <f t="array" ref="N378">_xlfn.IFS(I378 = "Rob", "Robusta", I378 = "Exc", "Excelsa", I378 = "Ara", "Arabica", I378 = "Lib", "Liberica")</f>
        <v>Robusta</v>
      </c>
      <c r="O378" t="str">
        <f t="shared" si="11"/>
        <v>Medium</v>
      </c>
      <c r="P378" t="str">
        <f>_xlfn.XLOOKUP(Table1[[#This Row],[Customer ID]],Data_customers!$A$2:$A$1001,Data_customers!$I$2:$I$1001,,0)</f>
        <v>Yes</v>
      </c>
    </row>
    <row r="379" spans="1:16" x14ac:dyDescent="0.2">
      <c r="A379" s="2" t="s">
        <v>2615</v>
      </c>
      <c r="B379" s="3">
        <v>43532</v>
      </c>
      <c r="C379" s="2" t="s">
        <v>2616</v>
      </c>
      <c r="D379" t="s">
        <v>6163</v>
      </c>
      <c r="E379" s="2">
        <v>3</v>
      </c>
      <c r="F379" s="2" t="str">
        <f>_xlfn.XLOOKUP(Data_orders!C379,Data_customers!$A$1:$A$1001,Data_customers!$B$1:$B$1001,,0)</f>
        <v>Vanya Skullet</v>
      </c>
      <c r="G379" s="2" t="str">
        <f>IF(_xlfn.XLOOKUP(C379,Data_customers!$A$1:$A$1001,Data_customers!$C$1:$C$1001,,0)=0,"",_xlfn.XLOOKUP(C379,Data_customers!$A$1:$A$1001,Data_customers!$C$1:$C$1001,,0))</f>
        <v>vskulletah@tinyurl.com</v>
      </c>
      <c r="H379" s="2" t="str">
        <f>_xlfn.XLOOKUP(C379,Data_customers!$A$1:$A$1001,Data_customers!$G$1:$G$1001,"",0)</f>
        <v>Ireland</v>
      </c>
      <c r="I379" t="str">
        <f>INDEX(Data_products!$A$1:$G$49, MATCH(Data_orders!$D379,Data_products!$A$1:$A$49,0), MATCH(Data_orders!I$1,Data_products!$A$1:$G$1,0))</f>
        <v>Rob</v>
      </c>
      <c r="J379" t="str">
        <f>INDEX(Data_products!$A$1:$G$49, MATCH(Data_orders!$D379,Data_products!$A$1:$A$49,0), MATCH(Data_orders!J$1,Data_products!$A$1:$G$1,0))</f>
        <v>D</v>
      </c>
      <c r="K379" s="4">
        <f>INDEX(Data_products!$A$1:$G$49, MATCH(Data_orders!$D379,Data_products!$A$1:$A$49,0), MATCH(Data_orders!K$1,Data_products!$A$1:$G$1,0))</f>
        <v>0.2</v>
      </c>
      <c r="L379">
        <f>INDEX(Data_products!$A$1:$G$49, MATCH(Data_orders!$D379,Data_products!$A$1:$A$49,0), MATCH(Data_orders!L$1,Data_products!$A$1:$G$1,0))</f>
        <v>2.6849999999999996</v>
      </c>
      <c r="M379">
        <f t="shared" si="10"/>
        <v>8.0549999999999997</v>
      </c>
      <c r="N379" t="str" cm="1">
        <f t="array" ref="N379">_xlfn.IFS(I379 = "Rob", "Robusta", I379 = "Exc", "Excelsa", I379 = "Ara", "Arabica", I379 = "Lib", "Liberica")</f>
        <v>Robusta</v>
      </c>
      <c r="O379" t="str">
        <f t="shared" si="11"/>
        <v>Dark</v>
      </c>
      <c r="P379" t="str">
        <f>_xlfn.XLOOKUP(Table1[[#This Row],[Customer ID]],Data_customers!$A$2:$A$1001,Data_customers!$I$2:$I$1001,,0)</f>
        <v>No</v>
      </c>
    </row>
    <row r="380" spans="1:16" x14ac:dyDescent="0.2">
      <c r="A380" s="2" t="s">
        <v>2621</v>
      </c>
      <c r="B380" s="3">
        <v>44377</v>
      </c>
      <c r="C380" s="2" t="s">
        <v>2622</v>
      </c>
      <c r="D380" t="s">
        <v>6180</v>
      </c>
      <c r="E380" s="2">
        <v>3</v>
      </c>
      <c r="F380" s="2" t="str">
        <f>_xlfn.XLOOKUP(Data_orders!C380,Data_customers!$A$1:$A$1001,Data_customers!$B$1:$B$1001,,0)</f>
        <v>Jany Rudeforth</v>
      </c>
      <c r="G380" s="2" t="str">
        <f>IF(_xlfn.XLOOKUP(C380,Data_customers!$A$1:$A$1001,Data_customers!$C$1:$C$1001,,0)=0,"",_xlfn.XLOOKUP(C380,Data_customers!$A$1:$A$1001,Data_customers!$C$1:$C$1001,,0))</f>
        <v>jrudeforthai@wunderground.com</v>
      </c>
      <c r="H380" s="2" t="str">
        <f>_xlfn.XLOOKUP(C380,Data_customers!$A$1:$A$1001,Data_customers!$G$1:$G$1001,"",0)</f>
        <v>Ireland</v>
      </c>
      <c r="I380" t="str">
        <f>INDEX(Data_products!$A$1:$G$49, MATCH(Data_orders!$D380,Data_products!$A$1:$A$49,0), MATCH(Data_orders!I$1,Data_products!$A$1:$G$1,0))</f>
        <v>Ara</v>
      </c>
      <c r="J380" t="str">
        <f>INDEX(Data_products!$A$1:$G$49, MATCH(Data_orders!$D380,Data_products!$A$1:$A$49,0), MATCH(Data_orders!J$1,Data_products!$A$1:$G$1,0))</f>
        <v>L</v>
      </c>
      <c r="K380" s="4">
        <f>INDEX(Data_products!$A$1:$G$49, MATCH(Data_orders!$D380,Data_products!$A$1:$A$49,0), MATCH(Data_orders!K$1,Data_products!$A$1:$G$1,0))</f>
        <v>0.5</v>
      </c>
      <c r="L380">
        <f>INDEX(Data_products!$A$1:$G$49, MATCH(Data_orders!$D380,Data_products!$A$1:$A$49,0), MATCH(Data_orders!L$1,Data_products!$A$1:$G$1,0))</f>
        <v>7.77</v>
      </c>
      <c r="M380">
        <f t="shared" si="10"/>
        <v>23.31</v>
      </c>
      <c r="N380" t="str" cm="1">
        <f t="array" ref="N380">_xlfn.IFS(I380 = "Rob", "Robusta", I380 = "Exc", "Excelsa", I380 = "Ara", "Arabica", I380 = "Lib", "Liberica")</f>
        <v>Arabica</v>
      </c>
      <c r="O380" t="str">
        <f t="shared" si="11"/>
        <v>Light</v>
      </c>
      <c r="P380" t="str">
        <f>_xlfn.XLOOKUP(Table1[[#This Row],[Customer ID]],Data_customers!$A$2:$A$1001,Data_customers!$I$2:$I$1001,,0)</f>
        <v>Yes</v>
      </c>
    </row>
    <row r="381" spans="1:16" x14ac:dyDescent="0.2">
      <c r="A381" s="2" t="s">
        <v>2627</v>
      </c>
      <c r="B381" s="3">
        <v>43690</v>
      </c>
      <c r="C381" s="2" t="s">
        <v>2628</v>
      </c>
      <c r="D381" t="s">
        <v>6173</v>
      </c>
      <c r="E381" s="2">
        <v>6</v>
      </c>
      <c r="F381" s="2" t="str">
        <f>_xlfn.XLOOKUP(Data_orders!C381,Data_customers!$A$1:$A$1001,Data_customers!$B$1:$B$1001,,0)</f>
        <v>Ashbey Tomaszewski</v>
      </c>
      <c r="G381" s="2" t="str">
        <f>IF(_xlfn.XLOOKUP(C381,Data_customers!$A$1:$A$1001,Data_customers!$C$1:$C$1001,,0)=0,"",_xlfn.XLOOKUP(C381,Data_customers!$A$1:$A$1001,Data_customers!$C$1:$C$1001,,0))</f>
        <v>atomaszewskiaj@answers.com</v>
      </c>
      <c r="H381" s="2" t="str">
        <f>_xlfn.XLOOKUP(C381,Data_customers!$A$1:$A$1001,Data_customers!$G$1:$G$1001,"",0)</f>
        <v>United Kingdom</v>
      </c>
      <c r="I381" t="str">
        <f>INDEX(Data_products!$A$1:$G$49, MATCH(Data_orders!$D381,Data_products!$A$1:$A$49,0), MATCH(Data_orders!I$1,Data_products!$A$1:$G$1,0))</f>
        <v>Rob</v>
      </c>
      <c r="J381" t="str">
        <f>INDEX(Data_products!$A$1:$G$49, MATCH(Data_orders!$D381,Data_products!$A$1:$A$49,0), MATCH(Data_orders!J$1,Data_products!$A$1:$G$1,0))</f>
        <v>L</v>
      </c>
      <c r="K381" s="4">
        <f>INDEX(Data_products!$A$1:$G$49, MATCH(Data_orders!$D381,Data_products!$A$1:$A$49,0), MATCH(Data_orders!K$1,Data_products!$A$1:$G$1,0))</f>
        <v>0.5</v>
      </c>
      <c r="L381">
        <f>INDEX(Data_products!$A$1:$G$49, MATCH(Data_orders!$D381,Data_products!$A$1:$A$49,0), MATCH(Data_orders!L$1,Data_products!$A$1:$G$1,0))</f>
        <v>7.169999999999999</v>
      </c>
      <c r="M381">
        <f t="shared" si="10"/>
        <v>43.019999999999996</v>
      </c>
      <c r="N381" t="str" cm="1">
        <f t="array" ref="N381">_xlfn.IFS(I381 = "Rob", "Robusta", I381 = "Exc", "Excelsa", I381 = "Ara", "Arabica", I381 = "Lib", "Liberica")</f>
        <v>Robusta</v>
      </c>
      <c r="O381" t="str">
        <f t="shared" si="11"/>
        <v>Light</v>
      </c>
      <c r="P381" t="str">
        <f>_xlfn.XLOOKUP(Table1[[#This Row],[Customer ID]],Data_customers!$A$2:$A$1001,Data_customers!$I$2:$I$1001,,0)</f>
        <v>Yes</v>
      </c>
    </row>
    <row r="382" spans="1:16" x14ac:dyDescent="0.2">
      <c r="A382" s="2" t="s">
        <v>2632</v>
      </c>
      <c r="B382" s="3">
        <v>44249</v>
      </c>
      <c r="C382" s="2" t="s">
        <v>2331</v>
      </c>
      <c r="D382" t="s">
        <v>6169</v>
      </c>
      <c r="E382" s="2">
        <v>3</v>
      </c>
      <c r="F382" s="2" t="str">
        <f>_xlfn.XLOOKUP(Data_orders!C382,Data_customers!$A$1:$A$1001,Data_customers!$B$1:$B$1001,,0)</f>
        <v>Flynn Antony</v>
      </c>
      <c r="G382" s="2" t="str">
        <f>IF(_xlfn.XLOOKUP(C382,Data_customers!$A$1:$A$1001,Data_customers!$C$1:$C$1001,,0)=0,"",_xlfn.XLOOKUP(C382,Data_customers!$A$1:$A$1001,Data_customers!$C$1:$C$1001,,0))</f>
        <v/>
      </c>
      <c r="H382" s="2" t="str">
        <f>_xlfn.XLOOKUP(C382,Data_customers!$A$1:$A$1001,Data_customers!$G$1:$G$1001,"",0)</f>
        <v>United States</v>
      </c>
      <c r="I382" t="str">
        <f>INDEX(Data_products!$A$1:$G$49, MATCH(Data_orders!$D382,Data_products!$A$1:$A$49,0), MATCH(Data_orders!I$1,Data_products!$A$1:$G$1,0))</f>
        <v>Lib</v>
      </c>
      <c r="J382" t="str">
        <f>INDEX(Data_products!$A$1:$G$49, MATCH(Data_orders!$D382,Data_products!$A$1:$A$49,0), MATCH(Data_orders!J$1,Data_products!$A$1:$G$1,0))</f>
        <v>D</v>
      </c>
      <c r="K382" s="4">
        <f>INDEX(Data_products!$A$1:$G$49, MATCH(Data_orders!$D382,Data_products!$A$1:$A$49,0), MATCH(Data_orders!K$1,Data_products!$A$1:$G$1,0))</f>
        <v>0.5</v>
      </c>
      <c r="L382">
        <f>INDEX(Data_products!$A$1:$G$49, MATCH(Data_orders!$D382,Data_products!$A$1:$A$49,0), MATCH(Data_orders!L$1,Data_products!$A$1:$G$1,0))</f>
        <v>7.77</v>
      </c>
      <c r="M382">
        <f t="shared" si="10"/>
        <v>23.31</v>
      </c>
      <c r="N382" t="str" cm="1">
        <f t="array" ref="N382">_xlfn.IFS(I382 = "Rob", "Robusta", I382 = "Exc", "Excelsa", I382 = "Ara", "Arabica", I382 = "Lib", "Liberica")</f>
        <v>Liberica</v>
      </c>
      <c r="O382" t="str">
        <f t="shared" si="11"/>
        <v>Dark</v>
      </c>
      <c r="P382" t="str">
        <f>_xlfn.XLOOKUP(Table1[[#This Row],[Customer ID]],Data_customers!$A$2:$A$1001,Data_customers!$I$2:$I$1001,,0)</f>
        <v>No</v>
      </c>
    </row>
    <row r="383" spans="1:16" x14ac:dyDescent="0.2">
      <c r="A383" s="2" t="s">
        <v>2638</v>
      </c>
      <c r="B383" s="3">
        <v>44646</v>
      </c>
      <c r="C383" s="2" t="s">
        <v>2639</v>
      </c>
      <c r="D383" t="s">
        <v>6154</v>
      </c>
      <c r="E383" s="2">
        <v>5</v>
      </c>
      <c r="F383" s="2" t="str">
        <f>_xlfn.XLOOKUP(Data_orders!C383,Data_customers!$A$1:$A$1001,Data_customers!$B$1:$B$1001,,0)</f>
        <v>Pren Bess</v>
      </c>
      <c r="G383" s="2" t="str">
        <f>IF(_xlfn.XLOOKUP(C383,Data_customers!$A$1:$A$1001,Data_customers!$C$1:$C$1001,,0)=0,"",_xlfn.XLOOKUP(C383,Data_customers!$A$1:$A$1001,Data_customers!$C$1:$C$1001,,0))</f>
        <v>pbessal@qq.com</v>
      </c>
      <c r="H383" s="2" t="str">
        <f>_xlfn.XLOOKUP(C383,Data_customers!$A$1:$A$1001,Data_customers!$G$1:$G$1001,"",0)</f>
        <v>United States</v>
      </c>
      <c r="I383" t="str">
        <f>INDEX(Data_products!$A$1:$G$49, MATCH(Data_orders!$D383,Data_products!$A$1:$A$49,0), MATCH(Data_orders!I$1,Data_products!$A$1:$G$1,0))</f>
        <v>Ara</v>
      </c>
      <c r="J383" t="str">
        <f>INDEX(Data_products!$A$1:$G$49, MATCH(Data_orders!$D383,Data_products!$A$1:$A$49,0), MATCH(Data_orders!J$1,Data_products!$A$1:$G$1,0))</f>
        <v>D</v>
      </c>
      <c r="K383" s="4">
        <f>INDEX(Data_products!$A$1:$G$49, MATCH(Data_orders!$D383,Data_products!$A$1:$A$49,0), MATCH(Data_orders!K$1,Data_products!$A$1:$G$1,0))</f>
        <v>0.2</v>
      </c>
      <c r="L383">
        <f>INDEX(Data_products!$A$1:$G$49, MATCH(Data_orders!$D383,Data_products!$A$1:$A$49,0), MATCH(Data_orders!L$1,Data_products!$A$1:$G$1,0))</f>
        <v>2.9849999999999999</v>
      </c>
      <c r="M383">
        <f t="shared" si="10"/>
        <v>14.924999999999999</v>
      </c>
      <c r="N383" t="str" cm="1">
        <f t="array" ref="N383">_xlfn.IFS(I383 = "Rob", "Robusta", I383 = "Exc", "Excelsa", I383 = "Ara", "Arabica", I383 = "Lib", "Liberica")</f>
        <v>Arabica</v>
      </c>
      <c r="O383" t="str">
        <f t="shared" si="11"/>
        <v>Dark</v>
      </c>
      <c r="P383" t="str">
        <f>_xlfn.XLOOKUP(Table1[[#This Row],[Customer ID]],Data_customers!$A$2:$A$1001,Data_customers!$I$2:$I$1001,,0)</f>
        <v>Yes</v>
      </c>
    </row>
    <row r="384" spans="1:16" x14ac:dyDescent="0.2">
      <c r="A384" s="2" t="s">
        <v>2644</v>
      </c>
      <c r="B384" s="3">
        <v>43840</v>
      </c>
      <c r="C384" s="2" t="s">
        <v>2645</v>
      </c>
      <c r="D384" t="s">
        <v>6144</v>
      </c>
      <c r="E384" s="2">
        <v>3</v>
      </c>
      <c r="F384" s="2" t="str">
        <f>_xlfn.XLOOKUP(Data_orders!C384,Data_customers!$A$1:$A$1001,Data_customers!$B$1:$B$1001,,0)</f>
        <v>Elka Windress</v>
      </c>
      <c r="G384" s="2" t="str">
        <f>IF(_xlfn.XLOOKUP(C384,Data_customers!$A$1:$A$1001,Data_customers!$C$1:$C$1001,,0)=0,"",_xlfn.XLOOKUP(C384,Data_customers!$A$1:$A$1001,Data_customers!$C$1:$C$1001,,0))</f>
        <v>ewindressam@marketwatch.com</v>
      </c>
      <c r="H384" s="2" t="str">
        <f>_xlfn.XLOOKUP(C384,Data_customers!$A$1:$A$1001,Data_customers!$G$1:$G$1001,"",0)</f>
        <v>United States</v>
      </c>
      <c r="I384" t="str">
        <f>INDEX(Data_products!$A$1:$G$49, MATCH(Data_orders!$D384,Data_products!$A$1:$A$49,0), MATCH(Data_orders!I$1,Data_products!$A$1:$G$1,0))</f>
        <v>Exc</v>
      </c>
      <c r="J384" t="str">
        <f>INDEX(Data_products!$A$1:$G$49, MATCH(Data_orders!$D384,Data_products!$A$1:$A$49,0), MATCH(Data_orders!J$1,Data_products!$A$1:$G$1,0))</f>
        <v>D</v>
      </c>
      <c r="K384" s="4">
        <f>INDEX(Data_products!$A$1:$G$49, MATCH(Data_orders!$D384,Data_products!$A$1:$A$49,0), MATCH(Data_orders!K$1,Data_products!$A$1:$G$1,0))</f>
        <v>0.5</v>
      </c>
      <c r="L384">
        <f>INDEX(Data_products!$A$1:$G$49, MATCH(Data_orders!$D384,Data_products!$A$1:$A$49,0), MATCH(Data_orders!L$1,Data_products!$A$1:$G$1,0))</f>
        <v>7.29</v>
      </c>
      <c r="M384">
        <f t="shared" si="10"/>
        <v>21.87</v>
      </c>
      <c r="N384" t="str" cm="1">
        <f t="array" ref="N384">_xlfn.IFS(I384 = "Rob", "Robusta", I384 = "Exc", "Excelsa", I384 = "Ara", "Arabica", I384 = "Lib", "Liberica")</f>
        <v>Excelsa</v>
      </c>
      <c r="O384" t="str">
        <f t="shared" si="11"/>
        <v>Dark</v>
      </c>
      <c r="P384" t="str">
        <f>_xlfn.XLOOKUP(Table1[[#This Row],[Customer ID]],Data_customers!$A$2:$A$1001,Data_customers!$I$2:$I$1001,,0)</f>
        <v>No</v>
      </c>
    </row>
    <row r="385" spans="1:16" x14ac:dyDescent="0.2">
      <c r="A385" s="2" t="s">
        <v>2650</v>
      </c>
      <c r="B385" s="3">
        <v>43586</v>
      </c>
      <c r="C385" s="2" t="s">
        <v>2651</v>
      </c>
      <c r="D385" t="s">
        <v>6176</v>
      </c>
      <c r="E385" s="2">
        <v>6</v>
      </c>
      <c r="F385" s="2" t="str">
        <f>_xlfn.XLOOKUP(Data_orders!C385,Data_customers!$A$1:$A$1001,Data_customers!$B$1:$B$1001,,0)</f>
        <v>Marty Kidstoun</v>
      </c>
      <c r="G385" s="2" t="str">
        <f>IF(_xlfn.XLOOKUP(C385,Data_customers!$A$1:$A$1001,Data_customers!$C$1:$C$1001,,0)=0,"",_xlfn.XLOOKUP(C385,Data_customers!$A$1:$A$1001,Data_customers!$C$1:$C$1001,,0))</f>
        <v/>
      </c>
      <c r="H385" s="2" t="str">
        <f>_xlfn.XLOOKUP(C385,Data_customers!$A$1:$A$1001,Data_customers!$G$1:$G$1001,"",0)</f>
        <v>United States</v>
      </c>
      <c r="I385" t="str">
        <f>INDEX(Data_products!$A$1:$G$49, MATCH(Data_orders!$D385,Data_products!$A$1:$A$49,0), MATCH(Data_orders!I$1,Data_products!$A$1:$G$1,0))</f>
        <v>Exc</v>
      </c>
      <c r="J385" t="str">
        <f>INDEX(Data_products!$A$1:$G$49, MATCH(Data_orders!$D385,Data_products!$A$1:$A$49,0), MATCH(Data_orders!J$1,Data_products!$A$1:$G$1,0))</f>
        <v>L</v>
      </c>
      <c r="K385" s="4">
        <f>INDEX(Data_products!$A$1:$G$49, MATCH(Data_orders!$D385,Data_products!$A$1:$A$49,0), MATCH(Data_orders!K$1,Data_products!$A$1:$G$1,0))</f>
        <v>0.5</v>
      </c>
      <c r="L385">
        <f>INDEX(Data_products!$A$1:$G$49, MATCH(Data_orders!$D385,Data_products!$A$1:$A$49,0), MATCH(Data_orders!L$1,Data_products!$A$1:$G$1,0))</f>
        <v>8.91</v>
      </c>
      <c r="M385">
        <f t="shared" si="10"/>
        <v>53.46</v>
      </c>
      <c r="N385" t="str" cm="1">
        <f t="array" ref="N385">_xlfn.IFS(I385 = "Rob", "Robusta", I385 = "Exc", "Excelsa", I385 = "Ara", "Arabica", I385 = "Lib", "Liberica")</f>
        <v>Excelsa</v>
      </c>
      <c r="O385" t="str">
        <f t="shared" si="11"/>
        <v>Light</v>
      </c>
      <c r="P385" t="str">
        <f>_xlfn.XLOOKUP(Table1[[#This Row],[Customer ID]],Data_customers!$A$2:$A$1001,Data_customers!$I$2:$I$1001,,0)</f>
        <v>Yes</v>
      </c>
    </row>
    <row r="386" spans="1:16" x14ac:dyDescent="0.2">
      <c r="A386" s="2" t="s">
        <v>2655</v>
      </c>
      <c r="B386" s="3">
        <v>43870</v>
      </c>
      <c r="C386" s="2" t="s">
        <v>2656</v>
      </c>
      <c r="D386" t="s">
        <v>6182</v>
      </c>
      <c r="E386" s="2">
        <v>4</v>
      </c>
      <c r="F386" s="2" t="str">
        <f>_xlfn.XLOOKUP(Data_orders!C386,Data_customers!$A$1:$A$1001,Data_customers!$B$1:$B$1001,,0)</f>
        <v>Nickey Dimbleby</v>
      </c>
      <c r="G386" s="2" t="str">
        <f>IF(_xlfn.XLOOKUP(C386,Data_customers!$A$1:$A$1001,Data_customers!$C$1:$C$1001,,0)=0,"",_xlfn.XLOOKUP(C386,Data_customers!$A$1:$A$1001,Data_customers!$C$1:$C$1001,,0))</f>
        <v/>
      </c>
      <c r="H386" s="2" t="str">
        <f>_xlfn.XLOOKUP(C386,Data_customers!$A$1:$A$1001,Data_customers!$G$1:$G$1001,"",0)</f>
        <v>United States</v>
      </c>
      <c r="I386" t="str">
        <f>INDEX(Data_products!$A$1:$G$49, MATCH(Data_orders!$D386,Data_products!$A$1:$A$49,0), MATCH(Data_orders!I$1,Data_products!$A$1:$G$1,0))</f>
        <v>Ara</v>
      </c>
      <c r="J386" t="str">
        <f>INDEX(Data_products!$A$1:$G$49, MATCH(Data_orders!$D386,Data_products!$A$1:$A$49,0), MATCH(Data_orders!J$1,Data_products!$A$1:$G$1,0))</f>
        <v>L</v>
      </c>
      <c r="K386" s="4">
        <f>INDEX(Data_products!$A$1:$G$49, MATCH(Data_orders!$D386,Data_products!$A$1:$A$49,0), MATCH(Data_orders!K$1,Data_products!$A$1:$G$1,0))</f>
        <v>2.5</v>
      </c>
      <c r="L386">
        <f>INDEX(Data_products!$A$1:$G$49, MATCH(Data_orders!$D386,Data_products!$A$1:$A$49,0), MATCH(Data_orders!L$1,Data_products!$A$1:$G$1,0))</f>
        <v>29.784999999999997</v>
      </c>
      <c r="M386">
        <f t="shared" si="10"/>
        <v>119.13999999999999</v>
      </c>
      <c r="N386" t="str" cm="1">
        <f t="array" ref="N386">_xlfn.IFS(I386 = "Rob", "Robusta", I386 = "Exc", "Excelsa", I386 = "Ara", "Arabica", I386 = "Lib", "Liberica")</f>
        <v>Arabica</v>
      </c>
      <c r="O386" t="str">
        <f t="shared" si="11"/>
        <v>Light</v>
      </c>
      <c r="P386" t="str">
        <f>_xlfn.XLOOKUP(Table1[[#This Row],[Customer ID]],Data_customers!$A$2:$A$1001,Data_customers!$I$2:$I$1001,,0)</f>
        <v>No</v>
      </c>
    </row>
    <row r="387" spans="1:16" x14ac:dyDescent="0.2">
      <c r="A387" s="2" t="s">
        <v>2660</v>
      </c>
      <c r="B387" s="3">
        <v>44559</v>
      </c>
      <c r="C387" s="2" t="s">
        <v>2661</v>
      </c>
      <c r="D387" t="s">
        <v>6160</v>
      </c>
      <c r="E387" s="2">
        <v>5</v>
      </c>
      <c r="F387" s="2" t="str">
        <f>_xlfn.XLOOKUP(Data_orders!C387,Data_customers!$A$1:$A$1001,Data_customers!$B$1:$B$1001,,0)</f>
        <v>Virgil Baumadier</v>
      </c>
      <c r="G387" s="2" t="str">
        <f>IF(_xlfn.XLOOKUP(C387,Data_customers!$A$1:$A$1001,Data_customers!$C$1:$C$1001,,0)=0,"",_xlfn.XLOOKUP(C387,Data_customers!$A$1:$A$1001,Data_customers!$C$1:$C$1001,,0))</f>
        <v>vbaumadierap@google.cn</v>
      </c>
      <c r="H387" s="2" t="str">
        <f>_xlfn.XLOOKUP(C387,Data_customers!$A$1:$A$1001,Data_customers!$G$1:$G$1001,"",0)</f>
        <v>United States</v>
      </c>
      <c r="I387" t="str">
        <f>INDEX(Data_products!$A$1:$G$49, MATCH(Data_orders!$D387,Data_products!$A$1:$A$49,0), MATCH(Data_orders!I$1,Data_products!$A$1:$G$1,0))</f>
        <v>Lib</v>
      </c>
      <c r="J387" t="str">
        <f>INDEX(Data_products!$A$1:$G$49, MATCH(Data_orders!$D387,Data_products!$A$1:$A$49,0), MATCH(Data_orders!J$1,Data_products!$A$1:$G$1,0))</f>
        <v>M</v>
      </c>
      <c r="K387" s="4">
        <f>INDEX(Data_products!$A$1:$G$49, MATCH(Data_orders!$D387,Data_products!$A$1:$A$49,0), MATCH(Data_orders!K$1,Data_products!$A$1:$G$1,0))</f>
        <v>0.5</v>
      </c>
      <c r="L387">
        <f>INDEX(Data_products!$A$1:$G$49, MATCH(Data_orders!$D387,Data_products!$A$1:$A$49,0), MATCH(Data_orders!L$1,Data_products!$A$1:$G$1,0))</f>
        <v>8.73</v>
      </c>
      <c r="M387">
        <f t="shared" ref="M387:M450" si="12">L387*E387</f>
        <v>43.650000000000006</v>
      </c>
      <c r="N387" t="str" cm="1">
        <f t="array" ref="N387">_xlfn.IFS(I387 = "Rob", "Robusta", I387 = "Exc", "Excelsa", I387 = "Ara", "Arabica", I387 = "Lib", "Liberica")</f>
        <v>Liberica</v>
      </c>
      <c r="O387" t="str">
        <f t="shared" ref="O387:O450" si="13">IF(J387 = "M", "Medium", IF(J387 =  "L", "Light", IF(J387 = "D", "Dark", "")))</f>
        <v>Medium</v>
      </c>
      <c r="P387" t="str">
        <f>_xlfn.XLOOKUP(Table1[[#This Row],[Customer ID]],Data_customers!$A$2:$A$1001,Data_customers!$I$2:$I$1001,,0)</f>
        <v>Yes</v>
      </c>
    </row>
    <row r="388" spans="1:16" x14ac:dyDescent="0.2">
      <c r="A388" s="2" t="s">
        <v>2666</v>
      </c>
      <c r="B388" s="3">
        <v>44083</v>
      </c>
      <c r="C388" s="2" t="s">
        <v>2667</v>
      </c>
      <c r="D388" t="s">
        <v>6154</v>
      </c>
      <c r="E388" s="2">
        <v>6</v>
      </c>
      <c r="F388" s="2" t="str">
        <f>_xlfn.XLOOKUP(Data_orders!C388,Data_customers!$A$1:$A$1001,Data_customers!$B$1:$B$1001,,0)</f>
        <v>Lenore Messenbird</v>
      </c>
      <c r="G388" s="2" t="str">
        <f>IF(_xlfn.XLOOKUP(C388,Data_customers!$A$1:$A$1001,Data_customers!$C$1:$C$1001,,0)=0,"",_xlfn.XLOOKUP(C388,Data_customers!$A$1:$A$1001,Data_customers!$C$1:$C$1001,,0))</f>
        <v/>
      </c>
      <c r="H388" s="2" t="str">
        <f>_xlfn.XLOOKUP(C388,Data_customers!$A$1:$A$1001,Data_customers!$G$1:$G$1001,"",0)</f>
        <v>United States</v>
      </c>
      <c r="I388" t="str">
        <f>INDEX(Data_products!$A$1:$G$49, MATCH(Data_orders!$D388,Data_products!$A$1:$A$49,0), MATCH(Data_orders!I$1,Data_products!$A$1:$G$1,0))</f>
        <v>Ara</v>
      </c>
      <c r="J388" t="str">
        <f>INDEX(Data_products!$A$1:$G$49, MATCH(Data_orders!$D388,Data_products!$A$1:$A$49,0), MATCH(Data_orders!J$1,Data_products!$A$1:$G$1,0))</f>
        <v>D</v>
      </c>
      <c r="K388" s="4">
        <f>INDEX(Data_products!$A$1:$G$49, MATCH(Data_orders!$D388,Data_products!$A$1:$A$49,0), MATCH(Data_orders!K$1,Data_products!$A$1:$G$1,0))</f>
        <v>0.2</v>
      </c>
      <c r="L388">
        <f>INDEX(Data_products!$A$1:$G$49, MATCH(Data_orders!$D388,Data_products!$A$1:$A$49,0), MATCH(Data_orders!L$1,Data_products!$A$1:$G$1,0))</f>
        <v>2.9849999999999999</v>
      </c>
      <c r="M388">
        <f t="shared" si="12"/>
        <v>17.91</v>
      </c>
      <c r="N388" t="str" cm="1">
        <f t="array" ref="N388">_xlfn.IFS(I388 = "Rob", "Robusta", I388 = "Exc", "Excelsa", I388 = "Ara", "Arabica", I388 = "Lib", "Liberica")</f>
        <v>Arabica</v>
      </c>
      <c r="O388" t="str">
        <f t="shared" si="13"/>
        <v>Dark</v>
      </c>
      <c r="P388" t="str">
        <f>_xlfn.XLOOKUP(Table1[[#This Row],[Customer ID]],Data_customers!$A$2:$A$1001,Data_customers!$I$2:$I$1001,,0)</f>
        <v>Yes</v>
      </c>
    </row>
    <row r="389" spans="1:16" x14ac:dyDescent="0.2">
      <c r="A389" s="2" t="s">
        <v>2671</v>
      </c>
      <c r="B389" s="3">
        <v>44455</v>
      </c>
      <c r="C389" s="2" t="s">
        <v>2672</v>
      </c>
      <c r="D389" t="s">
        <v>6171</v>
      </c>
      <c r="E389" s="2">
        <v>5</v>
      </c>
      <c r="F389" s="2" t="str">
        <f>_xlfn.XLOOKUP(Data_orders!C389,Data_customers!$A$1:$A$1001,Data_customers!$B$1:$B$1001,,0)</f>
        <v>Shirleen Welds</v>
      </c>
      <c r="G389" s="2" t="str">
        <f>IF(_xlfn.XLOOKUP(C389,Data_customers!$A$1:$A$1001,Data_customers!$C$1:$C$1001,,0)=0,"",_xlfn.XLOOKUP(C389,Data_customers!$A$1:$A$1001,Data_customers!$C$1:$C$1001,,0))</f>
        <v>sweldsar@wired.com</v>
      </c>
      <c r="H389" s="2" t="str">
        <f>_xlfn.XLOOKUP(C389,Data_customers!$A$1:$A$1001,Data_customers!$G$1:$G$1001,"",0)</f>
        <v>United States</v>
      </c>
      <c r="I389" t="str">
        <f>INDEX(Data_products!$A$1:$G$49, MATCH(Data_orders!$D389,Data_products!$A$1:$A$49,0), MATCH(Data_orders!I$1,Data_products!$A$1:$G$1,0))</f>
        <v>Exc</v>
      </c>
      <c r="J389" t="str">
        <f>INDEX(Data_products!$A$1:$G$49, MATCH(Data_orders!$D389,Data_products!$A$1:$A$49,0), MATCH(Data_orders!J$1,Data_products!$A$1:$G$1,0))</f>
        <v>L</v>
      </c>
      <c r="K389" s="4">
        <f>INDEX(Data_products!$A$1:$G$49, MATCH(Data_orders!$D389,Data_products!$A$1:$A$49,0), MATCH(Data_orders!K$1,Data_products!$A$1:$G$1,0))</f>
        <v>1</v>
      </c>
      <c r="L389">
        <f>INDEX(Data_products!$A$1:$G$49, MATCH(Data_orders!$D389,Data_products!$A$1:$A$49,0), MATCH(Data_orders!L$1,Data_products!$A$1:$G$1,0))</f>
        <v>14.85</v>
      </c>
      <c r="M389">
        <f t="shared" si="12"/>
        <v>74.25</v>
      </c>
      <c r="N389" t="str" cm="1">
        <f t="array" ref="N389">_xlfn.IFS(I389 = "Rob", "Robusta", I389 = "Exc", "Excelsa", I389 = "Ara", "Arabica", I389 = "Lib", "Liberica")</f>
        <v>Excelsa</v>
      </c>
      <c r="O389" t="str">
        <f t="shared" si="13"/>
        <v>Light</v>
      </c>
      <c r="P389" t="str">
        <f>_xlfn.XLOOKUP(Table1[[#This Row],[Customer ID]],Data_customers!$A$2:$A$1001,Data_customers!$I$2:$I$1001,,0)</f>
        <v>Yes</v>
      </c>
    </row>
    <row r="390" spans="1:16" x14ac:dyDescent="0.2">
      <c r="A390" s="2" t="s">
        <v>2677</v>
      </c>
      <c r="B390" s="3">
        <v>44130</v>
      </c>
      <c r="C390" s="2" t="s">
        <v>2678</v>
      </c>
      <c r="D390" t="s">
        <v>6150</v>
      </c>
      <c r="E390" s="2">
        <v>3</v>
      </c>
      <c r="F390" s="2" t="str">
        <f>_xlfn.XLOOKUP(Data_orders!C390,Data_customers!$A$1:$A$1001,Data_customers!$B$1:$B$1001,,0)</f>
        <v>Maisie Sarvar</v>
      </c>
      <c r="G390" s="2" t="str">
        <f>IF(_xlfn.XLOOKUP(C390,Data_customers!$A$1:$A$1001,Data_customers!$C$1:$C$1001,,0)=0,"",_xlfn.XLOOKUP(C390,Data_customers!$A$1:$A$1001,Data_customers!$C$1:$C$1001,,0))</f>
        <v>msarvaras@artisteer.com</v>
      </c>
      <c r="H390" s="2" t="str">
        <f>_xlfn.XLOOKUP(C390,Data_customers!$A$1:$A$1001,Data_customers!$G$1:$G$1001,"",0)</f>
        <v>United States</v>
      </c>
      <c r="I390" t="str">
        <f>INDEX(Data_products!$A$1:$G$49, MATCH(Data_orders!$D390,Data_products!$A$1:$A$49,0), MATCH(Data_orders!I$1,Data_products!$A$1:$G$1,0))</f>
        <v>Lib</v>
      </c>
      <c r="J390" t="str">
        <f>INDEX(Data_products!$A$1:$G$49, MATCH(Data_orders!$D390,Data_products!$A$1:$A$49,0), MATCH(Data_orders!J$1,Data_products!$A$1:$G$1,0))</f>
        <v>D</v>
      </c>
      <c r="K390" s="4">
        <f>INDEX(Data_products!$A$1:$G$49, MATCH(Data_orders!$D390,Data_products!$A$1:$A$49,0), MATCH(Data_orders!K$1,Data_products!$A$1:$G$1,0))</f>
        <v>0.2</v>
      </c>
      <c r="L390">
        <f>INDEX(Data_products!$A$1:$G$49, MATCH(Data_orders!$D390,Data_products!$A$1:$A$49,0), MATCH(Data_orders!L$1,Data_products!$A$1:$G$1,0))</f>
        <v>3.8849999999999998</v>
      </c>
      <c r="M390">
        <f t="shared" si="12"/>
        <v>11.654999999999999</v>
      </c>
      <c r="N390" t="str" cm="1">
        <f t="array" ref="N390">_xlfn.IFS(I390 = "Rob", "Robusta", I390 = "Exc", "Excelsa", I390 = "Ara", "Arabica", I390 = "Lib", "Liberica")</f>
        <v>Liberica</v>
      </c>
      <c r="O390" t="str">
        <f t="shared" si="13"/>
        <v>Dark</v>
      </c>
      <c r="P390" t="str">
        <f>_xlfn.XLOOKUP(Table1[[#This Row],[Customer ID]],Data_customers!$A$2:$A$1001,Data_customers!$I$2:$I$1001,,0)</f>
        <v>Yes</v>
      </c>
    </row>
    <row r="391" spans="1:16" x14ac:dyDescent="0.2">
      <c r="A391" s="2" t="s">
        <v>2683</v>
      </c>
      <c r="B391" s="3">
        <v>43536</v>
      </c>
      <c r="C391" s="2" t="s">
        <v>2684</v>
      </c>
      <c r="D391" t="s">
        <v>6169</v>
      </c>
      <c r="E391" s="2">
        <v>3</v>
      </c>
      <c r="F391" s="2" t="str">
        <f>_xlfn.XLOOKUP(Data_orders!C391,Data_customers!$A$1:$A$1001,Data_customers!$B$1:$B$1001,,0)</f>
        <v>Andrej Havick</v>
      </c>
      <c r="G391" s="2" t="str">
        <f>IF(_xlfn.XLOOKUP(C391,Data_customers!$A$1:$A$1001,Data_customers!$C$1:$C$1001,,0)=0,"",_xlfn.XLOOKUP(C391,Data_customers!$A$1:$A$1001,Data_customers!$C$1:$C$1001,,0))</f>
        <v>ahavickat@nsw.gov.au</v>
      </c>
      <c r="H391" s="2" t="str">
        <f>_xlfn.XLOOKUP(C391,Data_customers!$A$1:$A$1001,Data_customers!$G$1:$G$1001,"",0)</f>
        <v>United States</v>
      </c>
      <c r="I391" t="str">
        <f>INDEX(Data_products!$A$1:$G$49, MATCH(Data_orders!$D391,Data_products!$A$1:$A$49,0), MATCH(Data_orders!I$1,Data_products!$A$1:$G$1,0))</f>
        <v>Lib</v>
      </c>
      <c r="J391" t="str">
        <f>INDEX(Data_products!$A$1:$G$49, MATCH(Data_orders!$D391,Data_products!$A$1:$A$49,0), MATCH(Data_orders!J$1,Data_products!$A$1:$G$1,0))</f>
        <v>D</v>
      </c>
      <c r="K391" s="4">
        <f>INDEX(Data_products!$A$1:$G$49, MATCH(Data_orders!$D391,Data_products!$A$1:$A$49,0), MATCH(Data_orders!K$1,Data_products!$A$1:$G$1,0))</f>
        <v>0.5</v>
      </c>
      <c r="L391">
        <f>INDEX(Data_products!$A$1:$G$49, MATCH(Data_orders!$D391,Data_products!$A$1:$A$49,0), MATCH(Data_orders!L$1,Data_products!$A$1:$G$1,0))</f>
        <v>7.77</v>
      </c>
      <c r="M391">
        <f t="shared" si="12"/>
        <v>23.31</v>
      </c>
      <c r="N391" t="str" cm="1">
        <f t="array" ref="N391">_xlfn.IFS(I391 = "Rob", "Robusta", I391 = "Exc", "Excelsa", I391 = "Ara", "Arabica", I391 = "Lib", "Liberica")</f>
        <v>Liberica</v>
      </c>
      <c r="O391" t="str">
        <f t="shared" si="13"/>
        <v>Dark</v>
      </c>
      <c r="P391" t="str">
        <f>_xlfn.XLOOKUP(Table1[[#This Row],[Customer ID]],Data_customers!$A$2:$A$1001,Data_customers!$I$2:$I$1001,,0)</f>
        <v>Yes</v>
      </c>
    </row>
    <row r="392" spans="1:16" x14ac:dyDescent="0.2">
      <c r="A392" s="2" t="s">
        <v>2689</v>
      </c>
      <c r="B392" s="3">
        <v>44245</v>
      </c>
      <c r="C392" s="2" t="s">
        <v>2690</v>
      </c>
      <c r="D392" t="s">
        <v>6144</v>
      </c>
      <c r="E392" s="2">
        <v>2</v>
      </c>
      <c r="F392" s="2" t="str">
        <f>_xlfn.XLOOKUP(Data_orders!C392,Data_customers!$A$1:$A$1001,Data_customers!$B$1:$B$1001,,0)</f>
        <v>Sloan Diviny</v>
      </c>
      <c r="G392" s="2" t="str">
        <f>IF(_xlfn.XLOOKUP(C392,Data_customers!$A$1:$A$1001,Data_customers!$C$1:$C$1001,,0)=0,"",_xlfn.XLOOKUP(C392,Data_customers!$A$1:$A$1001,Data_customers!$C$1:$C$1001,,0))</f>
        <v>sdivinyau@ask.com</v>
      </c>
      <c r="H392" s="2" t="str">
        <f>_xlfn.XLOOKUP(C392,Data_customers!$A$1:$A$1001,Data_customers!$G$1:$G$1001,"",0)</f>
        <v>United States</v>
      </c>
      <c r="I392" t="str">
        <f>INDEX(Data_products!$A$1:$G$49, MATCH(Data_orders!$D392,Data_products!$A$1:$A$49,0), MATCH(Data_orders!I$1,Data_products!$A$1:$G$1,0))</f>
        <v>Exc</v>
      </c>
      <c r="J392" t="str">
        <f>INDEX(Data_products!$A$1:$G$49, MATCH(Data_orders!$D392,Data_products!$A$1:$A$49,0), MATCH(Data_orders!J$1,Data_products!$A$1:$G$1,0))</f>
        <v>D</v>
      </c>
      <c r="K392" s="4">
        <f>INDEX(Data_products!$A$1:$G$49, MATCH(Data_orders!$D392,Data_products!$A$1:$A$49,0), MATCH(Data_orders!K$1,Data_products!$A$1:$G$1,0))</f>
        <v>0.5</v>
      </c>
      <c r="L392">
        <f>INDEX(Data_products!$A$1:$G$49, MATCH(Data_orders!$D392,Data_products!$A$1:$A$49,0), MATCH(Data_orders!L$1,Data_products!$A$1:$G$1,0))</f>
        <v>7.29</v>
      </c>
      <c r="M392">
        <f t="shared" si="12"/>
        <v>14.58</v>
      </c>
      <c r="N392" t="str" cm="1">
        <f t="array" ref="N392">_xlfn.IFS(I392 = "Rob", "Robusta", I392 = "Exc", "Excelsa", I392 = "Ara", "Arabica", I392 = "Lib", "Liberica")</f>
        <v>Excelsa</v>
      </c>
      <c r="O392" t="str">
        <f t="shared" si="13"/>
        <v>Dark</v>
      </c>
      <c r="P392" t="str">
        <f>_xlfn.XLOOKUP(Table1[[#This Row],[Customer ID]],Data_customers!$A$2:$A$1001,Data_customers!$I$2:$I$1001,,0)</f>
        <v>Yes</v>
      </c>
    </row>
    <row r="393" spans="1:16" x14ac:dyDescent="0.2">
      <c r="A393" s="2" t="s">
        <v>2694</v>
      </c>
      <c r="B393" s="3">
        <v>44133</v>
      </c>
      <c r="C393" s="2" t="s">
        <v>2695</v>
      </c>
      <c r="D393" t="s">
        <v>6157</v>
      </c>
      <c r="E393" s="2">
        <v>2</v>
      </c>
      <c r="F393" s="2" t="str">
        <f>_xlfn.XLOOKUP(Data_orders!C393,Data_customers!$A$1:$A$1001,Data_customers!$B$1:$B$1001,,0)</f>
        <v>Itch Norquoy</v>
      </c>
      <c r="G393" s="2" t="str">
        <f>IF(_xlfn.XLOOKUP(C393,Data_customers!$A$1:$A$1001,Data_customers!$C$1:$C$1001,,0)=0,"",_xlfn.XLOOKUP(C393,Data_customers!$A$1:$A$1001,Data_customers!$C$1:$C$1001,,0))</f>
        <v>inorquoyav@businessweek.com</v>
      </c>
      <c r="H393" s="2" t="str">
        <f>_xlfn.XLOOKUP(C393,Data_customers!$A$1:$A$1001,Data_customers!$G$1:$G$1001,"",0)</f>
        <v>United States</v>
      </c>
      <c r="I393" t="str">
        <f>INDEX(Data_products!$A$1:$G$49, MATCH(Data_orders!$D393,Data_products!$A$1:$A$49,0), MATCH(Data_orders!I$1,Data_products!$A$1:$G$1,0))</f>
        <v>Ara</v>
      </c>
      <c r="J393" t="str">
        <f>INDEX(Data_products!$A$1:$G$49, MATCH(Data_orders!$D393,Data_products!$A$1:$A$49,0), MATCH(Data_orders!J$1,Data_products!$A$1:$G$1,0))</f>
        <v>M</v>
      </c>
      <c r="K393" s="4">
        <f>INDEX(Data_products!$A$1:$G$49, MATCH(Data_orders!$D393,Data_products!$A$1:$A$49,0), MATCH(Data_orders!K$1,Data_products!$A$1:$G$1,0))</f>
        <v>0.5</v>
      </c>
      <c r="L393">
        <f>INDEX(Data_products!$A$1:$G$49, MATCH(Data_orders!$D393,Data_products!$A$1:$A$49,0), MATCH(Data_orders!L$1,Data_products!$A$1:$G$1,0))</f>
        <v>6.75</v>
      </c>
      <c r="M393">
        <f t="shared" si="12"/>
        <v>13.5</v>
      </c>
      <c r="N393" t="str" cm="1">
        <f t="array" ref="N393">_xlfn.IFS(I393 = "Rob", "Robusta", I393 = "Exc", "Excelsa", I393 = "Ara", "Arabica", I393 = "Lib", "Liberica")</f>
        <v>Arabica</v>
      </c>
      <c r="O393" t="str">
        <f t="shared" si="13"/>
        <v>Medium</v>
      </c>
      <c r="P393" t="str">
        <f>_xlfn.XLOOKUP(Table1[[#This Row],[Customer ID]],Data_customers!$A$2:$A$1001,Data_customers!$I$2:$I$1001,,0)</f>
        <v>No</v>
      </c>
    </row>
    <row r="394" spans="1:16" x14ac:dyDescent="0.2">
      <c r="A394" s="2" t="s">
        <v>2699</v>
      </c>
      <c r="B394" s="3">
        <v>44445</v>
      </c>
      <c r="C394" s="2" t="s">
        <v>2700</v>
      </c>
      <c r="D394" t="s">
        <v>6171</v>
      </c>
      <c r="E394" s="2">
        <v>6</v>
      </c>
      <c r="F394" s="2" t="str">
        <f>_xlfn.XLOOKUP(Data_orders!C394,Data_customers!$A$1:$A$1001,Data_customers!$B$1:$B$1001,,0)</f>
        <v>Anson Iddison</v>
      </c>
      <c r="G394" s="2" t="str">
        <f>IF(_xlfn.XLOOKUP(C394,Data_customers!$A$1:$A$1001,Data_customers!$C$1:$C$1001,,0)=0,"",_xlfn.XLOOKUP(C394,Data_customers!$A$1:$A$1001,Data_customers!$C$1:$C$1001,,0))</f>
        <v>aiddisonaw@usa.gov</v>
      </c>
      <c r="H394" s="2" t="str">
        <f>_xlfn.XLOOKUP(C394,Data_customers!$A$1:$A$1001,Data_customers!$G$1:$G$1001,"",0)</f>
        <v>United States</v>
      </c>
      <c r="I394" t="str">
        <f>INDEX(Data_products!$A$1:$G$49, MATCH(Data_orders!$D394,Data_products!$A$1:$A$49,0), MATCH(Data_orders!I$1,Data_products!$A$1:$G$1,0))</f>
        <v>Exc</v>
      </c>
      <c r="J394" t="str">
        <f>INDEX(Data_products!$A$1:$G$49, MATCH(Data_orders!$D394,Data_products!$A$1:$A$49,0), MATCH(Data_orders!J$1,Data_products!$A$1:$G$1,0))</f>
        <v>L</v>
      </c>
      <c r="K394" s="4">
        <f>INDEX(Data_products!$A$1:$G$49, MATCH(Data_orders!$D394,Data_products!$A$1:$A$49,0), MATCH(Data_orders!K$1,Data_products!$A$1:$G$1,0))</f>
        <v>1</v>
      </c>
      <c r="L394">
        <f>INDEX(Data_products!$A$1:$G$49, MATCH(Data_orders!$D394,Data_products!$A$1:$A$49,0), MATCH(Data_orders!L$1,Data_products!$A$1:$G$1,0))</f>
        <v>14.85</v>
      </c>
      <c r="M394">
        <f t="shared" si="12"/>
        <v>89.1</v>
      </c>
      <c r="N394" t="str" cm="1">
        <f t="array" ref="N394">_xlfn.IFS(I394 = "Rob", "Robusta", I394 = "Exc", "Excelsa", I394 = "Ara", "Arabica", I394 = "Lib", "Liberica")</f>
        <v>Excelsa</v>
      </c>
      <c r="O394" t="str">
        <f t="shared" si="13"/>
        <v>Light</v>
      </c>
      <c r="P394" t="str">
        <f>_xlfn.XLOOKUP(Table1[[#This Row],[Customer ID]],Data_customers!$A$2:$A$1001,Data_customers!$I$2:$I$1001,,0)</f>
        <v>No</v>
      </c>
    </row>
    <row r="395" spans="1:16" x14ac:dyDescent="0.2">
      <c r="A395" s="2" t="s">
        <v>2699</v>
      </c>
      <c r="B395" s="3">
        <v>44445</v>
      </c>
      <c r="C395" s="2" t="s">
        <v>2700</v>
      </c>
      <c r="D395" t="s">
        <v>6167</v>
      </c>
      <c r="E395" s="2">
        <v>1</v>
      </c>
      <c r="F395" s="2" t="str">
        <f>_xlfn.XLOOKUP(Data_orders!C395,Data_customers!$A$1:$A$1001,Data_customers!$B$1:$B$1001,,0)</f>
        <v>Anson Iddison</v>
      </c>
      <c r="G395" s="2" t="str">
        <f>IF(_xlfn.XLOOKUP(C395,Data_customers!$A$1:$A$1001,Data_customers!$C$1:$C$1001,,0)=0,"",_xlfn.XLOOKUP(C395,Data_customers!$A$1:$A$1001,Data_customers!$C$1:$C$1001,,0))</f>
        <v>aiddisonaw@usa.gov</v>
      </c>
      <c r="H395" s="2" t="str">
        <f>_xlfn.XLOOKUP(C395,Data_customers!$A$1:$A$1001,Data_customers!$G$1:$G$1001,"",0)</f>
        <v>United States</v>
      </c>
      <c r="I395" t="str">
        <f>INDEX(Data_products!$A$1:$G$49, MATCH(Data_orders!$D395,Data_products!$A$1:$A$49,0), MATCH(Data_orders!I$1,Data_products!$A$1:$G$1,0))</f>
        <v>Ara</v>
      </c>
      <c r="J395" t="str">
        <f>INDEX(Data_products!$A$1:$G$49, MATCH(Data_orders!$D395,Data_products!$A$1:$A$49,0), MATCH(Data_orders!J$1,Data_products!$A$1:$G$1,0))</f>
        <v>L</v>
      </c>
      <c r="K395" s="4">
        <f>INDEX(Data_products!$A$1:$G$49, MATCH(Data_orders!$D395,Data_products!$A$1:$A$49,0), MATCH(Data_orders!K$1,Data_products!$A$1:$G$1,0))</f>
        <v>0.2</v>
      </c>
      <c r="L395">
        <f>INDEX(Data_products!$A$1:$G$49, MATCH(Data_orders!$D395,Data_products!$A$1:$A$49,0), MATCH(Data_orders!L$1,Data_products!$A$1:$G$1,0))</f>
        <v>3.8849999999999998</v>
      </c>
      <c r="M395">
        <f t="shared" si="12"/>
        <v>3.8849999999999998</v>
      </c>
      <c r="N395" t="str" cm="1">
        <f t="array" ref="N395">_xlfn.IFS(I395 = "Rob", "Robusta", I395 = "Exc", "Excelsa", I395 = "Ara", "Arabica", I395 = "Lib", "Liberica")</f>
        <v>Arabica</v>
      </c>
      <c r="O395" t="str">
        <f t="shared" si="13"/>
        <v>Light</v>
      </c>
      <c r="P395" t="str">
        <f>_xlfn.XLOOKUP(Table1[[#This Row],[Customer ID]],Data_customers!$A$2:$A$1001,Data_customers!$I$2:$I$1001,,0)</f>
        <v>No</v>
      </c>
    </row>
    <row r="396" spans="1:16" x14ac:dyDescent="0.2">
      <c r="A396" s="2" t="s">
        <v>2710</v>
      </c>
      <c r="B396" s="3">
        <v>44083</v>
      </c>
      <c r="C396" s="2" t="s">
        <v>2711</v>
      </c>
      <c r="D396" t="s">
        <v>6142</v>
      </c>
      <c r="E396" s="2">
        <v>4</v>
      </c>
      <c r="F396" s="2" t="str">
        <f>_xlfn.XLOOKUP(Data_orders!C396,Data_customers!$A$1:$A$1001,Data_customers!$B$1:$B$1001,,0)</f>
        <v>Randal Longfield</v>
      </c>
      <c r="G396" s="2" t="str">
        <f>IF(_xlfn.XLOOKUP(C396,Data_customers!$A$1:$A$1001,Data_customers!$C$1:$C$1001,,0)=0,"",_xlfn.XLOOKUP(C396,Data_customers!$A$1:$A$1001,Data_customers!$C$1:$C$1001,,0))</f>
        <v>rlongfielday@bluehost.com</v>
      </c>
      <c r="H396" s="2" t="str">
        <f>_xlfn.XLOOKUP(C396,Data_customers!$A$1:$A$1001,Data_customers!$G$1:$G$1001,"",0)</f>
        <v>United States</v>
      </c>
      <c r="I396" t="str">
        <f>INDEX(Data_products!$A$1:$G$49, MATCH(Data_orders!$D396,Data_products!$A$1:$A$49,0), MATCH(Data_orders!I$1,Data_products!$A$1:$G$1,0))</f>
        <v>Rob</v>
      </c>
      <c r="J396" t="str">
        <f>INDEX(Data_products!$A$1:$G$49, MATCH(Data_orders!$D396,Data_products!$A$1:$A$49,0), MATCH(Data_orders!J$1,Data_products!$A$1:$G$1,0))</f>
        <v>L</v>
      </c>
      <c r="K396" s="4">
        <f>INDEX(Data_products!$A$1:$G$49, MATCH(Data_orders!$D396,Data_products!$A$1:$A$49,0), MATCH(Data_orders!K$1,Data_products!$A$1:$G$1,0))</f>
        <v>2.5</v>
      </c>
      <c r="L396">
        <f>INDEX(Data_products!$A$1:$G$49, MATCH(Data_orders!$D396,Data_products!$A$1:$A$49,0), MATCH(Data_orders!L$1,Data_products!$A$1:$G$1,0))</f>
        <v>27.484999999999996</v>
      </c>
      <c r="M396">
        <f t="shared" si="12"/>
        <v>109.93999999999998</v>
      </c>
      <c r="N396" t="str" cm="1">
        <f t="array" ref="N396">_xlfn.IFS(I396 = "Rob", "Robusta", I396 = "Exc", "Excelsa", I396 = "Ara", "Arabica", I396 = "Lib", "Liberica")</f>
        <v>Robusta</v>
      </c>
      <c r="O396" t="str">
        <f t="shared" si="13"/>
        <v>Light</v>
      </c>
      <c r="P396" t="str">
        <f>_xlfn.XLOOKUP(Table1[[#This Row],[Customer ID]],Data_customers!$A$2:$A$1001,Data_customers!$I$2:$I$1001,,0)</f>
        <v>No</v>
      </c>
    </row>
    <row r="397" spans="1:16" x14ac:dyDescent="0.2">
      <c r="A397" s="2" t="s">
        <v>2716</v>
      </c>
      <c r="B397" s="3">
        <v>44465</v>
      </c>
      <c r="C397" s="2" t="s">
        <v>2717</v>
      </c>
      <c r="D397" t="s">
        <v>6169</v>
      </c>
      <c r="E397" s="2">
        <v>6</v>
      </c>
      <c r="F397" s="2" t="str">
        <f>_xlfn.XLOOKUP(Data_orders!C397,Data_customers!$A$1:$A$1001,Data_customers!$B$1:$B$1001,,0)</f>
        <v>Gregorius Kislingbury</v>
      </c>
      <c r="G397" s="2" t="str">
        <f>IF(_xlfn.XLOOKUP(C397,Data_customers!$A$1:$A$1001,Data_customers!$C$1:$C$1001,,0)=0,"",_xlfn.XLOOKUP(C397,Data_customers!$A$1:$A$1001,Data_customers!$C$1:$C$1001,,0))</f>
        <v>gkislingburyaz@samsung.com</v>
      </c>
      <c r="H397" s="2" t="str">
        <f>_xlfn.XLOOKUP(C397,Data_customers!$A$1:$A$1001,Data_customers!$G$1:$G$1001,"",0)</f>
        <v>United States</v>
      </c>
      <c r="I397" t="str">
        <f>INDEX(Data_products!$A$1:$G$49, MATCH(Data_orders!$D397,Data_products!$A$1:$A$49,0), MATCH(Data_orders!I$1,Data_products!$A$1:$G$1,0))</f>
        <v>Lib</v>
      </c>
      <c r="J397" t="str">
        <f>INDEX(Data_products!$A$1:$G$49, MATCH(Data_orders!$D397,Data_products!$A$1:$A$49,0), MATCH(Data_orders!J$1,Data_products!$A$1:$G$1,0))</f>
        <v>D</v>
      </c>
      <c r="K397" s="4">
        <f>INDEX(Data_products!$A$1:$G$49, MATCH(Data_orders!$D397,Data_products!$A$1:$A$49,0), MATCH(Data_orders!K$1,Data_products!$A$1:$G$1,0))</f>
        <v>0.5</v>
      </c>
      <c r="L397">
        <f>INDEX(Data_products!$A$1:$G$49, MATCH(Data_orders!$D397,Data_products!$A$1:$A$49,0), MATCH(Data_orders!L$1,Data_products!$A$1:$G$1,0))</f>
        <v>7.77</v>
      </c>
      <c r="M397">
        <f t="shared" si="12"/>
        <v>46.62</v>
      </c>
      <c r="N397" t="str" cm="1">
        <f t="array" ref="N397">_xlfn.IFS(I397 = "Rob", "Robusta", I397 = "Exc", "Excelsa", I397 = "Ara", "Arabica", I397 = "Lib", "Liberica")</f>
        <v>Liberica</v>
      </c>
      <c r="O397" t="str">
        <f t="shared" si="13"/>
        <v>Dark</v>
      </c>
      <c r="P397" t="str">
        <f>_xlfn.XLOOKUP(Table1[[#This Row],[Customer ID]],Data_customers!$A$2:$A$1001,Data_customers!$I$2:$I$1001,,0)</f>
        <v>Yes</v>
      </c>
    </row>
    <row r="398" spans="1:16" x14ac:dyDescent="0.2">
      <c r="A398" s="2" t="s">
        <v>2721</v>
      </c>
      <c r="B398" s="3">
        <v>44140</v>
      </c>
      <c r="C398" s="2" t="s">
        <v>2722</v>
      </c>
      <c r="D398" t="s">
        <v>6180</v>
      </c>
      <c r="E398" s="2">
        <v>5</v>
      </c>
      <c r="F398" s="2" t="str">
        <f>_xlfn.XLOOKUP(Data_orders!C398,Data_customers!$A$1:$A$1001,Data_customers!$B$1:$B$1001,,0)</f>
        <v>Xenos Gibbons</v>
      </c>
      <c r="G398" s="2" t="str">
        <f>IF(_xlfn.XLOOKUP(C398,Data_customers!$A$1:$A$1001,Data_customers!$C$1:$C$1001,,0)=0,"",_xlfn.XLOOKUP(C398,Data_customers!$A$1:$A$1001,Data_customers!$C$1:$C$1001,,0))</f>
        <v>xgibbonsb0@artisteer.com</v>
      </c>
      <c r="H398" s="2" t="str">
        <f>_xlfn.XLOOKUP(C398,Data_customers!$A$1:$A$1001,Data_customers!$G$1:$G$1001,"",0)</f>
        <v>United States</v>
      </c>
      <c r="I398" t="str">
        <f>INDEX(Data_products!$A$1:$G$49, MATCH(Data_orders!$D398,Data_products!$A$1:$A$49,0), MATCH(Data_orders!I$1,Data_products!$A$1:$G$1,0))</f>
        <v>Ara</v>
      </c>
      <c r="J398" t="str">
        <f>INDEX(Data_products!$A$1:$G$49, MATCH(Data_orders!$D398,Data_products!$A$1:$A$49,0), MATCH(Data_orders!J$1,Data_products!$A$1:$G$1,0))</f>
        <v>L</v>
      </c>
      <c r="K398" s="4">
        <f>INDEX(Data_products!$A$1:$G$49, MATCH(Data_orders!$D398,Data_products!$A$1:$A$49,0), MATCH(Data_orders!K$1,Data_products!$A$1:$G$1,0))</f>
        <v>0.5</v>
      </c>
      <c r="L398">
        <f>INDEX(Data_products!$A$1:$G$49, MATCH(Data_orders!$D398,Data_products!$A$1:$A$49,0), MATCH(Data_orders!L$1,Data_products!$A$1:$G$1,0))</f>
        <v>7.77</v>
      </c>
      <c r="M398">
        <f t="shared" si="12"/>
        <v>38.849999999999994</v>
      </c>
      <c r="N398" t="str" cm="1">
        <f t="array" ref="N398">_xlfn.IFS(I398 = "Rob", "Robusta", I398 = "Exc", "Excelsa", I398 = "Ara", "Arabica", I398 = "Lib", "Liberica")</f>
        <v>Arabica</v>
      </c>
      <c r="O398" t="str">
        <f t="shared" si="13"/>
        <v>Light</v>
      </c>
      <c r="P398" t="str">
        <f>_xlfn.XLOOKUP(Table1[[#This Row],[Customer ID]],Data_customers!$A$2:$A$1001,Data_customers!$I$2:$I$1001,,0)</f>
        <v>No</v>
      </c>
    </row>
    <row r="399" spans="1:16" x14ac:dyDescent="0.2">
      <c r="A399" s="2" t="s">
        <v>2727</v>
      </c>
      <c r="B399" s="3">
        <v>43720</v>
      </c>
      <c r="C399" s="2" t="s">
        <v>2728</v>
      </c>
      <c r="D399" t="s">
        <v>6169</v>
      </c>
      <c r="E399" s="2">
        <v>4</v>
      </c>
      <c r="F399" s="2" t="str">
        <f>_xlfn.XLOOKUP(Data_orders!C399,Data_customers!$A$1:$A$1001,Data_customers!$B$1:$B$1001,,0)</f>
        <v>Fleur Parres</v>
      </c>
      <c r="G399" s="2" t="str">
        <f>IF(_xlfn.XLOOKUP(C399,Data_customers!$A$1:$A$1001,Data_customers!$C$1:$C$1001,,0)=0,"",_xlfn.XLOOKUP(C399,Data_customers!$A$1:$A$1001,Data_customers!$C$1:$C$1001,,0))</f>
        <v>fparresb1@imageshack.us</v>
      </c>
      <c r="H399" s="2" t="str">
        <f>_xlfn.XLOOKUP(C399,Data_customers!$A$1:$A$1001,Data_customers!$G$1:$G$1001,"",0)</f>
        <v>United States</v>
      </c>
      <c r="I399" t="str">
        <f>INDEX(Data_products!$A$1:$G$49, MATCH(Data_orders!$D399,Data_products!$A$1:$A$49,0), MATCH(Data_orders!I$1,Data_products!$A$1:$G$1,0))</f>
        <v>Lib</v>
      </c>
      <c r="J399" t="str">
        <f>INDEX(Data_products!$A$1:$G$49, MATCH(Data_orders!$D399,Data_products!$A$1:$A$49,0), MATCH(Data_orders!J$1,Data_products!$A$1:$G$1,0))</f>
        <v>D</v>
      </c>
      <c r="K399" s="4">
        <f>INDEX(Data_products!$A$1:$G$49, MATCH(Data_orders!$D399,Data_products!$A$1:$A$49,0), MATCH(Data_orders!K$1,Data_products!$A$1:$G$1,0))</f>
        <v>0.5</v>
      </c>
      <c r="L399">
        <f>INDEX(Data_products!$A$1:$G$49, MATCH(Data_orders!$D399,Data_products!$A$1:$A$49,0), MATCH(Data_orders!L$1,Data_products!$A$1:$G$1,0))</f>
        <v>7.77</v>
      </c>
      <c r="M399">
        <f t="shared" si="12"/>
        <v>31.08</v>
      </c>
      <c r="N399" t="str" cm="1">
        <f t="array" ref="N399">_xlfn.IFS(I399 = "Rob", "Robusta", I399 = "Exc", "Excelsa", I399 = "Ara", "Arabica", I399 = "Lib", "Liberica")</f>
        <v>Liberica</v>
      </c>
      <c r="O399" t="str">
        <f t="shared" si="13"/>
        <v>Dark</v>
      </c>
      <c r="P399" t="str">
        <f>_xlfn.XLOOKUP(Table1[[#This Row],[Customer ID]],Data_customers!$A$2:$A$1001,Data_customers!$I$2:$I$1001,,0)</f>
        <v>Yes</v>
      </c>
    </row>
    <row r="400" spans="1:16" x14ac:dyDescent="0.2">
      <c r="A400" s="2" t="s">
        <v>2733</v>
      </c>
      <c r="B400" s="3">
        <v>43677</v>
      </c>
      <c r="C400" s="2" t="s">
        <v>2734</v>
      </c>
      <c r="D400" t="s">
        <v>6154</v>
      </c>
      <c r="E400" s="2">
        <v>6</v>
      </c>
      <c r="F400" s="2" t="str">
        <f>_xlfn.XLOOKUP(Data_orders!C400,Data_customers!$A$1:$A$1001,Data_customers!$B$1:$B$1001,,0)</f>
        <v>Gran Sibray</v>
      </c>
      <c r="G400" s="2" t="str">
        <f>IF(_xlfn.XLOOKUP(C400,Data_customers!$A$1:$A$1001,Data_customers!$C$1:$C$1001,,0)=0,"",_xlfn.XLOOKUP(C400,Data_customers!$A$1:$A$1001,Data_customers!$C$1:$C$1001,,0))</f>
        <v>gsibrayb2@wsj.com</v>
      </c>
      <c r="H400" s="2" t="str">
        <f>_xlfn.XLOOKUP(C400,Data_customers!$A$1:$A$1001,Data_customers!$G$1:$G$1001,"",0)</f>
        <v>United States</v>
      </c>
      <c r="I400" t="str">
        <f>INDEX(Data_products!$A$1:$G$49, MATCH(Data_orders!$D400,Data_products!$A$1:$A$49,0), MATCH(Data_orders!I$1,Data_products!$A$1:$G$1,0))</f>
        <v>Ara</v>
      </c>
      <c r="J400" t="str">
        <f>INDEX(Data_products!$A$1:$G$49, MATCH(Data_orders!$D400,Data_products!$A$1:$A$49,0), MATCH(Data_orders!J$1,Data_products!$A$1:$G$1,0))</f>
        <v>D</v>
      </c>
      <c r="K400" s="4">
        <f>INDEX(Data_products!$A$1:$G$49, MATCH(Data_orders!$D400,Data_products!$A$1:$A$49,0), MATCH(Data_orders!K$1,Data_products!$A$1:$G$1,0))</f>
        <v>0.2</v>
      </c>
      <c r="L400">
        <f>INDEX(Data_products!$A$1:$G$49, MATCH(Data_orders!$D400,Data_products!$A$1:$A$49,0), MATCH(Data_orders!L$1,Data_products!$A$1:$G$1,0))</f>
        <v>2.9849999999999999</v>
      </c>
      <c r="M400">
        <f t="shared" si="12"/>
        <v>17.91</v>
      </c>
      <c r="N400" t="str" cm="1">
        <f t="array" ref="N400">_xlfn.IFS(I400 = "Rob", "Robusta", I400 = "Exc", "Excelsa", I400 = "Ara", "Arabica", I400 = "Lib", "Liberica")</f>
        <v>Arabica</v>
      </c>
      <c r="O400" t="str">
        <f t="shared" si="13"/>
        <v>Dark</v>
      </c>
      <c r="P400" t="str">
        <f>_xlfn.XLOOKUP(Table1[[#This Row],[Customer ID]],Data_customers!$A$2:$A$1001,Data_customers!$I$2:$I$1001,,0)</f>
        <v>Yes</v>
      </c>
    </row>
    <row r="401" spans="1:16" x14ac:dyDescent="0.2">
      <c r="A401" s="2" t="s">
        <v>2739</v>
      </c>
      <c r="B401" s="3">
        <v>43539</v>
      </c>
      <c r="C401" s="2" t="s">
        <v>2740</v>
      </c>
      <c r="D401" t="s">
        <v>6185</v>
      </c>
      <c r="E401" s="2">
        <v>6</v>
      </c>
      <c r="F401" s="2" t="str">
        <f>_xlfn.XLOOKUP(Data_orders!C401,Data_customers!$A$1:$A$1001,Data_customers!$B$1:$B$1001,,0)</f>
        <v>Ingelbert Hotchkin</v>
      </c>
      <c r="G401" s="2" t="str">
        <f>IF(_xlfn.XLOOKUP(C401,Data_customers!$A$1:$A$1001,Data_customers!$C$1:$C$1001,,0)=0,"",_xlfn.XLOOKUP(C401,Data_customers!$A$1:$A$1001,Data_customers!$C$1:$C$1001,,0))</f>
        <v>ihotchkinb3@mit.edu</v>
      </c>
      <c r="H401" s="2" t="str">
        <f>_xlfn.XLOOKUP(C401,Data_customers!$A$1:$A$1001,Data_customers!$G$1:$G$1001,"",0)</f>
        <v>United Kingdom</v>
      </c>
      <c r="I401" t="str">
        <f>INDEX(Data_products!$A$1:$G$49, MATCH(Data_orders!$D401,Data_products!$A$1:$A$49,0), MATCH(Data_orders!I$1,Data_products!$A$1:$G$1,0))</f>
        <v>Exc</v>
      </c>
      <c r="J401" t="str">
        <f>INDEX(Data_products!$A$1:$G$49, MATCH(Data_orders!$D401,Data_products!$A$1:$A$49,0), MATCH(Data_orders!J$1,Data_products!$A$1:$G$1,0))</f>
        <v>D</v>
      </c>
      <c r="K401" s="4">
        <f>INDEX(Data_products!$A$1:$G$49, MATCH(Data_orders!$D401,Data_products!$A$1:$A$49,0), MATCH(Data_orders!K$1,Data_products!$A$1:$G$1,0))</f>
        <v>2.5</v>
      </c>
      <c r="L401">
        <f>INDEX(Data_products!$A$1:$G$49, MATCH(Data_orders!$D401,Data_products!$A$1:$A$49,0), MATCH(Data_orders!L$1,Data_products!$A$1:$G$1,0))</f>
        <v>27.945</v>
      </c>
      <c r="M401">
        <f t="shared" si="12"/>
        <v>167.67000000000002</v>
      </c>
      <c r="N401" t="str" cm="1">
        <f t="array" ref="N401">_xlfn.IFS(I401 = "Rob", "Robusta", I401 = "Exc", "Excelsa", I401 = "Ara", "Arabica", I401 = "Lib", "Liberica")</f>
        <v>Excelsa</v>
      </c>
      <c r="O401" t="str">
        <f t="shared" si="13"/>
        <v>Dark</v>
      </c>
      <c r="P401" t="str">
        <f>_xlfn.XLOOKUP(Table1[[#This Row],[Customer ID]],Data_customers!$A$2:$A$1001,Data_customers!$I$2:$I$1001,,0)</f>
        <v>No</v>
      </c>
    </row>
    <row r="402" spans="1:16" x14ac:dyDescent="0.2">
      <c r="A402" s="2" t="s">
        <v>2745</v>
      </c>
      <c r="B402" s="3">
        <v>44332</v>
      </c>
      <c r="C402" s="2" t="s">
        <v>2746</v>
      </c>
      <c r="D402" t="s">
        <v>6170</v>
      </c>
      <c r="E402" s="2">
        <v>4</v>
      </c>
      <c r="F402" s="2" t="str">
        <f>_xlfn.XLOOKUP(Data_orders!C402,Data_customers!$A$1:$A$1001,Data_customers!$B$1:$B$1001,,0)</f>
        <v>Neely Broadberrie</v>
      </c>
      <c r="G402" s="2" t="str">
        <f>IF(_xlfn.XLOOKUP(C402,Data_customers!$A$1:$A$1001,Data_customers!$C$1:$C$1001,,0)=0,"",_xlfn.XLOOKUP(C402,Data_customers!$A$1:$A$1001,Data_customers!$C$1:$C$1001,,0))</f>
        <v>nbroadberrieb4@gnu.org</v>
      </c>
      <c r="H402" s="2" t="str">
        <f>_xlfn.XLOOKUP(C402,Data_customers!$A$1:$A$1001,Data_customers!$G$1:$G$1001,"",0)</f>
        <v>United States</v>
      </c>
      <c r="I402" t="str">
        <f>INDEX(Data_products!$A$1:$G$49, MATCH(Data_orders!$D402,Data_products!$A$1:$A$49,0), MATCH(Data_orders!I$1,Data_products!$A$1:$G$1,0))</f>
        <v>Lib</v>
      </c>
      <c r="J402" t="str">
        <f>INDEX(Data_products!$A$1:$G$49, MATCH(Data_orders!$D402,Data_products!$A$1:$A$49,0), MATCH(Data_orders!J$1,Data_products!$A$1:$G$1,0))</f>
        <v>L</v>
      </c>
      <c r="K402" s="4">
        <f>INDEX(Data_products!$A$1:$G$49, MATCH(Data_orders!$D402,Data_products!$A$1:$A$49,0), MATCH(Data_orders!K$1,Data_products!$A$1:$G$1,0))</f>
        <v>1</v>
      </c>
      <c r="L402">
        <f>INDEX(Data_products!$A$1:$G$49, MATCH(Data_orders!$D402,Data_products!$A$1:$A$49,0), MATCH(Data_orders!L$1,Data_products!$A$1:$G$1,0))</f>
        <v>15.85</v>
      </c>
      <c r="M402">
        <f t="shared" si="12"/>
        <v>63.4</v>
      </c>
      <c r="N402" t="str" cm="1">
        <f t="array" ref="N402">_xlfn.IFS(I402 = "Rob", "Robusta", I402 = "Exc", "Excelsa", I402 = "Ara", "Arabica", I402 = "Lib", "Liberica")</f>
        <v>Liberica</v>
      </c>
      <c r="O402" t="str">
        <f t="shared" si="13"/>
        <v>Light</v>
      </c>
      <c r="P402" t="str">
        <f>_xlfn.XLOOKUP(Table1[[#This Row],[Customer ID]],Data_customers!$A$2:$A$1001,Data_customers!$I$2:$I$1001,,0)</f>
        <v>No</v>
      </c>
    </row>
    <row r="403" spans="1:16" x14ac:dyDescent="0.2">
      <c r="A403" s="2" t="s">
        <v>2751</v>
      </c>
      <c r="B403" s="3">
        <v>43591</v>
      </c>
      <c r="C403" s="2" t="s">
        <v>2752</v>
      </c>
      <c r="D403" t="s">
        <v>6159</v>
      </c>
      <c r="E403" s="2">
        <v>2</v>
      </c>
      <c r="F403" s="2" t="str">
        <f>_xlfn.XLOOKUP(Data_orders!C403,Data_customers!$A$1:$A$1001,Data_customers!$B$1:$B$1001,,0)</f>
        <v>Rutger Pithcock</v>
      </c>
      <c r="G403" s="2" t="str">
        <f>IF(_xlfn.XLOOKUP(C403,Data_customers!$A$1:$A$1001,Data_customers!$C$1:$C$1001,,0)=0,"",_xlfn.XLOOKUP(C403,Data_customers!$A$1:$A$1001,Data_customers!$C$1:$C$1001,,0))</f>
        <v>rpithcockb5@yellowbook.com</v>
      </c>
      <c r="H403" s="2" t="str">
        <f>_xlfn.XLOOKUP(C403,Data_customers!$A$1:$A$1001,Data_customers!$G$1:$G$1001,"",0)</f>
        <v>United States</v>
      </c>
      <c r="I403" t="str">
        <f>INDEX(Data_products!$A$1:$G$49, MATCH(Data_orders!$D403,Data_products!$A$1:$A$49,0), MATCH(Data_orders!I$1,Data_products!$A$1:$G$1,0))</f>
        <v>Lib</v>
      </c>
      <c r="J403" t="str">
        <f>INDEX(Data_products!$A$1:$G$49, MATCH(Data_orders!$D403,Data_products!$A$1:$A$49,0), MATCH(Data_orders!J$1,Data_products!$A$1:$G$1,0))</f>
        <v>M</v>
      </c>
      <c r="K403" s="4">
        <f>INDEX(Data_products!$A$1:$G$49, MATCH(Data_orders!$D403,Data_products!$A$1:$A$49,0), MATCH(Data_orders!K$1,Data_products!$A$1:$G$1,0))</f>
        <v>0.2</v>
      </c>
      <c r="L403">
        <f>INDEX(Data_products!$A$1:$G$49, MATCH(Data_orders!$D403,Data_products!$A$1:$A$49,0), MATCH(Data_orders!L$1,Data_products!$A$1:$G$1,0))</f>
        <v>4.3650000000000002</v>
      </c>
      <c r="M403">
        <f t="shared" si="12"/>
        <v>8.73</v>
      </c>
      <c r="N403" t="str" cm="1">
        <f t="array" ref="N403">_xlfn.IFS(I403 = "Rob", "Robusta", I403 = "Exc", "Excelsa", I403 = "Ara", "Arabica", I403 = "Lib", "Liberica")</f>
        <v>Liberica</v>
      </c>
      <c r="O403" t="str">
        <f t="shared" si="13"/>
        <v>Medium</v>
      </c>
      <c r="P403" t="str">
        <f>_xlfn.XLOOKUP(Table1[[#This Row],[Customer ID]],Data_customers!$A$2:$A$1001,Data_customers!$I$2:$I$1001,,0)</f>
        <v>Yes</v>
      </c>
    </row>
    <row r="404" spans="1:16" x14ac:dyDescent="0.2">
      <c r="A404" s="2" t="s">
        <v>2757</v>
      </c>
      <c r="B404" s="3">
        <v>43502</v>
      </c>
      <c r="C404" s="2" t="s">
        <v>2758</v>
      </c>
      <c r="D404" t="s">
        <v>6177</v>
      </c>
      <c r="E404" s="2">
        <v>3</v>
      </c>
      <c r="F404" s="2" t="str">
        <f>_xlfn.XLOOKUP(Data_orders!C404,Data_customers!$A$1:$A$1001,Data_customers!$B$1:$B$1001,,0)</f>
        <v>Gale Croysdale</v>
      </c>
      <c r="G404" s="2" t="str">
        <f>IF(_xlfn.XLOOKUP(C404,Data_customers!$A$1:$A$1001,Data_customers!$C$1:$C$1001,,0)=0,"",_xlfn.XLOOKUP(C404,Data_customers!$A$1:$A$1001,Data_customers!$C$1:$C$1001,,0))</f>
        <v>gcroysdaleb6@nih.gov</v>
      </c>
      <c r="H404" s="2" t="str">
        <f>_xlfn.XLOOKUP(C404,Data_customers!$A$1:$A$1001,Data_customers!$G$1:$G$1001,"",0)</f>
        <v>United States</v>
      </c>
      <c r="I404" t="str">
        <f>INDEX(Data_products!$A$1:$G$49, MATCH(Data_orders!$D404,Data_products!$A$1:$A$49,0), MATCH(Data_orders!I$1,Data_products!$A$1:$G$1,0))</f>
        <v>Rob</v>
      </c>
      <c r="J404" t="str">
        <f>INDEX(Data_products!$A$1:$G$49, MATCH(Data_orders!$D404,Data_products!$A$1:$A$49,0), MATCH(Data_orders!J$1,Data_products!$A$1:$G$1,0))</f>
        <v>D</v>
      </c>
      <c r="K404" s="4">
        <f>INDEX(Data_products!$A$1:$G$49, MATCH(Data_orders!$D404,Data_products!$A$1:$A$49,0), MATCH(Data_orders!K$1,Data_products!$A$1:$G$1,0))</f>
        <v>1</v>
      </c>
      <c r="L404">
        <f>INDEX(Data_products!$A$1:$G$49, MATCH(Data_orders!$D404,Data_products!$A$1:$A$49,0), MATCH(Data_orders!L$1,Data_products!$A$1:$G$1,0))</f>
        <v>8.9499999999999993</v>
      </c>
      <c r="M404">
        <f t="shared" si="12"/>
        <v>26.849999999999998</v>
      </c>
      <c r="N404" t="str" cm="1">
        <f t="array" ref="N404">_xlfn.IFS(I404 = "Rob", "Robusta", I404 = "Exc", "Excelsa", I404 = "Ara", "Arabica", I404 = "Lib", "Liberica")</f>
        <v>Robusta</v>
      </c>
      <c r="O404" t="str">
        <f t="shared" si="13"/>
        <v>Dark</v>
      </c>
      <c r="P404" t="str">
        <f>_xlfn.XLOOKUP(Table1[[#This Row],[Customer ID]],Data_customers!$A$2:$A$1001,Data_customers!$I$2:$I$1001,,0)</f>
        <v>Yes</v>
      </c>
    </row>
    <row r="405" spans="1:16" x14ac:dyDescent="0.2">
      <c r="A405" s="2" t="s">
        <v>2763</v>
      </c>
      <c r="B405" s="3">
        <v>44295</v>
      </c>
      <c r="C405" s="2" t="s">
        <v>2764</v>
      </c>
      <c r="D405" t="s">
        <v>6145</v>
      </c>
      <c r="E405" s="2">
        <v>2</v>
      </c>
      <c r="F405" s="2" t="str">
        <f>_xlfn.XLOOKUP(Data_orders!C405,Data_customers!$A$1:$A$1001,Data_customers!$B$1:$B$1001,,0)</f>
        <v>Benedetto Gozzett</v>
      </c>
      <c r="G405" s="2" t="str">
        <f>IF(_xlfn.XLOOKUP(C405,Data_customers!$A$1:$A$1001,Data_customers!$C$1:$C$1001,,0)=0,"",_xlfn.XLOOKUP(C405,Data_customers!$A$1:$A$1001,Data_customers!$C$1:$C$1001,,0))</f>
        <v>bgozzettb7@github.com</v>
      </c>
      <c r="H405" s="2" t="str">
        <f>_xlfn.XLOOKUP(C405,Data_customers!$A$1:$A$1001,Data_customers!$G$1:$G$1001,"",0)</f>
        <v>United States</v>
      </c>
      <c r="I405" t="str">
        <f>INDEX(Data_products!$A$1:$G$49, MATCH(Data_orders!$D405,Data_products!$A$1:$A$49,0), MATCH(Data_orders!I$1,Data_products!$A$1:$G$1,0))</f>
        <v>Lib</v>
      </c>
      <c r="J405" t="str">
        <f>INDEX(Data_products!$A$1:$G$49, MATCH(Data_orders!$D405,Data_products!$A$1:$A$49,0), MATCH(Data_orders!J$1,Data_products!$A$1:$G$1,0))</f>
        <v>L</v>
      </c>
      <c r="K405" s="4">
        <f>INDEX(Data_products!$A$1:$G$49, MATCH(Data_orders!$D405,Data_products!$A$1:$A$49,0), MATCH(Data_orders!K$1,Data_products!$A$1:$G$1,0))</f>
        <v>0.2</v>
      </c>
      <c r="L405">
        <f>INDEX(Data_products!$A$1:$G$49, MATCH(Data_orders!$D405,Data_products!$A$1:$A$49,0), MATCH(Data_orders!L$1,Data_products!$A$1:$G$1,0))</f>
        <v>4.7549999999999999</v>
      </c>
      <c r="M405">
        <f t="shared" si="12"/>
        <v>9.51</v>
      </c>
      <c r="N405" t="str" cm="1">
        <f t="array" ref="N405">_xlfn.IFS(I405 = "Rob", "Robusta", I405 = "Exc", "Excelsa", I405 = "Ara", "Arabica", I405 = "Lib", "Liberica")</f>
        <v>Liberica</v>
      </c>
      <c r="O405" t="str">
        <f t="shared" si="13"/>
        <v>Light</v>
      </c>
      <c r="P405" t="str">
        <f>_xlfn.XLOOKUP(Table1[[#This Row],[Customer ID]],Data_customers!$A$2:$A$1001,Data_customers!$I$2:$I$1001,,0)</f>
        <v>No</v>
      </c>
    </row>
    <row r="406" spans="1:16" x14ac:dyDescent="0.2">
      <c r="A406" s="2" t="s">
        <v>2769</v>
      </c>
      <c r="B406" s="3">
        <v>43971</v>
      </c>
      <c r="C406" s="2" t="s">
        <v>2770</v>
      </c>
      <c r="D406" t="s">
        <v>6147</v>
      </c>
      <c r="E406" s="2">
        <v>4</v>
      </c>
      <c r="F406" s="2" t="str">
        <f>_xlfn.XLOOKUP(Data_orders!C406,Data_customers!$A$1:$A$1001,Data_customers!$B$1:$B$1001,,0)</f>
        <v>Tania Craggs</v>
      </c>
      <c r="G406" s="2" t="str">
        <f>IF(_xlfn.XLOOKUP(C406,Data_customers!$A$1:$A$1001,Data_customers!$C$1:$C$1001,,0)=0,"",_xlfn.XLOOKUP(C406,Data_customers!$A$1:$A$1001,Data_customers!$C$1:$C$1001,,0))</f>
        <v>tcraggsb8@house.gov</v>
      </c>
      <c r="H406" s="2" t="str">
        <f>_xlfn.XLOOKUP(C406,Data_customers!$A$1:$A$1001,Data_customers!$G$1:$G$1001,"",0)</f>
        <v>Ireland</v>
      </c>
      <c r="I406" t="str">
        <f>INDEX(Data_products!$A$1:$G$49, MATCH(Data_orders!$D406,Data_products!$A$1:$A$49,0), MATCH(Data_orders!I$1,Data_products!$A$1:$G$1,0))</f>
        <v>Ara</v>
      </c>
      <c r="J406" t="str">
        <f>INDEX(Data_products!$A$1:$G$49, MATCH(Data_orders!$D406,Data_products!$A$1:$A$49,0), MATCH(Data_orders!J$1,Data_products!$A$1:$G$1,0))</f>
        <v>D</v>
      </c>
      <c r="K406" s="4">
        <f>INDEX(Data_products!$A$1:$G$49, MATCH(Data_orders!$D406,Data_products!$A$1:$A$49,0), MATCH(Data_orders!K$1,Data_products!$A$1:$G$1,0))</f>
        <v>1</v>
      </c>
      <c r="L406">
        <f>INDEX(Data_products!$A$1:$G$49, MATCH(Data_orders!$D406,Data_products!$A$1:$A$49,0), MATCH(Data_orders!L$1,Data_products!$A$1:$G$1,0))</f>
        <v>9.9499999999999993</v>
      </c>
      <c r="M406">
        <f t="shared" si="12"/>
        <v>39.799999999999997</v>
      </c>
      <c r="N406" t="str" cm="1">
        <f t="array" ref="N406">_xlfn.IFS(I406 = "Rob", "Robusta", I406 = "Exc", "Excelsa", I406 = "Ara", "Arabica", I406 = "Lib", "Liberica")</f>
        <v>Arabica</v>
      </c>
      <c r="O406" t="str">
        <f t="shared" si="13"/>
        <v>Dark</v>
      </c>
      <c r="P406" t="str">
        <f>_xlfn.XLOOKUP(Table1[[#This Row],[Customer ID]],Data_customers!$A$2:$A$1001,Data_customers!$I$2:$I$1001,,0)</f>
        <v>No</v>
      </c>
    </row>
    <row r="407" spans="1:16" x14ac:dyDescent="0.2">
      <c r="A407" s="2" t="s">
        <v>2775</v>
      </c>
      <c r="B407" s="3">
        <v>44167</v>
      </c>
      <c r="C407" s="2" t="s">
        <v>2776</v>
      </c>
      <c r="D407" t="s">
        <v>6139</v>
      </c>
      <c r="E407" s="2">
        <v>3</v>
      </c>
      <c r="F407" s="2" t="str">
        <f>_xlfn.XLOOKUP(Data_orders!C407,Data_customers!$A$1:$A$1001,Data_customers!$B$1:$B$1001,,0)</f>
        <v>Leonie Cullrford</v>
      </c>
      <c r="G407" s="2" t="str">
        <f>IF(_xlfn.XLOOKUP(C407,Data_customers!$A$1:$A$1001,Data_customers!$C$1:$C$1001,,0)=0,"",_xlfn.XLOOKUP(C407,Data_customers!$A$1:$A$1001,Data_customers!$C$1:$C$1001,,0))</f>
        <v>lcullrfordb9@xing.com</v>
      </c>
      <c r="H407" s="2" t="str">
        <f>_xlfn.XLOOKUP(C407,Data_customers!$A$1:$A$1001,Data_customers!$G$1:$G$1001,"",0)</f>
        <v>United States</v>
      </c>
      <c r="I407" t="str">
        <f>INDEX(Data_products!$A$1:$G$49, MATCH(Data_orders!$D407,Data_products!$A$1:$A$49,0), MATCH(Data_orders!I$1,Data_products!$A$1:$G$1,0))</f>
        <v>Exc</v>
      </c>
      <c r="J407" t="str">
        <f>INDEX(Data_products!$A$1:$G$49, MATCH(Data_orders!$D407,Data_products!$A$1:$A$49,0), MATCH(Data_orders!J$1,Data_products!$A$1:$G$1,0))</f>
        <v>M</v>
      </c>
      <c r="K407" s="4">
        <f>INDEX(Data_products!$A$1:$G$49, MATCH(Data_orders!$D407,Data_products!$A$1:$A$49,0), MATCH(Data_orders!K$1,Data_products!$A$1:$G$1,0))</f>
        <v>0.5</v>
      </c>
      <c r="L407">
        <f>INDEX(Data_products!$A$1:$G$49, MATCH(Data_orders!$D407,Data_products!$A$1:$A$49,0), MATCH(Data_orders!L$1,Data_products!$A$1:$G$1,0))</f>
        <v>8.25</v>
      </c>
      <c r="M407">
        <f t="shared" si="12"/>
        <v>24.75</v>
      </c>
      <c r="N407" t="str" cm="1">
        <f t="array" ref="N407">_xlfn.IFS(I407 = "Rob", "Robusta", I407 = "Exc", "Excelsa", I407 = "Ara", "Arabica", I407 = "Lib", "Liberica")</f>
        <v>Excelsa</v>
      </c>
      <c r="O407" t="str">
        <f t="shared" si="13"/>
        <v>Medium</v>
      </c>
      <c r="P407" t="str">
        <f>_xlfn.XLOOKUP(Table1[[#This Row],[Customer ID]],Data_customers!$A$2:$A$1001,Data_customers!$I$2:$I$1001,,0)</f>
        <v>Yes</v>
      </c>
    </row>
    <row r="408" spans="1:16" x14ac:dyDescent="0.2">
      <c r="A408" s="2" t="s">
        <v>2781</v>
      </c>
      <c r="B408" s="3">
        <v>44416</v>
      </c>
      <c r="C408" s="2" t="s">
        <v>2782</v>
      </c>
      <c r="D408" t="s">
        <v>6141</v>
      </c>
      <c r="E408" s="2">
        <v>5</v>
      </c>
      <c r="F408" s="2" t="str">
        <f>_xlfn.XLOOKUP(Data_orders!C408,Data_customers!$A$1:$A$1001,Data_customers!$B$1:$B$1001,,0)</f>
        <v>Auguste Rizon</v>
      </c>
      <c r="G408" s="2" t="str">
        <f>IF(_xlfn.XLOOKUP(C408,Data_customers!$A$1:$A$1001,Data_customers!$C$1:$C$1001,,0)=0,"",_xlfn.XLOOKUP(C408,Data_customers!$A$1:$A$1001,Data_customers!$C$1:$C$1001,,0))</f>
        <v>arizonba@xing.com</v>
      </c>
      <c r="H408" s="2" t="str">
        <f>_xlfn.XLOOKUP(C408,Data_customers!$A$1:$A$1001,Data_customers!$G$1:$G$1001,"",0)</f>
        <v>United States</v>
      </c>
      <c r="I408" t="str">
        <f>INDEX(Data_products!$A$1:$G$49, MATCH(Data_orders!$D408,Data_products!$A$1:$A$49,0), MATCH(Data_orders!I$1,Data_products!$A$1:$G$1,0))</f>
        <v>Exc</v>
      </c>
      <c r="J408" t="str">
        <f>INDEX(Data_products!$A$1:$G$49, MATCH(Data_orders!$D408,Data_products!$A$1:$A$49,0), MATCH(Data_orders!J$1,Data_products!$A$1:$G$1,0))</f>
        <v>M</v>
      </c>
      <c r="K408" s="4">
        <f>INDEX(Data_products!$A$1:$G$49, MATCH(Data_orders!$D408,Data_products!$A$1:$A$49,0), MATCH(Data_orders!K$1,Data_products!$A$1:$G$1,0))</f>
        <v>1</v>
      </c>
      <c r="L408">
        <f>INDEX(Data_products!$A$1:$G$49, MATCH(Data_orders!$D408,Data_products!$A$1:$A$49,0), MATCH(Data_orders!L$1,Data_products!$A$1:$G$1,0))</f>
        <v>13.75</v>
      </c>
      <c r="M408">
        <f t="shared" si="12"/>
        <v>68.75</v>
      </c>
      <c r="N408" t="str" cm="1">
        <f t="array" ref="N408">_xlfn.IFS(I408 = "Rob", "Robusta", I408 = "Exc", "Excelsa", I408 = "Ara", "Arabica", I408 = "Lib", "Liberica")</f>
        <v>Excelsa</v>
      </c>
      <c r="O408" t="str">
        <f t="shared" si="13"/>
        <v>Medium</v>
      </c>
      <c r="P408" t="str">
        <f>_xlfn.XLOOKUP(Table1[[#This Row],[Customer ID]],Data_customers!$A$2:$A$1001,Data_customers!$I$2:$I$1001,,0)</f>
        <v>Yes</v>
      </c>
    </row>
    <row r="409" spans="1:16" x14ac:dyDescent="0.2">
      <c r="A409" s="2" t="s">
        <v>2787</v>
      </c>
      <c r="B409" s="3">
        <v>44595</v>
      </c>
      <c r="C409" s="2" t="s">
        <v>2788</v>
      </c>
      <c r="D409" t="s">
        <v>6139</v>
      </c>
      <c r="E409" s="2">
        <v>6</v>
      </c>
      <c r="F409" s="2" t="str">
        <f>_xlfn.XLOOKUP(Data_orders!C409,Data_customers!$A$1:$A$1001,Data_customers!$B$1:$B$1001,,0)</f>
        <v>Lorin Guerrazzi</v>
      </c>
      <c r="G409" s="2" t="str">
        <f>IF(_xlfn.XLOOKUP(C409,Data_customers!$A$1:$A$1001,Data_customers!$C$1:$C$1001,,0)=0,"",_xlfn.XLOOKUP(C409,Data_customers!$A$1:$A$1001,Data_customers!$C$1:$C$1001,,0))</f>
        <v/>
      </c>
      <c r="H409" s="2" t="str">
        <f>_xlfn.XLOOKUP(C409,Data_customers!$A$1:$A$1001,Data_customers!$G$1:$G$1001,"",0)</f>
        <v>Ireland</v>
      </c>
      <c r="I409" t="str">
        <f>INDEX(Data_products!$A$1:$G$49, MATCH(Data_orders!$D409,Data_products!$A$1:$A$49,0), MATCH(Data_orders!I$1,Data_products!$A$1:$G$1,0))</f>
        <v>Exc</v>
      </c>
      <c r="J409" t="str">
        <f>INDEX(Data_products!$A$1:$G$49, MATCH(Data_orders!$D409,Data_products!$A$1:$A$49,0), MATCH(Data_orders!J$1,Data_products!$A$1:$G$1,0))</f>
        <v>M</v>
      </c>
      <c r="K409" s="4">
        <f>INDEX(Data_products!$A$1:$G$49, MATCH(Data_orders!$D409,Data_products!$A$1:$A$49,0), MATCH(Data_orders!K$1,Data_products!$A$1:$G$1,0))</f>
        <v>0.5</v>
      </c>
      <c r="L409">
        <f>INDEX(Data_products!$A$1:$G$49, MATCH(Data_orders!$D409,Data_products!$A$1:$A$49,0), MATCH(Data_orders!L$1,Data_products!$A$1:$G$1,0))</f>
        <v>8.25</v>
      </c>
      <c r="M409">
        <f t="shared" si="12"/>
        <v>49.5</v>
      </c>
      <c r="N409" t="str" cm="1">
        <f t="array" ref="N409">_xlfn.IFS(I409 = "Rob", "Robusta", I409 = "Exc", "Excelsa", I409 = "Ara", "Arabica", I409 = "Lib", "Liberica")</f>
        <v>Excelsa</v>
      </c>
      <c r="O409" t="str">
        <f t="shared" si="13"/>
        <v>Medium</v>
      </c>
      <c r="P409" t="str">
        <f>_xlfn.XLOOKUP(Table1[[#This Row],[Customer ID]],Data_customers!$A$2:$A$1001,Data_customers!$I$2:$I$1001,,0)</f>
        <v>No</v>
      </c>
    </row>
    <row r="410" spans="1:16" x14ac:dyDescent="0.2">
      <c r="A410" s="2" t="s">
        <v>2792</v>
      </c>
      <c r="B410" s="3">
        <v>44659</v>
      </c>
      <c r="C410" s="2" t="s">
        <v>2793</v>
      </c>
      <c r="D410" t="s">
        <v>6175</v>
      </c>
      <c r="E410" s="2">
        <v>2</v>
      </c>
      <c r="F410" s="2" t="str">
        <f>_xlfn.XLOOKUP(Data_orders!C410,Data_customers!$A$1:$A$1001,Data_customers!$B$1:$B$1001,,0)</f>
        <v>Felice Miell</v>
      </c>
      <c r="G410" s="2" t="str">
        <f>IF(_xlfn.XLOOKUP(C410,Data_customers!$A$1:$A$1001,Data_customers!$C$1:$C$1001,,0)=0,"",_xlfn.XLOOKUP(C410,Data_customers!$A$1:$A$1001,Data_customers!$C$1:$C$1001,,0))</f>
        <v>fmiellbc@spiegel.de</v>
      </c>
      <c r="H410" s="2" t="str">
        <f>_xlfn.XLOOKUP(C410,Data_customers!$A$1:$A$1001,Data_customers!$G$1:$G$1001,"",0)</f>
        <v>United States</v>
      </c>
      <c r="I410" t="str">
        <f>INDEX(Data_products!$A$1:$G$49, MATCH(Data_orders!$D410,Data_products!$A$1:$A$49,0), MATCH(Data_orders!I$1,Data_products!$A$1:$G$1,0))</f>
        <v>Ara</v>
      </c>
      <c r="J410" t="str">
        <f>INDEX(Data_products!$A$1:$G$49, MATCH(Data_orders!$D410,Data_products!$A$1:$A$49,0), MATCH(Data_orders!J$1,Data_products!$A$1:$G$1,0))</f>
        <v>M</v>
      </c>
      <c r="K410" s="4">
        <f>INDEX(Data_products!$A$1:$G$49, MATCH(Data_orders!$D410,Data_products!$A$1:$A$49,0), MATCH(Data_orders!K$1,Data_products!$A$1:$G$1,0))</f>
        <v>2.5</v>
      </c>
      <c r="L410">
        <f>INDEX(Data_products!$A$1:$G$49, MATCH(Data_orders!$D410,Data_products!$A$1:$A$49,0), MATCH(Data_orders!L$1,Data_products!$A$1:$G$1,0))</f>
        <v>25.874999999999996</v>
      </c>
      <c r="M410">
        <f t="shared" si="12"/>
        <v>51.749999999999993</v>
      </c>
      <c r="N410" t="str" cm="1">
        <f t="array" ref="N410">_xlfn.IFS(I410 = "Rob", "Robusta", I410 = "Exc", "Excelsa", I410 = "Ara", "Arabica", I410 = "Lib", "Liberica")</f>
        <v>Arabica</v>
      </c>
      <c r="O410" t="str">
        <f t="shared" si="13"/>
        <v>Medium</v>
      </c>
      <c r="P410" t="str">
        <f>_xlfn.XLOOKUP(Table1[[#This Row],[Customer ID]],Data_customers!$A$2:$A$1001,Data_customers!$I$2:$I$1001,,0)</f>
        <v>Yes</v>
      </c>
    </row>
    <row r="411" spans="1:16" x14ac:dyDescent="0.2">
      <c r="A411" s="2" t="s">
        <v>2798</v>
      </c>
      <c r="B411" s="3">
        <v>44203</v>
      </c>
      <c r="C411" s="2" t="s">
        <v>2799</v>
      </c>
      <c r="D411" t="s">
        <v>6170</v>
      </c>
      <c r="E411" s="2">
        <v>3</v>
      </c>
      <c r="F411" s="2" t="str">
        <f>_xlfn.XLOOKUP(Data_orders!C411,Data_customers!$A$1:$A$1001,Data_customers!$B$1:$B$1001,,0)</f>
        <v>Hamish Skeech</v>
      </c>
      <c r="G411" s="2" t="str">
        <f>IF(_xlfn.XLOOKUP(C411,Data_customers!$A$1:$A$1001,Data_customers!$C$1:$C$1001,,0)=0,"",_xlfn.XLOOKUP(C411,Data_customers!$A$1:$A$1001,Data_customers!$C$1:$C$1001,,0))</f>
        <v/>
      </c>
      <c r="H411" s="2" t="str">
        <f>_xlfn.XLOOKUP(C411,Data_customers!$A$1:$A$1001,Data_customers!$G$1:$G$1001,"",0)</f>
        <v>Ireland</v>
      </c>
      <c r="I411" t="str">
        <f>INDEX(Data_products!$A$1:$G$49, MATCH(Data_orders!$D411,Data_products!$A$1:$A$49,0), MATCH(Data_orders!I$1,Data_products!$A$1:$G$1,0))</f>
        <v>Lib</v>
      </c>
      <c r="J411" t="str">
        <f>INDEX(Data_products!$A$1:$G$49, MATCH(Data_orders!$D411,Data_products!$A$1:$A$49,0), MATCH(Data_orders!J$1,Data_products!$A$1:$G$1,0))</f>
        <v>L</v>
      </c>
      <c r="K411" s="4">
        <f>INDEX(Data_products!$A$1:$G$49, MATCH(Data_orders!$D411,Data_products!$A$1:$A$49,0), MATCH(Data_orders!K$1,Data_products!$A$1:$G$1,0))</f>
        <v>1</v>
      </c>
      <c r="L411">
        <f>INDEX(Data_products!$A$1:$G$49, MATCH(Data_orders!$D411,Data_products!$A$1:$A$49,0), MATCH(Data_orders!L$1,Data_products!$A$1:$G$1,0))</f>
        <v>15.85</v>
      </c>
      <c r="M411">
        <f t="shared" si="12"/>
        <v>47.55</v>
      </c>
      <c r="N411" t="str" cm="1">
        <f t="array" ref="N411">_xlfn.IFS(I411 = "Rob", "Robusta", I411 = "Exc", "Excelsa", I411 = "Ara", "Arabica", I411 = "Lib", "Liberica")</f>
        <v>Liberica</v>
      </c>
      <c r="O411" t="str">
        <f t="shared" si="13"/>
        <v>Light</v>
      </c>
      <c r="P411" t="str">
        <f>_xlfn.XLOOKUP(Table1[[#This Row],[Customer ID]],Data_customers!$A$2:$A$1001,Data_customers!$I$2:$I$1001,,0)</f>
        <v>Yes</v>
      </c>
    </row>
    <row r="412" spans="1:16" x14ac:dyDescent="0.2">
      <c r="A412" s="2" t="s">
        <v>2803</v>
      </c>
      <c r="B412" s="3">
        <v>44441</v>
      </c>
      <c r="C412" s="2" t="s">
        <v>2804</v>
      </c>
      <c r="D412" t="s">
        <v>6167</v>
      </c>
      <c r="E412" s="2">
        <v>4</v>
      </c>
      <c r="F412" s="2" t="str">
        <f>_xlfn.XLOOKUP(Data_orders!C412,Data_customers!$A$1:$A$1001,Data_customers!$B$1:$B$1001,,0)</f>
        <v>Giordano Lorenzin</v>
      </c>
      <c r="G412" s="2" t="str">
        <f>IF(_xlfn.XLOOKUP(C412,Data_customers!$A$1:$A$1001,Data_customers!$C$1:$C$1001,,0)=0,"",_xlfn.XLOOKUP(C412,Data_customers!$A$1:$A$1001,Data_customers!$C$1:$C$1001,,0))</f>
        <v/>
      </c>
      <c r="H412" s="2" t="str">
        <f>_xlfn.XLOOKUP(C412,Data_customers!$A$1:$A$1001,Data_customers!$G$1:$G$1001,"",0)</f>
        <v>United States</v>
      </c>
      <c r="I412" t="str">
        <f>INDEX(Data_products!$A$1:$G$49, MATCH(Data_orders!$D412,Data_products!$A$1:$A$49,0), MATCH(Data_orders!I$1,Data_products!$A$1:$G$1,0))</f>
        <v>Ara</v>
      </c>
      <c r="J412" t="str">
        <f>INDEX(Data_products!$A$1:$G$49, MATCH(Data_orders!$D412,Data_products!$A$1:$A$49,0), MATCH(Data_orders!J$1,Data_products!$A$1:$G$1,0))</f>
        <v>L</v>
      </c>
      <c r="K412" s="4">
        <f>INDEX(Data_products!$A$1:$G$49, MATCH(Data_orders!$D412,Data_products!$A$1:$A$49,0), MATCH(Data_orders!K$1,Data_products!$A$1:$G$1,0))</f>
        <v>0.2</v>
      </c>
      <c r="L412">
        <f>INDEX(Data_products!$A$1:$G$49, MATCH(Data_orders!$D412,Data_products!$A$1:$A$49,0), MATCH(Data_orders!L$1,Data_products!$A$1:$G$1,0))</f>
        <v>3.8849999999999998</v>
      </c>
      <c r="M412">
        <f t="shared" si="12"/>
        <v>15.54</v>
      </c>
      <c r="N412" t="str" cm="1">
        <f t="array" ref="N412">_xlfn.IFS(I412 = "Rob", "Robusta", I412 = "Exc", "Excelsa", I412 = "Ara", "Arabica", I412 = "Lib", "Liberica")</f>
        <v>Arabica</v>
      </c>
      <c r="O412" t="str">
        <f t="shared" si="13"/>
        <v>Light</v>
      </c>
      <c r="P412" t="str">
        <f>_xlfn.XLOOKUP(Table1[[#This Row],[Customer ID]],Data_customers!$A$2:$A$1001,Data_customers!$I$2:$I$1001,,0)</f>
        <v>No</v>
      </c>
    </row>
    <row r="413" spans="1:16" x14ac:dyDescent="0.2">
      <c r="A413" s="2" t="s">
        <v>2808</v>
      </c>
      <c r="B413" s="3">
        <v>44504</v>
      </c>
      <c r="C413" s="2" t="s">
        <v>2809</v>
      </c>
      <c r="D413" t="s">
        <v>6162</v>
      </c>
      <c r="E413" s="2">
        <v>6</v>
      </c>
      <c r="F413" s="2" t="str">
        <f>_xlfn.XLOOKUP(Data_orders!C413,Data_customers!$A$1:$A$1001,Data_customers!$B$1:$B$1001,,0)</f>
        <v>Harwilll Bishell</v>
      </c>
      <c r="G413" s="2" t="str">
        <f>IF(_xlfn.XLOOKUP(C413,Data_customers!$A$1:$A$1001,Data_customers!$C$1:$C$1001,,0)=0,"",_xlfn.XLOOKUP(C413,Data_customers!$A$1:$A$1001,Data_customers!$C$1:$C$1001,,0))</f>
        <v/>
      </c>
      <c r="H413" s="2" t="str">
        <f>_xlfn.XLOOKUP(C413,Data_customers!$A$1:$A$1001,Data_customers!$G$1:$G$1001,"",0)</f>
        <v>United States</v>
      </c>
      <c r="I413" t="str">
        <f>INDEX(Data_products!$A$1:$G$49, MATCH(Data_orders!$D413,Data_products!$A$1:$A$49,0), MATCH(Data_orders!I$1,Data_products!$A$1:$G$1,0))</f>
        <v>Lib</v>
      </c>
      <c r="J413" t="str">
        <f>INDEX(Data_products!$A$1:$G$49, MATCH(Data_orders!$D413,Data_products!$A$1:$A$49,0), MATCH(Data_orders!J$1,Data_products!$A$1:$G$1,0))</f>
        <v>M</v>
      </c>
      <c r="K413" s="4">
        <f>INDEX(Data_products!$A$1:$G$49, MATCH(Data_orders!$D413,Data_products!$A$1:$A$49,0), MATCH(Data_orders!K$1,Data_products!$A$1:$G$1,0))</f>
        <v>1</v>
      </c>
      <c r="L413">
        <f>INDEX(Data_products!$A$1:$G$49, MATCH(Data_orders!$D413,Data_products!$A$1:$A$49,0), MATCH(Data_orders!L$1,Data_products!$A$1:$G$1,0))</f>
        <v>14.55</v>
      </c>
      <c r="M413">
        <f t="shared" si="12"/>
        <v>87.300000000000011</v>
      </c>
      <c r="N413" t="str" cm="1">
        <f t="array" ref="N413">_xlfn.IFS(I413 = "Rob", "Robusta", I413 = "Exc", "Excelsa", I413 = "Ara", "Arabica", I413 = "Lib", "Liberica")</f>
        <v>Liberica</v>
      </c>
      <c r="O413" t="str">
        <f t="shared" si="13"/>
        <v>Medium</v>
      </c>
      <c r="P413" t="str">
        <f>_xlfn.XLOOKUP(Table1[[#This Row],[Customer ID]],Data_customers!$A$2:$A$1001,Data_customers!$I$2:$I$1001,,0)</f>
        <v>Yes</v>
      </c>
    </row>
    <row r="414" spans="1:16" x14ac:dyDescent="0.2">
      <c r="A414" s="2" t="s">
        <v>2813</v>
      </c>
      <c r="B414" s="3">
        <v>44410</v>
      </c>
      <c r="C414" s="2" t="s">
        <v>2814</v>
      </c>
      <c r="D414" t="s">
        <v>6155</v>
      </c>
      <c r="E414" s="2">
        <v>5</v>
      </c>
      <c r="F414" s="2" t="str">
        <f>_xlfn.XLOOKUP(Data_orders!C414,Data_customers!$A$1:$A$1001,Data_customers!$B$1:$B$1001,,0)</f>
        <v>Freeland Missenden</v>
      </c>
      <c r="G414" s="2" t="str">
        <f>IF(_xlfn.XLOOKUP(C414,Data_customers!$A$1:$A$1001,Data_customers!$C$1:$C$1001,,0)=0,"",_xlfn.XLOOKUP(C414,Data_customers!$A$1:$A$1001,Data_customers!$C$1:$C$1001,,0))</f>
        <v/>
      </c>
      <c r="H414" s="2" t="str">
        <f>_xlfn.XLOOKUP(C414,Data_customers!$A$1:$A$1001,Data_customers!$G$1:$G$1001,"",0)</f>
        <v>United States</v>
      </c>
      <c r="I414" t="str">
        <f>INDEX(Data_products!$A$1:$G$49, MATCH(Data_orders!$D414,Data_products!$A$1:$A$49,0), MATCH(Data_orders!I$1,Data_products!$A$1:$G$1,0))</f>
        <v>Ara</v>
      </c>
      <c r="J414" t="str">
        <f>INDEX(Data_products!$A$1:$G$49, MATCH(Data_orders!$D414,Data_products!$A$1:$A$49,0), MATCH(Data_orders!J$1,Data_products!$A$1:$G$1,0))</f>
        <v>M</v>
      </c>
      <c r="K414" s="4">
        <f>INDEX(Data_products!$A$1:$G$49, MATCH(Data_orders!$D414,Data_products!$A$1:$A$49,0), MATCH(Data_orders!K$1,Data_products!$A$1:$G$1,0))</f>
        <v>1</v>
      </c>
      <c r="L414">
        <f>INDEX(Data_products!$A$1:$G$49, MATCH(Data_orders!$D414,Data_products!$A$1:$A$49,0), MATCH(Data_orders!L$1,Data_products!$A$1:$G$1,0))</f>
        <v>11.25</v>
      </c>
      <c r="M414">
        <f t="shared" si="12"/>
        <v>56.25</v>
      </c>
      <c r="N414" t="str" cm="1">
        <f t="array" ref="N414">_xlfn.IFS(I414 = "Rob", "Robusta", I414 = "Exc", "Excelsa", I414 = "Ara", "Arabica", I414 = "Lib", "Liberica")</f>
        <v>Arabica</v>
      </c>
      <c r="O414" t="str">
        <f t="shared" si="13"/>
        <v>Medium</v>
      </c>
      <c r="P414" t="str">
        <f>_xlfn.XLOOKUP(Table1[[#This Row],[Customer ID]],Data_customers!$A$2:$A$1001,Data_customers!$I$2:$I$1001,,0)</f>
        <v>Yes</v>
      </c>
    </row>
    <row r="415" spans="1:16" x14ac:dyDescent="0.2">
      <c r="A415" s="2" t="s">
        <v>2818</v>
      </c>
      <c r="B415" s="3">
        <v>43857</v>
      </c>
      <c r="C415" s="2" t="s">
        <v>2819</v>
      </c>
      <c r="D415" t="s">
        <v>6164</v>
      </c>
      <c r="E415" s="2">
        <v>1</v>
      </c>
      <c r="F415" s="2" t="str">
        <f>_xlfn.XLOOKUP(Data_orders!C415,Data_customers!$A$1:$A$1001,Data_customers!$B$1:$B$1001,,0)</f>
        <v>Waylan Springall</v>
      </c>
      <c r="G415" s="2" t="str">
        <f>IF(_xlfn.XLOOKUP(C415,Data_customers!$A$1:$A$1001,Data_customers!$C$1:$C$1001,,0)=0,"",_xlfn.XLOOKUP(C415,Data_customers!$A$1:$A$1001,Data_customers!$C$1:$C$1001,,0))</f>
        <v>wspringallbh@jugem.jp</v>
      </c>
      <c r="H415" s="2" t="str">
        <f>_xlfn.XLOOKUP(C415,Data_customers!$A$1:$A$1001,Data_customers!$G$1:$G$1001,"",0)</f>
        <v>United States</v>
      </c>
      <c r="I415" t="str">
        <f>INDEX(Data_products!$A$1:$G$49, MATCH(Data_orders!$D415,Data_products!$A$1:$A$49,0), MATCH(Data_orders!I$1,Data_products!$A$1:$G$1,0))</f>
        <v>Lib</v>
      </c>
      <c r="J415" t="str">
        <f>INDEX(Data_products!$A$1:$G$49, MATCH(Data_orders!$D415,Data_products!$A$1:$A$49,0), MATCH(Data_orders!J$1,Data_products!$A$1:$G$1,0))</f>
        <v>L</v>
      </c>
      <c r="K415" s="4">
        <f>INDEX(Data_products!$A$1:$G$49, MATCH(Data_orders!$D415,Data_products!$A$1:$A$49,0), MATCH(Data_orders!K$1,Data_products!$A$1:$G$1,0))</f>
        <v>2.5</v>
      </c>
      <c r="L415">
        <f>INDEX(Data_products!$A$1:$G$49, MATCH(Data_orders!$D415,Data_products!$A$1:$A$49,0), MATCH(Data_orders!L$1,Data_products!$A$1:$G$1,0))</f>
        <v>36.454999999999998</v>
      </c>
      <c r="M415">
        <f t="shared" si="12"/>
        <v>36.454999999999998</v>
      </c>
      <c r="N415" t="str" cm="1">
        <f t="array" ref="N415">_xlfn.IFS(I415 = "Rob", "Robusta", I415 = "Exc", "Excelsa", I415 = "Ara", "Arabica", I415 = "Lib", "Liberica")</f>
        <v>Liberica</v>
      </c>
      <c r="O415" t="str">
        <f t="shared" si="13"/>
        <v>Light</v>
      </c>
      <c r="P415" t="str">
        <f>_xlfn.XLOOKUP(Table1[[#This Row],[Customer ID]],Data_customers!$A$2:$A$1001,Data_customers!$I$2:$I$1001,,0)</f>
        <v>Yes</v>
      </c>
    </row>
    <row r="416" spans="1:16" x14ac:dyDescent="0.2">
      <c r="A416" s="2" t="s">
        <v>2824</v>
      </c>
      <c r="B416" s="3">
        <v>43802</v>
      </c>
      <c r="C416" s="2" t="s">
        <v>2825</v>
      </c>
      <c r="D416" t="s">
        <v>6178</v>
      </c>
      <c r="E416" s="2">
        <v>3</v>
      </c>
      <c r="F416" s="2" t="str">
        <f>_xlfn.XLOOKUP(Data_orders!C416,Data_customers!$A$1:$A$1001,Data_customers!$B$1:$B$1001,,0)</f>
        <v>Kiri Avramow</v>
      </c>
      <c r="G416" s="2" t="str">
        <f>IF(_xlfn.XLOOKUP(C416,Data_customers!$A$1:$A$1001,Data_customers!$C$1:$C$1001,,0)=0,"",_xlfn.XLOOKUP(C416,Data_customers!$A$1:$A$1001,Data_customers!$C$1:$C$1001,,0))</f>
        <v/>
      </c>
      <c r="H416" s="2" t="str">
        <f>_xlfn.XLOOKUP(C416,Data_customers!$A$1:$A$1001,Data_customers!$G$1:$G$1001,"",0)</f>
        <v>United States</v>
      </c>
      <c r="I416" t="str">
        <f>INDEX(Data_products!$A$1:$G$49, MATCH(Data_orders!$D416,Data_products!$A$1:$A$49,0), MATCH(Data_orders!I$1,Data_products!$A$1:$G$1,0))</f>
        <v>Rob</v>
      </c>
      <c r="J416" t="str">
        <f>INDEX(Data_products!$A$1:$G$49, MATCH(Data_orders!$D416,Data_products!$A$1:$A$49,0), MATCH(Data_orders!J$1,Data_products!$A$1:$G$1,0))</f>
        <v>L</v>
      </c>
      <c r="K416" s="4">
        <f>INDEX(Data_products!$A$1:$G$49, MATCH(Data_orders!$D416,Data_products!$A$1:$A$49,0), MATCH(Data_orders!K$1,Data_products!$A$1:$G$1,0))</f>
        <v>0.2</v>
      </c>
      <c r="L416">
        <f>INDEX(Data_products!$A$1:$G$49, MATCH(Data_orders!$D416,Data_products!$A$1:$A$49,0), MATCH(Data_orders!L$1,Data_products!$A$1:$G$1,0))</f>
        <v>3.5849999999999995</v>
      </c>
      <c r="M416">
        <f t="shared" si="12"/>
        <v>10.754999999999999</v>
      </c>
      <c r="N416" t="str" cm="1">
        <f t="array" ref="N416">_xlfn.IFS(I416 = "Rob", "Robusta", I416 = "Exc", "Excelsa", I416 = "Ara", "Arabica", I416 = "Lib", "Liberica")</f>
        <v>Robusta</v>
      </c>
      <c r="O416" t="str">
        <f t="shared" si="13"/>
        <v>Light</v>
      </c>
      <c r="P416" t="str">
        <f>_xlfn.XLOOKUP(Table1[[#This Row],[Customer ID]],Data_customers!$A$2:$A$1001,Data_customers!$I$2:$I$1001,,0)</f>
        <v>Yes</v>
      </c>
    </row>
    <row r="417" spans="1:16" x14ac:dyDescent="0.2">
      <c r="A417" s="2" t="s">
        <v>2829</v>
      </c>
      <c r="B417" s="3">
        <v>43683</v>
      </c>
      <c r="C417" s="2" t="s">
        <v>2830</v>
      </c>
      <c r="D417" t="s">
        <v>6174</v>
      </c>
      <c r="E417" s="2">
        <v>3</v>
      </c>
      <c r="F417" s="2" t="str">
        <f>_xlfn.XLOOKUP(Data_orders!C417,Data_customers!$A$1:$A$1001,Data_customers!$B$1:$B$1001,,0)</f>
        <v>Gregg Hawkyens</v>
      </c>
      <c r="G417" s="2" t="str">
        <f>IF(_xlfn.XLOOKUP(C417,Data_customers!$A$1:$A$1001,Data_customers!$C$1:$C$1001,,0)=0,"",_xlfn.XLOOKUP(C417,Data_customers!$A$1:$A$1001,Data_customers!$C$1:$C$1001,,0))</f>
        <v>ghawkyensbj@census.gov</v>
      </c>
      <c r="H417" s="2" t="str">
        <f>_xlfn.XLOOKUP(C417,Data_customers!$A$1:$A$1001,Data_customers!$G$1:$G$1001,"",0)</f>
        <v>United States</v>
      </c>
      <c r="I417" t="str">
        <f>INDEX(Data_products!$A$1:$G$49, MATCH(Data_orders!$D417,Data_products!$A$1:$A$49,0), MATCH(Data_orders!I$1,Data_products!$A$1:$G$1,0))</f>
        <v>Rob</v>
      </c>
      <c r="J417" t="str">
        <f>INDEX(Data_products!$A$1:$G$49, MATCH(Data_orders!$D417,Data_products!$A$1:$A$49,0), MATCH(Data_orders!J$1,Data_products!$A$1:$G$1,0))</f>
        <v>M</v>
      </c>
      <c r="K417" s="4">
        <f>INDEX(Data_products!$A$1:$G$49, MATCH(Data_orders!$D417,Data_products!$A$1:$A$49,0), MATCH(Data_orders!K$1,Data_products!$A$1:$G$1,0))</f>
        <v>0.2</v>
      </c>
      <c r="L417">
        <f>INDEX(Data_products!$A$1:$G$49, MATCH(Data_orders!$D417,Data_products!$A$1:$A$49,0), MATCH(Data_orders!L$1,Data_products!$A$1:$G$1,0))</f>
        <v>2.9849999999999999</v>
      </c>
      <c r="M417">
        <f t="shared" si="12"/>
        <v>8.9550000000000001</v>
      </c>
      <c r="N417" t="str" cm="1">
        <f t="array" ref="N417">_xlfn.IFS(I417 = "Rob", "Robusta", I417 = "Exc", "Excelsa", I417 = "Ara", "Arabica", I417 = "Lib", "Liberica")</f>
        <v>Robusta</v>
      </c>
      <c r="O417" t="str">
        <f t="shared" si="13"/>
        <v>Medium</v>
      </c>
      <c r="P417" t="str">
        <f>_xlfn.XLOOKUP(Table1[[#This Row],[Customer ID]],Data_customers!$A$2:$A$1001,Data_customers!$I$2:$I$1001,,0)</f>
        <v>No</v>
      </c>
    </row>
    <row r="418" spans="1:16" x14ac:dyDescent="0.2">
      <c r="A418" s="2" t="s">
        <v>2834</v>
      </c>
      <c r="B418" s="3">
        <v>43901</v>
      </c>
      <c r="C418" s="2" t="s">
        <v>2835</v>
      </c>
      <c r="D418" t="s">
        <v>6180</v>
      </c>
      <c r="E418" s="2">
        <v>3</v>
      </c>
      <c r="F418" s="2" t="str">
        <f>_xlfn.XLOOKUP(Data_orders!C418,Data_customers!$A$1:$A$1001,Data_customers!$B$1:$B$1001,,0)</f>
        <v>Reggis Pracy</v>
      </c>
      <c r="G418" s="2" t="str">
        <f>IF(_xlfn.XLOOKUP(C418,Data_customers!$A$1:$A$1001,Data_customers!$C$1:$C$1001,,0)=0,"",_xlfn.XLOOKUP(C418,Data_customers!$A$1:$A$1001,Data_customers!$C$1:$C$1001,,0))</f>
        <v/>
      </c>
      <c r="H418" s="2" t="str">
        <f>_xlfn.XLOOKUP(C418,Data_customers!$A$1:$A$1001,Data_customers!$G$1:$G$1001,"",0)</f>
        <v>United States</v>
      </c>
      <c r="I418" t="str">
        <f>INDEX(Data_products!$A$1:$G$49, MATCH(Data_orders!$D418,Data_products!$A$1:$A$49,0), MATCH(Data_orders!I$1,Data_products!$A$1:$G$1,0))</f>
        <v>Ara</v>
      </c>
      <c r="J418" t="str">
        <f>INDEX(Data_products!$A$1:$G$49, MATCH(Data_orders!$D418,Data_products!$A$1:$A$49,0), MATCH(Data_orders!J$1,Data_products!$A$1:$G$1,0))</f>
        <v>L</v>
      </c>
      <c r="K418" s="4">
        <f>INDEX(Data_products!$A$1:$G$49, MATCH(Data_orders!$D418,Data_products!$A$1:$A$49,0), MATCH(Data_orders!K$1,Data_products!$A$1:$G$1,0))</f>
        <v>0.5</v>
      </c>
      <c r="L418">
        <f>INDEX(Data_products!$A$1:$G$49, MATCH(Data_orders!$D418,Data_products!$A$1:$A$49,0), MATCH(Data_orders!L$1,Data_products!$A$1:$G$1,0))</f>
        <v>7.77</v>
      </c>
      <c r="M418">
        <f t="shared" si="12"/>
        <v>23.31</v>
      </c>
      <c r="N418" t="str" cm="1">
        <f t="array" ref="N418">_xlfn.IFS(I418 = "Rob", "Robusta", I418 = "Exc", "Excelsa", I418 = "Ara", "Arabica", I418 = "Lib", "Liberica")</f>
        <v>Arabica</v>
      </c>
      <c r="O418" t="str">
        <f t="shared" si="13"/>
        <v>Light</v>
      </c>
      <c r="P418" t="str">
        <f>_xlfn.XLOOKUP(Table1[[#This Row],[Customer ID]],Data_customers!$A$2:$A$1001,Data_customers!$I$2:$I$1001,,0)</f>
        <v>Yes</v>
      </c>
    </row>
    <row r="419" spans="1:16" x14ac:dyDescent="0.2">
      <c r="A419" s="2" t="s">
        <v>2839</v>
      </c>
      <c r="B419" s="3">
        <v>44457</v>
      </c>
      <c r="C419" s="2" t="s">
        <v>2840</v>
      </c>
      <c r="D419" t="s">
        <v>6182</v>
      </c>
      <c r="E419" s="2">
        <v>1</v>
      </c>
      <c r="F419" s="2" t="str">
        <f>_xlfn.XLOOKUP(Data_orders!C419,Data_customers!$A$1:$A$1001,Data_customers!$B$1:$B$1001,,0)</f>
        <v>Paula Denis</v>
      </c>
      <c r="G419" s="2" t="str">
        <f>IF(_xlfn.XLOOKUP(C419,Data_customers!$A$1:$A$1001,Data_customers!$C$1:$C$1001,,0)=0,"",_xlfn.XLOOKUP(C419,Data_customers!$A$1:$A$1001,Data_customers!$C$1:$C$1001,,0))</f>
        <v/>
      </c>
      <c r="H419" s="2" t="str">
        <f>_xlfn.XLOOKUP(C419,Data_customers!$A$1:$A$1001,Data_customers!$G$1:$G$1001,"",0)</f>
        <v>United States</v>
      </c>
      <c r="I419" t="str">
        <f>INDEX(Data_products!$A$1:$G$49, MATCH(Data_orders!$D419,Data_products!$A$1:$A$49,0), MATCH(Data_orders!I$1,Data_products!$A$1:$G$1,0))</f>
        <v>Ara</v>
      </c>
      <c r="J419" t="str">
        <f>INDEX(Data_products!$A$1:$G$49, MATCH(Data_orders!$D419,Data_products!$A$1:$A$49,0), MATCH(Data_orders!J$1,Data_products!$A$1:$G$1,0))</f>
        <v>L</v>
      </c>
      <c r="K419" s="4">
        <f>INDEX(Data_products!$A$1:$G$49, MATCH(Data_orders!$D419,Data_products!$A$1:$A$49,0), MATCH(Data_orders!K$1,Data_products!$A$1:$G$1,0))</f>
        <v>2.5</v>
      </c>
      <c r="L419">
        <f>INDEX(Data_products!$A$1:$G$49, MATCH(Data_orders!$D419,Data_products!$A$1:$A$49,0), MATCH(Data_orders!L$1,Data_products!$A$1:$G$1,0))</f>
        <v>29.784999999999997</v>
      </c>
      <c r="M419">
        <f t="shared" si="12"/>
        <v>29.784999999999997</v>
      </c>
      <c r="N419" t="str" cm="1">
        <f t="array" ref="N419">_xlfn.IFS(I419 = "Rob", "Robusta", I419 = "Exc", "Excelsa", I419 = "Ara", "Arabica", I419 = "Lib", "Liberica")</f>
        <v>Arabica</v>
      </c>
      <c r="O419" t="str">
        <f t="shared" si="13"/>
        <v>Light</v>
      </c>
      <c r="P419" t="str">
        <f>_xlfn.XLOOKUP(Table1[[#This Row],[Customer ID]],Data_customers!$A$2:$A$1001,Data_customers!$I$2:$I$1001,,0)</f>
        <v>Yes</v>
      </c>
    </row>
    <row r="420" spans="1:16" x14ac:dyDescent="0.2">
      <c r="A420" s="2" t="s">
        <v>2844</v>
      </c>
      <c r="B420" s="3">
        <v>44142</v>
      </c>
      <c r="C420" s="2" t="s">
        <v>2845</v>
      </c>
      <c r="D420" t="s">
        <v>6182</v>
      </c>
      <c r="E420" s="2">
        <v>5</v>
      </c>
      <c r="F420" s="2" t="str">
        <f>_xlfn.XLOOKUP(Data_orders!C420,Data_customers!$A$1:$A$1001,Data_customers!$B$1:$B$1001,,0)</f>
        <v>Broderick McGilvra</v>
      </c>
      <c r="G420" s="2" t="str">
        <f>IF(_xlfn.XLOOKUP(C420,Data_customers!$A$1:$A$1001,Data_customers!$C$1:$C$1001,,0)=0,"",_xlfn.XLOOKUP(C420,Data_customers!$A$1:$A$1001,Data_customers!$C$1:$C$1001,,0))</f>
        <v>bmcgilvrabm@so-net.ne.jp</v>
      </c>
      <c r="H420" s="2" t="str">
        <f>_xlfn.XLOOKUP(C420,Data_customers!$A$1:$A$1001,Data_customers!$G$1:$G$1001,"",0)</f>
        <v>United States</v>
      </c>
      <c r="I420" t="str">
        <f>INDEX(Data_products!$A$1:$G$49, MATCH(Data_orders!$D420,Data_products!$A$1:$A$49,0), MATCH(Data_orders!I$1,Data_products!$A$1:$G$1,0))</f>
        <v>Ara</v>
      </c>
      <c r="J420" t="str">
        <f>INDEX(Data_products!$A$1:$G$49, MATCH(Data_orders!$D420,Data_products!$A$1:$A$49,0), MATCH(Data_orders!J$1,Data_products!$A$1:$G$1,0))</f>
        <v>L</v>
      </c>
      <c r="K420" s="4">
        <f>INDEX(Data_products!$A$1:$G$49, MATCH(Data_orders!$D420,Data_products!$A$1:$A$49,0), MATCH(Data_orders!K$1,Data_products!$A$1:$G$1,0))</f>
        <v>2.5</v>
      </c>
      <c r="L420">
        <f>INDEX(Data_products!$A$1:$G$49, MATCH(Data_orders!$D420,Data_products!$A$1:$A$49,0), MATCH(Data_orders!L$1,Data_products!$A$1:$G$1,0))</f>
        <v>29.784999999999997</v>
      </c>
      <c r="M420">
        <f t="shared" si="12"/>
        <v>148.92499999999998</v>
      </c>
      <c r="N420" t="str" cm="1">
        <f t="array" ref="N420">_xlfn.IFS(I420 = "Rob", "Robusta", I420 = "Exc", "Excelsa", I420 = "Ara", "Arabica", I420 = "Lib", "Liberica")</f>
        <v>Arabica</v>
      </c>
      <c r="O420" t="str">
        <f t="shared" si="13"/>
        <v>Light</v>
      </c>
      <c r="P420" t="str">
        <f>_xlfn.XLOOKUP(Table1[[#This Row],[Customer ID]],Data_customers!$A$2:$A$1001,Data_customers!$I$2:$I$1001,,0)</f>
        <v>Yes</v>
      </c>
    </row>
    <row r="421" spans="1:16" x14ac:dyDescent="0.2">
      <c r="A421" s="2" t="s">
        <v>2849</v>
      </c>
      <c r="B421" s="3">
        <v>44739</v>
      </c>
      <c r="C421" s="2" t="s">
        <v>2850</v>
      </c>
      <c r="D421" t="s">
        <v>6160</v>
      </c>
      <c r="E421" s="2">
        <v>1</v>
      </c>
      <c r="F421" s="2" t="str">
        <f>_xlfn.XLOOKUP(Data_orders!C421,Data_customers!$A$1:$A$1001,Data_customers!$B$1:$B$1001,,0)</f>
        <v>Annabella Danzey</v>
      </c>
      <c r="G421" s="2" t="str">
        <f>IF(_xlfn.XLOOKUP(C421,Data_customers!$A$1:$A$1001,Data_customers!$C$1:$C$1001,,0)=0,"",_xlfn.XLOOKUP(C421,Data_customers!$A$1:$A$1001,Data_customers!$C$1:$C$1001,,0))</f>
        <v>adanzeybn@github.com</v>
      </c>
      <c r="H421" s="2" t="str">
        <f>_xlfn.XLOOKUP(C421,Data_customers!$A$1:$A$1001,Data_customers!$G$1:$G$1001,"",0)</f>
        <v>United States</v>
      </c>
      <c r="I421" t="str">
        <f>INDEX(Data_products!$A$1:$G$49, MATCH(Data_orders!$D421,Data_products!$A$1:$A$49,0), MATCH(Data_orders!I$1,Data_products!$A$1:$G$1,0))</f>
        <v>Lib</v>
      </c>
      <c r="J421" t="str">
        <f>INDEX(Data_products!$A$1:$G$49, MATCH(Data_orders!$D421,Data_products!$A$1:$A$49,0), MATCH(Data_orders!J$1,Data_products!$A$1:$G$1,0))</f>
        <v>M</v>
      </c>
      <c r="K421" s="4">
        <f>INDEX(Data_products!$A$1:$G$49, MATCH(Data_orders!$D421,Data_products!$A$1:$A$49,0), MATCH(Data_orders!K$1,Data_products!$A$1:$G$1,0))</f>
        <v>0.5</v>
      </c>
      <c r="L421">
        <f>INDEX(Data_products!$A$1:$G$49, MATCH(Data_orders!$D421,Data_products!$A$1:$A$49,0), MATCH(Data_orders!L$1,Data_products!$A$1:$G$1,0))</f>
        <v>8.73</v>
      </c>
      <c r="M421">
        <f t="shared" si="12"/>
        <v>8.73</v>
      </c>
      <c r="N421" t="str" cm="1">
        <f t="array" ref="N421">_xlfn.IFS(I421 = "Rob", "Robusta", I421 = "Exc", "Excelsa", I421 = "Ara", "Arabica", I421 = "Lib", "Liberica")</f>
        <v>Liberica</v>
      </c>
      <c r="O421" t="str">
        <f t="shared" si="13"/>
        <v>Medium</v>
      </c>
      <c r="P421" t="str">
        <f>_xlfn.XLOOKUP(Table1[[#This Row],[Customer ID]],Data_customers!$A$2:$A$1001,Data_customers!$I$2:$I$1001,,0)</f>
        <v>Yes</v>
      </c>
    </row>
    <row r="422" spans="1:16" x14ac:dyDescent="0.2">
      <c r="A422" s="2" t="s">
        <v>2855</v>
      </c>
      <c r="B422" s="3">
        <v>43866</v>
      </c>
      <c r="C422" s="2" t="s">
        <v>2586</v>
      </c>
      <c r="D422" t="s">
        <v>6169</v>
      </c>
      <c r="E422" s="2">
        <v>4</v>
      </c>
      <c r="F422" s="2" t="str">
        <f>_xlfn.XLOOKUP(Data_orders!C422,Data_customers!$A$1:$A$1001,Data_customers!$B$1:$B$1001,,0)</f>
        <v>Terri Farra</v>
      </c>
      <c r="G422" s="2" t="str">
        <f>IF(_xlfn.XLOOKUP(C422,Data_customers!$A$1:$A$1001,Data_customers!$C$1:$C$1001,,0)=0,"",_xlfn.XLOOKUP(C422,Data_customers!$A$1:$A$1001,Data_customers!$C$1:$C$1001,,0))</f>
        <v>tfarraac@behance.net</v>
      </c>
      <c r="H422" s="2" t="str">
        <f>_xlfn.XLOOKUP(C422,Data_customers!$A$1:$A$1001,Data_customers!$G$1:$G$1001,"",0)</f>
        <v>United States</v>
      </c>
      <c r="I422" t="str">
        <f>INDEX(Data_products!$A$1:$G$49, MATCH(Data_orders!$D422,Data_products!$A$1:$A$49,0), MATCH(Data_orders!I$1,Data_products!$A$1:$G$1,0))</f>
        <v>Lib</v>
      </c>
      <c r="J422" t="str">
        <f>INDEX(Data_products!$A$1:$G$49, MATCH(Data_orders!$D422,Data_products!$A$1:$A$49,0), MATCH(Data_orders!J$1,Data_products!$A$1:$G$1,0))</f>
        <v>D</v>
      </c>
      <c r="K422" s="4">
        <f>INDEX(Data_products!$A$1:$G$49, MATCH(Data_orders!$D422,Data_products!$A$1:$A$49,0), MATCH(Data_orders!K$1,Data_products!$A$1:$G$1,0))</f>
        <v>0.5</v>
      </c>
      <c r="L422">
        <f>INDEX(Data_products!$A$1:$G$49, MATCH(Data_orders!$D422,Data_products!$A$1:$A$49,0), MATCH(Data_orders!L$1,Data_products!$A$1:$G$1,0))</f>
        <v>7.77</v>
      </c>
      <c r="M422">
        <f t="shared" si="12"/>
        <v>31.08</v>
      </c>
      <c r="N422" t="str" cm="1">
        <f t="array" ref="N422">_xlfn.IFS(I422 = "Rob", "Robusta", I422 = "Exc", "Excelsa", I422 = "Ara", "Arabica", I422 = "Lib", "Liberica")</f>
        <v>Liberica</v>
      </c>
      <c r="O422" t="str">
        <f t="shared" si="13"/>
        <v>Dark</v>
      </c>
      <c r="P422" t="str">
        <f>_xlfn.XLOOKUP(Table1[[#This Row],[Customer ID]],Data_customers!$A$2:$A$1001,Data_customers!$I$2:$I$1001,,0)</f>
        <v>No</v>
      </c>
    </row>
    <row r="423" spans="1:16" x14ac:dyDescent="0.2">
      <c r="A423" s="2" t="s">
        <v>2855</v>
      </c>
      <c r="B423" s="3">
        <v>43866</v>
      </c>
      <c r="C423" s="2" t="s">
        <v>2586</v>
      </c>
      <c r="D423" t="s">
        <v>6168</v>
      </c>
      <c r="E423" s="2">
        <v>6</v>
      </c>
      <c r="F423" s="2" t="str">
        <f>_xlfn.XLOOKUP(Data_orders!C423,Data_customers!$A$1:$A$1001,Data_customers!$B$1:$B$1001,,0)</f>
        <v>Terri Farra</v>
      </c>
      <c r="G423" s="2" t="str">
        <f>IF(_xlfn.XLOOKUP(C423,Data_customers!$A$1:$A$1001,Data_customers!$C$1:$C$1001,,0)=0,"",_xlfn.XLOOKUP(C423,Data_customers!$A$1:$A$1001,Data_customers!$C$1:$C$1001,,0))</f>
        <v>tfarraac@behance.net</v>
      </c>
      <c r="H423" s="2" t="str">
        <f>_xlfn.XLOOKUP(C423,Data_customers!$A$1:$A$1001,Data_customers!$G$1:$G$1001,"",0)</f>
        <v>United States</v>
      </c>
      <c r="I423" t="str">
        <f>INDEX(Data_products!$A$1:$G$49, MATCH(Data_orders!$D423,Data_products!$A$1:$A$49,0), MATCH(Data_orders!I$1,Data_products!$A$1:$G$1,0))</f>
        <v>Ara</v>
      </c>
      <c r="J423" t="str">
        <f>INDEX(Data_products!$A$1:$G$49, MATCH(Data_orders!$D423,Data_products!$A$1:$A$49,0), MATCH(Data_orders!J$1,Data_products!$A$1:$G$1,0))</f>
        <v>D</v>
      </c>
      <c r="K423" s="4">
        <f>INDEX(Data_products!$A$1:$G$49, MATCH(Data_orders!$D423,Data_products!$A$1:$A$49,0), MATCH(Data_orders!K$1,Data_products!$A$1:$G$1,0))</f>
        <v>2.5</v>
      </c>
      <c r="L423">
        <f>INDEX(Data_products!$A$1:$G$49, MATCH(Data_orders!$D423,Data_products!$A$1:$A$49,0), MATCH(Data_orders!L$1,Data_products!$A$1:$G$1,0))</f>
        <v>22.884999999999998</v>
      </c>
      <c r="M423">
        <f t="shared" si="12"/>
        <v>137.31</v>
      </c>
      <c r="N423" t="str" cm="1">
        <f t="array" ref="N423">_xlfn.IFS(I423 = "Rob", "Robusta", I423 = "Exc", "Excelsa", I423 = "Ara", "Arabica", I423 = "Lib", "Liberica")</f>
        <v>Arabica</v>
      </c>
      <c r="O423" t="str">
        <f t="shared" si="13"/>
        <v>Dark</v>
      </c>
      <c r="P423" t="str">
        <f>_xlfn.XLOOKUP(Table1[[#This Row],[Customer ID]],Data_customers!$A$2:$A$1001,Data_customers!$I$2:$I$1001,,0)</f>
        <v>No</v>
      </c>
    </row>
    <row r="424" spans="1:16" x14ac:dyDescent="0.2">
      <c r="A424" s="2" t="s">
        <v>2866</v>
      </c>
      <c r="B424" s="3">
        <v>43868</v>
      </c>
      <c r="C424" s="2" t="s">
        <v>2867</v>
      </c>
      <c r="D424" t="s">
        <v>6158</v>
      </c>
      <c r="E424" s="2">
        <v>5</v>
      </c>
      <c r="F424" s="2" t="str">
        <f>_xlfn.XLOOKUP(Data_orders!C424,Data_customers!$A$1:$A$1001,Data_customers!$B$1:$B$1001,,0)</f>
        <v>Nevins Glowacz</v>
      </c>
      <c r="G424" s="2" t="str">
        <f>IF(_xlfn.XLOOKUP(C424,Data_customers!$A$1:$A$1001,Data_customers!$C$1:$C$1001,,0)=0,"",_xlfn.XLOOKUP(C424,Data_customers!$A$1:$A$1001,Data_customers!$C$1:$C$1001,,0))</f>
        <v/>
      </c>
      <c r="H424" s="2" t="str">
        <f>_xlfn.XLOOKUP(C424,Data_customers!$A$1:$A$1001,Data_customers!$G$1:$G$1001,"",0)</f>
        <v>United States</v>
      </c>
      <c r="I424" t="str">
        <f>INDEX(Data_products!$A$1:$G$49, MATCH(Data_orders!$D424,Data_products!$A$1:$A$49,0), MATCH(Data_orders!I$1,Data_products!$A$1:$G$1,0))</f>
        <v>Ara</v>
      </c>
      <c r="J424" t="str">
        <f>INDEX(Data_products!$A$1:$G$49, MATCH(Data_orders!$D424,Data_products!$A$1:$A$49,0), MATCH(Data_orders!J$1,Data_products!$A$1:$G$1,0))</f>
        <v>D</v>
      </c>
      <c r="K424" s="4">
        <f>INDEX(Data_products!$A$1:$G$49, MATCH(Data_orders!$D424,Data_products!$A$1:$A$49,0), MATCH(Data_orders!K$1,Data_products!$A$1:$G$1,0))</f>
        <v>0.5</v>
      </c>
      <c r="L424">
        <f>INDEX(Data_products!$A$1:$G$49, MATCH(Data_orders!$D424,Data_products!$A$1:$A$49,0), MATCH(Data_orders!L$1,Data_products!$A$1:$G$1,0))</f>
        <v>5.97</v>
      </c>
      <c r="M424">
        <f t="shared" si="12"/>
        <v>29.849999999999998</v>
      </c>
      <c r="N424" t="str" cm="1">
        <f t="array" ref="N424">_xlfn.IFS(I424 = "Rob", "Robusta", I424 = "Exc", "Excelsa", I424 = "Ara", "Arabica", I424 = "Lib", "Liberica")</f>
        <v>Arabica</v>
      </c>
      <c r="O424" t="str">
        <f t="shared" si="13"/>
        <v>Dark</v>
      </c>
      <c r="P424" t="str">
        <f>_xlfn.XLOOKUP(Table1[[#This Row],[Customer ID]],Data_customers!$A$2:$A$1001,Data_customers!$I$2:$I$1001,,0)</f>
        <v>No</v>
      </c>
    </row>
    <row r="425" spans="1:16" x14ac:dyDescent="0.2">
      <c r="A425" s="2" t="s">
        <v>2871</v>
      </c>
      <c r="B425" s="3">
        <v>44183</v>
      </c>
      <c r="C425" s="2" t="s">
        <v>2872</v>
      </c>
      <c r="D425" t="s">
        <v>6146</v>
      </c>
      <c r="E425" s="2">
        <v>3</v>
      </c>
      <c r="F425" s="2" t="str">
        <f>_xlfn.XLOOKUP(Data_orders!C425,Data_customers!$A$1:$A$1001,Data_customers!$B$1:$B$1001,,0)</f>
        <v>Adelice Isabell</v>
      </c>
      <c r="G425" s="2" t="str">
        <f>IF(_xlfn.XLOOKUP(C425,Data_customers!$A$1:$A$1001,Data_customers!$C$1:$C$1001,,0)=0,"",_xlfn.XLOOKUP(C425,Data_customers!$A$1:$A$1001,Data_customers!$C$1:$C$1001,,0))</f>
        <v/>
      </c>
      <c r="H425" s="2" t="str">
        <f>_xlfn.XLOOKUP(C425,Data_customers!$A$1:$A$1001,Data_customers!$G$1:$G$1001,"",0)</f>
        <v>United States</v>
      </c>
      <c r="I425" t="str">
        <f>INDEX(Data_products!$A$1:$G$49, MATCH(Data_orders!$D425,Data_products!$A$1:$A$49,0), MATCH(Data_orders!I$1,Data_products!$A$1:$G$1,0))</f>
        <v>Rob</v>
      </c>
      <c r="J425" t="str">
        <f>INDEX(Data_products!$A$1:$G$49, MATCH(Data_orders!$D425,Data_products!$A$1:$A$49,0), MATCH(Data_orders!J$1,Data_products!$A$1:$G$1,0))</f>
        <v>M</v>
      </c>
      <c r="K425" s="4">
        <f>INDEX(Data_products!$A$1:$G$49, MATCH(Data_orders!$D425,Data_products!$A$1:$A$49,0), MATCH(Data_orders!K$1,Data_products!$A$1:$G$1,0))</f>
        <v>0.5</v>
      </c>
      <c r="L425">
        <f>INDEX(Data_products!$A$1:$G$49, MATCH(Data_orders!$D425,Data_products!$A$1:$A$49,0), MATCH(Data_orders!L$1,Data_products!$A$1:$G$1,0))</f>
        <v>5.97</v>
      </c>
      <c r="M425">
        <f t="shared" si="12"/>
        <v>17.91</v>
      </c>
      <c r="N425" t="str" cm="1">
        <f t="array" ref="N425">_xlfn.IFS(I425 = "Rob", "Robusta", I425 = "Exc", "Excelsa", I425 = "Ara", "Arabica", I425 = "Lib", "Liberica")</f>
        <v>Robusta</v>
      </c>
      <c r="O425" t="str">
        <f t="shared" si="13"/>
        <v>Medium</v>
      </c>
      <c r="P425" t="str">
        <f>_xlfn.XLOOKUP(Table1[[#This Row],[Customer ID]],Data_customers!$A$2:$A$1001,Data_customers!$I$2:$I$1001,,0)</f>
        <v>No</v>
      </c>
    </row>
    <row r="426" spans="1:16" x14ac:dyDescent="0.2">
      <c r="A426" s="2" t="s">
        <v>2876</v>
      </c>
      <c r="B426" s="3">
        <v>44431</v>
      </c>
      <c r="C426" s="2" t="s">
        <v>2877</v>
      </c>
      <c r="D426" t="s">
        <v>6176</v>
      </c>
      <c r="E426" s="2">
        <v>3</v>
      </c>
      <c r="F426" s="2" t="str">
        <f>_xlfn.XLOOKUP(Data_orders!C426,Data_customers!$A$1:$A$1001,Data_customers!$B$1:$B$1001,,0)</f>
        <v>Yulma Dombrell</v>
      </c>
      <c r="G426" s="2" t="str">
        <f>IF(_xlfn.XLOOKUP(C426,Data_customers!$A$1:$A$1001,Data_customers!$C$1:$C$1001,,0)=0,"",_xlfn.XLOOKUP(C426,Data_customers!$A$1:$A$1001,Data_customers!$C$1:$C$1001,,0))</f>
        <v>ydombrellbs@dedecms.com</v>
      </c>
      <c r="H426" s="2" t="str">
        <f>_xlfn.XLOOKUP(C426,Data_customers!$A$1:$A$1001,Data_customers!$G$1:$G$1001,"",0)</f>
        <v>United States</v>
      </c>
      <c r="I426" t="str">
        <f>INDEX(Data_products!$A$1:$G$49, MATCH(Data_orders!$D426,Data_products!$A$1:$A$49,0), MATCH(Data_orders!I$1,Data_products!$A$1:$G$1,0))</f>
        <v>Exc</v>
      </c>
      <c r="J426" t="str">
        <f>INDEX(Data_products!$A$1:$G$49, MATCH(Data_orders!$D426,Data_products!$A$1:$A$49,0), MATCH(Data_orders!J$1,Data_products!$A$1:$G$1,0))</f>
        <v>L</v>
      </c>
      <c r="K426" s="4">
        <f>INDEX(Data_products!$A$1:$G$49, MATCH(Data_orders!$D426,Data_products!$A$1:$A$49,0), MATCH(Data_orders!K$1,Data_products!$A$1:$G$1,0))</f>
        <v>0.5</v>
      </c>
      <c r="L426">
        <f>INDEX(Data_products!$A$1:$G$49, MATCH(Data_orders!$D426,Data_products!$A$1:$A$49,0), MATCH(Data_orders!L$1,Data_products!$A$1:$G$1,0))</f>
        <v>8.91</v>
      </c>
      <c r="M426">
        <f t="shared" si="12"/>
        <v>26.73</v>
      </c>
      <c r="N426" t="str" cm="1">
        <f t="array" ref="N426">_xlfn.IFS(I426 = "Rob", "Robusta", I426 = "Exc", "Excelsa", I426 = "Ara", "Arabica", I426 = "Lib", "Liberica")</f>
        <v>Excelsa</v>
      </c>
      <c r="O426" t="str">
        <f t="shared" si="13"/>
        <v>Light</v>
      </c>
      <c r="P426" t="str">
        <f>_xlfn.XLOOKUP(Table1[[#This Row],[Customer ID]],Data_customers!$A$2:$A$1001,Data_customers!$I$2:$I$1001,,0)</f>
        <v>Yes</v>
      </c>
    </row>
    <row r="427" spans="1:16" x14ac:dyDescent="0.2">
      <c r="A427" s="2" t="s">
        <v>2882</v>
      </c>
      <c r="B427" s="3">
        <v>44428</v>
      </c>
      <c r="C427" s="2" t="s">
        <v>2883</v>
      </c>
      <c r="D427" t="s">
        <v>6177</v>
      </c>
      <c r="E427" s="2">
        <v>2</v>
      </c>
      <c r="F427" s="2" t="str">
        <f>_xlfn.XLOOKUP(Data_orders!C427,Data_customers!$A$1:$A$1001,Data_customers!$B$1:$B$1001,,0)</f>
        <v>Alric Darth</v>
      </c>
      <c r="G427" s="2" t="str">
        <f>IF(_xlfn.XLOOKUP(C427,Data_customers!$A$1:$A$1001,Data_customers!$C$1:$C$1001,,0)=0,"",_xlfn.XLOOKUP(C427,Data_customers!$A$1:$A$1001,Data_customers!$C$1:$C$1001,,0))</f>
        <v>adarthbt@t.co</v>
      </c>
      <c r="H427" s="2" t="str">
        <f>_xlfn.XLOOKUP(C427,Data_customers!$A$1:$A$1001,Data_customers!$G$1:$G$1001,"",0)</f>
        <v>United States</v>
      </c>
      <c r="I427" t="str">
        <f>INDEX(Data_products!$A$1:$G$49, MATCH(Data_orders!$D427,Data_products!$A$1:$A$49,0), MATCH(Data_orders!I$1,Data_products!$A$1:$G$1,0))</f>
        <v>Rob</v>
      </c>
      <c r="J427" t="str">
        <f>INDEX(Data_products!$A$1:$G$49, MATCH(Data_orders!$D427,Data_products!$A$1:$A$49,0), MATCH(Data_orders!J$1,Data_products!$A$1:$G$1,0))</f>
        <v>D</v>
      </c>
      <c r="K427" s="4">
        <f>INDEX(Data_products!$A$1:$G$49, MATCH(Data_orders!$D427,Data_products!$A$1:$A$49,0), MATCH(Data_orders!K$1,Data_products!$A$1:$G$1,0))</f>
        <v>1</v>
      </c>
      <c r="L427">
        <f>INDEX(Data_products!$A$1:$G$49, MATCH(Data_orders!$D427,Data_products!$A$1:$A$49,0), MATCH(Data_orders!L$1,Data_products!$A$1:$G$1,0))</f>
        <v>8.9499999999999993</v>
      </c>
      <c r="M427">
        <f t="shared" si="12"/>
        <v>17.899999999999999</v>
      </c>
      <c r="N427" t="str" cm="1">
        <f t="array" ref="N427">_xlfn.IFS(I427 = "Rob", "Robusta", I427 = "Exc", "Excelsa", I427 = "Ara", "Arabica", I427 = "Lib", "Liberica")</f>
        <v>Robusta</v>
      </c>
      <c r="O427" t="str">
        <f t="shared" si="13"/>
        <v>Dark</v>
      </c>
      <c r="P427" t="str">
        <f>_xlfn.XLOOKUP(Table1[[#This Row],[Customer ID]],Data_customers!$A$2:$A$1001,Data_customers!$I$2:$I$1001,,0)</f>
        <v>No</v>
      </c>
    </row>
    <row r="428" spans="1:16" x14ac:dyDescent="0.2">
      <c r="A428" s="2" t="s">
        <v>2888</v>
      </c>
      <c r="B428" s="3">
        <v>43556</v>
      </c>
      <c r="C428" s="2" t="s">
        <v>2889</v>
      </c>
      <c r="D428" t="s">
        <v>6178</v>
      </c>
      <c r="E428" s="2">
        <v>4</v>
      </c>
      <c r="F428" s="2" t="str">
        <f>_xlfn.XLOOKUP(Data_orders!C428,Data_customers!$A$1:$A$1001,Data_customers!$B$1:$B$1001,,0)</f>
        <v>Manuel Darrigoe</v>
      </c>
      <c r="G428" s="2" t="str">
        <f>IF(_xlfn.XLOOKUP(C428,Data_customers!$A$1:$A$1001,Data_customers!$C$1:$C$1001,,0)=0,"",_xlfn.XLOOKUP(C428,Data_customers!$A$1:$A$1001,Data_customers!$C$1:$C$1001,,0))</f>
        <v>mdarrigoebu@hud.gov</v>
      </c>
      <c r="H428" s="2" t="str">
        <f>_xlfn.XLOOKUP(C428,Data_customers!$A$1:$A$1001,Data_customers!$G$1:$G$1001,"",0)</f>
        <v>Ireland</v>
      </c>
      <c r="I428" t="str">
        <f>INDEX(Data_products!$A$1:$G$49, MATCH(Data_orders!$D428,Data_products!$A$1:$A$49,0), MATCH(Data_orders!I$1,Data_products!$A$1:$G$1,0))</f>
        <v>Rob</v>
      </c>
      <c r="J428" t="str">
        <f>INDEX(Data_products!$A$1:$G$49, MATCH(Data_orders!$D428,Data_products!$A$1:$A$49,0), MATCH(Data_orders!J$1,Data_products!$A$1:$G$1,0))</f>
        <v>L</v>
      </c>
      <c r="K428" s="4">
        <f>INDEX(Data_products!$A$1:$G$49, MATCH(Data_orders!$D428,Data_products!$A$1:$A$49,0), MATCH(Data_orders!K$1,Data_products!$A$1:$G$1,0))</f>
        <v>0.2</v>
      </c>
      <c r="L428">
        <f>INDEX(Data_products!$A$1:$G$49, MATCH(Data_orders!$D428,Data_products!$A$1:$A$49,0), MATCH(Data_orders!L$1,Data_products!$A$1:$G$1,0))</f>
        <v>3.5849999999999995</v>
      </c>
      <c r="M428">
        <f t="shared" si="12"/>
        <v>14.339999999999998</v>
      </c>
      <c r="N428" t="str" cm="1">
        <f t="array" ref="N428">_xlfn.IFS(I428 = "Rob", "Robusta", I428 = "Exc", "Excelsa", I428 = "Ara", "Arabica", I428 = "Lib", "Liberica")</f>
        <v>Robusta</v>
      </c>
      <c r="O428" t="str">
        <f t="shared" si="13"/>
        <v>Light</v>
      </c>
      <c r="P428" t="str">
        <f>_xlfn.XLOOKUP(Table1[[#This Row],[Customer ID]],Data_customers!$A$2:$A$1001,Data_customers!$I$2:$I$1001,,0)</f>
        <v>Yes</v>
      </c>
    </row>
    <row r="429" spans="1:16" x14ac:dyDescent="0.2">
      <c r="A429" s="2" t="s">
        <v>2894</v>
      </c>
      <c r="B429" s="3">
        <v>44224</v>
      </c>
      <c r="C429" s="2" t="s">
        <v>2895</v>
      </c>
      <c r="D429" t="s">
        <v>6175</v>
      </c>
      <c r="E429" s="2">
        <v>3</v>
      </c>
      <c r="F429" s="2" t="str">
        <f>_xlfn.XLOOKUP(Data_orders!C429,Data_customers!$A$1:$A$1001,Data_customers!$B$1:$B$1001,,0)</f>
        <v>Kynthia Berick</v>
      </c>
      <c r="G429" s="2" t="str">
        <f>IF(_xlfn.XLOOKUP(C429,Data_customers!$A$1:$A$1001,Data_customers!$C$1:$C$1001,,0)=0,"",_xlfn.XLOOKUP(C429,Data_customers!$A$1:$A$1001,Data_customers!$C$1:$C$1001,,0))</f>
        <v/>
      </c>
      <c r="H429" s="2" t="str">
        <f>_xlfn.XLOOKUP(C429,Data_customers!$A$1:$A$1001,Data_customers!$G$1:$G$1001,"",0)</f>
        <v>United States</v>
      </c>
      <c r="I429" t="str">
        <f>INDEX(Data_products!$A$1:$G$49, MATCH(Data_orders!$D429,Data_products!$A$1:$A$49,0), MATCH(Data_orders!I$1,Data_products!$A$1:$G$1,0))</f>
        <v>Ara</v>
      </c>
      <c r="J429" t="str">
        <f>INDEX(Data_products!$A$1:$G$49, MATCH(Data_orders!$D429,Data_products!$A$1:$A$49,0), MATCH(Data_orders!J$1,Data_products!$A$1:$G$1,0))</f>
        <v>M</v>
      </c>
      <c r="K429" s="4">
        <f>INDEX(Data_products!$A$1:$G$49, MATCH(Data_orders!$D429,Data_products!$A$1:$A$49,0), MATCH(Data_orders!K$1,Data_products!$A$1:$G$1,0))</f>
        <v>2.5</v>
      </c>
      <c r="L429">
        <f>INDEX(Data_products!$A$1:$G$49, MATCH(Data_orders!$D429,Data_products!$A$1:$A$49,0), MATCH(Data_orders!L$1,Data_products!$A$1:$G$1,0))</f>
        <v>25.874999999999996</v>
      </c>
      <c r="M429">
        <f t="shared" si="12"/>
        <v>77.624999999999986</v>
      </c>
      <c r="N429" t="str" cm="1">
        <f t="array" ref="N429">_xlfn.IFS(I429 = "Rob", "Robusta", I429 = "Exc", "Excelsa", I429 = "Ara", "Arabica", I429 = "Lib", "Liberica")</f>
        <v>Arabica</v>
      </c>
      <c r="O429" t="str">
        <f t="shared" si="13"/>
        <v>Medium</v>
      </c>
      <c r="P429" t="str">
        <f>_xlfn.XLOOKUP(Table1[[#This Row],[Customer ID]],Data_customers!$A$2:$A$1001,Data_customers!$I$2:$I$1001,,0)</f>
        <v>Yes</v>
      </c>
    </row>
    <row r="430" spans="1:16" x14ac:dyDescent="0.2">
      <c r="A430" s="2" t="s">
        <v>2899</v>
      </c>
      <c r="B430" s="3">
        <v>43759</v>
      </c>
      <c r="C430" s="2" t="s">
        <v>2900</v>
      </c>
      <c r="D430" t="s">
        <v>6179</v>
      </c>
      <c r="E430" s="2">
        <v>5</v>
      </c>
      <c r="F430" s="2" t="str">
        <f>_xlfn.XLOOKUP(Data_orders!C430,Data_customers!$A$1:$A$1001,Data_customers!$B$1:$B$1001,,0)</f>
        <v>Minetta Ackrill</v>
      </c>
      <c r="G430" s="2" t="str">
        <f>IF(_xlfn.XLOOKUP(C430,Data_customers!$A$1:$A$1001,Data_customers!$C$1:$C$1001,,0)=0,"",_xlfn.XLOOKUP(C430,Data_customers!$A$1:$A$1001,Data_customers!$C$1:$C$1001,,0))</f>
        <v>mackrillbw@bandcamp.com</v>
      </c>
      <c r="H430" s="2" t="str">
        <f>_xlfn.XLOOKUP(C430,Data_customers!$A$1:$A$1001,Data_customers!$G$1:$G$1001,"",0)</f>
        <v>United States</v>
      </c>
      <c r="I430" t="str">
        <f>INDEX(Data_products!$A$1:$G$49, MATCH(Data_orders!$D430,Data_products!$A$1:$A$49,0), MATCH(Data_orders!I$1,Data_products!$A$1:$G$1,0))</f>
        <v>Rob</v>
      </c>
      <c r="J430" t="str">
        <f>INDEX(Data_products!$A$1:$G$49, MATCH(Data_orders!$D430,Data_products!$A$1:$A$49,0), MATCH(Data_orders!J$1,Data_products!$A$1:$G$1,0))</f>
        <v>L</v>
      </c>
      <c r="K430" s="4">
        <f>INDEX(Data_products!$A$1:$G$49, MATCH(Data_orders!$D430,Data_products!$A$1:$A$49,0), MATCH(Data_orders!K$1,Data_products!$A$1:$G$1,0))</f>
        <v>1</v>
      </c>
      <c r="L430">
        <f>INDEX(Data_products!$A$1:$G$49, MATCH(Data_orders!$D430,Data_products!$A$1:$A$49,0), MATCH(Data_orders!L$1,Data_products!$A$1:$G$1,0))</f>
        <v>11.95</v>
      </c>
      <c r="M430">
        <f t="shared" si="12"/>
        <v>59.75</v>
      </c>
      <c r="N430" t="str" cm="1">
        <f t="array" ref="N430">_xlfn.IFS(I430 = "Rob", "Robusta", I430 = "Exc", "Excelsa", I430 = "Ara", "Arabica", I430 = "Lib", "Liberica")</f>
        <v>Robusta</v>
      </c>
      <c r="O430" t="str">
        <f t="shared" si="13"/>
        <v>Light</v>
      </c>
      <c r="P430" t="str">
        <f>_xlfn.XLOOKUP(Table1[[#This Row],[Customer ID]],Data_customers!$A$2:$A$1001,Data_customers!$I$2:$I$1001,,0)</f>
        <v>No</v>
      </c>
    </row>
    <row r="431" spans="1:16" x14ac:dyDescent="0.2">
      <c r="A431" s="2" t="s">
        <v>2905</v>
      </c>
      <c r="B431" s="3">
        <v>44367</v>
      </c>
      <c r="C431" s="2" t="s">
        <v>2586</v>
      </c>
      <c r="D431" t="s">
        <v>6140</v>
      </c>
      <c r="E431" s="2">
        <v>6</v>
      </c>
      <c r="F431" s="2" t="str">
        <f>_xlfn.XLOOKUP(Data_orders!C431,Data_customers!$A$1:$A$1001,Data_customers!$B$1:$B$1001,,0)</f>
        <v>Terri Farra</v>
      </c>
      <c r="G431" s="2" t="str">
        <f>IF(_xlfn.XLOOKUP(C431,Data_customers!$A$1:$A$1001,Data_customers!$C$1:$C$1001,,0)=0,"",_xlfn.XLOOKUP(C431,Data_customers!$A$1:$A$1001,Data_customers!$C$1:$C$1001,,0))</f>
        <v>tfarraac@behance.net</v>
      </c>
      <c r="H431" s="2" t="str">
        <f>_xlfn.XLOOKUP(C431,Data_customers!$A$1:$A$1001,Data_customers!$G$1:$G$1001,"",0)</f>
        <v>United States</v>
      </c>
      <c r="I431" t="str">
        <f>INDEX(Data_products!$A$1:$G$49, MATCH(Data_orders!$D431,Data_products!$A$1:$A$49,0), MATCH(Data_orders!I$1,Data_products!$A$1:$G$1,0))</f>
        <v>Ara</v>
      </c>
      <c r="J431" t="str">
        <f>INDEX(Data_products!$A$1:$G$49, MATCH(Data_orders!$D431,Data_products!$A$1:$A$49,0), MATCH(Data_orders!J$1,Data_products!$A$1:$G$1,0))</f>
        <v>L</v>
      </c>
      <c r="K431" s="4">
        <f>INDEX(Data_products!$A$1:$G$49, MATCH(Data_orders!$D431,Data_products!$A$1:$A$49,0), MATCH(Data_orders!K$1,Data_products!$A$1:$G$1,0))</f>
        <v>1</v>
      </c>
      <c r="L431">
        <f>INDEX(Data_products!$A$1:$G$49, MATCH(Data_orders!$D431,Data_products!$A$1:$A$49,0), MATCH(Data_orders!L$1,Data_products!$A$1:$G$1,0))</f>
        <v>12.95</v>
      </c>
      <c r="M431">
        <f t="shared" si="12"/>
        <v>77.699999999999989</v>
      </c>
      <c r="N431" t="str" cm="1">
        <f t="array" ref="N431">_xlfn.IFS(I431 = "Rob", "Robusta", I431 = "Exc", "Excelsa", I431 = "Ara", "Arabica", I431 = "Lib", "Liberica")</f>
        <v>Arabica</v>
      </c>
      <c r="O431" t="str">
        <f t="shared" si="13"/>
        <v>Light</v>
      </c>
      <c r="P431" t="str">
        <f>_xlfn.XLOOKUP(Table1[[#This Row],[Customer ID]],Data_customers!$A$2:$A$1001,Data_customers!$I$2:$I$1001,,0)</f>
        <v>No</v>
      </c>
    </row>
    <row r="432" spans="1:16" x14ac:dyDescent="0.2">
      <c r="A432" s="2" t="s">
        <v>2911</v>
      </c>
      <c r="B432" s="3">
        <v>44504</v>
      </c>
      <c r="C432" s="2" t="s">
        <v>2912</v>
      </c>
      <c r="D432" t="s">
        <v>6163</v>
      </c>
      <c r="E432" s="2">
        <v>2</v>
      </c>
      <c r="F432" s="2" t="str">
        <f>_xlfn.XLOOKUP(Data_orders!C432,Data_customers!$A$1:$A$1001,Data_customers!$B$1:$B$1001,,0)</f>
        <v>Melosa Kippen</v>
      </c>
      <c r="G432" s="2" t="str">
        <f>IF(_xlfn.XLOOKUP(C432,Data_customers!$A$1:$A$1001,Data_customers!$C$1:$C$1001,,0)=0,"",_xlfn.XLOOKUP(C432,Data_customers!$A$1:$A$1001,Data_customers!$C$1:$C$1001,,0))</f>
        <v>mkippenby@dion.ne.jp</v>
      </c>
      <c r="H432" s="2" t="str">
        <f>_xlfn.XLOOKUP(C432,Data_customers!$A$1:$A$1001,Data_customers!$G$1:$G$1001,"",0)</f>
        <v>United States</v>
      </c>
      <c r="I432" t="str">
        <f>INDEX(Data_products!$A$1:$G$49, MATCH(Data_orders!$D432,Data_products!$A$1:$A$49,0), MATCH(Data_orders!I$1,Data_products!$A$1:$G$1,0))</f>
        <v>Rob</v>
      </c>
      <c r="J432" t="str">
        <f>INDEX(Data_products!$A$1:$G$49, MATCH(Data_orders!$D432,Data_products!$A$1:$A$49,0), MATCH(Data_orders!J$1,Data_products!$A$1:$G$1,0))</f>
        <v>D</v>
      </c>
      <c r="K432" s="4">
        <f>INDEX(Data_products!$A$1:$G$49, MATCH(Data_orders!$D432,Data_products!$A$1:$A$49,0), MATCH(Data_orders!K$1,Data_products!$A$1:$G$1,0))</f>
        <v>0.2</v>
      </c>
      <c r="L432">
        <f>INDEX(Data_products!$A$1:$G$49, MATCH(Data_orders!$D432,Data_products!$A$1:$A$49,0), MATCH(Data_orders!L$1,Data_products!$A$1:$G$1,0))</f>
        <v>2.6849999999999996</v>
      </c>
      <c r="M432">
        <f t="shared" si="12"/>
        <v>5.3699999999999992</v>
      </c>
      <c r="N432" t="str" cm="1">
        <f t="array" ref="N432">_xlfn.IFS(I432 = "Rob", "Robusta", I432 = "Exc", "Excelsa", I432 = "Ara", "Arabica", I432 = "Lib", "Liberica")</f>
        <v>Robusta</v>
      </c>
      <c r="O432" t="str">
        <f t="shared" si="13"/>
        <v>Dark</v>
      </c>
      <c r="P432" t="str">
        <f>_xlfn.XLOOKUP(Table1[[#This Row],[Customer ID]],Data_customers!$A$2:$A$1001,Data_customers!$I$2:$I$1001,,0)</f>
        <v>Yes</v>
      </c>
    </row>
    <row r="433" spans="1:16" x14ac:dyDescent="0.2">
      <c r="A433" s="2" t="s">
        <v>2917</v>
      </c>
      <c r="B433" s="3">
        <v>44291</v>
      </c>
      <c r="C433" s="2" t="s">
        <v>2918</v>
      </c>
      <c r="D433" t="s">
        <v>6185</v>
      </c>
      <c r="E433" s="2">
        <v>3</v>
      </c>
      <c r="F433" s="2" t="str">
        <f>_xlfn.XLOOKUP(Data_orders!C433,Data_customers!$A$1:$A$1001,Data_customers!$B$1:$B$1001,,0)</f>
        <v>Witty Ranson</v>
      </c>
      <c r="G433" s="2" t="str">
        <f>IF(_xlfn.XLOOKUP(C433,Data_customers!$A$1:$A$1001,Data_customers!$C$1:$C$1001,,0)=0,"",_xlfn.XLOOKUP(C433,Data_customers!$A$1:$A$1001,Data_customers!$C$1:$C$1001,,0))</f>
        <v>wransonbz@ted.com</v>
      </c>
      <c r="H433" s="2" t="str">
        <f>_xlfn.XLOOKUP(C433,Data_customers!$A$1:$A$1001,Data_customers!$G$1:$G$1001,"",0)</f>
        <v>Ireland</v>
      </c>
      <c r="I433" t="str">
        <f>INDEX(Data_products!$A$1:$G$49, MATCH(Data_orders!$D433,Data_products!$A$1:$A$49,0), MATCH(Data_orders!I$1,Data_products!$A$1:$G$1,0))</f>
        <v>Exc</v>
      </c>
      <c r="J433" t="str">
        <f>INDEX(Data_products!$A$1:$G$49, MATCH(Data_orders!$D433,Data_products!$A$1:$A$49,0), MATCH(Data_orders!J$1,Data_products!$A$1:$G$1,0))</f>
        <v>D</v>
      </c>
      <c r="K433" s="4">
        <f>INDEX(Data_products!$A$1:$G$49, MATCH(Data_orders!$D433,Data_products!$A$1:$A$49,0), MATCH(Data_orders!K$1,Data_products!$A$1:$G$1,0))</f>
        <v>2.5</v>
      </c>
      <c r="L433">
        <f>INDEX(Data_products!$A$1:$G$49, MATCH(Data_orders!$D433,Data_products!$A$1:$A$49,0), MATCH(Data_orders!L$1,Data_products!$A$1:$G$1,0))</f>
        <v>27.945</v>
      </c>
      <c r="M433">
        <f t="shared" si="12"/>
        <v>83.835000000000008</v>
      </c>
      <c r="N433" t="str" cm="1">
        <f t="array" ref="N433">_xlfn.IFS(I433 = "Rob", "Robusta", I433 = "Exc", "Excelsa", I433 = "Ara", "Arabica", I433 = "Lib", "Liberica")</f>
        <v>Excelsa</v>
      </c>
      <c r="O433" t="str">
        <f t="shared" si="13"/>
        <v>Dark</v>
      </c>
      <c r="P433" t="str">
        <f>_xlfn.XLOOKUP(Table1[[#This Row],[Customer ID]],Data_customers!$A$2:$A$1001,Data_customers!$I$2:$I$1001,,0)</f>
        <v>Yes</v>
      </c>
    </row>
    <row r="434" spans="1:16" x14ac:dyDescent="0.2">
      <c r="A434" s="2" t="s">
        <v>2923</v>
      </c>
      <c r="B434" s="3">
        <v>43808</v>
      </c>
      <c r="C434" s="2" t="s">
        <v>2924</v>
      </c>
      <c r="D434" t="s">
        <v>6155</v>
      </c>
      <c r="E434" s="2">
        <v>2</v>
      </c>
      <c r="F434" s="2" t="str">
        <f>_xlfn.XLOOKUP(Data_orders!C434,Data_customers!$A$1:$A$1001,Data_customers!$B$1:$B$1001,,0)</f>
        <v>Rod Gowdie</v>
      </c>
      <c r="G434" s="2" t="str">
        <f>IF(_xlfn.XLOOKUP(C434,Data_customers!$A$1:$A$1001,Data_customers!$C$1:$C$1001,,0)=0,"",_xlfn.XLOOKUP(C434,Data_customers!$A$1:$A$1001,Data_customers!$C$1:$C$1001,,0))</f>
        <v/>
      </c>
      <c r="H434" s="2" t="str">
        <f>_xlfn.XLOOKUP(C434,Data_customers!$A$1:$A$1001,Data_customers!$G$1:$G$1001,"",0)</f>
        <v>United States</v>
      </c>
      <c r="I434" t="str">
        <f>INDEX(Data_products!$A$1:$G$49, MATCH(Data_orders!$D434,Data_products!$A$1:$A$49,0), MATCH(Data_orders!I$1,Data_products!$A$1:$G$1,0))</f>
        <v>Ara</v>
      </c>
      <c r="J434" t="str">
        <f>INDEX(Data_products!$A$1:$G$49, MATCH(Data_orders!$D434,Data_products!$A$1:$A$49,0), MATCH(Data_orders!J$1,Data_products!$A$1:$G$1,0))</f>
        <v>M</v>
      </c>
      <c r="K434" s="4">
        <f>INDEX(Data_products!$A$1:$G$49, MATCH(Data_orders!$D434,Data_products!$A$1:$A$49,0), MATCH(Data_orders!K$1,Data_products!$A$1:$G$1,0))</f>
        <v>1</v>
      </c>
      <c r="L434">
        <f>INDEX(Data_products!$A$1:$G$49, MATCH(Data_orders!$D434,Data_products!$A$1:$A$49,0), MATCH(Data_orders!L$1,Data_products!$A$1:$G$1,0))</f>
        <v>11.25</v>
      </c>
      <c r="M434">
        <f t="shared" si="12"/>
        <v>22.5</v>
      </c>
      <c r="N434" t="str" cm="1">
        <f t="array" ref="N434">_xlfn.IFS(I434 = "Rob", "Robusta", I434 = "Exc", "Excelsa", I434 = "Ara", "Arabica", I434 = "Lib", "Liberica")</f>
        <v>Arabica</v>
      </c>
      <c r="O434" t="str">
        <f t="shared" si="13"/>
        <v>Medium</v>
      </c>
      <c r="P434" t="str">
        <f>_xlfn.XLOOKUP(Table1[[#This Row],[Customer ID]],Data_customers!$A$2:$A$1001,Data_customers!$I$2:$I$1001,,0)</f>
        <v>No</v>
      </c>
    </row>
    <row r="435" spans="1:16" x14ac:dyDescent="0.2">
      <c r="A435" s="2" t="s">
        <v>2928</v>
      </c>
      <c r="B435" s="3">
        <v>44563</v>
      </c>
      <c r="C435" s="2" t="s">
        <v>2929</v>
      </c>
      <c r="D435" t="s">
        <v>6181</v>
      </c>
      <c r="E435" s="2">
        <v>6</v>
      </c>
      <c r="F435" s="2" t="str">
        <f>_xlfn.XLOOKUP(Data_orders!C435,Data_customers!$A$1:$A$1001,Data_customers!$B$1:$B$1001,,0)</f>
        <v>Lemuel Rignold</v>
      </c>
      <c r="G435" s="2" t="str">
        <f>IF(_xlfn.XLOOKUP(C435,Data_customers!$A$1:$A$1001,Data_customers!$C$1:$C$1001,,0)=0,"",_xlfn.XLOOKUP(C435,Data_customers!$A$1:$A$1001,Data_customers!$C$1:$C$1001,,0))</f>
        <v>lrignoldc1@miibeian.gov.cn</v>
      </c>
      <c r="H435" s="2" t="str">
        <f>_xlfn.XLOOKUP(C435,Data_customers!$A$1:$A$1001,Data_customers!$G$1:$G$1001,"",0)</f>
        <v>United States</v>
      </c>
      <c r="I435" t="str">
        <f>INDEX(Data_products!$A$1:$G$49, MATCH(Data_orders!$D435,Data_products!$A$1:$A$49,0), MATCH(Data_orders!I$1,Data_products!$A$1:$G$1,0))</f>
        <v>Lib</v>
      </c>
      <c r="J435" t="str">
        <f>INDEX(Data_products!$A$1:$G$49, MATCH(Data_orders!$D435,Data_products!$A$1:$A$49,0), MATCH(Data_orders!J$1,Data_products!$A$1:$G$1,0))</f>
        <v>M</v>
      </c>
      <c r="K435" s="4">
        <f>INDEX(Data_products!$A$1:$G$49, MATCH(Data_orders!$D435,Data_products!$A$1:$A$49,0), MATCH(Data_orders!K$1,Data_products!$A$1:$G$1,0))</f>
        <v>2.5</v>
      </c>
      <c r="L435">
        <f>INDEX(Data_products!$A$1:$G$49, MATCH(Data_orders!$D435,Data_products!$A$1:$A$49,0), MATCH(Data_orders!L$1,Data_products!$A$1:$G$1,0))</f>
        <v>33.464999999999996</v>
      </c>
      <c r="M435">
        <f t="shared" si="12"/>
        <v>200.78999999999996</v>
      </c>
      <c r="N435" t="str" cm="1">
        <f t="array" ref="N435">_xlfn.IFS(I435 = "Rob", "Robusta", I435 = "Exc", "Excelsa", I435 = "Ara", "Arabica", I435 = "Lib", "Liberica")</f>
        <v>Liberica</v>
      </c>
      <c r="O435" t="str">
        <f t="shared" si="13"/>
        <v>Medium</v>
      </c>
      <c r="P435" t="str">
        <f>_xlfn.XLOOKUP(Table1[[#This Row],[Customer ID]],Data_customers!$A$2:$A$1001,Data_customers!$I$2:$I$1001,,0)</f>
        <v>Yes</v>
      </c>
    </row>
    <row r="436" spans="1:16" x14ac:dyDescent="0.2">
      <c r="A436" s="2" t="s">
        <v>2934</v>
      </c>
      <c r="B436" s="3">
        <v>43807</v>
      </c>
      <c r="C436" s="2" t="s">
        <v>2935</v>
      </c>
      <c r="D436" t="s">
        <v>6155</v>
      </c>
      <c r="E436" s="2">
        <v>6</v>
      </c>
      <c r="F436" s="2" t="str">
        <f>_xlfn.XLOOKUP(Data_orders!C436,Data_customers!$A$1:$A$1001,Data_customers!$B$1:$B$1001,,0)</f>
        <v>Nevsa Fields</v>
      </c>
      <c r="G436" s="2" t="str">
        <f>IF(_xlfn.XLOOKUP(C436,Data_customers!$A$1:$A$1001,Data_customers!$C$1:$C$1001,,0)=0,"",_xlfn.XLOOKUP(C436,Data_customers!$A$1:$A$1001,Data_customers!$C$1:$C$1001,,0))</f>
        <v/>
      </c>
      <c r="H436" s="2" t="str">
        <f>_xlfn.XLOOKUP(C436,Data_customers!$A$1:$A$1001,Data_customers!$G$1:$G$1001,"",0)</f>
        <v>United States</v>
      </c>
      <c r="I436" t="str">
        <f>INDEX(Data_products!$A$1:$G$49, MATCH(Data_orders!$D436,Data_products!$A$1:$A$49,0), MATCH(Data_orders!I$1,Data_products!$A$1:$G$1,0))</f>
        <v>Ara</v>
      </c>
      <c r="J436" t="str">
        <f>INDEX(Data_products!$A$1:$G$49, MATCH(Data_orders!$D436,Data_products!$A$1:$A$49,0), MATCH(Data_orders!J$1,Data_products!$A$1:$G$1,0))</f>
        <v>M</v>
      </c>
      <c r="K436" s="4">
        <f>INDEX(Data_products!$A$1:$G$49, MATCH(Data_orders!$D436,Data_products!$A$1:$A$49,0), MATCH(Data_orders!K$1,Data_products!$A$1:$G$1,0))</f>
        <v>1</v>
      </c>
      <c r="L436">
        <f>INDEX(Data_products!$A$1:$G$49, MATCH(Data_orders!$D436,Data_products!$A$1:$A$49,0), MATCH(Data_orders!L$1,Data_products!$A$1:$G$1,0))</f>
        <v>11.25</v>
      </c>
      <c r="M436">
        <f t="shared" si="12"/>
        <v>67.5</v>
      </c>
      <c r="N436" t="str" cm="1">
        <f t="array" ref="N436">_xlfn.IFS(I436 = "Rob", "Robusta", I436 = "Exc", "Excelsa", I436 = "Ara", "Arabica", I436 = "Lib", "Liberica")</f>
        <v>Arabica</v>
      </c>
      <c r="O436" t="str">
        <f t="shared" si="13"/>
        <v>Medium</v>
      </c>
      <c r="P436" t="str">
        <f>_xlfn.XLOOKUP(Table1[[#This Row],[Customer ID]],Data_customers!$A$2:$A$1001,Data_customers!$I$2:$I$1001,,0)</f>
        <v>No</v>
      </c>
    </row>
    <row r="437" spans="1:16" x14ac:dyDescent="0.2">
      <c r="A437" s="2" t="s">
        <v>2939</v>
      </c>
      <c r="B437" s="3">
        <v>44528</v>
      </c>
      <c r="C437" s="2" t="s">
        <v>2940</v>
      </c>
      <c r="D437" t="s">
        <v>6139</v>
      </c>
      <c r="E437" s="2">
        <v>1</v>
      </c>
      <c r="F437" s="2" t="str">
        <f>_xlfn.XLOOKUP(Data_orders!C437,Data_customers!$A$1:$A$1001,Data_customers!$B$1:$B$1001,,0)</f>
        <v>Chance Rowthorn</v>
      </c>
      <c r="G437" s="2" t="str">
        <f>IF(_xlfn.XLOOKUP(C437,Data_customers!$A$1:$A$1001,Data_customers!$C$1:$C$1001,,0)=0,"",_xlfn.XLOOKUP(C437,Data_customers!$A$1:$A$1001,Data_customers!$C$1:$C$1001,,0))</f>
        <v>crowthornc3@msn.com</v>
      </c>
      <c r="H437" s="2" t="str">
        <f>_xlfn.XLOOKUP(C437,Data_customers!$A$1:$A$1001,Data_customers!$G$1:$G$1001,"",0)</f>
        <v>United States</v>
      </c>
      <c r="I437" t="str">
        <f>INDEX(Data_products!$A$1:$G$49, MATCH(Data_orders!$D437,Data_products!$A$1:$A$49,0), MATCH(Data_orders!I$1,Data_products!$A$1:$G$1,0))</f>
        <v>Exc</v>
      </c>
      <c r="J437" t="str">
        <f>INDEX(Data_products!$A$1:$G$49, MATCH(Data_orders!$D437,Data_products!$A$1:$A$49,0), MATCH(Data_orders!J$1,Data_products!$A$1:$G$1,0))</f>
        <v>M</v>
      </c>
      <c r="K437" s="4">
        <f>INDEX(Data_products!$A$1:$G$49, MATCH(Data_orders!$D437,Data_products!$A$1:$A$49,0), MATCH(Data_orders!K$1,Data_products!$A$1:$G$1,0))</f>
        <v>0.5</v>
      </c>
      <c r="L437">
        <f>INDEX(Data_products!$A$1:$G$49, MATCH(Data_orders!$D437,Data_products!$A$1:$A$49,0), MATCH(Data_orders!L$1,Data_products!$A$1:$G$1,0))</f>
        <v>8.25</v>
      </c>
      <c r="M437">
        <f t="shared" si="12"/>
        <v>8.25</v>
      </c>
      <c r="N437" t="str" cm="1">
        <f t="array" ref="N437">_xlfn.IFS(I437 = "Rob", "Robusta", I437 = "Exc", "Excelsa", I437 = "Ara", "Arabica", I437 = "Lib", "Liberica")</f>
        <v>Excelsa</v>
      </c>
      <c r="O437" t="str">
        <f t="shared" si="13"/>
        <v>Medium</v>
      </c>
      <c r="P437" t="str">
        <f>_xlfn.XLOOKUP(Table1[[#This Row],[Customer ID]],Data_customers!$A$2:$A$1001,Data_customers!$I$2:$I$1001,,0)</f>
        <v>No</v>
      </c>
    </row>
    <row r="438" spans="1:16" x14ac:dyDescent="0.2">
      <c r="A438" s="2" t="s">
        <v>2945</v>
      </c>
      <c r="B438" s="3">
        <v>44631</v>
      </c>
      <c r="C438" s="2" t="s">
        <v>2946</v>
      </c>
      <c r="D438" t="s">
        <v>6145</v>
      </c>
      <c r="E438" s="2">
        <v>2</v>
      </c>
      <c r="F438" s="2" t="str">
        <f>_xlfn.XLOOKUP(Data_orders!C438,Data_customers!$A$1:$A$1001,Data_customers!$B$1:$B$1001,,0)</f>
        <v>Orly Ryland</v>
      </c>
      <c r="G438" s="2" t="str">
        <f>IF(_xlfn.XLOOKUP(C438,Data_customers!$A$1:$A$1001,Data_customers!$C$1:$C$1001,,0)=0,"",_xlfn.XLOOKUP(C438,Data_customers!$A$1:$A$1001,Data_customers!$C$1:$C$1001,,0))</f>
        <v>orylandc4@deviantart.com</v>
      </c>
      <c r="H438" s="2" t="str">
        <f>_xlfn.XLOOKUP(C438,Data_customers!$A$1:$A$1001,Data_customers!$G$1:$G$1001,"",0)</f>
        <v>United States</v>
      </c>
      <c r="I438" t="str">
        <f>INDEX(Data_products!$A$1:$G$49, MATCH(Data_orders!$D438,Data_products!$A$1:$A$49,0), MATCH(Data_orders!I$1,Data_products!$A$1:$G$1,0))</f>
        <v>Lib</v>
      </c>
      <c r="J438" t="str">
        <f>INDEX(Data_products!$A$1:$G$49, MATCH(Data_orders!$D438,Data_products!$A$1:$A$49,0), MATCH(Data_orders!J$1,Data_products!$A$1:$G$1,0))</f>
        <v>L</v>
      </c>
      <c r="K438" s="4">
        <f>INDEX(Data_products!$A$1:$G$49, MATCH(Data_orders!$D438,Data_products!$A$1:$A$49,0), MATCH(Data_orders!K$1,Data_products!$A$1:$G$1,0))</f>
        <v>0.2</v>
      </c>
      <c r="L438">
        <f>INDEX(Data_products!$A$1:$G$49, MATCH(Data_orders!$D438,Data_products!$A$1:$A$49,0), MATCH(Data_orders!L$1,Data_products!$A$1:$G$1,0))</f>
        <v>4.7549999999999999</v>
      </c>
      <c r="M438">
        <f t="shared" si="12"/>
        <v>9.51</v>
      </c>
      <c r="N438" t="str" cm="1">
        <f t="array" ref="N438">_xlfn.IFS(I438 = "Rob", "Robusta", I438 = "Exc", "Excelsa", I438 = "Ara", "Arabica", I438 = "Lib", "Liberica")</f>
        <v>Liberica</v>
      </c>
      <c r="O438" t="str">
        <f t="shared" si="13"/>
        <v>Light</v>
      </c>
      <c r="P438" t="str">
        <f>_xlfn.XLOOKUP(Table1[[#This Row],[Customer ID]],Data_customers!$A$2:$A$1001,Data_customers!$I$2:$I$1001,,0)</f>
        <v>Yes</v>
      </c>
    </row>
    <row r="439" spans="1:16" x14ac:dyDescent="0.2">
      <c r="A439" s="2" t="s">
        <v>2951</v>
      </c>
      <c r="B439" s="3">
        <v>44213</v>
      </c>
      <c r="C439" s="2" t="s">
        <v>2952</v>
      </c>
      <c r="D439" t="s">
        <v>6165</v>
      </c>
      <c r="E439" s="2">
        <v>1</v>
      </c>
      <c r="F439" s="2" t="str">
        <f>_xlfn.XLOOKUP(Data_orders!C439,Data_customers!$A$1:$A$1001,Data_customers!$B$1:$B$1001,,0)</f>
        <v>Willabella Abramski</v>
      </c>
      <c r="G439" s="2" t="str">
        <f>IF(_xlfn.XLOOKUP(C439,Data_customers!$A$1:$A$1001,Data_customers!$C$1:$C$1001,,0)=0,"",_xlfn.XLOOKUP(C439,Data_customers!$A$1:$A$1001,Data_customers!$C$1:$C$1001,,0))</f>
        <v/>
      </c>
      <c r="H439" s="2" t="str">
        <f>_xlfn.XLOOKUP(C439,Data_customers!$A$1:$A$1001,Data_customers!$G$1:$G$1001,"",0)</f>
        <v>United States</v>
      </c>
      <c r="I439" t="str">
        <f>INDEX(Data_products!$A$1:$G$49, MATCH(Data_orders!$D439,Data_products!$A$1:$A$49,0), MATCH(Data_orders!I$1,Data_products!$A$1:$G$1,0))</f>
        <v>Lib</v>
      </c>
      <c r="J439" t="str">
        <f>INDEX(Data_products!$A$1:$G$49, MATCH(Data_orders!$D439,Data_products!$A$1:$A$49,0), MATCH(Data_orders!J$1,Data_products!$A$1:$G$1,0))</f>
        <v>D</v>
      </c>
      <c r="K439" s="4">
        <f>INDEX(Data_products!$A$1:$G$49, MATCH(Data_orders!$D439,Data_products!$A$1:$A$49,0), MATCH(Data_orders!K$1,Data_products!$A$1:$G$1,0))</f>
        <v>2.5</v>
      </c>
      <c r="L439">
        <f>INDEX(Data_products!$A$1:$G$49, MATCH(Data_orders!$D439,Data_products!$A$1:$A$49,0), MATCH(Data_orders!L$1,Data_products!$A$1:$G$1,0))</f>
        <v>29.784999999999997</v>
      </c>
      <c r="M439">
        <f t="shared" si="12"/>
        <v>29.784999999999997</v>
      </c>
      <c r="N439" t="str" cm="1">
        <f t="array" ref="N439">_xlfn.IFS(I439 = "Rob", "Robusta", I439 = "Exc", "Excelsa", I439 = "Ara", "Arabica", I439 = "Lib", "Liberica")</f>
        <v>Liberica</v>
      </c>
      <c r="O439" t="str">
        <f t="shared" si="13"/>
        <v>Dark</v>
      </c>
      <c r="P439" t="str">
        <f>_xlfn.XLOOKUP(Table1[[#This Row],[Customer ID]],Data_customers!$A$2:$A$1001,Data_customers!$I$2:$I$1001,,0)</f>
        <v>No</v>
      </c>
    </row>
    <row r="440" spans="1:16" x14ac:dyDescent="0.2">
      <c r="A440" s="2" t="s">
        <v>2956</v>
      </c>
      <c r="B440" s="3">
        <v>43483</v>
      </c>
      <c r="C440" s="2" t="s">
        <v>3042</v>
      </c>
      <c r="D440" t="s">
        <v>6169</v>
      </c>
      <c r="E440" s="2">
        <v>2</v>
      </c>
      <c r="F440" s="2" t="str">
        <f>_xlfn.XLOOKUP(Data_orders!C440,Data_customers!$A$1:$A$1001,Data_customers!$B$1:$B$1001,,0)</f>
        <v>Morgen Seson</v>
      </c>
      <c r="G440" s="2" t="str">
        <f>IF(_xlfn.XLOOKUP(C440,Data_customers!$A$1:$A$1001,Data_customers!$C$1:$C$1001,,0)=0,"",_xlfn.XLOOKUP(C440,Data_customers!$A$1:$A$1001,Data_customers!$C$1:$C$1001,,0))</f>
        <v>msesonck@census.gov</v>
      </c>
      <c r="H440" s="2" t="str">
        <f>_xlfn.XLOOKUP(C440,Data_customers!$A$1:$A$1001,Data_customers!$G$1:$G$1001,"",0)</f>
        <v>United States</v>
      </c>
      <c r="I440" t="str">
        <f>INDEX(Data_products!$A$1:$G$49, MATCH(Data_orders!$D440,Data_products!$A$1:$A$49,0), MATCH(Data_orders!I$1,Data_products!$A$1:$G$1,0))</f>
        <v>Lib</v>
      </c>
      <c r="J440" t="str">
        <f>INDEX(Data_products!$A$1:$G$49, MATCH(Data_orders!$D440,Data_products!$A$1:$A$49,0), MATCH(Data_orders!J$1,Data_products!$A$1:$G$1,0))</f>
        <v>D</v>
      </c>
      <c r="K440" s="4">
        <f>INDEX(Data_products!$A$1:$G$49, MATCH(Data_orders!$D440,Data_products!$A$1:$A$49,0), MATCH(Data_orders!K$1,Data_products!$A$1:$G$1,0))</f>
        <v>0.5</v>
      </c>
      <c r="L440">
        <f>INDEX(Data_products!$A$1:$G$49, MATCH(Data_orders!$D440,Data_products!$A$1:$A$49,0), MATCH(Data_orders!L$1,Data_products!$A$1:$G$1,0))</f>
        <v>7.77</v>
      </c>
      <c r="M440">
        <f t="shared" si="12"/>
        <v>15.54</v>
      </c>
      <c r="N440" t="str" cm="1">
        <f t="array" ref="N440">_xlfn.IFS(I440 = "Rob", "Robusta", I440 = "Exc", "Excelsa", I440 = "Ara", "Arabica", I440 = "Lib", "Liberica")</f>
        <v>Liberica</v>
      </c>
      <c r="O440" t="str">
        <f t="shared" si="13"/>
        <v>Dark</v>
      </c>
      <c r="P440" t="str">
        <f>_xlfn.XLOOKUP(Table1[[#This Row],[Customer ID]],Data_customers!$A$2:$A$1001,Data_customers!$I$2:$I$1001,,0)</f>
        <v>No</v>
      </c>
    </row>
    <row r="441" spans="1:16" x14ac:dyDescent="0.2">
      <c r="A441" s="2" t="s">
        <v>2962</v>
      </c>
      <c r="B441" s="3">
        <v>43562</v>
      </c>
      <c r="C441" s="2" t="s">
        <v>2963</v>
      </c>
      <c r="D441" t="s">
        <v>6176</v>
      </c>
      <c r="E441" s="2">
        <v>4</v>
      </c>
      <c r="F441" s="2" t="str">
        <f>_xlfn.XLOOKUP(Data_orders!C441,Data_customers!$A$1:$A$1001,Data_customers!$B$1:$B$1001,,0)</f>
        <v>Chickie Ragless</v>
      </c>
      <c r="G441" s="2" t="str">
        <f>IF(_xlfn.XLOOKUP(C441,Data_customers!$A$1:$A$1001,Data_customers!$C$1:$C$1001,,0)=0,"",_xlfn.XLOOKUP(C441,Data_customers!$A$1:$A$1001,Data_customers!$C$1:$C$1001,,0))</f>
        <v>craglessc7@webmd.com</v>
      </c>
      <c r="H441" s="2" t="str">
        <f>_xlfn.XLOOKUP(C441,Data_customers!$A$1:$A$1001,Data_customers!$G$1:$G$1001,"",0)</f>
        <v>Ireland</v>
      </c>
      <c r="I441" t="str">
        <f>INDEX(Data_products!$A$1:$G$49, MATCH(Data_orders!$D441,Data_products!$A$1:$A$49,0), MATCH(Data_orders!I$1,Data_products!$A$1:$G$1,0))</f>
        <v>Exc</v>
      </c>
      <c r="J441" t="str">
        <f>INDEX(Data_products!$A$1:$G$49, MATCH(Data_orders!$D441,Data_products!$A$1:$A$49,0), MATCH(Data_orders!J$1,Data_products!$A$1:$G$1,0))</f>
        <v>L</v>
      </c>
      <c r="K441" s="4">
        <f>INDEX(Data_products!$A$1:$G$49, MATCH(Data_orders!$D441,Data_products!$A$1:$A$49,0), MATCH(Data_orders!K$1,Data_products!$A$1:$G$1,0))</f>
        <v>0.5</v>
      </c>
      <c r="L441">
        <f>INDEX(Data_products!$A$1:$G$49, MATCH(Data_orders!$D441,Data_products!$A$1:$A$49,0), MATCH(Data_orders!L$1,Data_products!$A$1:$G$1,0))</f>
        <v>8.91</v>
      </c>
      <c r="M441">
        <f t="shared" si="12"/>
        <v>35.64</v>
      </c>
      <c r="N441" t="str" cm="1">
        <f t="array" ref="N441">_xlfn.IFS(I441 = "Rob", "Robusta", I441 = "Exc", "Excelsa", I441 = "Ara", "Arabica", I441 = "Lib", "Liberica")</f>
        <v>Excelsa</v>
      </c>
      <c r="O441" t="str">
        <f t="shared" si="13"/>
        <v>Light</v>
      </c>
      <c r="P441" t="str">
        <f>_xlfn.XLOOKUP(Table1[[#This Row],[Customer ID]],Data_customers!$A$2:$A$1001,Data_customers!$I$2:$I$1001,,0)</f>
        <v>No</v>
      </c>
    </row>
    <row r="442" spans="1:16" x14ac:dyDescent="0.2">
      <c r="A442" s="2" t="s">
        <v>2968</v>
      </c>
      <c r="B442" s="3">
        <v>44230</v>
      </c>
      <c r="C442" s="2" t="s">
        <v>2969</v>
      </c>
      <c r="D442" t="s">
        <v>6175</v>
      </c>
      <c r="E442" s="2">
        <v>4</v>
      </c>
      <c r="F442" s="2" t="str">
        <f>_xlfn.XLOOKUP(Data_orders!C442,Data_customers!$A$1:$A$1001,Data_customers!$B$1:$B$1001,,0)</f>
        <v>Freda Hollows</v>
      </c>
      <c r="G442" s="2" t="str">
        <f>IF(_xlfn.XLOOKUP(C442,Data_customers!$A$1:$A$1001,Data_customers!$C$1:$C$1001,,0)=0,"",_xlfn.XLOOKUP(C442,Data_customers!$A$1:$A$1001,Data_customers!$C$1:$C$1001,,0))</f>
        <v>fhollowsc8@blogtalkradio.com</v>
      </c>
      <c r="H442" s="2" t="str">
        <f>_xlfn.XLOOKUP(C442,Data_customers!$A$1:$A$1001,Data_customers!$G$1:$G$1001,"",0)</f>
        <v>United States</v>
      </c>
      <c r="I442" t="str">
        <f>INDEX(Data_products!$A$1:$G$49, MATCH(Data_orders!$D442,Data_products!$A$1:$A$49,0), MATCH(Data_orders!I$1,Data_products!$A$1:$G$1,0))</f>
        <v>Ara</v>
      </c>
      <c r="J442" t="str">
        <f>INDEX(Data_products!$A$1:$G$49, MATCH(Data_orders!$D442,Data_products!$A$1:$A$49,0), MATCH(Data_orders!J$1,Data_products!$A$1:$G$1,0))</f>
        <v>M</v>
      </c>
      <c r="K442" s="4">
        <f>INDEX(Data_products!$A$1:$G$49, MATCH(Data_orders!$D442,Data_products!$A$1:$A$49,0), MATCH(Data_orders!K$1,Data_products!$A$1:$G$1,0))</f>
        <v>2.5</v>
      </c>
      <c r="L442">
        <f>INDEX(Data_products!$A$1:$G$49, MATCH(Data_orders!$D442,Data_products!$A$1:$A$49,0), MATCH(Data_orders!L$1,Data_products!$A$1:$G$1,0))</f>
        <v>25.874999999999996</v>
      </c>
      <c r="M442">
        <f t="shared" si="12"/>
        <v>103.49999999999999</v>
      </c>
      <c r="N442" t="str" cm="1">
        <f t="array" ref="N442">_xlfn.IFS(I442 = "Rob", "Robusta", I442 = "Exc", "Excelsa", I442 = "Ara", "Arabica", I442 = "Lib", "Liberica")</f>
        <v>Arabica</v>
      </c>
      <c r="O442" t="str">
        <f t="shared" si="13"/>
        <v>Medium</v>
      </c>
      <c r="P442" t="str">
        <f>_xlfn.XLOOKUP(Table1[[#This Row],[Customer ID]],Data_customers!$A$2:$A$1001,Data_customers!$I$2:$I$1001,,0)</f>
        <v>Yes</v>
      </c>
    </row>
    <row r="443" spans="1:16" x14ac:dyDescent="0.2">
      <c r="A443" s="2" t="s">
        <v>2974</v>
      </c>
      <c r="B443" s="3">
        <v>43573</v>
      </c>
      <c r="C443" s="2" t="s">
        <v>2975</v>
      </c>
      <c r="D443" t="s">
        <v>6183</v>
      </c>
      <c r="E443" s="2">
        <v>3</v>
      </c>
      <c r="F443" s="2" t="str">
        <f>_xlfn.XLOOKUP(Data_orders!C443,Data_customers!$A$1:$A$1001,Data_customers!$B$1:$B$1001,,0)</f>
        <v>Livy Lathleiff</v>
      </c>
      <c r="G443" s="2" t="str">
        <f>IF(_xlfn.XLOOKUP(C443,Data_customers!$A$1:$A$1001,Data_customers!$C$1:$C$1001,,0)=0,"",_xlfn.XLOOKUP(C443,Data_customers!$A$1:$A$1001,Data_customers!$C$1:$C$1001,,0))</f>
        <v>llathleiffc9@nationalgeographic.com</v>
      </c>
      <c r="H443" s="2" t="str">
        <f>_xlfn.XLOOKUP(C443,Data_customers!$A$1:$A$1001,Data_customers!$G$1:$G$1001,"",0)</f>
        <v>Ireland</v>
      </c>
      <c r="I443" t="str">
        <f>INDEX(Data_products!$A$1:$G$49, MATCH(Data_orders!$D443,Data_products!$A$1:$A$49,0), MATCH(Data_orders!I$1,Data_products!$A$1:$G$1,0))</f>
        <v>Exc</v>
      </c>
      <c r="J443" t="str">
        <f>INDEX(Data_products!$A$1:$G$49, MATCH(Data_orders!$D443,Data_products!$A$1:$A$49,0), MATCH(Data_orders!J$1,Data_products!$A$1:$G$1,0))</f>
        <v>D</v>
      </c>
      <c r="K443" s="4">
        <f>INDEX(Data_products!$A$1:$G$49, MATCH(Data_orders!$D443,Data_products!$A$1:$A$49,0), MATCH(Data_orders!K$1,Data_products!$A$1:$G$1,0))</f>
        <v>1</v>
      </c>
      <c r="L443">
        <f>INDEX(Data_products!$A$1:$G$49, MATCH(Data_orders!$D443,Data_products!$A$1:$A$49,0), MATCH(Data_orders!L$1,Data_products!$A$1:$G$1,0))</f>
        <v>12.15</v>
      </c>
      <c r="M443">
        <f t="shared" si="12"/>
        <v>36.450000000000003</v>
      </c>
      <c r="N443" t="str" cm="1">
        <f t="array" ref="N443">_xlfn.IFS(I443 = "Rob", "Robusta", I443 = "Exc", "Excelsa", I443 = "Ara", "Arabica", I443 = "Lib", "Liberica")</f>
        <v>Excelsa</v>
      </c>
      <c r="O443" t="str">
        <f t="shared" si="13"/>
        <v>Dark</v>
      </c>
      <c r="P443" t="str">
        <f>_xlfn.XLOOKUP(Table1[[#This Row],[Customer ID]],Data_customers!$A$2:$A$1001,Data_customers!$I$2:$I$1001,,0)</f>
        <v>Yes</v>
      </c>
    </row>
    <row r="444" spans="1:16" x14ac:dyDescent="0.2">
      <c r="A444" s="2" t="s">
        <v>2980</v>
      </c>
      <c r="B444" s="3">
        <v>44384</v>
      </c>
      <c r="C444" s="2" t="s">
        <v>2981</v>
      </c>
      <c r="D444" t="s">
        <v>6173</v>
      </c>
      <c r="E444" s="2">
        <v>5</v>
      </c>
      <c r="F444" s="2" t="str">
        <f>_xlfn.XLOOKUP(Data_orders!C444,Data_customers!$A$1:$A$1001,Data_customers!$B$1:$B$1001,,0)</f>
        <v>Koralle Heads</v>
      </c>
      <c r="G444" s="2" t="str">
        <f>IF(_xlfn.XLOOKUP(C444,Data_customers!$A$1:$A$1001,Data_customers!$C$1:$C$1001,,0)=0,"",_xlfn.XLOOKUP(C444,Data_customers!$A$1:$A$1001,Data_customers!$C$1:$C$1001,,0))</f>
        <v>kheadsca@jalbum.net</v>
      </c>
      <c r="H444" s="2" t="str">
        <f>_xlfn.XLOOKUP(C444,Data_customers!$A$1:$A$1001,Data_customers!$G$1:$G$1001,"",0)</f>
        <v>United States</v>
      </c>
      <c r="I444" t="str">
        <f>INDEX(Data_products!$A$1:$G$49, MATCH(Data_orders!$D444,Data_products!$A$1:$A$49,0), MATCH(Data_orders!I$1,Data_products!$A$1:$G$1,0))</f>
        <v>Rob</v>
      </c>
      <c r="J444" t="str">
        <f>INDEX(Data_products!$A$1:$G$49, MATCH(Data_orders!$D444,Data_products!$A$1:$A$49,0), MATCH(Data_orders!J$1,Data_products!$A$1:$G$1,0))</f>
        <v>L</v>
      </c>
      <c r="K444" s="4">
        <f>INDEX(Data_products!$A$1:$G$49, MATCH(Data_orders!$D444,Data_products!$A$1:$A$49,0), MATCH(Data_orders!K$1,Data_products!$A$1:$G$1,0))</f>
        <v>0.5</v>
      </c>
      <c r="L444">
        <f>INDEX(Data_products!$A$1:$G$49, MATCH(Data_orders!$D444,Data_products!$A$1:$A$49,0), MATCH(Data_orders!L$1,Data_products!$A$1:$G$1,0))</f>
        <v>7.169999999999999</v>
      </c>
      <c r="M444">
        <f t="shared" si="12"/>
        <v>35.849999999999994</v>
      </c>
      <c r="N444" t="str" cm="1">
        <f t="array" ref="N444">_xlfn.IFS(I444 = "Rob", "Robusta", I444 = "Exc", "Excelsa", I444 = "Ara", "Arabica", I444 = "Lib", "Liberica")</f>
        <v>Robusta</v>
      </c>
      <c r="O444" t="str">
        <f t="shared" si="13"/>
        <v>Light</v>
      </c>
      <c r="P444" t="str">
        <f>_xlfn.XLOOKUP(Table1[[#This Row],[Customer ID]],Data_customers!$A$2:$A$1001,Data_customers!$I$2:$I$1001,,0)</f>
        <v>No</v>
      </c>
    </row>
    <row r="445" spans="1:16" x14ac:dyDescent="0.2">
      <c r="A445" s="2" t="s">
        <v>2986</v>
      </c>
      <c r="B445" s="3">
        <v>44250</v>
      </c>
      <c r="C445" s="2" t="s">
        <v>2987</v>
      </c>
      <c r="D445" t="s">
        <v>6184</v>
      </c>
      <c r="E445" s="2">
        <v>5</v>
      </c>
      <c r="F445" s="2" t="str">
        <f>_xlfn.XLOOKUP(Data_orders!C445,Data_customers!$A$1:$A$1001,Data_customers!$B$1:$B$1001,,0)</f>
        <v>Theo Bowne</v>
      </c>
      <c r="G445" s="2" t="str">
        <f>IF(_xlfn.XLOOKUP(C445,Data_customers!$A$1:$A$1001,Data_customers!$C$1:$C$1001,,0)=0,"",_xlfn.XLOOKUP(C445,Data_customers!$A$1:$A$1001,Data_customers!$C$1:$C$1001,,0))</f>
        <v>tbownecb@unicef.org</v>
      </c>
      <c r="H445" s="2" t="str">
        <f>_xlfn.XLOOKUP(C445,Data_customers!$A$1:$A$1001,Data_customers!$G$1:$G$1001,"",0)</f>
        <v>Ireland</v>
      </c>
      <c r="I445" t="str">
        <f>INDEX(Data_products!$A$1:$G$49, MATCH(Data_orders!$D445,Data_products!$A$1:$A$49,0), MATCH(Data_orders!I$1,Data_products!$A$1:$G$1,0))</f>
        <v>Exc</v>
      </c>
      <c r="J445" t="str">
        <f>INDEX(Data_products!$A$1:$G$49, MATCH(Data_orders!$D445,Data_products!$A$1:$A$49,0), MATCH(Data_orders!J$1,Data_products!$A$1:$G$1,0))</f>
        <v>L</v>
      </c>
      <c r="K445" s="4">
        <f>INDEX(Data_products!$A$1:$G$49, MATCH(Data_orders!$D445,Data_products!$A$1:$A$49,0), MATCH(Data_orders!K$1,Data_products!$A$1:$G$1,0))</f>
        <v>0.2</v>
      </c>
      <c r="L445">
        <f>INDEX(Data_products!$A$1:$G$49, MATCH(Data_orders!$D445,Data_products!$A$1:$A$49,0), MATCH(Data_orders!L$1,Data_products!$A$1:$G$1,0))</f>
        <v>4.4550000000000001</v>
      </c>
      <c r="M445">
        <f t="shared" si="12"/>
        <v>22.274999999999999</v>
      </c>
      <c r="N445" t="str" cm="1">
        <f t="array" ref="N445">_xlfn.IFS(I445 = "Rob", "Robusta", I445 = "Exc", "Excelsa", I445 = "Ara", "Arabica", I445 = "Lib", "Liberica")</f>
        <v>Excelsa</v>
      </c>
      <c r="O445" t="str">
        <f t="shared" si="13"/>
        <v>Light</v>
      </c>
      <c r="P445" t="str">
        <f>_xlfn.XLOOKUP(Table1[[#This Row],[Customer ID]],Data_customers!$A$2:$A$1001,Data_customers!$I$2:$I$1001,,0)</f>
        <v>Yes</v>
      </c>
    </row>
    <row r="446" spans="1:16" x14ac:dyDescent="0.2">
      <c r="A446" s="2" t="s">
        <v>2992</v>
      </c>
      <c r="B446" s="3">
        <v>44418</v>
      </c>
      <c r="C446" s="2" t="s">
        <v>2993</v>
      </c>
      <c r="D446" t="s">
        <v>6156</v>
      </c>
      <c r="E446" s="2">
        <v>6</v>
      </c>
      <c r="F446" s="2" t="str">
        <f>_xlfn.XLOOKUP(Data_orders!C446,Data_customers!$A$1:$A$1001,Data_customers!$B$1:$B$1001,,0)</f>
        <v>Rasia Jacquemard</v>
      </c>
      <c r="G446" s="2" t="str">
        <f>IF(_xlfn.XLOOKUP(C446,Data_customers!$A$1:$A$1001,Data_customers!$C$1:$C$1001,,0)=0,"",_xlfn.XLOOKUP(C446,Data_customers!$A$1:$A$1001,Data_customers!$C$1:$C$1001,,0))</f>
        <v>rjacquemardcc@acquirethisname.com</v>
      </c>
      <c r="H446" s="2" t="str">
        <f>_xlfn.XLOOKUP(C446,Data_customers!$A$1:$A$1001,Data_customers!$G$1:$G$1001,"",0)</f>
        <v>Ireland</v>
      </c>
      <c r="I446" t="str">
        <f>INDEX(Data_products!$A$1:$G$49, MATCH(Data_orders!$D446,Data_products!$A$1:$A$49,0), MATCH(Data_orders!I$1,Data_products!$A$1:$G$1,0))</f>
        <v>Exc</v>
      </c>
      <c r="J446" t="str">
        <f>INDEX(Data_products!$A$1:$G$49, MATCH(Data_orders!$D446,Data_products!$A$1:$A$49,0), MATCH(Data_orders!J$1,Data_products!$A$1:$G$1,0))</f>
        <v>M</v>
      </c>
      <c r="K446" s="4">
        <f>INDEX(Data_products!$A$1:$G$49, MATCH(Data_orders!$D446,Data_products!$A$1:$A$49,0), MATCH(Data_orders!K$1,Data_products!$A$1:$G$1,0))</f>
        <v>0.2</v>
      </c>
      <c r="L446">
        <f>INDEX(Data_products!$A$1:$G$49, MATCH(Data_orders!$D446,Data_products!$A$1:$A$49,0), MATCH(Data_orders!L$1,Data_products!$A$1:$G$1,0))</f>
        <v>4.125</v>
      </c>
      <c r="M446">
        <f t="shared" si="12"/>
        <v>24.75</v>
      </c>
      <c r="N446" t="str" cm="1">
        <f t="array" ref="N446">_xlfn.IFS(I446 = "Rob", "Robusta", I446 = "Exc", "Excelsa", I446 = "Ara", "Arabica", I446 = "Lib", "Liberica")</f>
        <v>Excelsa</v>
      </c>
      <c r="O446" t="str">
        <f t="shared" si="13"/>
        <v>Medium</v>
      </c>
      <c r="P446" t="str">
        <f>_xlfn.XLOOKUP(Table1[[#This Row],[Customer ID]],Data_customers!$A$2:$A$1001,Data_customers!$I$2:$I$1001,,0)</f>
        <v>No</v>
      </c>
    </row>
    <row r="447" spans="1:16" x14ac:dyDescent="0.2">
      <c r="A447" s="2" t="s">
        <v>2999</v>
      </c>
      <c r="B447" s="3">
        <v>43784</v>
      </c>
      <c r="C447" s="2" t="s">
        <v>3000</v>
      </c>
      <c r="D447" t="s">
        <v>6181</v>
      </c>
      <c r="E447" s="2">
        <v>2</v>
      </c>
      <c r="F447" s="2" t="str">
        <f>_xlfn.XLOOKUP(Data_orders!C447,Data_customers!$A$1:$A$1001,Data_customers!$B$1:$B$1001,,0)</f>
        <v>Kizzie Warman</v>
      </c>
      <c r="G447" s="2" t="str">
        <f>IF(_xlfn.XLOOKUP(C447,Data_customers!$A$1:$A$1001,Data_customers!$C$1:$C$1001,,0)=0,"",_xlfn.XLOOKUP(C447,Data_customers!$A$1:$A$1001,Data_customers!$C$1:$C$1001,,0))</f>
        <v>kwarmancd@printfriendly.com</v>
      </c>
      <c r="H447" s="2" t="str">
        <f>_xlfn.XLOOKUP(C447,Data_customers!$A$1:$A$1001,Data_customers!$G$1:$G$1001,"",0)</f>
        <v>Ireland</v>
      </c>
      <c r="I447" t="str">
        <f>INDEX(Data_products!$A$1:$G$49, MATCH(Data_orders!$D447,Data_products!$A$1:$A$49,0), MATCH(Data_orders!I$1,Data_products!$A$1:$G$1,0))</f>
        <v>Lib</v>
      </c>
      <c r="J447" t="str">
        <f>INDEX(Data_products!$A$1:$G$49, MATCH(Data_orders!$D447,Data_products!$A$1:$A$49,0), MATCH(Data_orders!J$1,Data_products!$A$1:$G$1,0))</f>
        <v>M</v>
      </c>
      <c r="K447" s="4">
        <f>INDEX(Data_products!$A$1:$G$49, MATCH(Data_orders!$D447,Data_products!$A$1:$A$49,0), MATCH(Data_orders!K$1,Data_products!$A$1:$G$1,0))</f>
        <v>2.5</v>
      </c>
      <c r="L447">
        <f>INDEX(Data_products!$A$1:$G$49, MATCH(Data_orders!$D447,Data_products!$A$1:$A$49,0), MATCH(Data_orders!L$1,Data_products!$A$1:$G$1,0))</f>
        <v>33.464999999999996</v>
      </c>
      <c r="M447">
        <f t="shared" si="12"/>
        <v>66.929999999999993</v>
      </c>
      <c r="N447" t="str" cm="1">
        <f t="array" ref="N447">_xlfn.IFS(I447 = "Rob", "Robusta", I447 = "Exc", "Excelsa", I447 = "Ara", "Arabica", I447 = "Lib", "Liberica")</f>
        <v>Liberica</v>
      </c>
      <c r="O447" t="str">
        <f t="shared" si="13"/>
        <v>Medium</v>
      </c>
      <c r="P447" t="str">
        <f>_xlfn.XLOOKUP(Table1[[#This Row],[Customer ID]],Data_customers!$A$2:$A$1001,Data_customers!$I$2:$I$1001,,0)</f>
        <v>Yes</v>
      </c>
    </row>
    <row r="448" spans="1:16" x14ac:dyDescent="0.2">
      <c r="A448" s="2" t="s">
        <v>3004</v>
      </c>
      <c r="B448" s="3">
        <v>43816</v>
      </c>
      <c r="C448" s="2" t="s">
        <v>3005</v>
      </c>
      <c r="D448" t="s">
        <v>6160</v>
      </c>
      <c r="E448" s="2">
        <v>1</v>
      </c>
      <c r="F448" s="2" t="str">
        <f>_xlfn.XLOOKUP(Data_orders!C448,Data_customers!$A$1:$A$1001,Data_customers!$B$1:$B$1001,,0)</f>
        <v>Wain Cholomin</v>
      </c>
      <c r="G448" s="2" t="str">
        <f>IF(_xlfn.XLOOKUP(C448,Data_customers!$A$1:$A$1001,Data_customers!$C$1:$C$1001,,0)=0,"",_xlfn.XLOOKUP(C448,Data_customers!$A$1:$A$1001,Data_customers!$C$1:$C$1001,,0))</f>
        <v>wcholomince@about.com</v>
      </c>
      <c r="H448" s="2" t="str">
        <f>_xlfn.XLOOKUP(C448,Data_customers!$A$1:$A$1001,Data_customers!$G$1:$G$1001,"",0)</f>
        <v>United Kingdom</v>
      </c>
      <c r="I448" t="str">
        <f>INDEX(Data_products!$A$1:$G$49, MATCH(Data_orders!$D448,Data_products!$A$1:$A$49,0), MATCH(Data_orders!I$1,Data_products!$A$1:$G$1,0))</f>
        <v>Lib</v>
      </c>
      <c r="J448" t="str">
        <f>INDEX(Data_products!$A$1:$G$49, MATCH(Data_orders!$D448,Data_products!$A$1:$A$49,0), MATCH(Data_orders!J$1,Data_products!$A$1:$G$1,0))</f>
        <v>M</v>
      </c>
      <c r="K448" s="4">
        <f>INDEX(Data_products!$A$1:$G$49, MATCH(Data_orders!$D448,Data_products!$A$1:$A$49,0), MATCH(Data_orders!K$1,Data_products!$A$1:$G$1,0))</f>
        <v>0.5</v>
      </c>
      <c r="L448">
        <f>INDEX(Data_products!$A$1:$G$49, MATCH(Data_orders!$D448,Data_products!$A$1:$A$49,0), MATCH(Data_orders!L$1,Data_products!$A$1:$G$1,0))</f>
        <v>8.73</v>
      </c>
      <c r="M448">
        <f t="shared" si="12"/>
        <v>8.73</v>
      </c>
      <c r="N448" t="str" cm="1">
        <f t="array" ref="N448">_xlfn.IFS(I448 = "Rob", "Robusta", I448 = "Exc", "Excelsa", I448 = "Ara", "Arabica", I448 = "Lib", "Liberica")</f>
        <v>Liberica</v>
      </c>
      <c r="O448" t="str">
        <f t="shared" si="13"/>
        <v>Medium</v>
      </c>
      <c r="P448" t="str">
        <f>_xlfn.XLOOKUP(Table1[[#This Row],[Customer ID]],Data_customers!$A$2:$A$1001,Data_customers!$I$2:$I$1001,,0)</f>
        <v>Yes</v>
      </c>
    </row>
    <row r="449" spans="1:16" x14ac:dyDescent="0.2">
      <c r="A449" s="2" t="s">
        <v>3010</v>
      </c>
      <c r="B449" s="3">
        <v>43908</v>
      </c>
      <c r="C449" s="2" t="s">
        <v>3011</v>
      </c>
      <c r="D449" t="s">
        <v>6146</v>
      </c>
      <c r="E449" s="2">
        <v>3</v>
      </c>
      <c r="F449" s="2" t="str">
        <f>_xlfn.XLOOKUP(Data_orders!C449,Data_customers!$A$1:$A$1001,Data_customers!$B$1:$B$1001,,0)</f>
        <v>Arleen Braidman</v>
      </c>
      <c r="G449" s="2" t="str">
        <f>IF(_xlfn.XLOOKUP(C449,Data_customers!$A$1:$A$1001,Data_customers!$C$1:$C$1001,,0)=0,"",_xlfn.XLOOKUP(C449,Data_customers!$A$1:$A$1001,Data_customers!$C$1:$C$1001,,0))</f>
        <v>abraidmancf@census.gov</v>
      </c>
      <c r="H449" s="2" t="str">
        <f>_xlfn.XLOOKUP(C449,Data_customers!$A$1:$A$1001,Data_customers!$G$1:$G$1001,"",0)</f>
        <v>United States</v>
      </c>
      <c r="I449" t="str">
        <f>INDEX(Data_products!$A$1:$G$49, MATCH(Data_orders!$D449,Data_products!$A$1:$A$49,0), MATCH(Data_orders!I$1,Data_products!$A$1:$G$1,0))</f>
        <v>Rob</v>
      </c>
      <c r="J449" t="str">
        <f>INDEX(Data_products!$A$1:$G$49, MATCH(Data_orders!$D449,Data_products!$A$1:$A$49,0), MATCH(Data_orders!J$1,Data_products!$A$1:$G$1,0))</f>
        <v>M</v>
      </c>
      <c r="K449" s="4">
        <f>INDEX(Data_products!$A$1:$G$49, MATCH(Data_orders!$D449,Data_products!$A$1:$A$49,0), MATCH(Data_orders!K$1,Data_products!$A$1:$G$1,0))</f>
        <v>0.5</v>
      </c>
      <c r="L449">
        <f>INDEX(Data_products!$A$1:$G$49, MATCH(Data_orders!$D449,Data_products!$A$1:$A$49,0), MATCH(Data_orders!L$1,Data_products!$A$1:$G$1,0))</f>
        <v>5.97</v>
      </c>
      <c r="M449">
        <f t="shared" si="12"/>
        <v>17.91</v>
      </c>
      <c r="N449" t="str" cm="1">
        <f t="array" ref="N449">_xlfn.IFS(I449 = "Rob", "Robusta", I449 = "Exc", "Excelsa", I449 = "Ara", "Arabica", I449 = "Lib", "Liberica")</f>
        <v>Robusta</v>
      </c>
      <c r="O449" t="str">
        <f t="shared" si="13"/>
        <v>Medium</v>
      </c>
      <c r="P449" t="str">
        <f>_xlfn.XLOOKUP(Table1[[#This Row],[Customer ID]],Data_customers!$A$2:$A$1001,Data_customers!$I$2:$I$1001,,0)</f>
        <v>No</v>
      </c>
    </row>
    <row r="450" spans="1:16" x14ac:dyDescent="0.2">
      <c r="A450" s="2" t="s">
        <v>3015</v>
      </c>
      <c r="B450" s="3">
        <v>44718</v>
      </c>
      <c r="C450" s="2" t="s">
        <v>3016</v>
      </c>
      <c r="D450" t="s">
        <v>6173</v>
      </c>
      <c r="E450" s="2">
        <v>1</v>
      </c>
      <c r="F450" s="2" t="str">
        <f>_xlfn.XLOOKUP(Data_orders!C450,Data_customers!$A$1:$A$1001,Data_customers!$B$1:$B$1001,,0)</f>
        <v>Pru Durban</v>
      </c>
      <c r="G450" s="2" t="str">
        <f>IF(_xlfn.XLOOKUP(C450,Data_customers!$A$1:$A$1001,Data_customers!$C$1:$C$1001,,0)=0,"",_xlfn.XLOOKUP(C450,Data_customers!$A$1:$A$1001,Data_customers!$C$1:$C$1001,,0))</f>
        <v>pdurbancg@symantec.com</v>
      </c>
      <c r="H450" s="2" t="str">
        <f>_xlfn.XLOOKUP(C450,Data_customers!$A$1:$A$1001,Data_customers!$G$1:$G$1001,"",0)</f>
        <v>Ireland</v>
      </c>
      <c r="I450" t="str">
        <f>INDEX(Data_products!$A$1:$G$49, MATCH(Data_orders!$D450,Data_products!$A$1:$A$49,0), MATCH(Data_orders!I$1,Data_products!$A$1:$G$1,0))</f>
        <v>Rob</v>
      </c>
      <c r="J450" t="str">
        <f>INDEX(Data_products!$A$1:$G$49, MATCH(Data_orders!$D450,Data_products!$A$1:$A$49,0), MATCH(Data_orders!J$1,Data_products!$A$1:$G$1,0))</f>
        <v>L</v>
      </c>
      <c r="K450" s="4">
        <f>INDEX(Data_products!$A$1:$G$49, MATCH(Data_orders!$D450,Data_products!$A$1:$A$49,0), MATCH(Data_orders!K$1,Data_products!$A$1:$G$1,0))</f>
        <v>0.5</v>
      </c>
      <c r="L450">
        <f>INDEX(Data_products!$A$1:$G$49, MATCH(Data_orders!$D450,Data_products!$A$1:$A$49,0), MATCH(Data_orders!L$1,Data_products!$A$1:$G$1,0))</f>
        <v>7.169999999999999</v>
      </c>
      <c r="M450">
        <f t="shared" si="12"/>
        <v>7.169999999999999</v>
      </c>
      <c r="N450" t="str" cm="1">
        <f t="array" ref="N450">_xlfn.IFS(I450 = "Rob", "Robusta", I450 = "Exc", "Excelsa", I450 = "Ara", "Arabica", I450 = "Lib", "Liberica")</f>
        <v>Robusta</v>
      </c>
      <c r="O450" t="str">
        <f t="shared" si="13"/>
        <v>Light</v>
      </c>
      <c r="P450" t="str">
        <f>_xlfn.XLOOKUP(Table1[[#This Row],[Customer ID]],Data_customers!$A$2:$A$1001,Data_customers!$I$2:$I$1001,,0)</f>
        <v>No</v>
      </c>
    </row>
    <row r="451" spans="1:16" x14ac:dyDescent="0.2">
      <c r="A451" s="2" t="s">
        <v>3021</v>
      </c>
      <c r="B451" s="3">
        <v>44336</v>
      </c>
      <c r="C451" s="2" t="s">
        <v>3022</v>
      </c>
      <c r="D451" t="s">
        <v>6163</v>
      </c>
      <c r="E451" s="2">
        <v>2</v>
      </c>
      <c r="F451" s="2" t="str">
        <f>_xlfn.XLOOKUP(Data_orders!C451,Data_customers!$A$1:$A$1001,Data_customers!$B$1:$B$1001,,0)</f>
        <v>Antone Harrold</v>
      </c>
      <c r="G451" s="2" t="str">
        <f>IF(_xlfn.XLOOKUP(C451,Data_customers!$A$1:$A$1001,Data_customers!$C$1:$C$1001,,0)=0,"",_xlfn.XLOOKUP(C451,Data_customers!$A$1:$A$1001,Data_customers!$C$1:$C$1001,,0))</f>
        <v>aharroldch@miibeian.gov.cn</v>
      </c>
      <c r="H451" s="2" t="str">
        <f>_xlfn.XLOOKUP(C451,Data_customers!$A$1:$A$1001,Data_customers!$G$1:$G$1001,"",0)</f>
        <v>United States</v>
      </c>
      <c r="I451" t="str">
        <f>INDEX(Data_products!$A$1:$G$49, MATCH(Data_orders!$D451,Data_products!$A$1:$A$49,0), MATCH(Data_orders!I$1,Data_products!$A$1:$G$1,0))</f>
        <v>Rob</v>
      </c>
      <c r="J451" t="str">
        <f>INDEX(Data_products!$A$1:$G$49, MATCH(Data_orders!$D451,Data_products!$A$1:$A$49,0), MATCH(Data_orders!J$1,Data_products!$A$1:$G$1,0))</f>
        <v>D</v>
      </c>
      <c r="K451" s="4">
        <f>INDEX(Data_products!$A$1:$G$49, MATCH(Data_orders!$D451,Data_products!$A$1:$A$49,0), MATCH(Data_orders!K$1,Data_products!$A$1:$G$1,0))</f>
        <v>0.2</v>
      </c>
      <c r="L451">
        <f>INDEX(Data_products!$A$1:$G$49, MATCH(Data_orders!$D451,Data_products!$A$1:$A$49,0), MATCH(Data_orders!L$1,Data_products!$A$1:$G$1,0))</f>
        <v>2.6849999999999996</v>
      </c>
      <c r="M451">
        <f t="shared" ref="M451:M514" si="14">L451*E451</f>
        <v>5.3699999999999992</v>
      </c>
      <c r="N451" t="str" cm="1">
        <f t="array" ref="N451">_xlfn.IFS(I451 = "Rob", "Robusta", I451 = "Exc", "Excelsa", I451 = "Ara", "Arabica", I451 = "Lib", "Liberica")</f>
        <v>Robusta</v>
      </c>
      <c r="O451" t="str">
        <f t="shared" ref="O451:O514" si="15">IF(J451 = "M", "Medium", IF(J451 =  "L", "Light", IF(J451 = "D", "Dark", "")))</f>
        <v>Dark</v>
      </c>
      <c r="P451" t="str">
        <f>_xlfn.XLOOKUP(Table1[[#This Row],[Customer ID]],Data_customers!$A$2:$A$1001,Data_customers!$I$2:$I$1001,,0)</f>
        <v>No</v>
      </c>
    </row>
    <row r="452" spans="1:16" x14ac:dyDescent="0.2">
      <c r="A452" s="2" t="s">
        <v>3027</v>
      </c>
      <c r="B452" s="3">
        <v>44207</v>
      </c>
      <c r="C452" s="2" t="s">
        <v>3028</v>
      </c>
      <c r="D452" t="s">
        <v>6145</v>
      </c>
      <c r="E452" s="2">
        <v>5</v>
      </c>
      <c r="F452" s="2" t="str">
        <f>_xlfn.XLOOKUP(Data_orders!C452,Data_customers!$A$1:$A$1001,Data_customers!$B$1:$B$1001,,0)</f>
        <v>Sim Pamphilon</v>
      </c>
      <c r="G452" s="2" t="str">
        <f>IF(_xlfn.XLOOKUP(C452,Data_customers!$A$1:$A$1001,Data_customers!$C$1:$C$1001,,0)=0,"",_xlfn.XLOOKUP(C452,Data_customers!$A$1:$A$1001,Data_customers!$C$1:$C$1001,,0))</f>
        <v>spamphilonci@mlb.com</v>
      </c>
      <c r="H452" s="2" t="str">
        <f>_xlfn.XLOOKUP(C452,Data_customers!$A$1:$A$1001,Data_customers!$G$1:$G$1001,"",0)</f>
        <v>Ireland</v>
      </c>
      <c r="I452" t="str">
        <f>INDEX(Data_products!$A$1:$G$49, MATCH(Data_orders!$D452,Data_products!$A$1:$A$49,0), MATCH(Data_orders!I$1,Data_products!$A$1:$G$1,0))</f>
        <v>Lib</v>
      </c>
      <c r="J452" t="str">
        <f>INDEX(Data_products!$A$1:$G$49, MATCH(Data_orders!$D452,Data_products!$A$1:$A$49,0), MATCH(Data_orders!J$1,Data_products!$A$1:$G$1,0))</f>
        <v>L</v>
      </c>
      <c r="K452" s="4">
        <f>INDEX(Data_products!$A$1:$G$49, MATCH(Data_orders!$D452,Data_products!$A$1:$A$49,0), MATCH(Data_orders!K$1,Data_products!$A$1:$G$1,0))</f>
        <v>0.2</v>
      </c>
      <c r="L452">
        <f>INDEX(Data_products!$A$1:$G$49, MATCH(Data_orders!$D452,Data_products!$A$1:$A$49,0), MATCH(Data_orders!L$1,Data_products!$A$1:$G$1,0))</f>
        <v>4.7549999999999999</v>
      </c>
      <c r="M452">
        <f t="shared" si="14"/>
        <v>23.774999999999999</v>
      </c>
      <c r="N452" t="str" cm="1">
        <f t="array" ref="N452">_xlfn.IFS(I452 = "Rob", "Robusta", I452 = "Exc", "Excelsa", I452 = "Ara", "Arabica", I452 = "Lib", "Liberica")</f>
        <v>Liberica</v>
      </c>
      <c r="O452" t="str">
        <f t="shared" si="15"/>
        <v>Light</v>
      </c>
      <c r="P452" t="str">
        <f>_xlfn.XLOOKUP(Table1[[#This Row],[Customer ID]],Data_customers!$A$2:$A$1001,Data_customers!$I$2:$I$1001,,0)</f>
        <v>No</v>
      </c>
    </row>
    <row r="453" spans="1:16" x14ac:dyDescent="0.2">
      <c r="A453" s="2" t="s">
        <v>3035</v>
      </c>
      <c r="B453" s="3">
        <v>43518</v>
      </c>
      <c r="C453" s="2" t="s">
        <v>3036</v>
      </c>
      <c r="D453" t="s">
        <v>6149</v>
      </c>
      <c r="E453" s="2">
        <v>2</v>
      </c>
      <c r="F453" s="2" t="str">
        <f>_xlfn.XLOOKUP(Data_orders!C453,Data_customers!$A$1:$A$1001,Data_customers!$B$1:$B$1001,,0)</f>
        <v>Mohandis Spurden</v>
      </c>
      <c r="G453" s="2" t="str">
        <f>IF(_xlfn.XLOOKUP(C453,Data_customers!$A$1:$A$1001,Data_customers!$C$1:$C$1001,,0)=0,"",_xlfn.XLOOKUP(C453,Data_customers!$A$1:$A$1001,Data_customers!$C$1:$C$1001,,0))</f>
        <v>mspurdencj@exblog.jp</v>
      </c>
      <c r="H453" s="2" t="str">
        <f>_xlfn.XLOOKUP(C453,Data_customers!$A$1:$A$1001,Data_customers!$G$1:$G$1001,"",0)</f>
        <v>United States</v>
      </c>
      <c r="I453" t="str">
        <f>INDEX(Data_products!$A$1:$G$49, MATCH(Data_orders!$D453,Data_products!$A$1:$A$49,0), MATCH(Data_orders!I$1,Data_products!$A$1:$G$1,0))</f>
        <v>Rob</v>
      </c>
      <c r="J453" t="str">
        <f>INDEX(Data_products!$A$1:$G$49, MATCH(Data_orders!$D453,Data_products!$A$1:$A$49,0), MATCH(Data_orders!J$1,Data_products!$A$1:$G$1,0))</f>
        <v>D</v>
      </c>
      <c r="K453" s="4">
        <f>INDEX(Data_products!$A$1:$G$49, MATCH(Data_orders!$D453,Data_products!$A$1:$A$49,0), MATCH(Data_orders!K$1,Data_products!$A$1:$G$1,0))</f>
        <v>2.5</v>
      </c>
      <c r="L453">
        <f>INDEX(Data_products!$A$1:$G$49, MATCH(Data_orders!$D453,Data_products!$A$1:$A$49,0), MATCH(Data_orders!L$1,Data_products!$A$1:$G$1,0))</f>
        <v>20.584999999999997</v>
      </c>
      <c r="M453">
        <f t="shared" si="14"/>
        <v>41.169999999999995</v>
      </c>
      <c r="N453" t="str" cm="1">
        <f t="array" ref="N453">_xlfn.IFS(I453 = "Rob", "Robusta", I453 = "Exc", "Excelsa", I453 = "Ara", "Arabica", I453 = "Lib", "Liberica")</f>
        <v>Robusta</v>
      </c>
      <c r="O453" t="str">
        <f t="shared" si="15"/>
        <v>Dark</v>
      </c>
      <c r="P453" t="str">
        <f>_xlfn.XLOOKUP(Table1[[#This Row],[Customer ID]],Data_customers!$A$2:$A$1001,Data_customers!$I$2:$I$1001,,0)</f>
        <v>Yes</v>
      </c>
    </row>
    <row r="454" spans="1:16" x14ac:dyDescent="0.2">
      <c r="A454" s="2" t="s">
        <v>3041</v>
      </c>
      <c r="B454" s="3">
        <v>44524</v>
      </c>
      <c r="C454" s="2" t="s">
        <v>3042</v>
      </c>
      <c r="D454" t="s">
        <v>6167</v>
      </c>
      <c r="E454" s="2">
        <v>3</v>
      </c>
      <c r="F454" s="2" t="str">
        <f>_xlfn.XLOOKUP(Data_orders!C454,Data_customers!$A$1:$A$1001,Data_customers!$B$1:$B$1001,,0)</f>
        <v>Morgen Seson</v>
      </c>
      <c r="G454" s="2" t="str">
        <f>IF(_xlfn.XLOOKUP(C454,Data_customers!$A$1:$A$1001,Data_customers!$C$1:$C$1001,,0)=0,"",_xlfn.XLOOKUP(C454,Data_customers!$A$1:$A$1001,Data_customers!$C$1:$C$1001,,0))</f>
        <v>msesonck@census.gov</v>
      </c>
      <c r="H454" s="2" t="str">
        <f>_xlfn.XLOOKUP(C454,Data_customers!$A$1:$A$1001,Data_customers!$G$1:$G$1001,"",0)</f>
        <v>United States</v>
      </c>
      <c r="I454" t="str">
        <f>INDEX(Data_products!$A$1:$G$49, MATCH(Data_orders!$D454,Data_products!$A$1:$A$49,0), MATCH(Data_orders!I$1,Data_products!$A$1:$G$1,0))</f>
        <v>Ara</v>
      </c>
      <c r="J454" t="str">
        <f>INDEX(Data_products!$A$1:$G$49, MATCH(Data_orders!$D454,Data_products!$A$1:$A$49,0), MATCH(Data_orders!J$1,Data_products!$A$1:$G$1,0))</f>
        <v>L</v>
      </c>
      <c r="K454" s="4">
        <f>INDEX(Data_products!$A$1:$G$49, MATCH(Data_orders!$D454,Data_products!$A$1:$A$49,0), MATCH(Data_orders!K$1,Data_products!$A$1:$G$1,0))</f>
        <v>0.2</v>
      </c>
      <c r="L454">
        <f>INDEX(Data_products!$A$1:$G$49, MATCH(Data_orders!$D454,Data_products!$A$1:$A$49,0), MATCH(Data_orders!L$1,Data_products!$A$1:$G$1,0))</f>
        <v>3.8849999999999998</v>
      </c>
      <c r="M454">
        <f t="shared" si="14"/>
        <v>11.654999999999999</v>
      </c>
      <c r="N454" t="str" cm="1">
        <f t="array" ref="N454">_xlfn.IFS(I454 = "Rob", "Robusta", I454 = "Exc", "Excelsa", I454 = "Ara", "Arabica", I454 = "Lib", "Liberica")</f>
        <v>Arabica</v>
      </c>
      <c r="O454" t="str">
        <f t="shared" si="15"/>
        <v>Light</v>
      </c>
      <c r="P454" t="str">
        <f>_xlfn.XLOOKUP(Table1[[#This Row],[Customer ID]],Data_customers!$A$2:$A$1001,Data_customers!$I$2:$I$1001,,0)</f>
        <v>No</v>
      </c>
    </row>
    <row r="455" spans="1:16" x14ac:dyDescent="0.2">
      <c r="A455" s="2" t="s">
        <v>3047</v>
      </c>
      <c r="B455" s="3">
        <v>44579</v>
      </c>
      <c r="C455" s="2" t="s">
        <v>3048</v>
      </c>
      <c r="D455" t="s">
        <v>6161</v>
      </c>
      <c r="E455" s="2">
        <v>4</v>
      </c>
      <c r="F455" s="2" t="str">
        <f>_xlfn.XLOOKUP(Data_orders!C455,Data_customers!$A$1:$A$1001,Data_customers!$B$1:$B$1001,,0)</f>
        <v>Nalani Pirrone</v>
      </c>
      <c r="G455" s="2" t="str">
        <f>IF(_xlfn.XLOOKUP(C455,Data_customers!$A$1:$A$1001,Data_customers!$C$1:$C$1001,,0)=0,"",_xlfn.XLOOKUP(C455,Data_customers!$A$1:$A$1001,Data_customers!$C$1:$C$1001,,0))</f>
        <v>npirronecl@weibo.com</v>
      </c>
      <c r="H455" s="2" t="str">
        <f>_xlfn.XLOOKUP(C455,Data_customers!$A$1:$A$1001,Data_customers!$G$1:$G$1001,"",0)</f>
        <v>United States</v>
      </c>
      <c r="I455" t="str">
        <f>INDEX(Data_products!$A$1:$G$49, MATCH(Data_orders!$D455,Data_products!$A$1:$A$49,0), MATCH(Data_orders!I$1,Data_products!$A$1:$G$1,0))</f>
        <v>Lib</v>
      </c>
      <c r="J455" t="str">
        <f>INDEX(Data_products!$A$1:$G$49, MATCH(Data_orders!$D455,Data_products!$A$1:$A$49,0), MATCH(Data_orders!J$1,Data_products!$A$1:$G$1,0))</f>
        <v>L</v>
      </c>
      <c r="K455" s="4">
        <f>INDEX(Data_products!$A$1:$G$49, MATCH(Data_orders!$D455,Data_products!$A$1:$A$49,0), MATCH(Data_orders!K$1,Data_products!$A$1:$G$1,0))</f>
        <v>0.5</v>
      </c>
      <c r="L455">
        <f>INDEX(Data_products!$A$1:$G$49, MATCH(Data_orders!$D455,Data_products!$A$1:$A$49,0), MATCH(Data_orders!L$1,Data_products!$A$1:$G$1,0))</f>
        <v>9.51</v>
      </c>
      <c r="M455">
        <f t="shared" si="14"/>
        <v>38.04</v>
      </c>
      <c r="N455" t="str" cm="1">
        <f t="array" ref="N455">_xlfn.IFS(I455 = "Rob", "Robusta", I455 = "Exc", "Excelsa", I455 = "Ara", "Arabica", I455 = "Lib", "Liberica")</f>
        <v>Liberica</v>
      </c>
      <c r="O455" t="str">
        <f t="shared" si="15"/>
        <v>Light</v>
      </c>
      <c r="P455" t="str">
        <f>_xlfn.XLOOKUP(Table1[[#This Row],[Customer ID]],Data_customers!$A$2:$A$1001,Data_customers!$I$2:$I$1001,,0)</f>
        <v>No</v>
      </c>
    </row>
    <row r="456" spans="1:16" x14ac:dyDescent="0.2">
      <c r="A456" s="2" t="s">
        <v>3053</v>
      </c>
      <c r="B456" s="3">
        <v>44421</v>
      </c>
      <c r="C456" s="2" t="s">
        <v>3054</v>
      </c>
      <c r="D456" t="s">
        <v>6149</v>
      </c>
      <c r="E456" s="2">
        <v>4</v>
      </c>
      <c r="F456" s="2" t="str">
        <f>_xlfn.XLOOKUP(Data_orders!C456,Data_customers!$A$1:$A$1001,Data_customers!$B$1:$B$1001,,0)</f>
        <v>Reube Cawley</v>
      </c>
      <c r="G456" s="2" t="str">
        <f>IF(_xlfn.XLOOKUP(C456,Data_customers!$A$1:$A$1001,Data_customers!$C$1:$C$1001,,0)=0,"",_xlfn.XLOOKUP(C456,Data_customers!$A$1:$A$1001,Data_customers!$C$1:$C$1001,,0))</f>
        <v>rcawleycm@yellowbook.com</v>
      </c>
      <c r="H456" s="2" t="str">
        <f>_xlfn.XLOOKUP(C456,Data_customers!$A$1:$A$1001,Data_customers!$G$1:$G$1001,"",0)</f>
        <v>Ireland</v>
      </c>
      <c r="I456" t="str">
        <f>INDEX(Data_products!$A$1:$G$49, MATCH(Data_orders!$D456,Data_products!$A$1:$A$49,0), MATCH(Data_orders!I$1,Data_products!$A$1:$G$1,0))</f>
        <v>Rob</v>
      </c>
      <c r="J456" t="str">
        <f>INDEX(Data_products!$A$1:$G$49, MATCH(Data_orders!$D456,Data_products!$A$1:$A$49,0), MATCH(Data_orders!J$1,Data_products!$A$1:$G$1,0))</f>
        <v>D</v>
      </c>
      <c r="K456" s="4">
        <f>INDEX(Data_products!$A$1:$G$49, MATCH(Data_orders!$D456,Data_products!$A$1:$A$49,0), MATCH(Data_orders!K$1,Data_products!$A$1:$G$1,0))</f>
        <v>2.5</v>
      </c>
      <c r="L456">
        <f>INDEX(Data_products!$A$1:$G$49, MATCH(Data_orders!$D456,Data_products!$A$1:$A$49,0), MATCH(Data_orders!L$1,Data_products!$A$1:$G$1,0))</f>
        <v>20.584999999999997</v>
      </c>
      <c r="M456">
        <f t="shared" si="14"/>
        <v>82.339999999999989</v>
      </c>
      <c r="N456" t="str" cm="1">
        <f t="array" ref="N456">_xlfn.IFS(I456 = "Rob", "Robusta", I456 = "Exc", "Excelsa", I456 = "Ara", "Arabica", I456 = "Lib", "Liberica")</f>
        <v>Robusta</v>
      </c>
      <c r="O456" t="str">
        <f t="shared" si="15"/>
        <v>Dark</v>
      </c>
      <c r="P456" t="str">
        <f>_xlfn.XLOOKUP(Table1[[#This Row],[Customer ID]],Data_customers!$A$2:$A$1001,Data_customers!$I$2:$I$1001,,0)</f>
        <v>Yes</v>
      </c>
    </row>
    <row r="457" spans="1:16" x14ac:dyDescent="0.2">
      <c r="A457" s="2" t="s">
        <v>3058</v>
      </c>
      <c r="B457" s="3">
        <v>43841</v>
      </c>
      <c r="C457" s="2" t="s">
        <v>3059</v>
      </c>
      <c r="D457" t="s">
        <v>6145</v>
      </c>
      <c r="E457" s="2">
        <v>2</v>
      </c>
      <c r="F457" s="2" t="str">
        <f>_xlfn.XLOOKUP(Data_orders!C457,Data_customers!$A$1:$A$1001,Data_customers!$B$1:$B$1001,,0)</f>
        <v>Stan Barribal</v>
      </c>
      <c r="G457" s="2" t="str">
        <f>IF(_xlfn.XLOOKUP(C457,Data_customers!$A$1:$A$1001,Data_customers!$C$1:$C$1001,,0)=0,"",_xlfn.XLOOKUP(C457,Data_customers!$A$1:$A$1001,Data_customers!$C$1:$C$1001,,0))</f>
        <v>sbarribalcn@microsoft.com</v>
      </c>
      <c r="H457" s="2" t="str">
        <f>_xlfn.XLOOKUP(C457,Data_customers!$A$1:$A$1001,Data_customers!$G$1:$G$1001,"",0)</f>
        <v>Ireland</v>
      </c>
      <c r="I457" t="str">
        <f>INDEX(Data_products!$A$1:$G$49, MATCH(Data_orders!$D457,Data_products!$A$1:$A$49,0), MATCH(Data_orders!I$1,Data_products!$A$1:$G$1,0))</f>
        <v>Lib</v>
      </c>
      <c r="J457" t="str">
        <f>INDEX(Data_products!$A$1:$G$49, MATCH(Data_orders!$D457,Data_products!$A$1:$A$49,0), MATCH(Data_orders!J$1,Data_products!$A$1:$G$1,0))</f>
        <v>L</v>
      </c>
      <c r="K457" s="4">
        <f>INDEX(Data_products!$A$1:$G$49, MATCH(Data_orders!$D457,Data_products!$A$1:$A$49,0), MATCH(Data_orders!K$1,Data_products!$A$1:$G$1,0))</f>
        <v>0.2</v>
      </c>
      <c r="L457">
        <f>INDEX(Data_products!$A$1:$G$49, MATCH(Data_orders!$D457,Data_products!$A$1:$A$49,0), MATCH(Data_orders!L$1,Data_products!$A$1:$G$1,0))</f>
        <v>4.7549999999999999</v>
      </c>
      <c r="M457">
        <f t="shared" si="14"/>
        <v>9.51</v>
      </c>
      <c r="N457" t="str" cm="1">
        <f t="array" ref="N457">_xlfn.IFS(I457 = "Rob", "Robusta", I457 = "Exc", "Excelsa", I457 = "Ara", "Arabica", I457 = "Lib", "Liberica")</f>
        <v>Liberica</v>
      </c>
      <c r="O457" t="str">
        <f t="shared" si="15"/>
        <v>Light</v>
      </c>
      <c r="P457" t="str">
        <f>_xlfn.XLOOKUP(Table1[[#This Row],[Customer ID]],Data_customers!$A$2:$A$1001,Data_customers!$I$2:$I$1001,,0)</f>
        <v>Yes</v>
      </c>
    </row>
    <row r="458" spans="1:16" x14ac:dyDescent="0.2">
      <c r="A458" s="2" t="s">
        <v>3064</v>
      </c>
      <c r="B458" s="3">
        <v>44017</v>
      </c>
      <c r="C458" s="2" t="s">
        <v>3065</v>
      </c>
      <c r="D458" t="s">
        <v>6149</v>
      </c>
      <c r="E458" s="2">
        <v>2</v>
      </c>
      <c r="F458" s="2" t="str">
        <f>_xlfn.XLOOKUP(Data_orders!C458,Data_customers!$A$1:$A$1001,Data_customers!$B$1:$B$1001,,0)</f>
        <v>Agnes Adamides</v>
      </c>
      <c r="G458" s="2" t="str">
        <f>IF(_xlfn.XLOOKUP(C458,Data_customers!$A$1:$A$1001,Data_customers!$C$1:$C$1001,,0)=0,"",_xlfn.XLOOKUP(C458,Data_customers!$A$1:$A$1001,Data_customers!$C$1:$C$1001,,0))</f>
        <v>aadamidesco@bizjournals.com</v>
      </c>
      <c r="H458" s="2" t="str">
        <f>_xlfn.XLOOKUP(C458,Data_customers!$A$1:$A$1001,Data_customers!$G$1:$G$1001,"",0)</f>
        <v>United Kingdom</v>
      </c>
      <c r="I458" t="str">
        <f>INDEX(Data_products!$A$1:$G$49, MATCH(Data_orders!$D458,Data_products!$A$1:$A$49,0), MATCH(Data_orders!I$1,Data_products!$A$1:$G$1,0))</f>
        <v>Rob</v>
      </c>
      <c r="J458" t="str">
        <f>INDEX(Data_products!$A$1:$G$49, MATCH(Data_orders!$D458,Data_products!$A$1:$A$49,0), MATCH(Data_orders!J$1,Data_products!$A$1:$G$1,0))</f>
        <v>D</v>
      </c>
      <c r="K458" s="4">
        <f>INDEX(Data_products!$A$1:$G$49, MATCH(Data_orders!$D458,Data_products!$A$1:$A$49,0), MATCH(Data_orders!K$1,Data_products!$A$1:$G$1,0))</f>
        <v>2.5</v>
      </c>
      <c r="L458">
        <f>INDEX(Data_products!$A$1:$G$49, MATCH(Data_orders!$D458,Data_products!$A$1:$A$49,0), MATCH(Data_orders!L$1,Data_products!$A$1:$G$1,0))</f>
        <v>20.584999999999997</v>
      </c>
      <c r="M458">
        <f t="shared" si="14"/>
        <v>41.169999999999995</v>
      </c>
      <c r="N458" t="str" cm="1">
        <f t="array" ref="N458">_xlfn.IFS(I458 = "Rob", "Robusta", I458 = "Exc", "Excelsa", I458 = "Ara", "Arabica", I458 = "Lib", "Liberica")</f>
        <v>Robusta</v>
      </c>
      <c r="O458" t="str">
        <f t="shared" si="15"/>
        <v>Dark</v>
      </c>
      <c r="P458" t="str">
        <f>_xlfn.XLOOKUP(Table1[[#This Row],[Customer ID]],Data_customers!$A$2:$A$1001,Data_customers!$I$2:$I$1001,,0)</f>
        <v>No</v>
      </c>
    </row>
    <row r="459" spans="1:16" x14ac:dyDescent="0.2">
      <c r="A459" s="2" t="s">
        <v>3070</v>
      </c>
      <c r="B459" s="3">
        <v>43671</v>
      </c>
      <c r="C459" s="2" t="s">
        <v>3071</v>
      </c>
      <c r="D459" t="s">
        <v>6161</v>
      </c>
      <c r="E459" s="2">
        <v>5</v>
      </c>
      <c r="F459" s="2" t="str">
        <f>_xlfn.XLOOKUP(Data_orders!C459,Data_customers!$A$1:$A$1001,Data_customers!$B$1:$B$1001,,0)</f>
        <v>Carmelita Thowes</v>
      </c>
      <c r="G459" s="2" t="str">
        <f>IF(_xlfn.XLOOKUP(C459,Data_customers!$A$1:$A$1001,Data_customers!$C$1:$C$1001,,0)=0,"",_xlfn.XLOOKUP(C459,Data_customers!$A$1:$A$1001,Data_customers!$C$1:$C$1001,,0))</f>
        <v>cthowescp@craigslist.org</v>
      </c>
      <c r="H459" s="2" t="str">
        <f>_xlfn.XLOOKUP(C459,Data_customers!$A$1:$A$1001,Data_customers!$G$1:$G$1001,"",0)</f>
        <v>United States</v>
      </c>
      <c r="I459" t="str">
        <f>INDEX(Data_products!$A$1:$G$49, MATCH(Data_orders!$D459,Data_products!$A$1:$A$49,0), MATCH(Data_orders!I$1,Data_products!$A$1:$G$1,0))</f>
        <v>Lib</v>
      </c>
      <c r="J459" t="str">
        <f>INDEX(Data_products!$A$1:$G$49, MATCH(Data_orders!$D459,Data_products!$A$1:$A$49,0), MATCH(Data_orders!J$1,Data_products!$A$1:$G$1,0))</f>
        <v>L</v>
      </c>
      <c r="K459" s="4">
        <f>INDEX(Data_products!$A$1:$G$49, MATCH(Data_orders!$D459,Data_products!$A$1:$A$49,0), MATCH(Data_orders!K$1,Data_products!$A$1:$G$1,0))</f>
        <v>0.5</v>
      </c>
      <c r="L459">
        <f>INDEX(Data_products!$A$1:$G$49, MATCH(Data_orders!$D459,Data_products!$A$1:$A$49,0), MATCH(Data_orders!L$1,Data_products!$A$1:$G$1,0))</f>
        <v>9.51</v>
      </c>
      <c r="M459">
        <f t="shared" si="14"/>
        <v>47.55</v>
      </c>
      <c r="N459" t="str" cm="1">
        <f t="array" ref="N459">_xlfn.IFS(I459 = "Rob", "Robusta", I459 = "Exc", "Excelsa", I459 = "Ara", "Arabica", I459 = "Lib", "Liberica")</f>
        <v>Liberica</v>
      </c>
      <c r="O459" t="str">
        <f t="shared" si="15"/>
        <v>Light</v>
      </c>
      <c r="P459" t="str">
        <f>_xlfn.XLOOKUP(Table1[[#This Row],[Customer ID]],Data_customers!$A$2:$A$1001,Data_customers!$I$2:$I$1001,,0)</f>
        <v>No</v>
      </c>
    </row>
    <row r="460" spans="1:16" x14ac:dyDescent="0.2">
      <c r="A460" s="2" t="s">
        <v>3076</v>
      </c>
      <c r="B460" s="3">
        <v>44707</v>
      </c>
      <c r="C460" s="2" t="s">
        <v>3077</v>
      </c>
      <c r="D460" t="s">
        <v>6155</v>
      </c>
      <c r="E460" s="2">
        <v>4</v>
      </c>
      <c r="F460" s="2" t="str">
        <f>_xlfn.XLOOKUP(Data_orders!C460,Data_customers!$A$1:$A$1001,Data_customers!$B$1:$B$1001,,0)</f>
        <v>Rodolfo Willoway</v>
      </c>
      <c r="G460" s="2" t="str">
        <f>IF(_xlfn.XLOOKUP(C460,Data_customers!$A$1:$A$1001,Data_customers!$C$1:$C$1001,,0)=0,"",_xlfn.XLOOKUP(C460,Data_customers!$A$1:$A$1001,Data_customers!$C$1:$C$1001,,0))</f>
        <v>rwillowaycq@admin.ch</v>
      </c>
      <c r="H460" s="2" t="str">
        <f>_xlfn.XLOOKUP(C460,Data_customers!$A$1:$A$1001,Data_customers!$G$1:$G$1001,"",0)</f>
        <v>United States</v>
      </c>
      <c r="I460" t="str">
        <f>INDEX(Data_products!$A$1:$G$49, MATCH(Data_orders!$D460,Data_products!$A$1:$A$49,0), MATCH(Data_orders!I$1,Data_products!$A$1:$G$1,0))</f>
        <v>Ara</v>
      </c>
      <c r="J460" t="str">
        <f>INDEX(Data_products!$A$1:$G$49, MATCH(Data_orders!$D460,Data_products!$A$1:$A$49,0), MATCH(Data_orders!J$1,Data_products!$A$1:$G$1,0))</f>
        <v>M</v>
      </c>
      <c r="K460" s="4">
        <f>INDEX(Data_products!$A$1:$G$49, MATCH(Data_orders!$D460,Data_products!$A$1:$A$49,0), MATCH(Data_orders!K$1,Data_products!$A$1:$G$1,0))</f>
        <v>1</v>
      </c>
      <c r="L460">
        <f>INDEX(Data_products!$A$1:$G$49, MATCH(Data_orders!$D460,Data_products!$A$1:$A$49,0), MATCH(Data_orders!L$1,Data_products!$A$1:$G$1,0))</f>
        <v>11.25</v>
      </c>
      <c r="M460">
        <f t="shared" si="14"/>
        <v>45</v>
      </c>
      <c r="N460" t="str" cm="1">
        <f t="array" ref="N460">_xlfn.IFS(I460 = "Rob", "Robusta", I460 = "Exc", "Excelsa", I460 = "Ara", "Arabica", I460 = "Lib", "Liberica")</f>
        <v>Arabica</v>
      </c>
      <c r="O460" t="str">
        <f t="shared" si="15"/>
        <v>Medium</v>
      </c>
      <c r="P460" t="str">
        <f>_xlfn.XLOOKUP(Table1[[#This Row],[Customer ID]],Data_customers!$A$2:$A$1001,Data_customers!$I$2:$I$1001,,0)</f>
        <v>No</v>
      </c>
    </row>
    <row r="461" spans="1:16" x14ac:dyDescent="0.2">
      <c r="A461" s="2" t="s">
        <v>3082</v>
      </c>
      <c r="B461" s="3">
        <v>43840</v>
      </c>
      <c r="C461" s="2" t="s">
        <v>3083</v>
      </c>
      <c r="D461" t="s">
        <v>6145</v>
      </c>
      <c r="E461" s="2">
        <v>5</v>
      </c>
      <c r="F461" s="2" t="str">
        <f>_xlfn.XLOOKUP(Data_orders!C461,Data_customers!$A$1:$A$1001,Data_customers!$B$1:$B$1001,,0)</f>
        <v>Alvis Elwin</v>
      </c>
      <c r="G461" s="2" t="str">
        <f>IF(_xlfn.XLOOKUP(C461,Data_customers!$A$1:$A$1001,Data_customers!$C$1:$C$1001,,0)=0,"",_xlfn.XLOOKUP(C461,Data_customers!$A$1:$A$1001,Data_customers!$C$1:$C$1001,,0))</f>
        <v>aelwincr@privacy.gov.au</v>
      </c>
      <c r="H461" s="2" t="str">
        <f>_xlfn.XLOOKUP(C461,Data_customers!$A$1:$A$1001,Data_customers!$G$1:$G$1001,"",0)</f>
        <v>United States</v>
      </c>
      <c r="I461" t="str">
        <f>INDEX(Data_products!$A$1:$G$49, MATCH(Data_orders!$D461,Data_products!$A$1:$A$49,0), MATCH(Data_orders!I$1,Data_products!$A$1:$G$1,0))</f>
        <v>Lib</v>
      </c>
      <c r="J461" t="str">
        <f>INDEX(Data_products!$A$1:$G$49, MATCH(Data_orders!$D461,Data_products!$A$1:$A$49,0), MATCH(Data_orders!J$1,Data_products!$A$1:$G$1,0))</f>
        <v>L</v>
      </c>
      <c r="K461" s="4">
        <f>INDEX(Data_products!$A$1:$G$49, MATCH(Data_orders!$D461,Data_products!$A$1:$A$49,0), MATCH(Data_orders!K$1,Data_products!$A$1:$G$1,0))</f>
        <v>0.2</v>
      </c>
      <c r="L461">
        <f>INDEX(Data_products!$A$1:$G$49, MATCH(Data_orders!$D461,Data_products!$A$1:$A$49,0), MATCH(Data_orders!L$1,Data_products!$A$1:$G$1,0))</f>
        <v>4.7549999999999999</v>
      </c>
      <c r="M461">
        <f t="shared" si="14"/>
        <v>23.774999999999999</v>
      </c>
      <c r="N461" t="str" cm="1">
        <f t="array" ref="N461">_xlfn.IFS(I461 = "Rob", "Robusta", I461 = "Exc", "Excelsa", I461 = "Ara", "Arabica", I461 = "Lib", "Liberica")</f>
        <v>Liberica</v>
      </c>
      <c r="O461" t="str">
        <f t="shared" si="15"/>
        <v>Light</v>
      </c>
      <c r="P461" t="str">
        <f>_xlfn.XLOOKUP(Table1[[#This Row],[Customer ID]],Data_customers!$A$2:$A$1001,Data_customers!$I$2:$I$1001,,0)</f>
        <v>No</v>
      </c>
    </row>
    <row r="462" spans="1:16" x14ac:dyDescent="0.2">
      <c r="A462" s="2" t="s">
        <v>3088</v>
      </c>
      <c r="B462" s="3">
        <v>43602</v>
      </c>
      <c r="C462" s="2" t="s">
        <v>3089</v>
      </c>
      <c r="D462" t="s">
        <v>6172</v>
      </c>
      <c r="E462" s="2">
        <v>3</v>
      </c>
      <c r="F462" s="2" t="str">
        <f>_xlfn.XLOOKUP(Data_orders!C462,Data_customers!$A$1:$A$1001,Data_customers!$B$1:$B$1001,,0)</f>
        <v>Araldo Bilbrook</v>
      </c>
      <c r="G462" s="2" t="str">
        <f>IF(_xlfn.XLOOKUP(C462,Data_customers!$A$1:$A$1001,Data_customers!$C$1:$C$1001,,0)=0,"",_xlfn.XLOOKUP(C462,Data_customers!$A$1:$A$1001,Data_customers!$C$1:$C$1001,,0))</f>
        <v>abilbrookcs@booking.com</v>
      </c>
      <c r="H462" s="2" t="str">
        <f>_xlfn.XLOOKUP(C462,Data_customers!$A$1:$A$1001,Data_customers!$G$1:$G$1001,"",0)</f>
        <v>Ireland</v>
      </c>
      <c r="I462" t="str">
        <f>INDEX(Data_products!$A$1:$G$49, MATCH(Data_orders!$D462,Data_products!$A$1:$A$49,0), MATCH(Data_orders!I$1,Data_products!$A$1:$G$1,0))</f>
        <v>Rob</v>
      </c>
      <c r="J462" t="str">
        <f>INDEX(Data_products!$A$1:$G$49, MATCH(Data_orders!$D462,Data_products!$A$1:$A$49,0), MATCH(Data_orders!J$1,Data_products!$A$1:$G$1,0))</f>
        <v>D</v>
      </c>
      <c r="K462" s="4">
        <f>INDEX(Data_products!$A$1:$G$49, MATCH(Data_orders!$D462,Data_products!$A$1:$A$49,0), MATCH(Data_orders!K$1,Data_products!$A$1:$G$1,0))</f>
        <v>0.5</v>
      </c>
      <c r="L462">
        <f>INDEX(Data_products!$A$1:$G$49, MATCH(Data_orders!$D462,Data_products!$A$1:$A$49,0), MATCH(Data_orders!L$1,Data_products!$A$1:$G$1,0))</f>
        <v>5.3699999999999992</v>
      </c>
      <c r="M462">
        <f t="shared" si="14"/>
        <v>16.11</v>
      </c>
      <c r="N462" t="str" cm="1">
        <f t="array" ref="N462">_xlfn.IFS(I462 = "Rob", "Robusta", I462 = "Exc", "Excelsa", I462 = "Ara", "Arabica", I462 = "Lib", "Liberica")</f>
        <v>Robusta</v>
      </c>
      <c r="O462" t="str">
        <f t="shared" si="15"/>
        <v>Dark</v>
      </c>
      <c r="P462" t="str">
        <f>_xlfn.XLOOKUP(Table1[[#This Row],[Customer ID]],Data_customers!$A$2:$A$1001,Data_customers!$I$2:$I$1001,,0)</f>
        <v>Yes</v>
      </c>
    </row>
    <row r="463" spans="1:16" x14ac:dyDescent="0.2">
      <c r="A463" s="2" t="s">
        <v>3094</v>
      </c>
      <c r="B463" s="3">
        <v>44036</v>
      </c>
      <c r="C463" s="2" t="s">
        <v>3095</v>
      </c>
      <c r="D463" t="s">
        <v>6163</v>
      </c>
      <c r="E463" s="2">
        <v>4</v>
      </c>
      <c r="F463" s="2" t="str">
        <f>_xlfn.XLOOKUP(Data_orders!C463,Data_customers!$A$1:$A$1001,Data_customers!$B$1:$B$1001,,0)</f>
        <v>Ransell McKall</v>
      </c>
      <c r="G463" s="2" t="str">
        <f>IF(_xlfn.XLOOKUP(C463,Data_customers!$A$1:$A$1001,Data_customers!$C$1:$C$1001,,0)=0,"",_xlfn.XLOOKUP(C463,Data_customers!$A$1:$A$1001,Data_customers!$C$1:$C$1001,,0))</f>
        <v>rmckallct@sakura.ne.jp</v>
      </c>
      <c r="H463" s="2" t="str">
        <f>_xlfn.XLOOKUP(C463,Data_customers!$A$1:$A$1001,Data_customers!$G$1:$G$1001,"",0)</f>
        <v>United Kingdom</v>
      </c>
      <c r="I463" t="str">
        <f>INDEX(Data_products!$A$1:$G$49, MATCH(Data_orders!$D463,Data_products!$A$1:$A$49,0), MATCH(Data_orders!I$1,Data_products!$A$1:$G$1,0))</f>
        <v>Rob</v>
      </c>
      <c r="J463" t="str">
        <f>INDEX(Data_products!$A$1:$G$49, MATCH(Data_orders!$D463,Data_products!$A$1:$A$49,0), MATCH(Data_orders!J$1,Data_products!$A$1:$G$1,0))</f>
        <v>D</v>
      </c>
      <c r="K463" s="4">
        <f>INDEX(Data_products!$A$1:$G$49, MATCH(Data_orders!$D463,Data_products!$A$1:$A$49,0), MATCH(Data_orders!K$1,Data_products!$A$1:$G$1,0))</f>
        <v>0.2</v>
      </c>
      <c r="L463">
        <f>INDEX(Data_products!$A$1:$G$49, MATCH(Data_orders!$D463,Data_products!$A$1:$A$49,0), MATCH(Data_orders!L$1,Data_products!$A$1:$G$1,0))</f>
        <v>2.6849999999999996</v>
      </c>
      <c r="M463">
        <f t="shared" si="14"/>
        <v>10.739999999999998</v>
      </c>
      <c r="N463" t="str" cm="1">
        <f t="array" ref="N463">_xlfn.IFS(I463 = "Rob", "Robusta", I463 = "Exc", "Excelsa", I463 = "Ara", "Arabica", I463 = "Lib", "Liberica")</f>
        <v>Robusta</v>
      </c>
      <c r="O463" t="str">
        <f t="shared" si="15"/>
        <v>Dark</v>
      </c>
      <c r="P463" t="str">
        <f>_xlfn.XLOOKUP(Table1[[#This Row],[Customer ID]],Data_customers!$A$2:$A$1001,Data_customers!$I$2:$I$1001,,0)</f>
        <v>Yes</v>
      </c>
    </row>
    <row r="464" spans="1:16" x14ac:dyDescent="0.2">
      <c r="A464" s="2" t="s">
        <v>3100</v>
      </c>
      <c r="B464" s="3">
        <v>44124</v>
      </c>
      <c r="C464" s="2" t="s">
        <v>3101</v>
      </c>
      <c r="D464" t="s">
        <v>6147</v>
      </c>
      <c r="E464" s="2">
        <v>5</v>
      </c>
      <c r="F464" s="2" t="str">
        <f>_xlfn.XLOOKUP(Data_orders!C464,Data_customers!$A$1:$A$1001,Data_customers!$B$1:$B$1001,,0)</f>
        <v>Borg Daile</v>
      </c>
      <c r="G464" s="2" t="str">
        <f>IF(_xlfn.XLOOKUP(C464,Data_customers!$A$1:$A$1001,Data_customers!$C$1:$C$1001,,0)=0,"",_xlfn.XLOOKUP(C464,Data_customers!$A$1:$A$1001,Data_customers!$C$1:$C$1001,,0))</f>
        <v>bdailecu@vistaprint.com</v>
      </c>
      <c r="H464" s="2" t="str">
        <f>_xlfn.XLOOKUP(C464,Data_customers!$A$1:$A$1001,Data_customers!$G$1:$G$1001,"",0)</f>
        <v>United States</v>
      </c>
      <c r="I464" t="str">
        <f>INDEX(Data_products!$A$1:$G$49, MATCH(Data_orders!$D464,Data_products!$A$1:$A$49,0), MATCH(Data_orders!I$1,Data_products!$A$1:$G$1,0))</f>
        <v>Ara</v>
      </c>
      <c r="J464" t="str">
        <f>INDEX(Data_products!$A$1:$G$49, MATCH(Data_orders!$D464,Data_products!$A$1:$A$49,0), MATCH(Data_orders!J$1,Data_products!$A$1:$G$1,0))</f>
        <v>D</v>
      </c>
      <c r="K464" s="4">
        <f>INDEX(Data_products!$A$1:$G$49, MATCH(Data_orders!$D464,Data_products!$A$1:$A$49,0), MATCH(Data_orders!K$1,Data_products!$A$1:$G$1,0))</f>
        <v>1</v>
      </c>
      <c r="L464">
        <f>INDEX(Data_products!$A$1:$G$49, MATCH(Data_orders!$D464,Data_products!$A$1:$A$49,0), MATCH(Data_orders!L$1,Data_products!$A$1:$G$1,0))</f>
        <v>9.9499999999999993</v>
      </c>
      <c r="M464">
        <f t="shared" si="14"/>
        <v>49.75</v>
      </c>
      <c r="N464" t="str" cm="1">
        <f t="array" ref="N464">_xlfn.IFS(I464 = "Rob", "Robusta", I464 = "Exc", "Excelsa", I464 = "Ara", "Arabica", I464 = "Lib", "Liberica")</f>
        <v>Arabica</v>
      </c>
      <c r="O464" t="str">
        <f t="shared" si="15"/>
        <v>Dark</v>
      </c>
      <c r="P464" t="str">
        <f>_xlfn.XLOOKUP(Table1[[#This Row],[Customer ID]],Data_customers!$A$2:$A$1001,Data_customers!$I$2:$I$1001,,0)</f>
        <v>Yes</v>
      </c>
    </row>
    <row r="465" spans="1:16" x14ac:dyDescent="0.2">
      <c r="A465" s="2" t="s">
        <v>3106</v>
      </c>
      <c r="B465" s="3">
        <v>43730</v>
      </c>
      <c r="C465" s="2" t="s">
        <v>3107</v>
      </c>
      <c r="D465" t="s">
        <v>6141</v>
      </c>
      <c r="E465" s="2">
        <v>2</v>
      </c>
      <c r="F465" s="2" t="str">
        <f>_xlfn.XLOOKUP(Data_orders!C465,Data_customers!$A$1:$A$1001,Data_customers!$B$1:$B$1001,,0)</f>
        <v>Adolphe Treherne</v>
      </c>
      <c r="G465" s="2" t="str">
        <f>IF(_xlfn.XLOOKUP(C465,Data_customers!$A$1:$A$1001,Data_customers!$C$1:$C$1001,,0)=0,"",_xlfn.XLOOKUP(C465,Data_customers!$A$1:$A$1001,Data_customers!$C$1:$C$1001,,0))</f>
        <v>atrehernecv@state.tx.us</v>
      </c>
      <c r="H465" s="2" t="str">
        <f>_xlfn.XLOOKUP(C465,Data_customers!$A$1:$A$1001,Data_customers!$G$1:$G$1001,"",0)</f>
        <v>Ireland</v>
      </c>
      <c r="I465" t="str">
        <f>INDEX(Data_products!$A$1:$G$49, MATCH(Data_orders!$D465,Data_products!$A$1:$A$49,0), MATCH(Data_orders!I$1,Data_products!$A$1:$G$1,0))</f>
        <v>Exc</v>
      </c>
      <c r="J465" t="str">
        <f>INDEX(Data_products!$A$1:$G$49, MATCH(Data_orders!$D465,Data_products!$A$1:$A$49,0), MATCH(Data_orders!J$1,Data_products!$A$1:$G$1,0))</f>
        <v>M</v>
      </c>
      <c r="K465" s="4">
        <f>INDEX(Data_products!$A$1:$G$49, MATCH(Data_orders!$D465,Data_products!$A$1:$A$49,0), MATCH(Data_orders!K$1,Data_products!$A$1:$G$1,0))</f>
        <v>1</v>
      </c>
      <c r="L465">
        <f>INDEX(Data_products!$A$1:$G$49, MATCH(Data_orders!$D465,Data_products!$A$1:$A$49,0), MATCH(Data_orders!L$1,Data_products!$A$1:$G$1,0))</f>
        <v>13.75</v>
      </c>
      <c r="M465">
        <f t="shared" si="14"/>
        <v>27.5</v>
      </c>
      <c r="N465" t="str" cm="1">
        <f t="array" ref="N465">_xlfn.IFS(I465 = "Rob", "Robusta", I465 = "Exc", "Excelsa", I465 = "Ara", "Arabica", I465 = "Lib", "Liberica")</f>
        <v>Excelsa</v>
      </c>
      <c r="O465" t="str">
        <f t="shared" si="15"/>
        <v>Medium</v>
      </c>
      <c r="P465" t="str">
        <f>_xlfn.XLOOKUP(Table1[[#This Row],[Customer ID]],Data_customers!$A$2:$A$1001,Data_customers!$I$2:$I$1001,,0)</f>
        <v>No</v>
      </c>
    </row>
    <row r="466" spans="1:16" x14ac:dyDescent="0.2">
      <c r="A466" s="2" t="s">
        <v>3112</v>
      </c>
      <c r="B466" s="3">
        <v>43989</v>
      </c>
      <c r="C466" s="2" t="s">
        <v>3113</v>
      </c>
      <c r="D466" t="s">
        <v>6165</v>
      </c>
      <c r="E466" s="2">
        <v>4</v>
      </c>
      <c r="F466" s="2" t="str">
        <f>_xlfn.XLOOKUP(Data_orders!C466,Data_customers!$A$1:$A$1001,Data_customers!$B$1:$B$1001,,0)</f>
        <v>Annetta Brentnall</v>
      </c>
      <c r="G466" s="2" t="str">
        <f>IF(_xlfn.XLOOKUP(C466,Data_customers!$A$1:$A$1001,Data_customers!$C$1:$C$1001,,0)=0,"",_xlfn.XLOOKUP(C466,Data_customers!$A$1:$A$1001,Data_customers!$C$1:$C$1001,,0))</f>
        <v>abrentnallcw@biglobe.ne.jp</v>
      </c>
      <c r="H466" s="2" t="str">
        <f>_xlfn.XLOOKUP(C466,Data_customers!$A$1:$A$1001,Data_customers!$G$1:$G$1001,"",0)</f>
        <v>United Kingdom</v>
      </c>
      <c r="I466" t="str">
        <f>INDEX(Data_products!$A$1:$G$49, MATCH(Data_orders!$D466,Data_products!$A$1:$A$49,0), MATCH(Data_orders!I$1,Data_products!$A$1:$G$1,0))</f>
        <v>Lib</v>
      </c>
      <c r="J466" t="str">
        <f>INDEX(Data_products!$A$1:$G$49, MATCH(Data_orders!$D466,Data_products!$A$1:$A$49,0), MATCH(Data_orders!J$1,Data_products!$A$1:$G$1,0))</f>
        <v>D</v>
      </c>
      <c r="K466" s="4">
        <f>INDEX(Data_products!$A$1:$G$49, MATCH(Data_orders!$D466,Data_products!$A$1:$A$49,0), MATCH(Data_orders!K$1,Data_products!$A$1:$G$1,0))</f>
        <v>2.5</v>
      </c>
      <c r="L466">
        <f>INDEX(Data_products!$A$1:$G$49, MATCH(Data_orders!$D466,Data_products!$A$1:$A$49,0), MATCH(Data_orders!L$1,Data_products!$A$1:$G$1,0))</f>
        <v>29.784999999999997</v>
      </c>
      <c r="M466">
        <f t="shared" si="14"/>
        <v>119.13999999999999</v>
      </c>
      <c r="N466" t="str" cm="1">
        <f t="array" ref="N466">_xlfn.IFS(I466 = "Rob", "Robusta", I466 = "Exc", "Excelsa", I466 = "Ara", "Arabica", I466 = "Lib", "Liberica")</f>
        <v>Liberica</v>
      </c>
      <c r="O466" t="str">
        <f t="shared" si="15"/>
        <v>Dark</v>
      </c>
      <c r="P466" t="str">
        <f>_xlfn.XLOOKUP(Table1[[#This Row],[Customer ID]],Data_customers!$A$2:$A$1001,Data_customers!$I$2:$I$1001,,0)</f>
        <v>No</v>
      </c>
    </row>
    <row r="467" spans="1:16" x14ac:dyDescent="0.2">
      <c r="A467" s="2" t="s">
        <v>3118</v>
      </c>
      <c r="B467" s="3">
        <v>43814</v>
      </c>
      <c r="C467" s="2" t="s">
        <v>3119</v>
      </c>
      <c r="D467" t="s">
        <v>6149</v>
      </c>
      <c r="E467" s="2">
        <v>1</v>
      </c>
      <c r="F467" s="2" t="str">
        <f>_xlfn.XLOOKUP(Data_orders!C467,Data_customers!$A$1:$A$1001,Data_customers!$B$1:$B$1001,,0)</f>
        <v>Dick Drinkall</v>
      </c>
      <c r="G467" s="2" t="str">
        <f>IF(_xlfn.XLOOKUP(C467,Data_customers!$A$1:$A$1001,Data_customers!$C$1:$C$1001,,0)=0,"",_xlfn.XLOOKUP(C467,Data_customers!$A$1:$A$1001,Data_customers!$C$1:$C$1001,,0))</f>
        <v>ddrinkallcx@psu.edu</v>
      </c>
      <c r="H467" s="2" t="str">
        <f>_xlfn.XLOOKUP(C467,Data_customers!$A$1:$A$1001,Data_customers!$G$1:$G$1001,"",0)</f>
        <v>United States</v>
      </c>
      <c r="I467" t="str">
        <f>INDEX(Data_products!$A$1:$G$49, MATCH(Data_orders!$D467,Data_products!$A$1:$A$49,0), MATCH(Data_orders!I$1,Data_products!$A$1:$G$1,0))</f>
        <v>Rob</v>
      </c>
      <c r="J467" t="str">
        <f>INDEX(Data_products!$A$1:$G$49, MATCH(Data_orders!$D467,Data_products!$A$1:$A$49,0), MATCH(Data_orders!J$1,Data_products!$A$1:$G$1,0))</f>
        <v>D</v>
      </c>
      <c r="K467" s="4">
        <f>INDEX(Data_products!$A$1:$G$49, MATCH(Data_orders!$D467,Data_products!$A$1:$A$49,0), MATCH(Data_orders!K$1,Data_products!$A$1:$G$1,0))</f>
        <v>2.5</v>
      </c>
      <c r="L467">
        <f>INDEX(Data_products!$A$1:$G$49, MATCH(Data_orders!$D467,Data_products!$A$1:$A$49,0), MATCH(Data_orders!L$1,Data_products!$A$1:$G$1,0))</f>
        <v>20.584999999999997</v>
      </c>
      <c r="M467">
        <f t="shared" si="14"/>
        <v>20.584999999999997</v>
      </c>
      <c r="N467" t="str" cm="1">
        <f t="array" ref="N467">_xlfn.IFS(I467 = "Rob", "Robusta", I467 = "Exc", "Excelsa", I467 = "Ara", "Arabica", I467 = "Lib", "Liberica")</f>
        <v>Robusta</v>
      </c>
      <c r="O467" t="str">
        <f t="shared" si="15"/>
        <v>Dark</v>
      </c>
      <c r="P467" t="str">
        <f>_xlfn.XLOOKUP(Table1[[#This Row],[Customer ID]],Data_customers!$A$2:$A$1001,Data_customers!$I$2:$I$1001,,0)</f>
        <v>Yes</v>
      </c>
    </row>
    <row r="468" spans="1:16" x14ac:dyDescent="0.2">
      <c r="A468" s="2" t="s">
        <v>3124</v>
      </c>
      <c r="B468" s="3">
        <v>44171</v>
      </c>
      <c r="C468" s="2" t="s">
        <v>3125</v>
      </c>
      <c r="D468" t="s">
        <v>6154</v>
      </c>
      <c r="E468" s="2">
        <v>3</v>
      </c>
      <c r="F468" s="2" t="str">
        <f>_xlfn.XLOOKUP(Data_orders!C468,Data_customers!$A$1:$A$1001,Data_customers!$B$1:$B$1001,,0)</f>
        <v>Dagny Kornel</v>
      </c>
      <c r="G468" s="2" t="str">
        <f>IF(_xlfn.XLOOKUP(C468,Data_customers!$A$1:$A$1001,Data_customers!$C$1:$C$1001,,0)=0,"",_xlfn.XLOOKUP(C468,Data_customers!$A$1:$A$1001,Data_customers!$C$1:$C$1001,,0))</f>
        <v>dkornelcy@cyberchimps.com</v>
      </c>
      <c r="H468" s="2" t="str">
        <f>_xlfn.XLOOKUP(C468,Data_customers!$A$1:$A$1001,Data_customers!$G$1:$G$1001,"",0)</f>
        <v>United States</v>
      </c>
      <c r="I468" t="str">
        <f>INDEX(Data_products!$A$1:$G$49, MATCH(Data_orders!$D468,Data_products!$A$1:$A$49,0), MATCH(Data_orders!I$1,Data_products!$A$1:$G$1,0))</f>
        <v>Ara</v>
      </c>
      <c r="J468" t="str">
        <f>INDEX(Data_products!$A$1:$G$49, MATCH(Data_orders!$D468,Data_products!$A$1:$A$49,0), MATCH(Data_orders!J$1,Data_products!$A$1:$G$1,0))</f>
        <v>D</v>
      </c>
      <c r="K468" s="4">
        <f>INDEX(Data_products!$A$1:$G$49, MATCH(Data_orders!$D468,Data_products!$A$1:$A$49,0), MATCH(Data_orders!K$1,Data_products!$A$1:$G$1,0))</f>
        <v>0.2</v>
      </c>
      <c r="L468">
        <f>INDEX(Data_products!$A$1:$G$49, MATCH(Data_orders!$D468,Data_products!$A$1:$A$49,0), MATCH(Data_orders!L$1,Data_products!$A$1:$G$1,0))</f>
        <v>2.9849999999999999</v>
      </c>
      <c r="M468">
        <f t="shared" si="14"/>
        <v>8.9550000000000001</v>
      </c>
      <c r="N468" t="str" cm="1">
        <f t="array" ref="N468">_xlfn.IFS(I468 = "Rob", "Robusta", I468 = "Exc", "Excelsa", I468 = "Ara", "Arabica", I468 = "Lib", "Liberica")</f>
        <v>Arabica</v>
      </c>
      <c r="O468" t="str">
        <f t="shared" si="15"/>
        <v>Dark</v>
      </c>
      <c r="P468" t="str">
        <f>_xlfn.XLOOKUP(Table1[[#This Row],[Customer ID]],Data_customers!$A$2:$A$1001,Data_customers!$I$2:$I$1001,,0)</f>
        <v>Yes</v>
      </c>
    </row>
    <row r="469" spans="1:16" x14ac:dyDescent="0.2">
      <c r="A469" s="2" t="s">
        <v>3130</v>
      </c>
      <c r="B469" s="3">
        <v>44536</v>
      </c>
      <c r="C469" s="2" t="s">
        <v>3131</v>
      </c>
      <c r="D469" t="s">
        <v>6158</v>
      </c>
      <c r="E469" s="2">
        <v>1</v>
      </c>
      <c r="F469" s="2" t="str">
        <f>_xlfn.XLOOKUP(Data_orders!C469,Data_customers!$A$1:$A$1001,Data_customers!$B$1:$B$1001,,0)</f>
        <v>Rhona Lequeux</v>
      </c>
      <c r="G469" s="2" t="str">
        <f>IF(_xlfn.XLOOKUP(C469,Data_customers!$A$1:$A$1001,Data_customers!$C$1:$C$1001,,0)=0,"",_xlfn.XLOOKUP(C469,Data_customers!$A$1:$A$1001,Data_customers!$C$1:$C$1001,,0))</f>
        <v>rlequeuxcz@newyorker.com</v>
      </c>
      <c r="H469" s="2" t="str">
        <f>_xlfn.XLOOKUP(C469,Data_customers!$A$1:$A$1001,Data_customers!$G$1:$G$1001,"",0)</f>
        <v>United States</v>
      </c>
      <c r="I469" t="str">
        <f>INDEX(Data_products!$A$1:$G$49, MATCH(Data_orders!$D469,Data_products!$A$1:$A$49,0), MATCH(Data_orders!I$1,Data_products!$A$1:$G$1,0))</f>
        <v>Ara</v>
      </c>
      <c r="J469" t="str">
        <f>INDEX(Data_products!$A$1:$G$49, MATCH(Data_orders!$D469,Data_products!$A$1:$A$49,0), MATCH(Data_orders!J$1,Data_products!$A$1:$G$1,0))</f>
        <v>D</v>
      </c>
      <c r="K469" s="4">
        <f>INDEX(Data_products!$A$1:$G$49, MATCH(Data_orders!$D469,Data_products!$A$1:$A$49,0), MATCH(Data_orders!K$1,Data_products!$A$1:$G$1,0))</f>
        <v>0.5</v>
      </c>
      <c r="L469">
        <f>INDEX(Data_products!$A$1:$G$49, MATCH(Data_orders!$D469,Data_products!$A$1:$A$49,0), MATCH(Data_orders!L$1,Data_products!$A$1:$G$1,0))</f>
        <v>5.97</v>
      </c>
      <c r="M469">
        <f t="shared" si="14"/>
        <v>5.97</v>
      </c>
      <c r="N469" t="str" cm="1">
        <f t="array" ref="N469">_xlfn.IFS(I469 = "Rob", "Robusta", I469 = "Exc", "Excelsa", I469 = "Ara", "Arabica", I469 = "Lib", "Liberica")</f>
        <v>Arabica</v>
      </c>
      <c r="O469" t="str">
        <f t="shared" si="15"/>
        <v>Dark</v>
      </c>
      <c r="P469" t="str">
        <f>_xlfn.XLOOKUP(Table1[[#This Row],[Customer ID]],Data_customers!$A$2:$A$1001,Data_customers!$I$2:$I$1001,,0)</f>
        <v>No</v>
      </c>
    </row>
    <row r="470" spans="1:16" x14ac:dyDescent="0.2">
      <c r="A470" s="2" t="s">
        <v>3136</v>
      </c>
      <c r="B470" s="3">
        <v>44023</v>
      </c>
      <c r="C470" s="2" t="s">
        <v>3137</v>
      </c>
      <c r="D470" t="s">
        <v>6141</v>
      </c>
      <c r="E470" s="2">
        <v>3</v>
      </c>
      <c r="F470" s="2" t="str">
        <f>_xlfn.XLOOKUP(Data_orders!C470,Data_customers!$A$1:$A$1001,Data_customers!$B$1:$B$1001,,0)</f>
        <v>Julius Mccaull</v>
      </c>
      <c r="G470" s="2" t="str">
        <f>IF(_xlfn.XLOOKUP(C470,Data_customers!$A$1:$A$1001,Data_customers!$C$1:$C$1001,,0)=0,"",_xlfn.XLOOKUP(C470,Data_customers!$A$1:$A$1001,Data_customers!$C$1:$C$1001,,0))</f>
        <v>jmccaulld0@parallels.com</v>
      </c>
      <c r="H470" s="2" t="str">
        <f>_xlfn.XLOOKUP(C470,Data_customers!$A$1:$A$1001,Data_customers!$G$1:$G$1001,"",0)</f>
        <v>United States</v>
      </c>
      <c r="I470" t="str">
        <f>INDEX(Data_products!$A$1:$G$49, MATCH(Data_orders!$D470,Data_products!$A$1:$A$49,0), MATCH(Data_orders!I$1,Data_products!$A$1:$G$1,0))</f>
        <v>Exc</v>
      </c>
      <c r="J470" t="str">
        <f>INDEX(Data_products!$A$1:$G$49, MATCH(Data_orders!$D470,Data_products!$A$1:$A$49,0), MATCH(Data_orders!J$1,Data_products!$A$1:$G$1,0))</f>
        <v>M</v>
      </c>
      <c r="K470" s="4">
        <f>INDEX(Data_products!$A$1:$G$49, MATCH(Data_orders!$D470,Data_products!$A$1:$A$49,0), MATCH(Data_orders!K$1,Data_products!$A$1:$G$1,0))</f>
        <v>1</v>
      </c>
      <c r="L470">
        <f>INDEX(Data_products!$A$1:$G$49, MATCH(Data_orders!$D470,Data_products!$A$1:$A$49,0), MATCH(Data_orders!L$1,Data_products!$A$1:$G$1,0))</f>
        <v>13.75</v>
      </c>
      <c r="M470">
        <f t="shared" si="14"/>
        <v>41.25</v>
      </c>
      <c r="N470" t="str" cm="1">
        <f t="array" ref="N470">_xlfn.IFS(I470 = "Rob", "Robusta", I470 = "Exc", "Excelsa", I470 = "Ara", "Arabica", I470 = "Lib", "Liberica")</f>
        <v>Excelsa</v>
      </c>
      <c r="O470" t="str">
        <f t="shared" si="15"/>
        <v>Medium</v>
      </c>
      <c r="P470" t="str">
        <f>_xlfn.XLOOKUP(Table1[[#This Row],[Customer ID]],Data_customers!$A$2:$A$1001,Data_customers!$I$2:$I$1001,,0)</f>
        <v>Yes</v>
      </c>
    </row>
    <row r="471" spans="1:16" x14ac:dyDescent="0.2">
      <c r="A471" s="2" t="s">
        <v>3141</v>
      </c>
      <c r="B471" s="3">
        <v>44375</v>
      </c>
      <c r="C471" s="2" t="s">
        <v>3194</v>
      </c>
      <c r="D471" t="s">
        <v>6184</v>
      </c>
      <c r="E471" s="2">
        <v>5</v>
      </c>
      <c r="F471" s="2" t="str">
        <f>_xlfn.XLOOKUP(Data_orders!C471,Data_customers!$A$1:$A$1001,Data_customers!$B$1:$B$1001,,0)</f>
        <v>Ailey Brash</v>
      </c>
      <c r="G471" s="2" t="str">
        <f>IF(_xlfn.XLOOKUP(C471,Data_customers!$A$1:$A$1001,Data_customers!$C$1:$C$1001,,0)=0,"",_xlfn.XLOOKUP(C471,Data_customers!$A$1:$A$1001,Data_customers!$C$1:$C$1001,,0))</f>
        <v>abrashda@plala.or.jp</v>
      </c>
      <c r="H471" s="2" t="str">
        <f>_xlfn.XLOOKUP(C471,Data_customers!$A$1:$A$1001,Data_customers!$G$1:$G$1001,"",0)</f>
        <v>United States</v>
      </c>
      <c r="I471" t="str">
        <f>INDEX(Data_products!$A$1:$G$49, MATCH(Data_orders!$D471,Data_products!$A$1:$A$49,0), MATCH(Data_orders!I$1,Data_products!$A$1:$G$1,0))</f>
        <v>Exc</v>
      </c>
      <c r="J471" t="str">
        <f>INDEX(Data_products!$A$1:$G$49, MATCH(Data_orders!$D471,Data_products!$A$1:$A$49,0), MATCH(Data_orders!J$1,Data_products!$A$1:$G$1,0))</f>
        <v>L</v>
      </c>
      <c r="K471" s="4">
        <f>INDEX(Data_products!$A$1:$G$49, MATCH(Data_orders!$D471,Data_products!$A$1:$A$49,0), MATCH(Data_orders!K$1,Data_products!$A$1:$G$1,0))</f>
        <v>0.2</v>
      </c>
      <c r="L471">
        <f>INDEX(Data_products!$A$1:$G$49, MATCH(Data_orders!$D471,Data_products!$A$1:$A$49,0), MATCH(Data_orders!L$1,Data_products!$A$1:$G$1,0))</f>
        <v>4.4550000000000001</v>
      </c>
      <c r="M471">
        <f t="shared" si="14"/>
        <v>22.274999999999999</v>
      </c>
      <c r="N471" t="str" cm="1">
        <f t="array" ref="N471">_xlfn.IFS(I471 = "Rob", "Robusta", I471 = "Exc", "Excelsa", I471 = "Ara", "Arabica", I471 = "Lib", "Liberica")</f>
        <v>Excelsa</v>
      </c>
      <c r="O471" t="str">
        <f t="shared" si="15"/>
        <v>Light</v>
      </c>
      <c r="P471" t="str">
        <f>_xlfn.XLOOKUP(Table1[[#This Row],[Customer ID]],Data_customers!$A$2:$A$1001,Data_customers!$I$2:$I$1001,,0)</f>
        <v>Yes</v>
      </c>
    </row>
    <row r="472" spans="1:16" x14ac:dyDescent="0.2">
      <c r="A472" s="2" t="s">
        <v>3147</v>
      </c>
      <c r="B472" s="3">
        <v>44656</v>
      </c>
      <c r="C472" s="2" t="s">
        <v>3148</v>
      </c>
      <c r="D472" t="s">
        <v>6157</v>
      </c>
      <c r="E472" s="2">
        <v>1</v>
      </c>
      <c r="F472" s="2" t="str">
        <f>_xlfn.XLOOKUP(Data_orders!C472,Data_customers!$A$1:$A$1001,Data_customers!$B$1:$B$1001,,0)</f>
        <v>Alberto Hutchinson</v>
      </c>
      <c r="G472" s="2" t="str">
        <f>IF(_xlfn.XLOOKUP(C472,Data_customers!$A$1:$A$1001,Data_customers!$C$1:$C$1001,,0)=0,"",_xlfn.XLOOKUP(C472,Data_customers!$A$1:$A$1001,Data_customers!$C$1:$C$1001,,0))</f>
        <v>ahutchinsond2@imgur.com</v>
      </c>
      <c r="H472" s="2" t="str">
        <f>_xlfn.XLOOKUP(C472,Data_customers!$A$1:$A$1001,Data_customers!$G$1:$G$1001,"",0)</f>
        <v>United States</v>
      </c>
      <c r="I472" t="str">
        <f>INDEX(Data_products!$A$1:$G$49, MATCH(Data_orders!$D472,Data_products!$A$1:$A$49,0), MATCH(Data_orders!I$1,Data_products!$A$1:$G$1,0))</f>
        <v>Ara</v>
      </c>
      <c r="J472" t="str">
        <f>INDEX(Data_products!$A$1:$G$49, MATCH(Data_orders!$D472,Data_products!$A$1:$A$49,0), MATCH(Data_orders!J$1,Data_products!$A$1:$G$1,0))</f>
        <v>M</v>
      </c>
      <c r="K472" s="4">
        <f>INDEX(Data_products!$A$1:$G$49, MATCH(Data_orders!$D472,Data_products!$A$1:$A$49,0), MATCH(Data_orders!K$1,Data_products!$A$1:$G$1,0))</f>
        <v>0.5</v>
      </c>
      <c r="L472">
        <f>INDEX(Data_products!$A$1:$G$49, MATCH(Data_orders!$D472,Data_products!$A$1:$A$49,0), MATCH(Data_orders!L$1,Data_products!$A$1:$G$1,0))</f>
        <v>6.75</v>
      </c>
      <c r="M472">
        <f t="shared" si="14"/>
        <v>6.75</v>
      </c>
      <c r="N472" t="str" cm="1">
        <f t="array" ref="N472">_xlfn.IFS(I472 = "Rob", "Robusta", I472 = "Exc", "Excelsa", I472 = "Ara", "Arabica", I472 = "Lib", "Liberica")</f>
        <v>Arabica</v>
      </c>
      <c r="O472" t="str">
        <f t="shared" si="15"/>
        <v>Medium</v>
      </c>
      <c r="P472" t="str">
        <f>_xlfn.XLOOKUP(Table1[[#This Row],[Customer ID]],Data_customers!$A$2:$A$1001,Data_customers!$I$2:$I$1001,,0)</f>
        <v>Yes</v>
      </c>
    </row>
    <row r="473" spans="1:16" x14ac:dyDescent="0.2">
      <c r="A473" s="2" t="s">
        <v>3153</v>
      </c>
      <c r="B473" s="3">
        <v>44644</v>
      </c>
      <c r="C473" s="2" t="s">
        <v>3154</v>
      </c>
      <c r="D473" t="s">
        <v>6181</v>
      </c>
      <c r="E473" s="2">
        <v>4</v>
      </c>
      <c r="F473" s="2" t="str">
        <f>_xlfn.XLOOKUP(Data_orders!C473,Data_customers!$A$1:$A$1001,Data_customers!$B$1:$B$1001,,0)</f>
        <v>Lamond Gheeraert</v>
      </c>
      <c r="G473" s="2" t="str">
        <f>IF(_xlfn.XLOOKUP(C473,Data_customers!$A$1:$A$1001,Data_customers!$C$1:$C$1001,,0)=0,"",_xlfn.XLOOKUP(C473,Data_customers!$A$1:$A$1001,Data_customers!$C$1:$C$1001,,0))</f>
        <v/>
      </c>
      <c r="H473" s="2" t="str">
        <f>_xlfn.XLOOKUP(C473,Data_customers!$A$1:$A$1001,Data_customers!$G$1:$G$1001,"",0)</f>
        <v>United States</v>
      </c>
      <c r="I473" t="str">
        <f>INDEX(Data_products!$A$1:$G$49, MATCH(Data_orders!$D473,Data_products!$A$1:$A$49,0), MATCH(Data_orders!I$1,Data_products!$A$1:$G$1,0))</f>
        <v>Lib</v>
      </c>
      <c r="J473" t="str">
        <f>INDEX(Data_products!$A$1:$G$49, MATCH(Data_orders!$D473,Data_products!$A$1:$A$49,0), MATCH(Data_orders!J$1,Data_products!$A$1:$G$1,0))</f>
        <v>M</v>
      </c>
      <c r="K473" s="4">
        <f>INDEX(Data_products!$A$1:$G$49, MATCH(Data_orders!$D473,Data_products!$A$1:$A$49,0), MATCH(Data_orders!K$1,Data_products!$A$1:$G$1,0))</f>
        <v>2.5</v>
      </c>
      <c r="L473">
        <f>INDEX(Data_products!$A$1:$G$49, MATCH(Data_orders!$D473,Data_products!$A$1:$A$49,0), MATCH(Data_orders!L$1,Data_products!$A$1:$G$1,0))</f>
        <v>33.464999999999996</v>
      </c>
      <c r="M473">
        <f t="shared" si="14"/>
        <v>133.85999999999999</v>
      </c>
      <c r="N473" t="str" cm="1">
        <f t="array" ref="N473">_xlfn.IFS(I473 = "Rob", "Robusta", I473 = "Exc", "Excelsa", I473 = "Ara", "Arabica", I473 = "Lib", "Liberica")</f>
        <v>Liberica</v>
      </c>
      <c r="O473" t="str">
        <f t="shared" si="15"/>
        <v>Medium</v>
      </c>
      <c r="P473" t="str">
        <f>_xlfn.XLOOKUP(Table1[[#This Row],[Customer ID]],Data_customers!$A$2:$A$1001,Data_customers!$I$2:$I$1001,,0)</f>
        <v>Yes</v>
      </c>
    </row>
    <row r="474" spans="1:16" x14ac:dyDescent="0.2">
      <c r="A474" s="2" t="s">
        <v>3158</v>
      </c>
      <c r="B474" s="3">
        <v>43869</v>
      </c>
      <c r="C474" s="2" t="s">
        <v>3159</v>
      </c>
      <c r="D474" t="s">
        <v>6154</v>
      </c>
      <c r="E474" s="2">
        <v>2</v>
      </c>
      <c r="F474" s="2" t="str">
        <f>_xlfn.XLOOKUP(Data_orders!C474,Data_customers!$A$1:$A$1001,Data_customers!$B$1:$B$1001,,0)</f>
        <v>Roxine Drivers</v>
      </c>
      <c r="G474" s="2" t="str">
        <f>IF(_xlfn.XLOOKUP(C474,Data_customers!$A$1:$A$1001,Data_customers!$C$1:$C$1001,,0)=0,"",_xlfn.XLOOKUP(C474,Data_customers!$A$1:$A$1001,Data_customers!$C$1:$C$1001,,0))</f>
        <v>rdriversd4@hexun.com</v>
      </c>
      <c r="H474" s="2" t="str">
        <f>_xlfn.XLOOKUP(C474,Data_customers!$A$1:$A$1001,Data_customers!$G$1:$G$1001,"",0)</f>
        <v>United States</v>
      </c>
      <c r="I474" t="str">
        <f>INDEX(Data_products!$A$1:$G$49, MATCH(Data_orders!$D474,Data_products!$A$1:$A$49,0), MATCH(Data_orders!I$1,Data_products!$A$1:$G$1,0))</f>
        <v>Ara</v>
      </c>
      <c r="J474" t="str">
        <f>INDEX(Data_products!$A$1:$G$49, MATCH(Data_orders!$D474,Data_products!$A$1:$A$49,0), MATCH(Data_orders!J$1,Data_products!$A$1:$G$1,0))</f>
        <v>D</v>
      </c>
      <c r="K474" s="4">
        <f>INDEX(Data_products!$A$1:$G$49, MATCH(Data_orders!$D474,Data_products!$A$1:$A$49,0), MATCH(Data_orders!K$1,Data_products!$A$1:$G$1,0))</f>
        <v>0.2</v>
      </c>
      <c r="L474">
        <f>INDEX(Data_products!$A$1:$G$49, MATCH(Data_orders!$D474,Data_products!$A$1:$A$49,0), MATCH(Data_orders!L$1,Data_products!$A$1:$G$1,0))</f>
        <v>2.9849999999999999</v>
      </c>
      <c r="M474">
        <f t="shared" si="14"/>
        <v>5.97</v>
      </c>
      <c r="N474" t="str" cm="1">
        <f t="array" ref="N474">_xlfn.IFS(I474 = "Rob", "Robusta", I474 = "Exc", "Excelsa", I474 = "Ara", "Arabica", I474 = "Lib", "Liberica")</f>
        <v>Arabica</v>
      </c>
      <c r="O474" t="str">
        <f t="shared" si="15"/>
        <v>Dark</v>
      </c>
      <c r="P474" t="str">
        <f>_xlfn.XLOOKUP(Table1[[#This Row],[Customer ID]],Data_customers!$A$2:$A$1001,Data_customers!$I$2:$I$1001,,0)</f>
        <v>No</v>
      </c>
    </row>
    <row r="475" spans="1:16" x14ac:dyDescent="0.2">
      <c r="A475" s="2" t="s">
        <v>3164</v>
      </c>
      <c r="B475" s="3">
        <v>44603</v>
      </c>
      <c r="C475" s="2" t="s">
        <v>3165</v>
      </c>
      <c r="D475" t="s">
        <v>6140</v>
      </c>
      <c r="E475" s="2">
        <v>2</v>
      </c>
      <c r="F475" s="2" t="str">
        <f>_xlfn.XLOOKUP(Data_orders!C475,Data_customers!$A$1:$A$1001,Data_customers!$B$1:$B$1001,,0)</f>
        <v>Heloise Zeal</v>
      </c>
      <c r="G475" s="2" t="str">
        <f>IF(_xlfn.XLOOKUP(C475,Data_customers!$A$1:$A$1001,Data_customers!$C$1:$C$1001,,0)=0,"",_xlfn.XLOOKUP(C475,Data_customers!$A$1:$A$1001,Data_customers!$C$1:$C$1001,,0))</f>
        <v>hzeald5@google.de</v>
      </c>
      <c r="H475" s="2" t="str">
        <f>_xlfn.XLOOKUP(C475,Data_customers!$A$1:$A$1001,Data_customers!$G$1:$G$1001,"",0)</f>
        <v>United States</v>
      </c>
      <c r="I475" t="str">
        <f>INDEX(Data_products!$A$1:$G$49, MATCH(Data_orders!$D475,Data_products!$A$1:$A$49,0), MATCH(Data_orders!I$1,Data_products!$A$1:$G$1,0))</f>
        <v>Ara</v>
      </c>
      <c r="J475" t="str">
        <f>INDEX(Data_products!$A$1:$G$49, MATCH(Data_orders!$D475,Data_products!$A$1:$A$49,0), MATCH(Data_orders!J$1,Data_products!$A$1:$G$1,0))</f>
        <v>L</v>
      </c>
      <c r="K475" s="4">
        <f>INDEX(Data_products!$A$1:$G$49, MATCH(Data_orders!$D475,Data_products!$A$1:$A$49,0), MATCH(Data_orders!K$1,Data_products!$A$1:$G$1,0))</f>
        <v>1</v>
      </c>
      <c r="L475">
        <f>INDEX(Data_products!$A$1:$G$49, MATCH(Data_orders!$D475,Data_products!$A$1:$A$49,0), MATCH(Data_orders!L$1,Data_products!$A$1:$G$1,0))</f>
        <v>12.95</v>
      </c>
      <c r="M475">
        <f t="shared" si="14"/>
        <v>25.9</v>
      </c>
      <c r="N475" t="str" cm="1">
        <f t="array" ref="N475">_xlfn.IFS(I475 = "Rob", "Robusta", I475 = "Exc", "Excelsa", I475 = "Ara", "Arabica", I475 = "Lib", "Liberica")</f>
        <v>Arabica</v>
      </c>
      <c r="O475" t="str">
        <f t="shared" si="15"/>
        <v>Light</v>
      </c>
      <c r="P475" t="str">
        <f>_xlfn.XLOOKUP(Table1[[#This Row],[Customer ID]],Data_customers!$A$2:$A$1001,Data_customers!$I$2:$I$1001,,0)</f>
        <v>No</v>
      </c>
    </row>
    <row r="476" spans="1:16" x14ac:dyDescent="0.2">
      <c r="A476" s="2" t="s">
        <v>3170</v>
      </c>
      <c r="B476" s="3">
        <v>44014</v>
      </c>
      <c r="C476" s="2" t="s">
        <v>3171</v>
      </c>
      <c r="D476" t="s">
        <v>6166</v>
      </c>
      <c r="E476" s="2">
        <v>1</v>
      </c>
      <c r="F476" s="2" t="str">
        <f>_xlfn.XLOOKUP(Data_orders!C476,Data_customers!$A$1:$A$1001,Data_customers!$B$1:$B$1001,,0)</f>
        <v>Granger Smallcombe</v>
      </c>
      <c r="G476" s="2" t="str">
        <f>IF(_xlfn.XLOOKUP(C476,Data_customers!$A$1:$A$1001,Data_customers!$C$1:$C$1001,,0)=0,"",_xlfn.XLOOKUP(C476,Data_customers!$A$1:$A$1001,Data_customers!$C$1:$C$1001,,0))</f>
        <v>gsmallcombed6@ucla.edu</v>
      </c>
      <c r="H476" s="2" t="str">
        <f>_xlfn.XLOOKUP(C476,Data_customers!$A$1:$A$1001,Data_customers!$G$1:$G$1001,"",0)</f>
        <v>Ireland</v>
      </c>
      <c r="I476" t="str">
        <f>INDEX(Data_products!$A$1:$G$49, MATCH(Data_orders!$D476,Data_products!$A$1:$A$49,0), MATCH(Data_orders!I$1,Data_products!$A$1:$G$1,0))</f>
        <v>Exc</v>
      </c>
      <c r="J476" t="str">
        <f>INDEX(Data_products!$A$1:$G$49, MATCH(Data_orders!$D476,Data_products!$A$1:$A$49,0), MATCH(Data_orders!J$1,Data_products!$A$1:$G$1,0))</f>
        <v>M</v>
      </c>
      <c r="K476" s="4">
        <f>INDEX(Data_products!$A$1:$G$49, MATCH(Data_orders!$D476,Data_products!$A$1:$A$49,0), MATCH(Data_orders!K$1,Data_products!$A$1:$G$1,0))</f>
        <v>2.5</v>
      </c>
      <c r="L476">
        <f>INDEX(Data_products!$A$1:$G$49, MATCH(Data_orders!$D476,Data_products!$A$1:$A$49,0), MATCH(Data_orders!L$1,Data_products!$A$1:$G$1,0))</f>
        <v>31.624999999999996</v>
      </c>
      <c r="M476">
        <f t="shared" si="14"/>
        <v>31.624999999999996</v>
      </c>
      <c r="N476" t="str" cm="1">
        <f t="array" ref="N476">_xlfn.IFS(I476 = "Rob", "Robusta", I476 = "Exc", "Excelsa", I476 = "Ara", "Arabica", I476 = "Lib", "Liberica")</f>
        <v>Excelsa</v>
      </c>
      <c r="O476" t="str">
        <f t="shared" si="15"/>
        <v>Medium</v>
      </c>
      <c r="P476" t="str">
        <f>_xlfn.XLOOKUP(Table1[[#This Row],[Customer ID]],Data_customers!$A$2:$A$1001,Data_customers!$I$2:$I$1001,,0)</f>
        <v>Yes</v>
      </c>
    </row>
    <row r="477" spans="1:16" x14ac:dyDescent="0.2">
      <c r="A477" s="2" t="s">
        <v>3176</v>
      </c>
      <c r="B477" s="3">
        <v>44767</v>
      </c>
      <c r="C477" s="2" t="s">
        <v>3177</v>
      </c>
      <c r="D477" t="s">
        <v>6159</v>
      </c>
      <c r="E477" s="2">
        <v>2</v>
      </c>
      <c r="F477" s="2" t="str">
        <f>_xlfn.XLOOKUP(Data_orders!C477,Data_customers!$A$1:$A$1001,Data_customers!$B$1:$B$1001,,0)</f>
        <v>Daryn Dibley</v>
      </c>
      <c r="G477" s="2" t="str">
        <f>IF(_xlfn.XLOOKUP(C477,Data_customers!$A$1:$A$1001,Data_customers!$C$1:$C$1001,,0)=0,"",_xlfn.XLOOKUP(C477,Data_customers!$A$1:$A$1001,Data_customers!$C$1:$C$1001,,0))</f>
        <v>ddibleyd7@feedburner.com</v>
      </c>
      <c r="H477" s="2" t="str">
        <f>_xlfn.XLOOKUP(C477,Data_customers!$A$1:$A$1001,Data_customers!$G$1:$G$1001,"",0)</f>
        <v>United States</v>
      </c>
      <c r="I477" t="str">
        <f>INDEX(Data_products!$A$1:$G$49, MATCH(Data_orders!$D477,Data_products!$A$1:$A$49,0), MATCH(Data_orders!I$1,Data_products!$A$1:$G$1,0))</f>
        <v>Lib</v>
      </c>
      <c r="J477" t="str">
        <f>INDEX(Data_products!$A$1:$G$49, MATCH(Data_orders!$D477,Data_products!$A$1:$A$49,0), MATCH(Data_orders!J$1,Data_products!$A$1:$G$1,0))</f>
        <v>M</v>
      </c>
      <c r="K477" s="4">
        <f>INDEX(Data_products!$A$1:$G$49, MATCH(Data_orders!$D477,Data_products!$A$1:$A$49,0), MATCH(Data_orders!K$1,Data_products!$A$1:$G$1,0))</f>
        <v>0.2</v>
      </c>
      <c r="L477">
        <f>INDEX(Data_products!$A$1:$G$49, MATCH(Data_orders!$D477,Data_products!$A$1:$A$49,0), MATCH(Data_orders!L$1,Data_products!$A$1:$G$1,0))</f>
        <v>4.3650000000000002</v>
      </c>
      <c r="M477">
        <f t="shared" si="14"/>
        <v>8.73</v>
      </c>
      <c r="N477" t="str" cm="1">
        <f t="array" ref="N477">_xlfn.IFS(I477 = "Rob", "Robusta", I477 = "Exc", "Excelsa", I477 = "Ara", "Arabica", I477 = "Lib", "Liberica")</f>
        <v>Liberica</v>
      </c>
      <c r="O477" t="str">
        <f t="shared" si="15"/>
        <v>Medium</v>
      </c>
      <c r="P477" t="str">
        <f>_xlfn.XLOOKUP(Table1[[#This Row],[Customer ID]],Data_customers!$A$2:$A$1001,Data_customers!$I$2:$I$1001,,0)</f>
        <v>No</v>
      </c>
    </row>
    <row r="478" spans="1:16" x14ac:dyDescent="0.2">
      <c r="A478" s="2" t="s">
        <v>3181</v>
      </c>
      <c r="B478" s="3">
        <v>44274</v>
      </c>
      <c r="C478" s="2" t="s">
        <v>3182</v>
      </c>
      <c r="D478" t="s">
        <v>6184</v>
      </c>
      <c r="E478" s="2">
        <v>6</v>
      </c>
      <c r="F478" s="2" t="str">
        <f>_xlfn.XLOOKUP(Data_orders!C478,Data_customers!$A$1:$A$1001,Data_customers!$B$1:$B$1001,,0)</f>
        <v>Gardy Dimitriou</v>
      </c>
      <c r="G478" s="2" t="str">
        <f>IF(_xlfn.XLOOKUP(C478,Data_customers!$A$1:$A$1001,Data_customers!$C$1:$C$1001,,0)=0,"",_xlfn.XLOOKUP(C478,Data_customers!$A$1:$A$1001,Data_customers!$C$1:$C$1001,,0))</f>
        <v>gdimitrioud8@chronoengine.com</v>
      </c>
      <c r="H478" s="2" t="str">
        <f>_xlfn.XLOOKUP(C478,Data_customers!$A$1:$A$1001,Data_customers!$G$1:$G$1001,"",0)</f>
        <v>United States</v>
      </c>
      <c r="I478" t="str">
        <f>INDEX(Data_products!$A$1:$G$49, MATCH(Data_orders!$D478,Data_products!$A$1:$A$49,0), MATCH(Data_orders!I$1,Data_products!$A$1:$G$1,0))</f>
        <v>Exc</v>
      </c>
      <c r="J478" t="str">
        <f>INDEX(Data_products!$A$1:$G$49, MATCH(Data_orders!$D478,Data_products!$A$1:$A$49,0), MATCH(Data_orders!J$1,Data_products!$A$1:$G$1,0))</f>
        <v>L</v>
      </c>
      <c r="K478" s="4">
        <f>INDEX(Data_products!$A$1:$G$49, MATCH(Data_orders!$D478,Data_products!$A$1:$A$49,0), MATCH(Data_orders!K$1,Data_products!$A$1:$G$1,0))</f>
        <v>0.2</v>
      </c>
      <c r="L478">
        <f>INDEX(Data_products!$A$1:$G$49, MATCH(Data_orders!$D478,Data_products!$A$1:$A$49,0), MATCH(Data_orders!L$1,Data_products!$A$1:$G$1,0))</f>
        <v>4.4550000000000001</v>
      </c>
      <c r="M478">
        <f t="shared" si="14"/>
        <v>26.73</v>
      </c>
      <c r="N478" t="str" cm="1">
        <f t="array" ref="N478">_xlfn.IFS(I478 = "Rob", "Robusta", I478 = "Exc", "Excelsa", I478 = "Ara", "Arabica", I478 = "Lib", "Liberica")</f>
        <v>Excelsa</v>
      </c>
      <c r="O478" t="str">
        <f t="shared" si="15"/>
        <v>Light</v>
      </c>
      <c r="P478" t="str">
        <f>_xlfn.XLOOKUP(Table1[[#This Row],[Customer ID]],Data_customers!$A$2:$A$1001,Data_customers!$I$2:$I$1001,,0)</f>
        <v>Yes</v>
      </c>
    </row>
    <row r="479" spans="1:16" x14ac:dyDescent="0.2">
      <c r="A479" s="2" t="s">
        <v>3187</v>
      </c>
      <c r="B479" s="3">
        <v>43962</v>
      </c>
      <c r="C479" s="2" t="s">
        <v>3188</v>
      </c>
      <c r="D479" t="s">
        <v>6159</v>
      </c>
      <c r="E479" s="2">
        <v>6</v>
      </c>
      <c r="F479" s="2" t="str">
        <f>_xlfn.XLOOKUP(Data_orders!C479,Data_customers!$A$1:$A$1001,Data_customers!$B$1:$B$1001,,0)</f>
        <v>Fanny Flanagan</v>
      </c>
      <c r="G479" s="2" t="str">
        <f>IF(_xlfn.XLOOKUP(C479,Data_customers!$A$1:$A$1001,Data_customers!$C$1:$C$1001,,0)=0,"",_xlfn.XLOOKUP(C479,Data_customers!$A$1:$A$1001,Data_customers!$C$1:$C$1001,,0))</f>
        <v>fflanagand9@woothemes.com</v>
      </c>
      <c r="H479" s="2" t="str">
        <f>_xlfn.XLOOKUP(C479,Data_customers!$A$1:$A$1001,Data_customers!$G$1:$G$1001,"",0)</f>
        <v>United States</v>
      </c>
      <c r="I479" t="str">
        <f>INDEX(Data_products!$A$1:$G$49, MATCH(Data_orders!$D479,Data_products!$A$1:$A$49,0), MATCH(Data_orders!I$1,Data_products!$A$1:$G$1,0))</f>
        <v>Lib</v>
      </c>
      <c r="J479" t="str">
        <f>INDEX(Data_products!$A$1:$G$49, MATCH(Data_orders!$D479,Data_products!$A$1:$A$49,0), MATCH(Data_orders!J$1,Data_products!$A$1:$G$1,0))</f>
        <v>M</v>
      </c>
      <c r="K479" s="4">
        <f>INDEX(Data_products!$A$1:$G$49, MATCH(Data_orders!$D479,Data_products!$A$1:$A$49,0), MATCH(Data_orders!K$1,Data_products!$A$1:$G$1,0))</f>
        <v>0.2</v>
      </c>
      <c r="L479">
        <f>INDEX(Data_products!$A$1:$G$49, MATCH(Data_orders!$D479,Data_products!$A$1:$A$49,0), MATCH(Data_orders!L$1,Data_products!$A$1:$G$1,0))</f>
        <v>4.3650000000000002</v>
      </c>
      <c r="M479">
        <f t="shared" si="14"/>
        <v>26.19</v>
      </c>
      <c r="N479" t="str" cm="1">
        <f t="array" ref="N479">_xlfn.IFS(I479 = "Rob", "Robusta", I479 = "Exc", "Excelsa", I479 = "Ara", "Arabica", I479 = "Lib", "Liberica")</f>
        <v>Liberica</v>
      </c>
      <c r="O479" t="str">
        <f t="shared" si="15"/>
        <v>Medium</v>
      </c>
      <c r="P479" t="str">
        <f>_xlfn.XLOOKUP(Table1[[#This Row],[Customer ID]],Data_customers!$A$2:$A$1001,Data_customers!$I$2:$I$1001,,0)</f>
        <v>No</v>
      </c>
    </row>
    <row r="480" spans="1:16" x14ac:dyDescent="0.2">
      <c r="A480" s="2" t="s">
        <v>3193</v>
      </c>
      <c r="B480" s="3">
        <v>43624</v>
      </c>
      <c r="C480" s="2" t="s">
        <v>3194</v>
      </c>
      <c r="D480" t="s">
        <v>6177</v>
      </c>
      <c r="E480" s="2">
        <v>6</v>
      </c>
      <c r="F480" s="2" t="str">
        <f>_xlfn.XLOOKUP(Data_orders!C480,Data_customers!$A$1:$A$1001,Data_customers!$B$1:$B$1001,,0)</f>
        <v>Ailey Brash</v>
      </c>
      <c r="G480" s="2" t="str">
        <f>IF(_xlfn.XLOOKUP(C480,Data_customers!$A$1:$A$1001,Data_customers!$C$1:$C$1001,,0)=0,"",_xlfn.XLOOKUP(C480,Data_customers!$A$1:$A$1001,Data_customers!$C$1:$C$1001,,0))</f>
        <v>abrashda@plala.or.jp</v>
      </c>
      <c r="H480" s="2" t="str">
        <f>_xlfn.XLOOKUP(C480,Data_customers!$A$1:$A$1001,Data_customers!$G$1:$G$1001,"",0)</f>
        <v>United States</v>
      </c>
      <c r="I480" t="str">
        <f>INDEX(Data_products!$A$1:$G$49, MATCH(Data_orders!$D480,Data_products!$A$1:$A$49,0), MATCH(Data_orders!I$1,Data_products!$A$1:$G$1,0))</f>
        <v>Rob</v>
      </c>
      <c r="J480" t="str">
        <f>INDEX(Data_products!$A$1:$G$49, MATCH(Data_orders!$D480,Data_products!$A$1:$A$49,0), MATCH(Data_orders!J$1,Data_products!$A$1:$G$1,0))</f>
        <v>D</v>
      </c>
      <c r="K480" s="4">
        <f>INDEX(Data_products!$A$1:$G$49, MATCH(Data_orders!$D480,Data_products!$A$1:$A$49,0), MATCH(Data_orders!K$1,Data_products!$A$1:$G$1,0))</f>
        <v>1</v>
      </c>
      <c r="L480">
        <f>INDEX(Data_products!$A$1:$G$49, MATCH(Data_orders!$D480,Data_products!$A$1:$A$49,0), MATCH(Data_orders!L$1,Data_products!$A$1:$G$1,0))</f>
        <v>8.9499999999999993</v>
      </c>
      <c r="M480">
        <f t="shared" si="14"/>
        <v>53.699999999999996</v>
      </c>
      <c r="N480" t="str" cm="1">
        <f t="array" ref="N480">_xlfn.IFS(I480 = "Rob", "Robusta", I480 = "Exc", "Excelsa", I480 = "Ara", "Arabica", I480 = "Lib", "Liberica")</f>
        <v>Robusta</v>
      </c>
      <c r="O480" t="str">
        <f t="shared" si="15"/>
        <v>Dark</v>
      </c>
      <c r="P480" t="str">
        <f>_xlfn.XLOOKUP(Table1[[#This Row],[Customer ID]],Data_customers!$A$2:$A$1001,Data_customers!$I$2:$I$1001,,0)</f>
        <v>Yes</v>
      </c>
    </row>
    <row r="481" spans="1:16" x14ac:dyDescent="0.2">
      <c r="A481" s="2" t="s">
        <v>3193</v>
      </c>
      <c r="B481" s="3">
        <v>43624</v>
      </c>
      <c r="C481" s="2" t="s">
        <v>3194</v>
      </c>
      <c r="D481" t="s">
        <v>6166</v>
      </c>
      <c r="E481" s="2">
        <v>4</v>
      </c>
      <c r="F481" s="2" t="str">
        <f>_xlfn.XLOOKUP(Data_orders!C481,Data_customers!$A$1:$A$1001,Data_customers!$B$1:$B$1001,,0)</f>
        <v>Ailey Brash</v>
      </c>
      <c r="G481" s="2" t="str">
        <f>IF(_xlfn.XLOOKUP(C481,Data_customers!$A$1:$A$1001,Data_customers!$C$1:$C$1001,,0)=0,"",_xlfn.XLOOKUP(C481,Data_customers!$A$1:$A$1001,Data_customers!$C$1:$C$1001,,0))</f>
        <v>abrashda@plala.or.jp</v>
      </c>
      <c r="H481" s="2" t="str">
        <f>_xlfn.XLOOKUP(C481,Data_customers!$A$1:$A$1001,Data_customers!$G$1:$G$1001,"",0)</f>
        <v>United States</v>
      </c>
      <c r="I481" t="str">
        <f>INDEX(Data_products!$A$1:$G$49, MATCH(Data_orders!$D481,Data_products!$A$1:$A$49,0), MATCH(Data_orders!I$1,Data_products!$A$1:$G$1,0))</f>
        <v>Exc</v>
      </c>
      <c r="J481" t="str">
        <f>INDEX(Data_products!$A$1:$G$49, MATCH(Data_orders!$D481,Data_products!$A$1:$A$49,0), MATCH(Data_orders!J$1,Data_products!$A$1:$G$1,0))</f>
        <v>M</v>
      </c>
      <c r="K481" s="4">
        <f>INDEX(Data_products!$A$1:$G$49, MATCH(Data_orders!$D481,Data_products!$A$1:$A$49,0), MATCH(Data_orders!K$1,Data_products!$A$1:$G$1,0))</f>
        <v>2.5</v>
      </c>
      <c r="L481">
        <f>INDEX(Data_products!$A$1:$G$49, MATCH(Data_orders!$D481,Data_products!$A$1:$A$49,0), MATCH(Data_orders!L$1,Data_products!$A$1:$G$1,0))</f>
        <v>31.624999999999996</v>
      </c>
      <c r="M481">
        <f t="shared" si="14"/>
        <v>126.49999999999999</v>
      </c>
      <c r="N481" t="str" cm="1">
        <f t="array" ref="N481">_xlfn.IFS(I481 = "Rob", "Robusta", I481 = "Exc", "Excelsa", I481 = "Ara", "Arabica", I481 = "Lib", "Liberica")</f>
        <v>Excelsa</v>
      </c>
      <c r="O481" t="str">
        <f t="shared" si="15"/>
        <v>Medium</v>
      </c>
      <c r="P481" t="str">
        <f>_xlfn.XLOOKUP(Table1[[#This Row],[Customer ID]],Data_customers!$A$2:$A$1001,Data_customers!$I$2:$I$1001,,0)</f>
        <v>Yes</v>
      </c>
    </row>
    <row r="482" spans="1:16" x14ac:dyDescent="0.2">
      <c r="A482" s="2" t="s">
        <v>3193</v>
      </c>
      <c r="B482" s="3">
        <v>43624</v>
      </c>
      <c r="C482" s="2" t="s">
        <v>3194</v>
      </c>
      <c r="D482" t="s">
        <v>6156</v>
      </c>
      <c r="E482" s="2">
        <v>1</v>
      </c>
      <c r="F482" s="2" t="str">
        <f>_xlfn.XLOOKUP(Data_orders!C482,Data_customers!$A$1:$A$1001,Data_customers!$B$1:$B$1001,,0)</f>
        <v>Ailey Brash</v>
      </c>
      <c r="G482" s="2" t="str">
        <f>IF(_xlfn.XLOOKUP(C482,Data_customers!$A$1:$A$1001,Data_customers!$C$1:$C$1001,,0)=0,"",_xlfn.XLOOKUP(C482,Data_customers!$A$1:$A$1001,Data_customers!$C$1:$C$1001,,0))</f>
        <v>abrashda@plala.or.jp</v>
      </c>
      <c r="H482" s="2" t="str">
        <f>_xlfn.XLOOKUP(C482,Data_customers!$A$1:$A$1001,Data_customers!$G$1:$G$1001,"",0)</f>
        <v>United States</v>
      </c>
      <c r="I482" t="str">
        <f>INDEX(Data_products!$A$1:$G$49, MATCH(Data_orders!$D482,Data_products!$A$1:$A$49,0), MATCH(Data_orders!I$1,Data_products!$A$1:$G$1,0))</f>
        <v>Exc</v>
      </c>
      <c r="J482" t="str">
        <f>INDEX(Data_products!$A$1:$G$49, MATCH(Data_orders!$D482,Data_products!$A$1:$A$49,0), MATCH(Data_orders!J$1,Data_products!$A$1:$G$1,0))</f>
        <v>M</v>
      </c>
      <c r="K482" s="4">
        <f>INDEX(Data_products!$A$1:$G$49, MATCH(Data_orders!$D482,Data_products!$A$1:$A$49,0), MATCH(Data_orders!K$1,Data_products!$A$1:$G$1,0))</f>
        <v>0.2</v>
      </c>
      <c r="L482">
        <f>INDEX(Data_products!$A$1:$G$49, MATCH(Data_orders!$D482,Data_products!$A$1:$A$49,0), MATCH(Data_orders!L$1,Data_products!$A$1:$G$1,0))</f>
        <v>4.125</v>
      </c>
      <c r="M482">
        <f t="shared" si="14"/>
        <v>4.125</v>
      </c>
      <c r="N482" t="str" cm="1">
        <f t="array" ref="N482">_xlfn.IFS(I482 = "Rob", "Robusta", I482 = "Exc", "Excelsa", I482 = "Ara", "Arabica", I482 = "Lib", "Liberica")</f>
        <v>Excelsa</v>
      </c>
      <c r="O482" t="str">
        <f t="shared" si="15"/>
        <v>Medium</v>
      </c>
      <c r="P482" t="str">
        <f>_xlfn.XLOOKUP(Table1[[#This Row],[Customer ID]],Data_customers!$A$2:$A$1001,Data_customers!$I$2:$I$1001,,0)</f>
        <v>Yes</v>
      </c>
    </row>
    <row r="483" spans="1:16" x14ac:dyDescent="0.2">
      <c r="A483" s="2" t="s">
        <v>3208</v>
      </c>
      <c r="B483" s="3">
        <v>43747</v>
      </c>
      <c r="C483" s="2" t="s">
        <v>3209</v>
      </c>
      <c r="D483" t="s">
        <v>6179</v>
      </c>
      <c r="E483" s="2">
        <v>2</v>
      </c>
      <c r="F483" s="2" t="str">
        <f>_xlfn.XLOOKUP(Data_orders!C483,Data_customers!$A$1:$A$1001,Data_customers!$B$1:$B$1001,,0)</f>
        <v>Nanny Izhakov</v>
      </c>
      <c r="G483" s="2" t="str">
        <f>IF(_xlfn.XLOOKUP(C483,Data_customers!$A$1:$A$1001,Data_customers!$C$1:$C$1001,,0)=0,"",_xlfn.XLOOKUP(C483,Data_customers!$A$1:$A$1001,Data_customers!$C$1:$C$1001,,0))</f>
        <v>nizhakovdd@aol.com</v>
      </c>
      <c r="H483" s="2" t="str">
        <f>_xlfn.XLOOKUP(C483,Data_customers!$A$1:$A$1001,Data_customers!$G$1:$G$1001,"",0)</f>
        <v>United Kingdom</v>
      </c>
      <c r="I483" t="str">
        <f>INDEX(Data_products!$A$1:$G$49, MATCH(Data_orders!$D483,Data_products!$A$1:$A$49,0), MATCH(Data_orders!I$1,Data_products!$A$1:$G$1,0))</f>
        <v>Rob</v>
      </c>
      <c r="J483" t="str">
        <f>INDEX(Data_products!$A$1:$G$49, MATCH(Data_orders!$D483,Data_products!$A$1:$A$49,0), MATCH(Data_orders!J$1,Data_products!$A$1:$G$1,0))</f>
        <v>L</v>
      </c>
      <c r="K483" s="4">
        <f>INDEX(Data_products!$A$1:$G$49, MATCH(Data_orders!$D483,Data_products!$A$1:$A$49,0), MATCH(Data_orders!K$1,Data_products!$A$1:$G$1,0))</f>
        <v>1</v>
      </c>
      <c r="L483">
        <f>INDEX(Data_products!$A$1:$G$49, MATCH(Data_orders!$D483,Data_products!$A$1:$A$49,0), MATCH(Data_orders!L$1,Data_products!$A$1:$G$1,0))</f>
        <v>11.95</v>
      </c>
      <c r="M483">
        <f t="shared" si="14"/>
        <v>23.9</v>
      </c>
      <c r="N483" t="str" cm="1">
        <f t="array" ref="N483">_xlfn.IFS(I483 = "Rob", "Robusta", I483 = "Exc", "Excelsa", I483 = "Ara", "Arabica", I483 = "Lib", "Liberica")</f>
        <v>Robusta</v>
      </c>
      <c r="O483" t="str">
        <f t="shared" si="15"/>
        <v>Light</v>
      </c>
      <c r="P483" t="str">
        <f>_xlfn.XLOOKUP(Table1[[#This Row],[Customer ID]],Data_customers!$A$2:$A$1001,Data_customers!$I$2:$I$1001,,0)</f>
        <v>No</v>
      </c>
    </row>
    <row r="484" spans="1:16" x14ac:dyDescent="0.2">
      <c r="A484" s="2" t="s">
        <v>3214</v>
      </c>
      <c r="B484" s="3">
        <v>44247</v>
      </c>
      <c r="C484" s="2" t="s">
        <v>3215</v>
      </c>
      <c r="D484" t="s">
        <v>6185</v>
      </c>
      <c r="E484" s="2">
        <v>5</v>
      </c>
      <c r="F484" s="2" t="str">
        <f>_xlfn.XLOOKUP(Data_orders!C484,Data_customers!$A$1:$A$1001,Data_customers!$B$1:$B$1001,,0)</f>
        <v>Stanly Keets</v>
      </c>
      <c r="G484" s="2" t="str">
        <f>IF(_xlfn.XLOOKUP(C484,Data_customers!$A$1:$A$1001,Data_customers!$C$1:$C$1001,,0)=0,"",_xlfn.XLOOKUP(C484,Data_customers!$A$1:$A$1001,Data_customers!$C$1:$C$1001,,0))</f>
        <v>skeetsde@answers.com</v>
      </c>
      <c r="H484" s="2" t="str">
        <f>_xlfn.XLOOKUP(C484,Data_customers!$A$1:$A$1001,Data_customers!$G$1:$G$1001,"",0)</f>
        <v>United States</v>
      </c>
      <c r="I484" t="str">
        <f>INDEX(Data_products!$A$1:$G$49, MATCH(Data_orders!$D484,Data_products!$A$1:$A$49,0), MATCH(Data_orders!I$1,Data_products!$A$1:$G$1,0))</f>
        <v>Exc</v>
      </c>
      <c r="J484" t="str">
        <f>INDEX(Data_products!$A$1:$G$49, MATCH(Data_orders!$D484,Data_products!$A$1:$A$49,0), MATCH(Data_orders!J$1,Data_products!$A$1:$G$1,0))</f>
        <v>D</v>
      </c>
      <c r="K484" s="4">
        <f>INDEX(Data_products!$A$1:$G$49, MATCH(Data_orders!$D484,Data_products!$A$1:$A$49,0), MATCH(Data_orders!K$1,Data_products!$A$1:$G$1,0))</f>
        <v>2.5</v>
      </c>
      <c r="L484">
        <f>INDEX(Data_products!$A$1:$G$49, MATCH(Data_orders!$D484,Data_products!$A$1:$A$49,0), MATCH(Data_orders!L$1,Data_products!$A$1:$G$1,0))</f>
        <v>27.945</v>
      </c>
      <c r="M484">
        <f t="shared" si="14"/>
        <v>139.72499999999999</v>
      </c>
      <c r="N484" t="str" cm="1">
        <f t="array" ref="N484">_xlfn.IFS(I484 = "Rob", "Robusta", I484 = "Exc", "Excelsa", I484 = "Ara", "Arabica", I484 = "Lib", "Liberica")</f>
        <v>Excelsa</v>
      </c>
      <c r="O484" t="str">
        <f t="shared" si="15"/>
        <v>Dark</v>
      </c>
      <c r="P484" t="str">
        <f>_xlfn.XLOOKUP(Table1[[#This Row],[Customer ID]],Data_customers!$A$2:$A$1001,Data_customers!$I$2:$I$1001,,0)</f>
        <v>Yes</v>
      </c>
    </row>
    <row r="485" spans="1:16" x14ac:dyDescent="0.2">
      <c r="A485" s="2" t="s">
        <v>3220</v>
      </c>
      <c r="B485" s="3">
        <v>43790</v>
      </c>
      <c r="C485" s="2" t="s">
        <v>3221</v>
      </c>
      <c r="D485" t="s">
        <v>6165</v>
      </c>
      <c r="E485" s="2">
        <v>2</v>
      </c>
      <c r="F485" s="2" t="str">
        <f>_xlfn.XLOOKUP(Data_orders!C485,Data_customers!$A$1:$A$1001,Data_customers!$B$1:$B$1001,,0)</f>
        <v>Orion Dyott</v>
      </c>
      <c r="G485" s="2" t="str">
        <f>IF(_xlfn.XLOOKUP(C485,Data_customers!$A$1:$A$1001,Data_customers!$C$1:$C$1001,,0)=0,"",_xlfn.XLOOKUP(C485,Data_customers!$A$1:$A$1001,Data_customers!$C$1:$C$1001,,0))</f>
        <v/>
      </c>
      <c r="H485" s="2" t="str">
        <f>_xlfn.XLOOKUP(C485,Data_customers!$A$1:$A$1001,Data_customers!$G$1:$G$1001,"",0)</f>
        <v>United States</v>
      </c>
      <c r="I485" t="str">
        <f>INDEX(Data_products!$A$1:$G$49, MATCH(Data_orders!$D485,Data_products!$A$1:$A$49,0), MATCH(Data_orders!I$1,Data_products!$A$1:$G$1,0))</f>
        <v>Lib</v>
      </c>
      <c r="J485" t="str">
        <f>INDEX(Data_products!$A$1:$G$49, MATCH(Data_orders!$D485,Data_products!$A$1:$A$49,0), MATCH(Data_orders!J$1,Data_products!$A$1:$G$1,0))</f>
        <v>D</v>
      </c>
      <c r="K485" s="4">
        <f>INDEX(Data_products!$A$1:$G$49, MATCH(Data_orders!$D485,Data_products!$A$1:$A$49,0), MATCH(Data_orders!K$1,Data_products!$A$1:$G$1,0))</f>
        <v>2.5</v>
      </c>
      <c r="L485">
        <f>INDEX(Data_products!$A$1:$G$49, MATCH(Data_orders!$D485,Data_products!$A$1:$A$49,0), MATCH(Data_orders!L$1,Data_products!$A$1:$G$1,0))</f>
        <v>29.784999999999997</v>
      </c>
      <c r="M485">
        <f t="shared" si="14"/>
        <v>59.569999999999993</v>
      </c>
      <c r="N485" t="str" cm="1">
        <f t="array" ref="N485">_xlfn.IFS(I485 = "Rob", "Robusta", I485 = "Exc", "Excelsa", I485 = "Ara", "Arabica", I485 = "Lib", "Liberica")</f>
        <v>Liberica</v>
      </c>
      <c r="O485" t="str">
        <f t="shared" si="15"/>
        <v>Dark</v>
      </c>
      <c r="P485" t="str">
        <f>_xlfn.XLOOKUP(Table1[[#This Row],[Customer ID]],Data_customers!$A$2:$A$1001,Data_customers!$I$2:$I$1001,,0)</f>
        <v>Yes</v>
      </c>
    </row>
    <row r="486" spans="1:16" x14ac:dyDescent="0.2">
      <c r="A486" s="2" t="s">
        <v>3225</v>
      </c>
      <c r="B486" s="3">
        <v>44479</v>
      </c>
      <c r="C486" s="2" t="s">
        <v>3226</v>
      </c>
      <c r="D486" t="s">
        <v>6161</v>
      </c>
      <c r="E486" s="2">
        <v>6</v>
      </c>
      <c r="F486" s="2" t="str">
        <f>_xlfn.XLOOKUP(Data_orders!C486,Data_customers!$A$1:$A$1001,Data_customers!$B$1:$B$1001,,0)</f>
        <v>Keefer Cake</v>
      </c>
      <c r="G486" s="2" t="str">
        <f>IF(_xlfn.XLOOKUP(C486,Data_customers!$A$1:$A$1001,Data_customers!$C$1:$C$1001,,0)=0,"",_xlfn.XLOOKUP(C486,Data_customers!$A$1:$A$1001,Data_customers!$C$1:$C$1001,,0))</f>
        <v>kcakedg@huffingtonpost.com</v>
      </c>
      <c r="H486" s="2" t="str">
        <f>_xlfn.XLOOKUP(C486,Data_customers!$A$1:$A$1001,Data_customers!$G$1:$G$1001,"",0)</f>
        <v>United States</v>
      </c>
      <c r="I486" t="str">
        <f>INDEX(Data_products!$A$1:$G$49, MATCH(Data_orders!$D486,Data_products!$A$1:$A$49,0), MATCH(Data_orders!I$1,Data_products!$A$1:$G$1,0))</f>
        <v>Lib</v>
      </c>
      <c r="J486" t="str">
        <f>INDEX(Data_products!$A$1:$G$49, MATCH(Data_orders!$D486,Data_products!$A$1:$A$49,0), MATCH(Data_orders!J$1,Data_products!$A$1:$G$1,0))</f>
        <v>L</v>
      </c>
      <c r="K486" s="4">
        <f>INDEX(Data_products!$A$1:$G$49, MATCH(Data_orders!$D486,Data_products!$A$1:$A$49,0), MATCH(Data_orders!K$1,Data_products!$A$1:$G$1,0))</f>
        <v>0.5</v>
      </c>
      <c r="L486">
        <f>INDEX(Data_products!$A$1:$G$49, MATCH(Data_orders!$D486,Data_products!$A$1:$A$49,0), MATCH(Data_orders!L$1,Data_products!$A$1:$G$1,0))</f>
        <v>9.51</v>
      </c>
      <c r="M486">
        <f t="shared" si="14"/>
        <v>57.06</v>
      </c>
      <c r="N486" t="str" cm="1">
        <f t="array" ref="N486">_xlfn.IFS(I486 = "Rob", "Robusta", I486 = "Exc", "Excelsa", I486 = "Ara", "Arabica", I486 = "Lib", "Liberica")</f>
        <v>Liberica</v>
      </c>
      <c r="O486" t="str">
        <f t="shared" si="15"/>
        <v>Light</v>
      </c>
      <c r="P486" t="str">
        <f>_xlfn.XLOOKUP(Table1[[#This Row],[Customer ID]],Data_customers!$A$2:$A$1001,Data_customers!$I$2:$I$1001,,0)</f>
        <v>No</v>
      </c>
    </row>
    <row r="487" spans="1:16" x14ac:dyDescent="0.2">
      <c r="A487" s="2" t="s">
        <v>3230</v>
      </c>
      <c r="B487" s="3">
        <v>44413</v>
      </c>
      <c r="C487" s="2" t="s">
        <v>3231</v>
      </c>
      <c r="D487" t="s">
        <v>6178</v>
      </c>
      <c r="E487" s="2">
        <v>6</v>
      </c>
      <c r="F487" s="2" t="str">
        <f>_xlfn.XLOOKUP(Data_orders!C487,Data_customers!$A$1:$A$1001,Data_customers!$B$1:$B$1001,,0)</f>
        <v>Morna Hansed</v>
      </c>
      <c r="G487" s="2" t="str">
        <f>IF(_xlfn.XLOOKUP(C487,Data_customers!$A$1:$A$1001,Data_customers!$C$1:$C$1001,,0)=0,"",_xlfn.XLOOKUP(C487,Data_customers!$A$1:$A$1001,Data_customers!$C$1:$C$1001,,0))</f>
        <v>mhanseddh@instagram.com</v>
      </c>
      <c r="H487" s="2" t="str">
        <f>_xlfn.XLOOKUP(C487,Data_customers!$A$1:$A$1001,Data_customers!$G$1:$G$1001,"",0)</f>
        <v>Ireland</v>
      </c>
      <c r="I487" t="str">
        <f>INDEX(Data_products!$A$1:$G$49, MATCH(Data_orders!$D487,Data_products!$A$1:$A$49,0), MATCH(Data_orders!I$1,Data_products!$A$1:$G$1,0))</f>
        <v>Rob</v>
      </c>
      <c r="J487" t="str">
        <f>INDEX(Data_products!$A$1:$G$49, MATCH(Data_orders!$D487,Data_products!$A$1:$A$49,0), MATCH(Data_orders!J$1,Data_products!$A$1:$G$1,0))</f>
        <v>L</v>
      </c>
      <c r="K487" s="4">
        <f>INDEX(Data_products!$A$1:$G$49, MATCH(Data_orders!$D487,Data_products!$A$1:$A$49,0), MATCH(Data_orders!K$1,Data_products!$A$1:$G$1,0))</f>
        <v>0.2</v>
      </c>
      <c r="L487">
        <f>INDEX(Data_products!$A$1:$G$49, MATCH(Data_orders!$D487,Data_products!$A$1:$A$49,0), MATCH(Data_orders!L$1,Data_products!$A$1:$G$1,0))</f>
        <v>3.5849999999999995</v>
      </c>
      <c r="M487">
        <f t="shared" si="14"/>
        <v>21.509999999999998</v>
      </c>
      <c r="N487" t="str" cm="1">
        <f t="array" ref="N487">_xlfn.IFS(I487 = "Rob", "Robusta", I487 = "Exc", "Excelsa", I487 = "Ara", "Arabica", I487 = "Lib", "Liberica")</f>
        <v>Robusta</v>
      </c>
      <c r="O487" t="str">
        <f t="shared" si="15"/>
        <v>Light</v>
      </c>
      <c r="P487" t="str">
        <f>_xlfn.XLOOKUP(Table1[[#This Row],[Customer ID]],Data_customers!$A$2:$A$1001,Data_customers!$I$2:$I$1001,,0)</f>
        <v>Yes</v>
      </c>
    </row>
    <row r="488" spans="1:16" x14ac:dyDescent="0.2">
      <c r="A488" s="2" t="s">
        <v>3236</v>
      </c>
      <c r="B488" s="3">
        <v>44043</v>
      </c>
      <c r="C488" s="2" t="s">
        <v>3237</v>
      </c>
      <c r="D488" t="s">
        <v>6160</v>
      </c>
      <c r="E488" s="2">
        <v>6</v>
      </c>
      <c r="F488" s="2" t="str">
        <f>_xlfn.XLOOKUP(Data_orders!C488,Data_customers!$A$1:$A$1001,Data_customers!$B$1:$B$1001,,0)</f>
        <v>Franny Kienlein</v>
      </c>
      <c r="G488" s="2" t="str">
        <f>IF(_xlfn.XLOOKUP(C488,Data_customers!$A$1:$A$1001,Data_customers!$C$1:$C$1001,,0)=0,"",_xlfn.XLOOKUP(C488,Data_customers!$A$1:$A$1001,Data_customers!$C$1:$C$1001,,0))</f>
        <v>fkienleindi@trellian.com</v>
      </c>
      <c r="H488" s="2" t="str">
        <f>_xlfn.XLOOKUP(C488,Data_customers!$A$1:$A$1001,Data_customers!$G$1:$G$1001,"",0)</f>
        <v>Ireland</v>
      </c>
      <c r="I488" t="str">
        <f>INDEX(Data_products!$A$1:$G$49, MATCH(Data_orders!$D488,Data_products!$A$1:$A$49,0), MATCH(Data_orders!I$1,Data_products!$A$1:$G$1,0))</f>
        <v>Lib</v>
      </c>
      <c r="J488" t="str">
        <f>INDEX(Data_products!$A$1:$G$49, MATCH(Data_orders!$D488,Data_products!$A$1:$A$49,0), MATCH(Data_orders!J$1,Data_products!$A$1:$G$1,0))</f>
        <v>M</v>
      </c>
      <c r="K488" s="4">
        <f>INDEX(Data_products!$A$1:$G$49, MATCH(Data_orders!$D488,Data_products!$A$1:$A$49,0), MATCH(Data_orders!K$1,Data_products!$A$1:$G$1,0))</f>
        <v>0.5</v>
      </c>
      <c r="L488">
        <f>INDEX(Data_products!$A$1:$G$49, MATCH(Data_orders!$D488,Data_products!$A$1:$A$49,0), MATCH(Data_orders!L$1,Data_products!$A$1:$G$1,0))</f>
        <v>8.73</v>
      </c>
      <c r="M488">
        <f t="shared" si="14"/>
        <v>52.38</v>
      </c>
      <c r="N488" t="str" cm="1">
        <f t="array" ref="N488">_xlfn.IFS(I488 = "Rob", "Robusta", I488 = "Exc", "Excelsa", I488 = "Ara", "Arabica", I488 = "Lib", "Liberica")</f>
        <v>Liberica</v>
      </c>
      <c r="O488" t="str">
        <f t="shared" si="15"/>
        <v>Medium</v>
      </c>
      <c r="P488" t="str">
        <f>_xlfn.XLOOKUP(Table1[[#This Row],[Customer ID]],Data_customers!$A$2:$A$1001,Data_customers!$I$2:$I$1001,,0)</f>
        <v>Yes</v>
      </c>
    </row>
    <row r="489" spans="1:16" x14ac:dyDescent="0.2">
      <c r="A489" s="2" t="s">
        <v>3242</v>
      </c>
      <c r="B489" s="3">
        <v>44093</v>
      </c>
      <c r="C489" s="2" t="s">
        <v>3243</v>
      </c>
      <c r="D489" t="s">
        <v>6183</v>
      </c>
      <c r="E489" s="2">
        <v>6</v>
      </c>
      <c r="F489" s="2" t="str">
        <f>_xlfn.XLOOKUP(Data_orders!C489,Data_customers!$A$1:$A$1001,Data_customers!$B$1:$B$1001,,0)</f>
        <v>Klarika Egglestone</v>
      </c>
      <c r="G489" s="2" t="str">
        <f>IF(_xlfn.XLOOKUP(C489,Data_customers!$A$1:$A$1001,Data_customers!$C$1:$C$1001,,0)=0,"",_xlfn.XLOOKUP(C489,Data_customers!$A$1:$A$1001,Data_customers!$C$1:$C$1001,,0))</f>
        <v>kegglestonedj@sphinn.com</v>
      </c>
      <c r="H489" s="2" t="str">
        <f>_xlfn.XLOOKUP(C489,Data_customers!$A$1:$A$1001,Data_customers!$G$1:$G$1001,"",0)</f>
        <v>Ireland</v>
      </c>
      <c r="I489" t="str">
        <f>INDEX(Data_products!$A$1:$G$49, MATCH(Data_orders!$D489,Data_products!$A$1:$A$49,0), MATCH(Data_orders!I$1,Data_products!$A$1:$G$1,0))</f>
        <v>Exc</v>
      </c>
      <c r="J489" t="str">
        <f>INDEX(Data_products!$A$1:$G$49, MATCH(Data_orders!$D489,Data_products!$A$1:$A$49,0), MATCH(Data_orders!J$1,Data_products!$A$1:$G$1,0))</f>
        <v>D</v>
      </c>
      <c r="K489" s="4">
        <f>INDEX(Data_products!$A$1:$G$49, MATCH(Data_orders!$D489,Data_products!$A$1:$A$49,0), MATCH(Data_orders!K$1,Data_products!$A$1:$G$1,0))</f>
        <v>1</v>
      </c>
      <c r="L489">
        <f>INDEX(Data_products!$A$1:$G$49, MATCH(Data_orders!$D489,Data_products!$A$1:$A$49,0), MATCH(Data_orders!L$1,Data_products!$A$1:$G$1,0))</f>
        <v>12.15</v>
      </c>
      <c r="M489">
        <f t="shared" si="14"/>
        <v>72.900000000000006</v>
      </c>
      <c r="N489" t="str" cm="1">
        <f t="array" ref="N489">_xlfn.IFS(I489 = "Rob", "Robusta", I489 = "Exc", "Excelsa", I489 = "Ara", "Arabica", I489 = "Lib", "Liberica")</f>
        <v>Excelsa</v>
      </c>
      <c r="O489" t="str">
        <f t="shared" si="15"/>
        <v>Dark</v>
      </c>
      <c r="P489" t="str">
        <f>_xlfn.XLOOKUP(Table1[[#This Row],[Customer ID]],Data_customers!$A$2:$A$1001,Data_customers!$I$2:$I$1001,,0)</f>
        <v>No</v>
      </c>
    </row>
    <row r="490" spans="1:16" x14ac:dyDescent="0.2">
      <c r="A490" s="2" t="s">
        <v>3248</v>
      </c>
      <c r="B490" s="3">
        <v>43954</v>
      </c>
      <c r="C490" s="2" t="s">
        <v>3249</v>
      </c>
      <c r="D490" t="s">
        <v>6174</v>
      </c>
      <c r="E490" s="2">
        <v>5</v>
      </c>
      <c r="F490" s="2" t="str">
        <f>_xlfn.XLOOKUP(Data_orders!C490,Data_customers!$A$1:$A$1001,Data_customers!$B$1:$B$1001,,0)</f>
        <v>Becky Semkins</v>
      </c>
      <c r="G490" s="2" t="str">
        <f>IF(_xlfn.XLOOKUP(C490,Data_customers!$A$1:$A$1001,Data_customers!$C$1:$C$1001,,0)=0,"",_xlfn.XLOOKUP(C490,Data_customers!$A$1:$A$1001,Data_customers!$C$1:$C$1001,,0))</f>
        <v>bsemkinsdk@unc.edu</v>
      </c>
      <c r="H490" s="2" t="str">
        <f>_xlfn.XLOOKUP(C490,Data_customers!$A$1:$A$1001,Data_customers!$G$1:$G$1001,"",0)</f>
        <v>Ireland</v>
      </c>
      <c r="I490" t="str">
        <f>INDEX(Data_products!$A$1:$G$49, MATCH(Data_orders!$D490,Data_products!$A$1:$A$49,0), MATCH(Data_orders!I$1,Data_products!$A$1:$G$1,0))</f>
        <v>Rob</v>
      </c>
      <c r="J490" t="str">
        <f>INDEX(Data_products!$A$1:$G$49, MATCH(Data_orders!$D490,Data_products!$A$1:$A$49,0), MATCH(Data_orders!J$1,Data_products!$A$1:$G$1,0))</f>
        <v>M</v>
      </c>
      <c r="K490" s="4">
        <f>INDEX(Data_products!$A$1:$G$49, MATCH(Data_orders!$D490,Data_products!$A$1:$A$49,0), MATCH(Data_orders!K$1,Data_products!$A$1:$G$1,0))</f>
        <v>0.2</v>
      </c>
      <c r="L490">
        <f>INDEX(Data_products!$A$1:$G$49, MATCH(Data_orders!$D490,Data_products!$A$1:$A$49,0), MATCH(Data_orders!L$1,Data_products!$A$1:$G$1,0))</f>
        <v>2.9849999999999999</v>
      </c>
      <c r="M490">
        <f t="shared" si="14"/>
        <v>14.924999999999999</v>
      </c>
      <c r="N490" t="str" cm="1">
        <f t="array" ref="N490">_xlfn.IFS(I490 = "Rob", "Robusta", I490 = "Exc", "Excelsa", I490 = "Ara", "Arabica", I490 = "Lib", "Liberica")</f>
        <v>Robusta</v>
      </c>
      <c r="O490" t="str">
        <f t="shared" si="15"/>
        <v>Medium</v>
      </c>
      <c r="P490" t="str">
        <f>_xlfn.XLOOKUP(Table1[[#This Row],[Customer ID]],Data_customers!$A$2:$A$1001,Data_customers!$I$2:$I$1001,,0)</f>
        <v>Yes</v>
      </c>
    </row>
    <row r="491" spans="1:16" x14ac:dyDescent="0.2">
      <c r="A491" s="2" t="s">
        <v>3254</v>
      </c>
      <c r="B491" s="3">
        <v>43654</v>
      </c>
      <c r="C491" s="2" t="s">
        <v>3255</v>
      </c>
      <c r="D491" t="s">
        <v>6170</v>
      </c>
      <c r="E491" s="2">
        <v>6</v>
      </c>
      <c r="F491" s="2" t="str">
        <f>_xlfn.XLOOKUP(Data_orders!C491,Data_customers!$A$1:$A$1001,Data_customers!$B$1:$B$1001,,0)</f>
        <v>Sean Lorenzetti</v>
      </c>
      <c r="G491" s="2" t="str">
        <f>IF(_xlfn.XLOOKUP(C491,Data_customers!$A$1:$A$1001,Data_customers!$C$1:$C$1001,,0)=0,"",_xlfn.XLOOKUP(C491,Data_customers!$A$1:$A$1001,Data_customers!$C$1:$C$1001,,0))</f>
        <v>slorenzettidl@is.gd</v>
      </c>
      <c r="H491" s="2" t="str">
        <f>_xlfn.XLOOKUP(C491,Data_customers!$A$1:$A$1001,Data_customers!$G$1:$G$1001,"",0)</f>
        <v>United States</v>
      </c>
      <c r="I491" t="str">
        <f>INDEX(Data_products!$A$1:$G$49, MATCH(Data_orders!$D491,Data_products!$A$1:$A$49,0), MATCH(Data_orders!I$1,Data_products!$A$1:$G$1,0))</f>
        <v>Lib</v>
      </c>
      <c r="J491" t="str">
        <f>INDEX(Data_products!$A$1:$G$49, MATCH(Data_orders!$D491,Data_products!$A$1:$A$49,0), MATCH(Data_orders!J$1,Data_products!$A$1:$G$1,0))</f>
        <v>L</v>
      </c>
      <c r="K491" s="4">
        <f>INDEX(Data_products!$A$1:$G$49, MATCH(Data_orders!$D491,Data_products!$A$1:$A$49,0), MATCH(Data_orders!K$1,Data_products!$A$1:$G$1,0))</f>
        <v>1</v>
      </c>
      <c r="L491">
        <f>INDEX(Data_products!$A$1:$G$49, MATCH(Data_orders!$D491,Data_products!$A$1:$A$49,0), MATCH(Data_orders!L$1,Data_products!$A$1:$G$1,0))</f>
        <v>15.85</v>
      </c>
      <c r="M491">
        <f t="shared" si="14"/>
        <v>95.1</v>
      </c>
      <c r="N491" t="str" cm="1">
        <f t="array" ref="N491">_xlfn.IFS(I491 = "Rob", "Robusta", I491 = "Exc", "Excelsa", I491 = "Ara", "Arabica", I491 = "Lib", "Liberica")</f>
        <v>Liberica</v>
      </c>
      <c r="O491" t="str">
        <f t="shared" si="15"/>
        <v>Light</v>
      </c>
      <c r="P491" t="str">
        <f>_xlfn.XLOOKUP(Table1[[#This Row],[Customer ID]],Data_customers!$A$2:$A$1001,Data_customers!$I$2:$I$1001,,0)</f>
        <v>No</v>
      </c>
    </row>
    <row r="492" spans="1:16" x14ac:dyDescent="0.2">
      <c r="A492" s="2" t="s">
        <v>3260</v>
      </c>
      <c r="B492" s="3">
        <v>43764</v>
      </c>
      <c r="C492" s="2" t="s">
        <v>3261</v>
      </c>
      <c r="D492" t="s">
        <v>6169</v>
      </c>
      <c r="E492" s="2">
        <v>2</v>
      </c>
      <c r="F492" s="2" t="str">
        <f>_xlfn.XLOOKUP(Data_orders!C492,Data_customers!$A$1:$A$1001,Data_customers!$B$1:$B$1001,,0)</f>
        <v>Bob Giannazzi</v>
      </c>
      <c r="G492" s="2" t="str">
        <f>IF(_xlfn.XLOOKUP(C492,Data_customers!$A$1:$A$1001,Data_customers!$C$1:$C$1001,,0)=0,"",_xlfn.XLOOKUP(C492,Data_customers!$A$1:$A$1001,Data_customers!$C$1:$C$1001,,0))</f>
        <v>bgiannazzidm@apple.com</v>
      </c>
      <c r="H492" s="2" t="str">
        <f>_xlfn.XLOOKUP(C492,Data_customers!$A$1:$A$1001,Data_customers!$G$1:$G$1001,"",0)</f>
        <v>United States</v>
      </c>
      <c r="I492" t="str">
        <f>INDEX(Data_products!$A$1:$G$49, MATCH(Data_orders!$D492,Data_products!$A$1:$A$49,0), MATCH(Data_orders!I$1,Data_products!$A$1:$G$1,0))</f>
        <v>Lib</v>
      </c>
      <c r="J492" t="str">
        <f>INDEX(Data_products!$A$1:$G$49, MATCH(Data_orders!$D492,Data_products!$A$1:$A$49,0), MATCH(Data_orders!J$1,Data_products!$A$1:$G$1,0))</f>
        <v>D</v>
      </c>
      <c r="K492" s="4">
        <f>INDEX(Data_products!$A$1:$G$49, MATCH(Data_orders!$D492,Data_products!$A$1:$A$49,0), MATCH(Data_orders!K$1,Data_products!$A$1:$G$1,0))</f>
        <v>0.5</v>
      </c>
      <c r="L492">
        <f>INDEX(Data_products!$A$1:$G$49, MATCH(Data_orders!$D492,Data_products!$A$1:$A$49,0), MATCH(Data_orders!L$1,Data_products!$A$1:$G$1,0))</f>
        <v>7.77</v>
      </c>
      <c r="M492">
        <f t="shared" si="14"/>
        <v>15.54</v>
      </c>
      <c r="N492" t="str" cm="1">
        <f t="array" ref="N492">_xlfn.IFS(I492 = "Rob", "Robusta", I492 = "Exc", "Excelsa", I492 = "Ara", "Arabica", I492 = "Lib", "Liberica")</f>
        <v>Liberica</v>
      </c>
      <c r="O492" t="str">
        <f t="shared" si="15"/>
        <v>Dark</v>
      </c>
      <c r="P492" t="str">
        <f>_xlfn.XLOOKUP(Table1[[#This Row],[Customer ID]],Data_customers!$A$2:$A$1001,Data_customers!$I$2:$I$1001,,0)</f>
        <v>No</v>
      </c>
    </row>
    <row r="493" spans="1:16" x14ac:dyDescent="0.2">
      <c r="A493" s="2" t="s">
        <v>3266</v>
      </c>
      <c r="B493" s="3">
        <v>44101</v>
      </c>
      <c r="C493" s="2" t="s">
        <v>3267</v>
      </c>
      <c r="D493" t="s">
        <v>6150</v>
      </c>
      <c r="E493" s="2">
        <v>6</v>
      </c>
      <c r="F493" s="2" t="str">
        <f>_xlfn.XLOOKUP(Data_orders!C493,Data_customers!$A$1:$A$1001,Data_customers!$B$1:$B$1001,,0)</f>
        <v>Kendra Backshell</v>
      </c>
      <c r="G493" s="2" t="str">
        <f>IF(_xlfn.XLOOKUP(C493,Data_customers!$A$1:$A$1001,Data_customers!$C$1:$C$1001,,0)=0,"",_xlfn.XLOOKUP(C493,Data_customers!$A$1:$A$1001,Data_customers!$C$1:$C$1001,,0))</f>
        <v/>
      </c>
      <c r="H493" s="2" t="str">
        <f>_xlfn.XLOOKUP(C493,Data_customers!$A$1:$A$1001,Data_customers!$G$1:$G$1001,"",0)</f>
        <v>United States</v>
      </c>
      <c r="I493" t="str">
        <f>INDEX(Data_products!$A$1:$G$49, MATCH(Data_orders!$D493,Data_products!$A$1:$A$49,0), MATCH(Data_orders!I$1,Data_products!$A$1:$G$1,0))</f>
        <v>Lib</v>
      </c>
      <c r="J493" t="str">
        <f>INDEX(Data_products!$A$1:$G$49, MATCH(Data_orders!$D493,Data_products!$A$1:$A$49,0), MATCH(Data_orders!J$1,Data_products!$A$1:$G$1,0))</f>
        <v>D</v>
      </c>
      <c r="K493" s="4">
        <f>INDEX(Data_products!$A$1:$G$49, MATCH(Data_orders!$D493,Data_products!$A$1:$A$49,0), MATCH(Data_orders!K$1,Data_products!$A$1:$G$1,0))</f>
        <v>0.2</v>
      </c>
      <c r="L493">
        <f>INDEX(Data_products!$A$1:$G$49, MATCH(Data_orders!$D493,Data_products!$A$1:$A$49,0), MATCH(Data_orders!L$1,Data_products!$A$1:$G$1,0))</f>
        <v>3.8849999999999998</v>
      </c>
      <c r="M493">
        <f t="shared" si="14"/>
        <v>23.31</v>
      </c>
      <c r="N493" t="str" cm="1">
        <f t="array" ref="N493">_xlfn.IFS(I493 = "Rob", "Robusta", I493 = "Exc", "Excelsa", I493 = "Ara", "Arabica", I493 = "Lib", "Liberica")</f>
        <v>Liberica</v>
      </c>
      <c r="O493" t="str">
        <f t="shared" si="15"/>
        <v>Dark</v>
      </c>
      <c r="P493" t="str">
        <f>_xlfn.XLOOKUP(Table1[[#This Row],[Customer ID]],Data_customers!$A$2:$A$1001,Data_customers!$I$2:$I$1001,,0)</f>
        <v>No</v>
      </c>
    </row>
    <row r="494" spans="1:16" x14ac:dyDescent="0.2">
      <c r="A494" s="2" t="s">
        <v>3271</v>
      </c>
      <c r="B494" s="3">
        <v>44620</v>
      </c>
      <c r="C494" s="2" t="s">
        <v>3272</v>
      </c>
      <c r="D494" t="s">
        <v>6156</v>
      </c>
      <c r="E494" s="2">
        <v>1</v>
      </c>
      <c r="F494" s="2" t="str">
        <f>_xlfn.XLOOKUP(Data_orders!C494,Data_customers!$A$1:$A$1001,Data_customers!$B$1:$B$1001,,0)</f>
        <v>Uriah Lethbrig</v>
      </c>
      <c r="G494" s="2" t="str">
        <f>IF(_xlfn.XLOOKUP(C494,Data_customers!$A$1:$A$1001,Data_customers!$C$1:$C$1001,,0)=0,"",_xlfn.XLOOKUP(C494,Data_customers!$A$1:$A$1001,Data_customers!$C$1:$C$1001,,0))</f>
        <v>ulethbrigdo@hc360.com</v>
      </c>
      <c r="H494" s="2" t="str">
        <f>_xlfn.XLOOKUP(C494,Data_customers!$A$1:$A$1001,Data_customers!$G$1:$G$1001,"",0)</f>
        <v>United States</v>
      </c>
      <c r="I494" t="str">
        <f>INDEX(Data_products!$A$1:$G$49, MATCH(Data_orders!$D494,Data_products!$A$1:$A$49,0), MATCH(Data_orders!I$1,Data_products!$A$1:$G$1,0))</f>
        <v>Exc</v>
      </c>
      <c r="J494" t="str">
        <f>INDEX(Data_products!$A$1:$G$49, MATCH(Data_orders!$D494,Data_products!$A$1:$A$49,0), MATCH(Data_orders!J$1,Data_products!$A$1:$G$1,0))</f>
        <v>M</v>
      </c>
      <c r="K494" s="4">
        <f>INDEX(Data_products!$A$1:$G$49, MATCH(Data_orders!$D494,Data_products!$A$1:$A$49,0), MATCH(Data_orders!K$1,Data_products!$A$1:$G$1,0))</f>
        <v>0.2</v>
      </c>
      <c r="L494">
        <f>INDEX(Data_products!$A$1:$G$49, MATCH(Data_orders!$D494,Data_products!$A$1:$A$49,0), MATCH(Data_orders!L$1,Data_products!$A$1:$G$1,0))</f>
        <v>4.125</v>
      </c>
      <c r="M494">
        <f t="shared" si="14"/>
        <v>4.125</v>
      </c>
      <c r="N494" t="str" cm="1">
        <f t="array" ref="N494">_xlfn.IFS(I494 = "Rob", "Robusta", I494 = "Exc", "Excelsa", I494 = "Ara", "Arabica", I494 = "Lib", "Liberica")</f>
        <v>Excelsa</v>
      </c>
      <c r="O494" t="str">
        <f t="shared" si="15"/>
        <v>Medium</v>
      </c>
      <c r="P494" t="str">
        <f>_xlfn.XLOOKUP(Table1[[#This Row],[Customer ID]],Data_customers!$A$2:$A$1001,Data_customers!$I$2:$I$1001,,0)</f>
        <v>Yes</v>
      </c>
    </row>
    <row r="495" spans="1:16" x14ac:dyDescent="0.2">
      <c r="A495" s="2" t="s">
        <v>3277</v>
      </c>
      <c r="B495" s="3">
        <v>44090</v>
      </c>
      <c r="C495" s="2" t="s">
        <v>3278</v>
      </c>
      <c r="D495" t="s">
        <v>6146</v>
      </c>
      <c r="E495" s="2">
        <v>6</v>
      </c>
      <c r="F495" s="2" t="str">
        <f>_xlfn.XLOOKUP(Data_orders!C495,Data_customers!$A$1:$A$1001,Data_customers!$B$1:$B$1001,,0)</f>
        <v>Sky Farnish</v>
      </c>
      <c r="G495" s="2" t="str">
        <f>IF(_xlfn.XLOOKUP(C495,Data_customers!$A$1:$A$1001,Data_customers!$C$1:$C$1001,,0)=0,"",_xlfn.XLOOKUP(C495,Data_customers!$A$1:$A$1001,Data_customers!$C$1:$C$1001,,0))</f>
        <v>sfarnishdp@dmoz.org</v>
      </c>
      <c r="H495" s="2" t="str">
        <f>_xlfn.XLOOKUP(C495,Data_customers!$A$1:$A$1001,Data_customers!$G$1:$G$1001,"",0)</f>
        <v>United Kingdom</v>
      </c>
      <c r="I495" t="str">
        <f>INDEX(Data_products!$A$1:$G$49, MATCH(Data_orders!$D495,Data_products!$A$1:$A$49,0), MATCH(Data_orders!I$1,Data_products!$A$1:$G$1,0))</f>
        <v>Rob</v>
      </c>
      <c r="J495" t="str">
        <f>INDEX(Data_products!$A$1:$G$49, MATCH(Data_orders!$D495,Data_products!$A$1:$A$49,0), MATCH(Data_orders!J$1,Data_products!$A$1:$G$1,0))</f>
        <v>M</v>
      </c>
      <c r="K495" s="4">
        <f>INDEX(Data_products!$A$1:$G$49, MATCH(Data_orders!$D495,Data_products!$A$1:$A$49,0), MATCH(Data_orders!K$1,Data_products!$A$1:$G$1,0))</f>
        <v>0.5</v>
      </c>
      <c r="L495">
        <f>INDEX(Data_products!$A$1:$G$49, MATCH(Data_orders!$D495,Data_products!$A$1:$A$49,0), MATCH(Data_orders!L$1,Data_products!$A$1:$G$1,0))</f>
        <v>5.97</v>
      </c>
      <c r="M495">
        <f t="shared" si="14"/>
        <v>35.82</v>
      </c>
      <c r="N495" t="str" cm="1">
        <f t="array" ref="N495">_xlfn.IFS(I495 = "Rob", "Robusta", I495 = "Exc", "Excelsa", I495 = "Ara", "Arabica", I495 = "Lib", "Liberica")</f>
        <v>Robusta</v>
      </c>
      <c r="O495" t="str">
        <f t="shared" si="15"/>
        <v>Medium</v>
      </c>
      <c r="P495" t="str">
        <f>_xlfn.XLOOKUP(Table1[[#This Row],[Customer ID]],Data_customers!$A$2:$A$1001,Data_customers!$I$2:$I$1001,,0)</f>
        <v>No</v>
      </c>
    </row>
    <row r="496" spans="1:16" x14ac:dyDescent="0.2">
      <c r="A496" s="2" t="s">
        <v>3283</v>
      </c>
      <c r="B496" s="3">
        <v>44132</v>
      </c>
      <c r="C496" s="2" t="s">
        <v>3284</v>
      </c>
      <c r="D496" t="s">
        <v>6170</v>
      </c>
      <c r="E496" s="2">
        <v>2</v>
      </c>
      <c r="F496" s="2" t="str">
        <f>_xlfn.XLOOKUP(Data_orders!C496,Data_customers!$A$1:$A$1001,Data_customers!$B$1:$B$1001,,0)</f>
        <v>Felicia Jecock</v>
      </c>
      <c r="G496" s="2" t="str">
        <f>IF(_xlfn.XLOOKUP(C496,Data_customers!$A$1:$A$1001,Data_customers!$C$1:$C$1001,,0)=0,"",_xlfn.XLOOKUP(C496,Data_customers!$A$1:$A$1001,Data_customers!$C$1:$C$1001,,0))</f>
        <v>fjecockdq@unicef.org</v>
      </c>
      <c r="H496" s="2" t="str">
        <f>_xlfn.XLOOKUP(C496,Data_customers!$A$1:$A$1001,Data_customers!$G$1:$G$1001,"",0)</f>
        <v>United States</v>
      </c>
      <c r="I496" t="str">
        <f>INDEX(Data_products!$A$1:$G$49, MATCH(Data_orders!$D496,Data_products!$A$1:$A$49,0), MATCH(Data_orders!I$1,Data_products!$A$1:$G$1,0))</f>
        <v>Lib</v>
      </c>
      <c r="J496" t="str">
        <f>INDEX(Data_products!$A$1:$G$49, MATCH(Data_orders!$D496,Data_products!$A$1:$A$49,0), MATCH(Data_orders!J$1,Data_products!$A$1:$G$1,0))</f>
        <v>L</v>
      </c>
      <c r="K496" s="4">
        <f>INDEX(Data_products!$A$1:$G$49, MATCH(Data_orders!$D496,Data_products!$A$1:$A$49,0), MATCH(Data_orders!K$1,Data_products!$A$1:$G$1,0))</f>
        <v>1</v>
      </c>
      <c r="L496">
        <f>INDEX(Data_products!$A$1:$G$49, MATCH(Data_orders!$D496,Data_products!$A$1:$A$49,0), MATCH(Data_orders!L$1,Data_products!$A$1:$G$1,0))</f>
        <v>15.85</v>
      </c>
      <c r="M496">
        <f t="shared" si="14"/>
        <v>31.7</v>
      </c>
      <c r="N496" t="str" cm="1">
        <f t="array" ref="N496">_xlfn.IFS(I496 = "Rob", "Robusta", I496 = "Exc", "Excelsa", I496 = "Ara", "Arabica", I496 = "Lib", "Liberica")</f>
        <v>Liberica</v>
      </c>
      <c r="O496" t="str">
        <f t="shared" si="15"/>
        <v>Light</v>
      </c>
      <c r="P496" t="str">
        <f>_xlfn.XLOOKUP(Table1[[#This Row],[Customer ID]],Data_customers!$A$2:$A$1001,Data_customers!$I$2:$I$1001,,0)</f>
        <v>No</v>
      </c>
    </row>
    <row r="497" spans="1:16" x14ac:dyDescent="0.2">
      <c r="A497" s="2" t="s">
        <v>3289</v>
      </c>
      <c r="B497" s="3">
        <v>43710</v>
      </c>
      <c r="C497" s="2" t="s">
        <v>3290</v>
      </c>
      <c r="D497" t="s">
        <v>6170</v>
      </c>
      <c r="E497" s="2">
        <v>5</v>
      </c>
      <c r="F497" s="2" t="str">
        <f>_xlfn.XLOOKUP(Data_orders!C497,Data_customers!$A$1:$A$1001,Data_customers!$B$1:$B$1001,,0)</f>
        <v>Currey MacAllister</v>
      </c>
      <c r="G497" s="2" t="str">
        <f>IF(_xlfn.XLOOKUP(C497,Data_customers!$A$1:$A$1001,Data_customers!$C$1:$C$1001,,0)=0,"",_xlfn.XLOOKUP(C497,Data_customers!$A$1:$A$1001,Data_customers!$C$1:$C$1001,,0))</f>
        <v/>
      </c>
      <c r="H497" s="2" t="str">
        <f>_xlfn.XLOOKUP(C497,Data_customers!$A$1:$A$1001,Data_customers!$G$1:$G$1001,"",0)</f>
        <v>United States</v>
      </c>
      <c r="I497" t="str">
        <f>INDEX(Data_products!$A$1:$G$49, MATCH(Data_orders!$D497,Data_products!$A$1:$A$49,0), MATCH(Data_orders!I$1,Data_products!$A$1:$G$1,0))</f>
        <v>Lib</v>
      </c>
      <c r="J497" t="str">
        <f>INDEX(Data_products!$A$1:$G$49, MATCH(Data_orders!$D497,Data_products!$A$1:$A$49,0), MATCH(Data_orders!J$1,Data_products!$A$1:$G$1,0))</f>
        <v>L</v>
      </c>
      <c r="K497" s="4">
        <f>INDEX(Data_products!$A$1:$G$49, MATCH(Data_orders!$D497,Data_products!$A$1:$A$49,0), MATCH(Data_orders!K$1,Data_products!$A$1:$G$1,0))</f>
        <v>1</v>
      </c>
      <c r="L497">
        <f>INDEX(Data_products!$A$1:$G$49, MATCH(Data_orders!$D497,Data_products!$A$1:$A$49,0), MATCH(Data_orders!L$1,Data_products!$A$1:$G$1,0))</f>
        <v>15.85</v>
      </c>
      <c r="M497">
        <f t="shared" si="14"/>
        <v>79.25</v>
      </c>
      <c r="N497" t="str" cm="1">
        <f t="array" ref="N497">_xlfn.IFS(I497 = "Rob", "Robusta", I497 = "Exc", "Excelsa", I497 = "Ara", "Arabica", I497 = "Lib", "Liberica")</f>
        <v>Liberica</v>
      </c>
      <c r="O497" t="str">
        <f t="shared" si="15"/>
        <v>Light</v>
      </c>
      <c r="P497" t="str">
        <f>_xlfn.XLOOKUP(Table1[[#This Row],[Customer ID]],Data_customers!$A$2:$A$1001,Data_customers!$I$2:$I$1001,,0)</f>
        <v>Yes</v>
      </c>
    </row>
    <row r="498" spans="1:16" x14ac:dyDescent="0.2">
      <c r="A498" s="2" t="s">
        <v>3294</v>
      </c>
      <c r="B498" s="3">
        <v>44438</v>
      </c>
      <c r="C498" s="2" t="s">
        <v>3295</v>
      </c>
      <c r="D498" t="s">
        <v>6153</v>
      </c>
      <c r="E498" s="2">
        <v>3</v>
      </c>
      <c r="F498" s="2" t="str">
        <f>_xlfn.XLOOKUP(Data_orders!C498,Data_customers!$A$1:$A$1001,Data_customers!$B$1:$B$1001,,0)</f>
        <v>Hamlen Pallister</v>
      </c>
      <c r="G498" s="2" t="str">
        <f>IF(_xlfn.XLOOKUP(C498,Data_customers!$A$1:$A$1001,Data_customers!$C$1:$C$1001,,0)=0,"",_xlfn.XLOOKUP(C498,Data_customers!$A$1:$A$1001,Data_customers!$C$1:$C$1001,,0))</f>
        <v>hpallisterds@ning.com</v>
      </c>
      <c r="H498" s="2" t="str">
        <f>_xlfn.XLOOKUP(C498,Data_customers!$A$1:$A$1001,Data_customers!$G$1:$G$1001,"",0)</f>
        <v>United States</v>
      </c>
      <c r="I498" t="str">
        <f>INDEX(Data_products!$A$1:$G$49, MATCH(Data_orders!$D498,Data_products!$A$1:$A$49,0), MATCH(Data_orders!I$1,Data_products!$A$1:$G$1,0))</f>
        <v>Exc</v>
      </c>
      <c r="J498" t="str">
        <f>INDEX(Data_products!$A$1:$G$49, MATCH(Data_orders!$D498,Data_products!$A$1:$A$49,0), MATCH(Data_orders!J$1,Data_products!$A$1:$G$1,0))</f>
        <v>D</v>
      </c>
      <c r="K498" s="4">
        <f>INDEX(Data_products!$A$1:$G$49, MATCH(Data_orders!$D498,Data_products!$A$1:$A$49,0), MATCH(Data_orders!K$1,Data_products!$A$1:$G$1,0))</f>
        <v>0.2</v>
      </c>
      <c r="L498">
        <f>INDEX(Data_products!$A$1:$G$49, MATCH(Data_orders!$D498,Data_products!$A$1:$A$49,0), MATCH(Data_orders!L$1,Data_products!$A$1:$G$1,0))</f>
        <v>3.645</v>
      </c>
      <c r="M498">
        <f t="shared" si="14"/>
        <v>10.935</v>
      </c>
      <c r="N498" t="str" cm="1">
        <f t="array" ref="N498">_xlfn.IFS(I498 = "Rob", "Robusta", I498 = "Exc", "Excelsa", I498 = "Ara", "Arabica", I498 = "Lib", "Liberica")</f>
        <v>Excelsa</v>
      </c>
      <c r="O498" t="str">
        <f t="shared" si="15"/>
        <v>Dark</v>
      </c>
      <c r="P498" t="str">
        <f>_xlfn.XLOOKUP(Table1[[#This Row],[Customer ID]],Data_customers!$A$2:$A$1001,Data_customers!$I$2:$I$1001,,0)</f>
        <v>No</v>
      </c>
    </row>
    <row r="499" spans="1:16" x14ac:dyDescent="0.2">
      <c r="A499" s="2" t="s">
        <v>3300</v>
      </c>
      <c r="B499" s="3">
        <v>44351</v>
      </c>
      <c r="C499" s="2" t="s">
        <v>3301</v>
      </c>
      <c r="D499" t="s">
        <v>6147</v>
      </c>
      <c r="E499" s="2">
        <v>4</v>
      </c>
      <c r="F499" s="2" t="str">
        <f>_xlfn.XLOOKUP(Data_orders!C499,Data_customers!$A$1:$A$1001,Data_customers!$B$1:$B$1001,,0)</f>
        <v>Chantal Mersh</v>
      </c>
      <c r="G499" s="2" t="str">
        <f>IF(_xlfn.XLOOKUP(C499,Data_customers!$A$1:$A$1001,Data_customers!$C$1:$C$1001,,0)=0,"",_xlfn.XLOOKUP(C499,Data_customers!$A$1:$A$1001,Data_customers!$C$1:$C$1001,,0))</f>
        <v>cmershdt@drupal.org</v>
      </c>
      <c r="H499" s="2" t="str">
        <f>_xlfn.XLOOKUP(C499,Data_customers!$A$1:$A$1001,Data_customers!$G$1:$G$1001,"",0)</f>
        <v>Ireland</v>
      </c>
      <c r="I499" t="str">
        <f>INDEX(Data_products!$A$1:$G$49, MATCH(Data_orders!$D499,Data_products!$A$1:$A$49,0), MATCH(Data_orders!I$1,Data_products!$A$1:$G$1,0))</f>
        <v>Ara</v>
      </c>
      <c r="J499" t="str">
        <f>INDEX(Data_products!$A$1:$G$49, MATCH(Data_orders!$D499,Data_products!$A$1:$A$49,0), MATCH(Data_orders!J$1,Data_products!$A$1:$G$1,0))</f>
        <v>D</v>
      </c>
      <c r="K499" s="4">
        <f>INDEX(Data_products!$A$1:$G$49, MATCH(Data_orders!$D499,Data_products!$A$1:$A$49,0), MATCH(Data_orders!K$1,Data_products!$A$1:$G$1,0))</f>
        <v>1</v>
      </c>
      <c r="L499">
        <f>INDEX(Data_products!$A$1:$G$49, MATCH(Data_orders!$D499,Data_products!$A$1:$A$49,0), MATCH(Data_orders!L$1,Data_products!$A$1:$G$1,0))</f>
        <v>9.9499999999999993</v>
      </c>
      <c r="M499">
        <f t="shared" si="14"/>
        <v>39.799999999999997</v>
      </c>
      <c r="N499" t="str" cm="1">
        <f t="array" ref="N499">_xlfn.IFS(I499 = "Rob", "Robusta", I499 = "Exc", "Excelsa", I499 = "Ara", "Arabica", I499 = "Lib", "Liberica")</f>
        <v>Arabica</v>
      </c>
      <c r="O499" t="str">
        <f t="shared" si="15"/>
        <v>Dark</v>
      </c>
      <c r="P499" t="str">
        <f>_xlfn.XLOOKUP(Table1[[#This Row],[Customer ID]],Data_customers!$A$2:$A$1001,Data_customers!$I$2:$I$1001,,0)</f>
        <v>No</v>
      </c>
    </row>
    <row r="500" spans="1:16" x14ac:dyDescent="0.2">
      <c r="A500" s="2" t="s">
        <v>3307</v>
      </c>
      <c r="B500" s="3">
        <v>44159</v>
      </c>
      <c r="C500" s="2" t="s">
        <v>3368</v>
      </c>
      <c r="D500" t="s">
        <v>6138</v>
      </c>
      <c r="E500" s="2">
        <v>5</v>
      </c>
      <c r="F500" s="2" t="str">
        <f>_xlfn.XLOOKUP(Data_orders!C500,Data_customers!$A$1:$A$1001,Data_customers!$B$1:$B$1001,,0)</f>
        <v>Marja Urion</v>
      </c>
      <c r="G500" s="2" t="str">
        <f>IF(_xlfn.XLOOKUP(C500,Data_customers!$A$1:$A$1001,Data_customers!$C$1:$C$1001,,0)=0,"",_xlfn.XLOOKUP(C500,Data_customers!$A$1:$A$1001,Data_customers!$C$1:$C$1001,,0))</f>
        <v>murione5@alexa.com</v>
      </c>
      <c r="H500" s="2" t="str">
        <f>_xlfn.XLOOKUP(C500,Data_customers!$A$1:$A$1001,Data_customers!$G$1:$G$1001,"",0)</f>
        <v>Ireland</v>
      </c>
      <c r="I500" t="str">
        <f>INDEX(Data_products!$A$1:$G$49, MATCH(Data_orders!$D500,Data_products!$A$1:$A$49,0), MATCH(Data_orders!I$1,Data_products!$A$1:$G$1,0))</f>
        <v>Rob</v>
      </c>
      <c r="J500" t="str">
        <f>INDEX(Data_products!$A$1:$G$49, MATCH(Data_orders!$D500,Data_products!$A$1:$A$49,0), MATCH(Data_orders!J$1,Data_products!$A$1:$G$1,0))</f>
        <v>M</v>
      </c>
      <c r="K500" s="4">
        <f>INDEX(Data_products!$A$1:$G$49, MATCH(Data_orders!$D500,Data_products!$A$1:$A$49,0), MATCH(Data_orders!K$1,Data_products!$A$1:$G$1,0))</f>
        <v>1</v>
      </c>
      <c r="L500">
        <f>INDEX(Data_products!$A$1:$G$49, MATCH(Data_orders!$D500,Data_products!$A$1:$A$49,0), MATCH(Data_orders!L$1,Data_products!$A$1:$G$1,0))</f>
        <v>9.9499999999999993</v>
      </c>
      <c r="M500">
        <f t="shared" si="14"/>
        <v>49.75</v>
      </c>
      <c r="N500" t="str" cm="1">
        <f t="array" ref="N500">_xlfn.IFS(I500 = "Rob", "Robusta", I500 = "Exc", "Excelsa", I500 = "Ara", "Arabica", I500 = "Lib", "Liberica")</f>
        <v>Robusta</v>
      </c>
      <c r="O500" t="str">
        <f t="shared" si="15"/>
        <v>Medium</v>
      </c>
      <c r="P500" t="str">
        <f>_xlfn.XLOOKUP(Table1[[#This Row],[Customer ID]],Data_customers!$A$2:$A$1001,Data_customers!$I$2:$I$1001,,0)</f>
        <v>Yes</v>
      </c>
    </row>
    <row r="501" spans="1:16" x14ac:dyDescent="0.2">
      <c r="A501" s="2" t="s">
        <v>3313</v>
      </c>
      <c r="B501" s="3">
        <v>44003</v>
      </c>
      <c r="C501" s="2" t="s">
        <v>3314</v>
      </c>
      <c r="D501" t="s">
        <v>6163</v>
      </c>
      <c r="E501" s="2">
        <v>3</v>
      </c>
      <c r="F501" s="2" t="str">
        <f>_xlfn.XLOOKUP(Data_orders!C501,Data_customers!$A$1:$A$1001,Data_customers!$B$1:$B$1001,,0)</f>
        <v>Malynda Purbrick</v>
      </c>
      <c r="G501" s="2" t="str">
        <f>IF(_xlfn.XLOOKUP(C501,Data_customers!$A$1:$A$1001,Data_customers!$C$1:$C$1001,,0)=0,"",_xlfn.XLOOKUP(C501,Data_customers!$A$1:$A$1001,Data_customers!$C$1:$C$1001,,0))</f>
        <v/>
      </c>
      <c r="H501" s="2" t="str">
        <f>_xlfn.XLOOKUP(C501,Data_customers!$A$1:$A$1001,Data_customers!$G$1:$G$1001,"",0)</f>
        <v>Ireland</v>
      </c>
      <c r="I501" t="str">
        <f>INDEX(Data_products!$A$1:$G$49, MATCH(Data_orders!$D501,Data_products!$A$1:$A$49,0), MATCH(Data_orders!I$1,Data_products!$A$1:$G$1,0))</f>
        <v>Rob</v>
      </c>
      <c r="J501" t="str">
        <f>INDEX(Data_products!$A$1:$G$49, MATCH(Data_orders!$D501,Data_products!$A$1:$A$49,0), MATCH(Data_orders!J$1,Data_products!$A$1:$G$1,0))</f>
        <v>D</v>
      </c>
      <c r="K501" s="4">
        <f>INDEX(Data_products!$A$1:$G$49, MATCH(Data_orders!$D501,Data_products!$A$1:$A$49,0), MATCH(Data_orders!K$1,Data_products!$A$1:$G$1,0))</f>
        <v>0.2</v>
      </c>
      <c r="L501">
        <f>INDEX(Data_products!$A$1:$G$49, MATCH(Data_orders!$D501,Data_products!$A$1:$A$49,0), MATCH(Data_orders!L$1,Data_products!$A$1:$G$1,0))</f>
        <v>2.6849999999999996</v>
      </c>
      <c r="M501">
        <f t="shared" si="14"/>
        <v>8.0549999999999997</v>
      </c>
      <c r="N501" t="str" cm="1">
        <f t="array" ref="N501">_xlfn.IFS(I501 = "Rob", "Robusta", I501 = "Exc", "Excelsa", I501 = "Ara", "Arabica", I501 = "Lib", "Liberica")</f>
        <v>Robusta</v>
      </c>
      <c r="O501" t="str">
        <f t="shared" si="15"/>
        <v>Dark</v>
      </c>
      <c r="P501" t="str">
        <f>_xlfn.XLOOKUP(Table1[[#This Row],[Customer ID]],Data_customers!$A$2:$A$1001,Data_customers!$I$2:$I$1001,,0)</f>
        <v>Yes</v>
      </c>
    </row>
    <row r="502" spans="1:16" x14ac:dyDescent="0.2">
      <c r="A502" s="2" t="s">
        <v>3318</v>
      </c>
      <c r="B502" s="3">
        <v>44025</v>
      </c>
      <c r="C502" s="2" t="s">
        <v>3319</v>
      </c>
      <c r="D502" t="s">
        <v>6179</v>
      </c>
      <c r="E502" s="2">
        <v>4</v>
      </c>
      <c r="F502" s="2" t="str">
        <f>_xlfn.XLOOKUP(Data_orders!C502,Data_customers!$A$1:$A$1001,Data_customers!$B$1:$B$1001,,0)</f>
        <v>Alf Housaman</v>
      </c>
      <c r="G502" s="2" t="str">
        <f>IF(_xlfn.XLOOKUP(C502,Data_customers!$A$1:$A$1001,Data_customers!$C$1:$C$1001,,0)=0,"",_xlfn.XLOOKUP(C502,Data_customers!$A$1:$A$1001,Data_customers!$C$1:$C$1001,,0))</f>
        <v/>
      </c>
      <c r="H502" s="2" t="str">
        <f>_xlfn.XLOOKUP(C502,Data_customers!$A$1:$A$1001,Data_customers!$G$1:$G$1001,"",0)</f>
        <v>United States</v>
      </c>
      <c r="I502" t="str">
        <f>INDEX(Data_products!$A$1:$G$49, MATCH(Data_orders!$D502,Data_products!$A$1:$A$49,0), MATCH(Data_orders!I$1,Data_products!$A$1:$G$1,0))</f>
        <v>Rob</v>
      </c>
      <c r="J502" t="str">
        <f>INDEX(Data_products!$A$1:$G$49, MATCH(Data_orders!$D502,Data_products!$A$1:$A$49,0), MATCH(Data_orders!J$1,Data_products!$A$1:$G$1,0))</f>
        <v>L</v>
      </c>
      <c r="K502" s="4">
        <f>INDEX(Data_products!$A$1:$G$49, MATCH(Data_orders!$D502,Data_products!$A$1:$A$49,0), MATCH(Data_orders!K$1,Data_products!$A$1:$G$1,0))</f>
        <v>1</v>
      </c>
      <c r="L502">
        <f>INDEX(Data_products!$A$1:$G$49, MATCH(Data_orders!$D502,Data_products!$A$1:$A$49,0), MATCH(Data_orders!L$1,Data_products!$A$1:$G$1,0))</f>
        <v>11.95</v>
      </c>
      <c r="M502">
        <f t="shared" si="14"/>
        <v>47.8</v>
      </c>
      <c r="N502" t="str" cm="1">
        <f t="array" ref="N502">_xlfn.IFS(I502 = "Rob", "Robusta", I502 = "Exc", "Excelsa", I502 = "Ara", "Arabica", I502 = "Lib", "Liberica")</f>
        <v>Robusta</v>
      </c>
      <c r="O502" t="str">
        <f t="shared" si="15"/>
        <v>Light</v>
      </c>
      <c r="P502" t="str">
        <f>_xlfn.XLOOKUP(Table1[[#This Row],[Customer ID]],Data_customers!$A$2:$A$1001,Data_customers!$I$2:$I$1001,,0)</f>
        <v>No</v>
      </c>
    </row>
    <row r="503" spans="1:16" x14ac:dyDescent="0.2">
      <c r="A503" s="2" t="s">
        <v>3323</v>
      </c>
      <c r="B503" s="3">
        <v>43467</v>
      </c>
      <c r="C503" s="2" t="s">
        <v>3324</v>
      </c>
      <c r="D503" t="s">
        <v>6174</v>
      </c>
      <c r="E503" s="2">
        <v>4</v>
      </c>
      <c r="F503" s="2" t="str">
        <f>_xlfn.XLOOKUP(Data_orders!C503,Data_customers!$A$1:$A$1001,Data_customers!$B$1:$B$1001,,0)</f>
        <v>Gladi Ducker</v>
      </c>
      <c r="G503" s="2" t="str">
        <f>IF(_xlfn.XLOOKUP(C503,Data_customers!$A$1:$A$1001,Data_customers!$C$1:$C$1001,,0)=0,"",_xlfn.XLOOKUP(C503,Data_customers!$A$1:$A$1001,Data_customers!$C$1:$C$1001,,0))</f>
        <v>gduckerdx@patch.com</v>
      </c>
      <c r="H503" s="2" t="str">
        <f>_xlfn.XLOOKUP(C503,Data_customers!$A$1:$A$1001,Data_customers!$G$1:$G$1001,"",0)</f>
        <v>United Kingdom</v>
      </c>
      <c r="I503" t="str">
        <f>INDEX(Data_products!$A$1:$G$49, MATCH(Data_orders!$D503,Data_products!$A$1:$A$49,0), MATCH(Data_orders!I$1,Data_products!$A$1:$G$1,0))</f>
        <v>Rob</v>
      </c>
      <c r="J503" t="str">
        <f>INDEX(Data_products!$A$1:$G$49, MATCH(Data_orders!$D503,Data_products!$A$1:$A$49,0), MATCH(Data_orders!J$1,Data_products!$A$1:$G$1,0))</f>
        <v>M</v>
      </c>
      <c r="K503" s="4">
        <f>INDEX(Data_products!$A$1:$G$49, MATCH(Data_orders!$D503,Data_products!$A$1:$A$49,0), MATCH(Data_orders!K$1,Data_products!$A$1:$G$1,0))</f>
        <v>0.2</v>
      </c>
      <c r="L503">
        <f>INDEX(Data_products!$A$1:$G$49, MATCH(Data_orders!$D503,Data_products!$A$1:$A$49,0), MATCH(Data_orders!L$1,Data_products!$A$1:$G$1,0))</f>
        <v>2.9849999999999999</v>
      </c>
      <c r="M503">
        <f t="shared" si="14"/>
        <v>11.94</v>
      </c>
      <c r="N503" t="str" cm="1">
        <f t="array" ref="N503">_xlfn.IFS(I503 = "Rob", "Robusta", I503 = "Exc", "Excelsa", I503 = "Ara", "Arabica", I503 = "Lib", "Liberica")</f>
        <v>Robusta</v>
      </c>
      <c r="O503" t="str">
        <f t="shared" si="15"/>
        <v>Medium</v>
      </c>
      <c r="P503" t="str">
        <f>_xlfn.XLOOKUP(Table1[[#This Row],[Customer ID]],Data_customers!$A$2:$A$1001,Data_customers!$I$2:$I$1001,,0)</f>
        <v>No</v>
      </c>
    </row>
    <row r="504" spans="1:16" x14ac:dyDescent="0.2">
      <c r="A504" s="2" t="s">
        <v>3323</v>
      </c>
      <c r="B504" s="3">
        <v>43467</v>
      </c>
      <c r="C504" s="2" t="s">
        <v>3324</v>
      </c>
      <c r="D504" t="s">
        <v>6156</v>
      </c>
      <c r="E504" s="2">
        <v>4</v>
      </c>
      <c r="F504" s="2" t="str">
        <f>_xlfn.XLOOKUP(Data_orders!C504,Data_customers!$A$1:$A$1001,Data_customers!$B$1:$B$1001,,0)</f>
        <v>Gladi Ducker</v>
      </c>
      <c r="G504" s="2" t="str">
        <f>IF(_xlfn.XLOOKUP(C504,Data_customers!$A$1:$A$1001,Data_customers!$C$1:$C$1001,,0)=0,"",_xlfn.XLOOKUP(C504,Data_customers!$A$1:$A$1001,Data_customers!$C$1:$C$1001,,0))</f>
        <v>gduckerdx@patch.com</v>
      </c>
      <c r="H504" s="2" t="str">
        <f>_xlfn.XLOOKUP(C504,Data_customers!$A$1:$A$1001,Data_customers!$G$1:$G$1001,"",0)</f>
        <v>United Kingdom</v>
      </c>
      <c r="I504" t="str">
        <f>INDEX(Data_products!$A$1:$G$49, MATCH(Data_orders!$D504,Data_products!$A$1:$A$49,0), MATCH(Data_orders!I$1,Data_products!$A$1:$G$1,0))</f>
        <v>Exc</v>
      </c>
      <c r="J504" t="str">
        <f>INDEX(Data_products!$A$1:$G$49, MATCH(Data_orders!$D504,Data_products!$A$1:$A$49,0), MATCH(Data_orders!J$1,Data_products!$A$1:$G$1,0))</f>
        <v>M</v>
      </c>
      <c r="K504" s="4">
        <f>INDEX(Data_products!$A$1:$G$49, MATCH(Data_orders!$D504,Data_products!$A$1:$A$49,0), MATCH(Data_orders!K$1,Data_products!$A$1:$G$1,0))</f>
        <v>0.2</v>
      </c>
      <c r="L504">
        <f>INDEX(Data_products!$A$1:$G$49, MATCH(Data_orders!$D504,Data_products!$A$1:$A$49,0), MATCH(Data_orders!L$1,Data_products!$A$1:$G$1,0))</f>
        <v>4.125</v>
      </c>
      <c r="M504">
        <f t="shared" si="14"/>
        <v>16.5</v>
      </c>
      <c r="N504" t="str" cm="1">
        <f t="array" ref="N504">_xlfn.IFS(I504 = "Rob", "Robusta", I504 = "Exc", "Excelsa", I504 = "Ara", "Arabica", I504 = "Lib", "Liberica")</f>
        <v>Excelsa</v>
      </c>
      <c r="O504" t="str">
        <f t="shared" si="15"/>
        <v>Medium</v>
      </c>
      <c r="P504" t="str">
        <f>_xlfn.XLOOKUP(Table1[[#This Row],[Customer ID]],Data_customers!$A$2:$A$1001,Data_customers!$I$2:$I$1001,,0)</f>
        <v>No</v>
      </c>
    </row>
    <row r="505" spans="1:16" x14ac:dyDescent="0.2">
      <c r="A505" s="2" t="s">
        <v>3323</v>
      </c>
      <c r="B505" s="3">
        <v>43467</v>
      </c>
      <c r="C505" s="2" t="s">
        <v>3324</v>
      </c>
      <c r="D505" t="s">
        <v>6143</v>
      </c>
      <c r="E505" s="2">
        <v>4</v>
      </c>
      <c r="F505" s="2" t="str">
        <f>_xlfn.XLOOKUP(Data_orders!C505,Data_customers!$A$1:$A$1001,Data_customers!$B$1:$B$1001,,0)</f>
        <v>Gladi Ducker</v>
      </c>
      <c r="G505" s="2" t="str">
        <f>IF(_xlfn.XLOOKUP(C505,Data_customers!$A$1:$A$1001,Data_customers!$C$1:$C$1001,,0)=0,"",_xlfn.XLOOKUP(C505,Data_customers!$A$1:$A$1001,Data_customers!$C$1:$C$1001,,0))</f>
        <v>gduckerdx@patch.com</v>
      </c>
      <c r="H505" s="2" t="str">
        <f>_xlfn.XLOOKUP(C505,Data_customers!$A$1:$A$1001,Data_customers!$G$1:$G$1001,"",0)</f>
        <v>United Kingdom</v>
      </c>
      <c r="I505" t="str">
        <f>INDEX(Data_products!$A$1:$G$49, MATCH(Data_orders!$D505,Data_products!$A$1:$A$49,0), MATCH(Data_orders!I$1,Data_products!$A$1:$G$1,0))</f>
        <v>Lib</v>
      </c>
      <c r="J505" t="str">
        <f>INDEX(Data_products!$A$1:$G$49, MATCH(Data_orders!$D505,Data_products!$A$1:$A$49,0), MATCH(Data_orders!J$1,Data_products!$A$1:$G$1,0))</f>
        <v>D</v>
      </c>
      <c r="K505" s="4">
        <f>INDEX(Data_products!$A$1:$G$49, MATCH(Data_orders!$D505,Data_products!$A$1:$A$49,0), MATCH(Data_orders!K$1,Data_products!$A$1:$G$1,0))</f>
        <v>1</v>
      </c>
      <c r="L505">
        <f>INDEX(Data_products!$A$1:$G$49, MATCH(Data_orders!$D505,Data_products!$A$1:$A$49,0), MATCH(Data_orders!L$1,Data_products!$A$1:$G$1,0))</f>
        <v>12.95</v>
      </c>
      <c r="M505">
        <f t="shared" si="14"/>
        <v>51.8</v>
      </c>
      <c r="N505" t="str" cm="1">
        <f t="array" ref="N505">_xlfn.IFS(I505 = "Rob", "Robusta", I505 = "Exc", "Excelsa", I505 = "Ara", "Arabica", I505 = "Lib", "Liberica")</f>
        <v>Liberica</v>
      </c>
      <c r="O505" t="str">
        <f t="shared" si="15"/>
        <v>Dark</v>
      </c>
      <c r="P505" t="str">
        <f>_xlfn.XLOOKUP(Table1[[#This Row],[Customer ID]],Data_customers!$A$2:$A$1001,Data_customers!$I$2:$I$1001,,0)</f>
        <v>No</v>
      </c>
    </row>
    <row r="506" spans="1:16" x14ac:dyDescent="0.2">
      <c r="A506" s="2" t="s">
        <v>3323</v>
      </c>
      <c r="B506" s="3">
        <v>43467</v>
      </c>
      <c r="C506" s="2" t="s">
        <v>3324</v>
      </c>
      <c r="D506" t="s">
        <v>6145</v>
      </c>
      <c r="E506" s="2">
        <v>3</v>
      </c>
      <c r="F506" s="2" t="str">
        <f>_xlfn.XLOOKUP(Data_orders!C506,Data_customers!$A$1:$A$1001,Data_customers!$B$1:$B$1001,,0)</f>
        <v>Gladi Ducker</v>
      </c>
      <c r="G506" s="2" t="str">
        <f>IF(_xlfn.XLOOKUP(C506,Data_customers!$A$1:$A$1001,Data_customers!$C$1:$C$1001,,0)=0,"",_xlfn.XLOOKUP(C506,Data_customers!$A$1:$A$1001,Data_customers!$C$1:$C$1001,,0))</f>
        <v>gduckerdx@patch.com</v>
      </c>
      <c r="H506" s="2" t="str">
        <f>_xlfn.XLOOKUP(C506,Data_customers!$A$1:$A$1001,Data_customers!$G$1:$G$1001,"",0)</f>
        <v>United Kingdom</v>
      </c>
      <c r="I506" t="str">
        <f>INDEX(Data_products!$A$1:$G$49, MATCH(Data_orders!$D506,Data_products!$A$1:$A$49,0), MATCH(Data_orders!I$1,Data_products!$A$1:$G$1,0))</f>
        <v>Lib</v>
      </c>
      <c r="J506" t="str">
        <f>INDEX(Data_products!$A$1:$G$49, MATCH(Data_orders!$D506,Data_products!$A$1:$A$49,0), MATCH(Data_orders!J$1,Data_products!$A$1:$G$1,0))</f>
        <v>L</v>
      </c>
      <c r="K506" s="4">
        <f>INDEX(Data_products!$A$1:$G$49, MATCH(Data_orders!$D506,Data_products!$A$1:$A$49,0), MATCH(Data_orders!K$1,Data_products!$A$1:$G$1,0))</f>
        <v>0.2</v>
      </c>
      <c r="L506">
        <f>INDEX(Data_products!$A$1:$G$49, MATCH(Data_orders!$D506,Data_products!$A$1:$A$49,0), MATCH(Data_orders!L$1,Data_products!$A$1:$G$1,0))</f>
        <v>4.7549999999999999</v>
      </c>
      <c r="M506">
        <f t="shared" si="14"/>
        <v>14.265000000000001</v>
      </c>
      <c r="N506" t="str" cm="1">
        <f t="array" ref="N506">_xlfn.IFS(I506 = "Rob", "Robusta", I506 = "Exc", "Excelsa", I506 = "Ara", "Arabica", I506 = "Lib", "Liberica")</f>
        <v>Liberica</v>
      </c>
      <c r="O506" t="str">
        <f t="shared" si="15"/>
        <v>Light</v>
      </c>
      <c r="P506" t="str">
        <f>_xlfn.XLOOKUP(Table1[[#This Row],[Customer ID]],Data_customers!$A$2:$A$1001,Data_customers!$I$2:$I$1001,,0)</f>
        <v>No</v>
      </c>
    </row>
    <row r="507" spans="1:16" x14ac:dyDescent="0.2">
      <c r="A507" s="2" t="s">
        <v>3343</v>
      </c>
      <c r="B507" s="3">
        <v>44609</v>
      </c>
      <c r="C507" s="2" t="s">
        <v>3344</v>
      </c>
      <c r="D507" t="s">
        <v>6159</v>
      </c>
      <c r="E507" s="2">
        <v>6</v>
      </c>
      <c r="F507" s="2" t="str">
        <f>_xlfn.XLOOKUP(Data_orders!C507,Data_customers!$A$1:$A$1001,Data_customers!$B$1:$B$1001,,0)</f>
        <v>Wain Stearley</v>
      </c>
      <c r="G507" s="2" t="str">
        <f>IF(_xlfn.XLOOKUP(C507,Data_customers!$A$1:$A$1001,Data_customers!$C$1:$C$1001,,0)=0,"",_xlfn.XLOOKUP(C507,Data_customers!$A$1:$A$1001,Data_customers!$C$1:$C$1001,,0))</f>
        <v>wstearleye1@census.gov</v>
      </c>
      <c r="H507" s="2" t="str">
        <f>_xlfn.XLOOKUP(C507,Data_customers!$A$1:$A$1001,Data_customers!$G$1:$G$1001,"",0)</f>
        <v>United States</v>
      </c>
      <c r="I507" t="str">
        <f>INDEX(Data_products!$A$1:$G$49, MATCH(Data_orders!$D507,Data_products!$A$1:$A$49,0), MATCH(Data_orders!I$1,Data_products!$A$1:$G$1,0))</f>
        <v>Lib</v>
      </c>
      <c r="J507" t="str">
        <f>INDEX(Data_products!$A$1:$G$49, MATCH(Data_orders!$D507,Data_products!$A$1:$A$49,0), MATCH(Data_orders!J$1,Data_products!$A$1:$G$1,0))</f>
        <v>M</v>
      </c>
      <c r="K507" s="4">
        <f>INDEX(Data_products!$A$1:$G$49, MATCH(Data_orders!$D507,Data_products!$A$1:$A$49,0), MATCH(Data_orders!K$1,Data_products!$A$1:$G$1,0))</f>
        <v>0.2</v>
      </c>
      <c r="L507">
        <f>INDEX(Data_products!$A$1:$G$49, MATCH(Data_orders!$D507,Data_products!$A$1:$A$49,0), MATCH(Data_orders!L$1,Data_products!$A$1:$G$1,0))</f>
        <v>4.3650000000000002</v>
      </c>
      <c r="M507">
        <f t="shared" si="14"/>
        <v>26.19</v>
      </c>
      <c r="N507" t="str" cm="1">
        <f t="array" ref="N507">_xlfn.IFS(I507 = "Rob", "Robusta", I507 = "Exc", "Excelsa", I507 = "Ara", "Arabica", I507 = "Lib", "Liberica")</f>
        <v>Liberica</v>
      </c>
      <c r="O507" t="str">
        <f t="shared" si="15"/>
        <v>Medium</v>
      </c>
      <c r="P507" t="str">
        <f>_xlfn.XLOOKUP(Table1[[#This Row],[Customer ID]],Data_customers!$A$2:$A$1001,Data_customers!$I$2:$I$1001,,0)</f>
        <v>No</v>
      </c>
    </row>
    <row r="508" spans="1:16" x14ac:dyDescent="0.2">
      <c r="A508" s="2" t="s">
        <v>3349</v>
      </c>
      <c r="B508" s="3">
        <v>44184</v>
      </c>
      <c r="C508" s="2" t="s">
        <v>3350</v>
      </c>
      <c r="D508" t="s">
        <v>6140</v>
      </c>
      <c r="E508" s="2">
        <v>2</v>
      </c>
      <c r="F508" s="2" t="str">
        <f>_xlfn.XLOOKUP(Data_orders!C508,Data_customers!$A$1:$A$1001,Data_customers!$B$1:$B$1001,,0)</f>
        <v>Diane-marie Wincer</v>
      </c>
      <c r="G508" s="2" t="str">
        <f>IF(_xlfn.XLOOKUP(C508,Data_customers!$A$1:$A$1001,Data_customers!$C$1:$C$1001,,0)=0,"",_xlfn.XLOOKUP(C508,Data_customers!$A$1:$A$1001,Data_customers!$C$1:$C$1001,,0))</f>
        <v>dwincere2@marriott.com</v>
      </c>
      <c r="H508" s="2" t="str">
        <f>_xlfn.XLOOKUP(C508,Data_customers!$A$1:$A$1001,Data_customers!$G$1:$G$1001,"",0)</f>
        <v>United States</v>
      </c>
      <c r="I508" t="str">
        <f>INDEX(Data_products!$A$1:$G$49, MATCH(Data_orders!$D508,Data_products!$A$1:$A$49,0), MATCH(Data_orders!I$1,Data_products!$A$1:$G$1,0))</f>
        <v>Ara</v>
      </c>
      <c r="J508" t="str">
        <f>INDEX(Data_products!$A$1:$G$49, MATCH(Data_orders!$D508,Data_products!$A$1:$A$49,0), MATCH(Data_orders!J$1,Data_products!$A$1:$G$1,0))</f>
        <v>L</v>
      </c>
      <c r="K508" s="4">
        <f>INDEX(Data_products!$A$1:$G$49, MATCH(Data_orders!$D508,Data_products!$A$1:$A$49,0), MATCH(Data_orders!K$1,Data_products!$A$1:$G$1,0))</f>
        <v>1</v>
      </c>
      <c r="L508">
        <f>INDEX(Data_products!$A$1:$G$49, MATCH(Data_orders!$D508,Data_products!$A$1:$A$49,0), MATCH(Data_orders!L$1,Data_products!$A$1:$G$1,0))</f>
        <v>12.95</v>
      </c>
      <c r="M508">
        <f t="shared" si="14"/>
        <v>25.9</v>
      </c>
      <c r="N508" t="str" cm="1">
        <f t="array" ref="N508">_xlfn.IFS(I508 = "Rob", "Robusta", I508 = "Exc", "Excelsa", I508 = "Ara", "Arabica", I508 = "Lib", "Liberica")</f>
        <v>Arabica</v>
      </c>
      <c r="O508" t="str">
        <f t="shared" si="15"/>
        <v>Light</v>
      </c>
      <c r="P508" t="str">
        <f>_xlfn.XLOOKUP(Table1[[#This Row],[Customer ID]],Data_customers!$A$2:$A$1001,Data_customers!$I$2:$I$1001,,0)</f>
        <v>Yes</v>
      </c>
    </row>
    <row r="509" spans="1:16" x14ac:dyDescent="0.2">
      <c r="A509" s="2" t="s">
        <v>3355</v>
      </c>
      <c r="B509" s="3">
        <v>43516</v>
      </c>
      <c r="C509" s="2" t="s">
        <v>3356</v>
      </c>
      <c r="D509" t="s">
        <v>6182</v>
      </c>
      <c r="E509" s="2">
        <v>3</v>
      </c>
      <c r="F509" s="2" t="str">
        <f>_xlfn.XLOOKUP(Data_orders!C509,Data_customers!$A$1:$A$1001,Data_customers!$B$1:$B$1001,,0)</f>
        <v>Perry Lyfield</v>
      </c>
      <c r="G509" s="2" t="str">
        <f>IF(_xlfn.XLOOKUP(C509,Data_customers!$A$1:$A$1001,Data_customers!$C$1:$C$1001,,0)=0,"",_xlfn.XLOOKUP(C509,Data_customers!$A$1:$A$1001,Data_customers!$C$1:$C$1001,,0))</f>
        <v>plyfielde3@baidu.com</v>
      </c>
      <c r="H509" s="2" t="str">
        <f>_xlfn.XLOOKUP(C509,Data_customers!$A$1:$A$1001,Data_customers!$G$1:$G$1001,"",0)</f>
        <v>United States</v>
      </c>
      <c r="I509" t="str">
        <f>INDEX(Data_products!$A$1:$G$49, MATCH(Data_orders!$D509,Data_products!$A$1:$A$49,0), MATCH(Data_orders!I$1,Data_products!$A$1:$G$1,0))</f>
        <v>Ara</v>
      </c>
      <c r="J509" t="str">
        <f>INDEX(Data_products!$A$1:$G$49, MATCH(Data_orders!$D509,Data_products!$A$1:$A$49,0), MATCH(Data_orders!J$1,Data_products!$A$1:$G$1,0))</f>
        <v>L</v>
      </c>
      <c r="K509" s="4">
        <f>INDEX(Data_products!$A$1:$G$49, MATCH(Data_orders!$D509,Data_products!$A$1:$A$49,0), MATCH(Data_orders!K$1,Data_products!$A$1:$G$1,0))</f>
        <v>2.5</v>
      </c>
      <c r="L509">
        <f>INDEX(Data_products!$A$1:$G$49, MATCH(Data_orders!$D509,Data_products!$A$1:$A$49,0), MATCH(Data_orders!L$1,Data_products!$A$1:$G$1,0))</f>
        <v>29.784999999999997</v>
      </c>
      <c r="M509">
        <f t="shared" si="14"/>
        <v>89.35499999999999</v>
      </c>
      <c r="N509" t="str" cm="1">
        <f t="array" ref="N509">_xlfn.IFS(I509 = "Rob", "Robusta", I509 = "Exc", "Excelsa", I509 = "Ara", "Arabica", I509 = "Lib", "Liberica")</f>
        <v>Arabica</v>
      </c>
      <c r="O509" t="str">
        <f t="shared" si="15"/>
        <v>Light</v>
      </c>
      <c r="P509" t="str">
        <f>_xlfn.XLOOKUP(Table1[[#This Row],[Customer ID]],Data_customers!$A$2:$A$1001,Data_customers!$I$2:$I$1001,,0)</f>
        <v>Yes</v>
      </c>
    </row>
    <row r="510" spans="1:16" x14ac:dyDescent="0.2">
      <c r="A510" s="2" t="s">
        <v>3361</v>
      </c>
      <c r="B510" s="3">
        <v>44210</v>
      </c>
      <c r="C510" s="2" t="s">
        <v>3362</v>
      </c>
      <c r="D510" t="s">
        <v>6169</v>
      </c>
      <c r="E510" s="2">
        <v>6</v>
      </c>
      <c r="F510" s="2" t="str">
        <f>_xlfn.XLOOKUP(Data_orders!C510,Data_customers!$A$1:$A$1001,Data_customers!$B$1:$B$1001,,0)</f>
        <v>Heall Perris</v>
      </c>
      <c r="G510" s="2" t="str">
        <f>IF(_xlfn.XLOOKUP(C510,Data_customers!$A$1:$A$1001,Data_customers!$C$1:$C$1001,,0)=0,"",_xlfn.XLOOKUP(C510,Data_customers!$A$1:$A$1001,Data_customers!$C$1:$C$1001,,0))</f>
        <v>hperrise4@studiopress.com</v>
      </c>
      <c r="H510" s="2" t="str">
        <f>_xlfn.XLOOKUP(C510,Data_customers!$A$1:$A$1001,Data_customers!$G$1:$G$1001,"",0)</f>
        <v>Ireland</v>
      </c>
      <c r="I510" t="str">
        <f>INDEX(Data_products!$A$1:$G$49, MATCH(Data_orders!$D510,Data_products!$A$1:$A$49,0), MATCH(Data_orders!I$1,Data_products!$A$1:$G$1,0))</f>
        <v>Lib</v>
      </c>
      <c r="J510" t="str">
        <f>INDEX(Data_products!$A$1:$G$49, MATCH(Data_orders!$D510,Data_products!$A$1:$A$49,0), MATCH(Data_orders!J$1,Data_products!$A$1:$G$1,0))</f>
        <v>D</v>
      </c>
      <c r="K510" s="4">
        <f>INDEX(Data_products!$A$1:$G$49, MATCH(Data_orders!$D510,Data_products!$A$1:$A$49,0), MATCH(Data_orders!K$1,Data_products!$A$1:$G$1,0))</f>
        <v>0.5</v>
      </c>
      <c r="L510">
        <f>INDEX(Data_products!$A$1:$G$49, MATCH(Data_orders!$D510,Data_products!$A$1:$A$49,0), MATCH(Data_orders!L$1,Data_products!$A$1:$G$1,0))</f>
        <v>7.77</v>
      </c>
      <c r="M510">
        <f t="shared" si="14"/>
        <v>46.62</v>
      </c>
      <c r="N510" t="str" cm="1">
        <f t="array" ref="N510">_xlfn.IFS(I510 = "Rob", "Robusta", I510 = "Exc", "Excelsa", I510 = "Ara", "Arabica", I510 = "Lib", "Liberica")</f>
        <v>Liberica</v>
      </c>
      <c r="O510" t="str">
        <f t="shared" si="15"/>
        <v>Dark</v>
      </c>
      <c r="P510" t="str">
        <f>_xlfn.XLOOKUP(Table1[[#This Row],[Customer ID]],Data_customers!$A$2:$A$1001,Data_customers!$I$2:$I$1001,,0)</f>
        <v>No</v>
      </c>
    </row>
    <row r="511" spans="1:16" x14ac:dyDescent="0.2">
      <c r="A511" s="2" t="s">
        <v>3367</v>
      </c>
      <c r="B511" s="3">
        <v>43785</v>
      </c>
      <c r="C511" s="2" t="s">
        <v>3368</v>
      </c>
      <c r="D511" t="s">
        <v>6147</v>
      </c>
      <c r="E511" s="2">
        <v>3</v>
      </c>
      <c r="F511" s="2" t="str">
        <f>_xlfn.XLOOKUP(Data_orders!C511,Data_customers!$A$1:$A$1001,Data_customers!$B$1:$B$1001,,0)</f>
        <v>Marja Urion</v>
      </c>
      <c r="G511" s="2" t="str">
        <f>IF(_xlfn.XLOOKUP(C511,Data_customers!$A$1:$A$1001,Data_customers!$C$1:$C$1001,,0)=0,"",_xlfn.XLOOKUP(C511,Data_customers!$A$1:$A$1001,Data_customers!$C$1:$C$1001,,0))</f>
        <v>murione5@alexa.com</v>
      </c>
      <c r="H511" s="2" t="str">
        <f>_xlfn.XLOOKUP(C511,Data_customers!$A$1:$A$1001,Data_customers!$G$1:$G$1001,"",0)</f>
        <v>Ireland</v>
      </c>
      <c r="I511" t="str">
        <f>INDEX(Data_products!$A$1:$G$49, MATCH(Data_orders!$D511,Data_products!$A$1:$A$49,0), MATCH(Data_orders!I$1,Data_products!$A$1:$G$1,0))</f>
        <v>Ara</v>
      </c>
      <c r="J511" t="str">
        <f>INDEX(Data_products!$A$1:$G$49, MATCH(Data_orders!$D511,Data_products!$A$1:$A$49,0), MATCH(Data_orders!J$1,Data_products!$A$1:$G$1,0))</f>
        <v>D</v>
      </c>
      <c r="K511" s="4">
        <f>INDEX(Data_products!$A$1:$G$49, MATCH(Data_orders!$D511,Data_products!$A$1:$A$49,0), MATCH(Data_orders!K$1,Data_products!$A$1:$G$1,0))</f>
        <v>1</v>
      </c>
      <c r="L511">
        <f>INDEX(Data_products!$A$1:$G$49, MATCH(Data_orders!$D511,Data_products!$A$1:$A$49,0), MATCH(Data_orders!L$1,Data_products!$A$1:$G$1,0))</f>
        <v>9.9499999999999993</v>
      </c>
      <c r="M511">
        <f t="shared" si="14"/>
        <v>29.849999999999998</v>
      </c>
      <c r="N511" t="str" cm="1">
        <f t="array" ref="N511">_xlfn.IFS(I511 = "Rob", "Robusta", I511 = "Exc", "Excelsa", I511 = "Ara", "Arabica", I511 = "Lib", "Liberica")</f>
        <v>Arabica</v>
      </c>
      <c r="O511" t="str">
        <f t="shared" si="15"/>
        <v>Dark</v>
      </c>
      <c r="P511" t="str">
        <f>_xlfn.XLOOKUP(Table1[[#This Row],[Customer ID]],Data_customers!$A$2:$A$1001,Data_customers!$I$2:$I$1001,,0)</f>
        <v>Yes</v>
      </c>
    </row>
    <row r="512" spans="1:16" x14ac:dyDescent="0.2">
      <c r="A512" s="2" t="s">
        <v>3373</v>
      </c>
      <c r="B512" s="3">
        <v>43803</v>
      </c>
      <c r="C512" s="2" t="s">
        <v>3374</v>
      </c>
      <c r="D512" t="s">
        <v>6178</v>
      </c>
      <c r="E512" s="2">
        <v>3</v>
      </c>
      <c r="F512" s="2" t="str">
        <f>_xlfn.XLOOKUP(Data_orders!C512,Data_customers!$A$1:$A$1001,Data_customers!$B$1:$B$1001,,0)</f>
        <v>Camellia Kid</v>
      </c>
      <c r="G512" s="2" t="str">
        <f>IF(_xlfn.XLOOKUP(C512,Data_customers!$A$1:$A$1001,Data_customers!$C$1:$C$1001,,0)=0,"",_xlfn.XLOOKUP(C512,Data_customers!$A$1:$A$1001,Data_customers!$C$1:$C$1001,,0))</f>
        <v>ckide6@narod.ru</v>
      </c>
      <c r="H512" s="2" t="str">
        <f>_xlfn.XLOOKUP(C512,Data_customers!$A$1:$A$1001,Data_customers!$G$1:$G$1001,"",0)</f>
        <v>Ireland</v>
      </c>
      <c r="I512" t="str">
        <f>INDEX(Data_products!$A$1:$G$49, MATCH(Data_orders!$D512,Data_products!$A$1:$A$49,0), MATCH(Data_orders!I$1,Data_products!$A$1:$G$1,0))</f>
        <v>Rob</v>
      </c>
      <c r="J512" t="str">
        <f>INDEX(Data_products!$A$1:$G$49, MATCH(Data_orders!$D512,Data_products!$A$1:$A$49,0), MATCH(Data_orders!J$1,Data_products!$A$1:$G$1,0))</f>
        <v>L</v>
      </c>
      <c r="K512" s="4">
        <f>INDEX(Data_products!$A$1:$G$49, MATCH(Data_orders!$D512,Data_products!$A$1:$A$49,0), MATCH(Data_orders!K$1,Data_products!$A$1:$G$1,0))</f>
        <v>0.2</v>
      </c>
      <c r="L512">
        <f>INDEX(Data_products!$A$1:$G$49, MATCH(Data_orders!$D512,Data_products!$A$1:$A$49,0), MATCH(Data_orders!L$1,Data_products!$A$1:$G$1,0))</f>
        <v>3.5849999999999995</v>
      </c>
      <c r="M512">
        <f t="shared" si="14"/>
        <v>10.754999999999999</v>
      </c>
      <c r="N512" t="str" cm="1">
        <f t="array" ref="N512">_xlfn.IFS(I512 = "Rob", "Robusta", I512 = "Exc", "Excelsa", I512 = "Ara", "Arabica", I512 = "Lib", "Liberica")</f>
        <v>Robusta</v>
      </c>
      <c r="O512" t="str">
        <f t="shared" si="15"/>
        <v>Light</v>
      </c>
      <c r="P512" t="str">
        <f>_xlfn.XLOOKUP(Table1[[#This Row],[Customer ID]],Data_customers!$A$2:$A$1001,Data_customers!$I$2:$I$1001,,0)</f>
        <v>Yes</v>
      </c>
    </row>
    <row r="513" spans="1:16" x14ac:dyDescent="0.2">
      <c r="A513" s="2" t="s">
        <v>3379</v>
      </c>
      <c r="B513" s="3">
        <v>44043</v>
      </c>
      <c r="C513" s="2" t="s">
        <v>3380</v>
      </c>
      <c r="D513" t="s">
        <v>6152</v>
      </c>
      <c r="E513" s="2">
        <v>4</v>
      </c>
      <c r="F513" s="2" t="str">
        <f>_xlfn.XLOOKUP(Data_orders!C513,Data_customers!$A$1:$A$1001,Data_customers!$B$1:$B$1001,,0)</f>
        <v>Carolann Beine</v>
      </c>
      <c r="G513" s="2" t="str">
        <f>IF(_xlfn.XLOOKUP(C513,Data_customers!$A$1:$A$1001,Data_customers!$C$1:$C$1001,,0)=0,"",_xlfn.XLOOKUP(C513,Data_customers!$A$1:$A$1001,Data_customers!$C$1:$C$1001,,0))</f>
        <v>cbeinee7@xinhuanet.com</v>
      </c>
      <c r="H513" s="2" t="str">
        <f>_xlfn.XLOOKUP(C513,Data_customers!$A$1:$A$1001,Data_customers!$G$1:$G$1001,"",0)</f>
        <v>United States</v>
      </c>
      <c r="I513" t="str">
        <f>INDEX(Data_products!$A$1:$G$49, MATCH(Data_orders!$D513,Data_products!$A$1:$A$49,0), MATCH(Data_orders!I$1,Data_products!$A$1:$G$1,0))</f>
        <v>Ara</v>
      </c>
      <c r="J513" t="str">
        <f>INDEX(Data_products!$A$1:$G$49, MATCH(Data_orders!$D513,Data_products!$A$1:$A$49,0), MATCH(Data_orders!J$1,Data_products!$A$1:$G$1,0))</f>
        <v>M</v>
      </c>
      <c r="K513" s="4">
        <f>INDEX(Data_products!$A$1:$G$49, MATCH(Data_orders!$D513,Data_products!$A$1:$A$49,0), MATCH(Data_orders!K$1,Data_products!$A$1:$G$1,0))</f>
        <v>0.2</v>
      </c>
      <c r="L513">
        <f>INDEX(Data_products!$A$1:$G$49, MATCH(Data_orders!$D513,Data_products!$A$1:$A$49,0), MATCH(Data_orders!L$1,Data_products!$A$1:$G$1,0))</f>
        <v>3.375</v>
      </c>
      <c r="M513">
        <f t="shared" si="14"/>
        <v>13.5</v>
      </c>
      <c r="N513" t="str" cm="1">
        <f t="array" ref="N513">_xlfn.IFS(I513 = "Rob", "Robusta", I513 = "Exc", "Excelsa", I513 = "Ara", "Arabica", I513 = "Lib", "Liberica")</f>
        <v>Arabica</v>
      </c>
      <c r="O513" t="str">
        <f t="shared" si="15"/>
        <v>Medium</v>
      </c>
      <c r="P513" t="str">
        <f>_xlfn.XLOOKUP(Table1[[#This Row],[Customer ID]],Data_customers!$A$2:$A$1001,Data_customers!$I$2:$I$1001,,0)</f>
        <v>Yes</v>
      </c>
    </row>
    <row r="514" spans="1:16" x14ac:dyDescent="0.2">
      <c r="A514" s="2" t="s">
        <v>3385</v>
      </c>
      <c r="B514" s="3">
        <v>43535</v>
      </c>
      <c r="C514" s="2" t="s">
        <v>3386</v>
      </c>
      <c r="D514" t="s">
        <v>6170</v>
      </c>
      <c r="E514" s="2">
        <v>3</v>
      </c>
      <c r="F514" s="2" t="str">
        <f>_xlfn.XLOOKUP(Data_orders!C514,Data_customers!$A$1:$A$1001,Data_customers!$B$1:$B$1001,,0)</f>
        <v>Celia Bakeup</v>
      </c>
      <c r="G514" s="2" t="str">
        <f>IF(_xlfn.XLOOKUP(C514,Data_customers!$A$1:$A$1001,Data_customers!$C$1:$C$1001,,0)=0,"",_xlfn.XLOOKUP(C514,Data_customers!$A$1:$A$1001,Data_customers!$C$1:$C$1001,,0))</f>
        <v>cbakeupe8@globo.com</v>
      </c>
      <c r="H514" s="2" t="str">
        <f>_xlfn.XLOOKUP(C514,Data_customers!$A$1:$A$1001,Data_customers!$G$1:$G$1001,"",0)</f>
        <v>United States</v>
      </c>
      <c r="I514" t="str">
        <f>INDEX(Data_products!$A$1:$G$49, MATCH(Data_orders!$D514,Data_products!$A$1:$A$49,0), MATCH(Data_orders!I$1,Data_products!$A$1:$G$1,0))</f>
        <v>Lib</v>
      </c>
      <c r="J514" t="str">
        <f>INDEX(Data_products!$A$1:$G$49, MATCH(Data_orders!$D514,Data_products!$A$1:$A$49,0), MATCH(Data_orders!J$1,Data_products!$A$1:$G$1,0))</f>
        <v>L</v>
      </c>
      <c r="K514" s="4">
        <f>INDEX(Data_products!$A$1:$G$49, MATCH(Data_orders!$D514,Data_products!$A$1:$A$49,0), MATCH(Data_orders!K$1,Data_products!$A$1:$G$1,0))</f>
        <v>1</v>
      </c>
      <c r="L514">
        <f>INDEX(Data_products!$A$1:$G$49, MATCH(Data_orders!$D514,Data_products!$A$1:$A$49,0), MATCH(Data_orders!L$1,Data_products!$A$1:$G$1,0))</f>
        <v>15.85</v>
      </c>
      <c r="M514">
        <f t="shared" si="14"/>
        <v>47.55</v>
      </c>
      <c r="N514" t="str" cm="1">
        <f t="array" ref="N514">_xlfn.IFS(I514 = "Rob", "Robusta", I514 = "Exc", "Excelsa", I514 = "Ara", "Arabica", I514 = "Lib", "Liberica")</f>
        <v>Liberica</v>
      </c>
      <c r="O514" t="str">
        <f t="shared" si="15"/>
        <v>Light</v>
      </c>
      <c r="P514" t="str">
        <f>_xlfn.XLOOKUP(Table1[[#This Row],[Customer ID]],Data_customers!$A$2:$A$1001,Data_customers!$I$2:$I$1001,,0)</f>
        <v>No</v>
      </c>
    </row>
    <row r="515" spans="1:16" x14ac:dyDescent="0.2">
      <c r="A515" s="2" t="s">
        <v>3391</v>
      </c>
      <c r="B515" s="3">
        <v>44691</v>
      </c>
      <c r="C515" s="2" t="s">
        <v>3392</v>
      </c>
      <c r="D515" t="s">
        <v>6170</v>
      </c>
      <c r="E515" s="2">
        <v>5</v>
      </c>
      <c r="F515" s="2" t="str">
        <f>_xlfn.XLOOKUP(Data_orders!C515,Data_customers!$A$1:$A$1001,Data_customers!$B$1:$B$1001,,0)</f>
        <v>Nataniel Helkin</v>
      </c>
      <c r="G515" s="2" t="str">
        <f>IF(_xlfn.XLOOKUP(C515,Data_customers!$A$1:$A$1001,Data_customers!$C$1:$C$1001,,0)=0,"",_xlfn.XLOOKUP(C515,Data_customers!$A$1:$A$1001,Data_customers!$C$1:$C$1001,,0))</f>
        <v>nhelkine9@example.com</v>
      </c>
      <c r="H515" s="2" t="str">
        <f>_xlfn.XLOOKUP(C515,Data_customers!$A$1:$A$1001,Data_customers!$G$1:$G$1001,"",0)</f>
        <v>United States</v>
      </c>
      <c r="I515" t="str">
        <f>INDEX(Data_products!$A$1:$G$49, MATCH(Data_orders!$D515,Data_products!$A$1:$A$49,0), MATCH(Data_orders!I$1,Data_products!$A$1:$G$1,0))</f>
        <v>Lib</v>
      </c>
      <c r="J515" t="str">
        <f>INDEX(Data_products!$A$1:$G$49, MATCH(Data_orders!$D515,Data_products!$A$1:$A$49,0), MATCH(Data_orders!J$1,Data_products!$A$1:$G$1,0))</f>
        <v>L</v>
      </c>
      <c r="K515" s="4">
        <f>INDEX(Data_products!$A$1:$G$49, MATCH(Data_orders!$D515,Data_products!$A$1:$A$49,0), MATCH(Data_orders!K$1,Data_products!$A$1:$G$1,0))</f>
        <v>1</v>
      </c>
      <c r="L515">
        <f>INDEX(Data_products!$A$1:$G$49, MATCH(Data_orders!$D515,Data_products!$A$1:$A$49,0), MATCH(Data_orders!L$1,Data_products!$A$1:$G$1,0))</f>
        <v>15.85</v>
      </c>
      <c r="M515">
        <f t="shared" ref="M515:M578" si="16">L515*E515</f>
        <v>79.25</v>
      </c>
      <c r="N515" t="str" cm="1">
        <f t="array" ref="N515">_xlfn.IFS(I515 = "Rob", "Robusta", I515 = "Exc", "Excelsa", I515 = "Ara", "Arabica", I515 = "Lib", "Liberica")</f>
        <v>Liberica</v>
      </c>
      <c r="O515" t="str">
        <f t="shared" ref="O515:O578" si="17">IF(J515 = "M", "Medium", IF(J515 =  "L", "Light", IF(J515 = "D", "Dark", "")))</f>
        <v>Light</v>
      </c>
      <c r="P515" t="str">
        <f>_xlfn.XLOOKUP(Table1[[#This Row],[Customer ID]],Data_customers!$A$2:$A$1001,Data_customers!$I$2:$I$1001,,0)</f>
        <v>No</v>
      </c>
    </row>
    <row r="516" spans="1:16" x14ac:dyDescent="0.2">
      <c r="A516" s="2" t="s">
        <v>3396</v>
      </c>
      <c r="B516" s="3">
        <v>44555</v>
      </c>
      <c r="C516" s="2" t="s">
        <v>3397</v>
      </c>
      <c r="D516" t="s">
        <v>6159</v>
      </c>
      <c r="E516" s="2">
        <v>6</v>
      </c>
      <c r="F516" s="2" t="str">
        <f>_xlfn.XLOOKUP(Data_orders!C516,Data_customers!$A$1:$A$1001,Data_customers!$B$1:$B$1001,,0)</f>
        <v>Pippo Witherington</v>
      </c>
      <c r="G516" s="2" t="str">
        <f>IF(_xlfn.XLOOKUP(C516,Data_customers!$A$1:$A$1001,Data_customers!$C$1:$C$1001,,0)=0,"",_xlfn.XLOOKUP(C516,Data_customers!$A$1:$A$1001,Data_customers!$C$1:$C$1001,,0))</f>
        <v>pwitheringtonea@networkadvertising.org</v>
      </c>
      <c r="H516" s="2" t="str">
        <f>_xlfn.XLOOKUP(C516,Data_customers!$A$1:$A$1001,Data_customers!$G$1:$G$1001,"",0)</f>
        <v>United States</v>
      </c>
      <c r="I516" t="str">
        <f>INDEX(Data_products!$A$1:$G$49, MATCH(Data_orders!$D516,Data_products!$A$1:$A$49,0), MATCH(Data_orders!I$1,Data_products!$A$1:$G$1,0))</f>
        <v>Lib</v>
      </c>
      <c r="J516" t="str">
        <f>INDEX(Data_products!$A$1:$G$49, MATCH(Data_orders!$D516,Data_products!$A$1:$A$49,0), MATCH(Data_orders!J$1,Data_products!$A$1:$G$1,0))</f>
        <v>M</v>
      </c>
      <c r="K516" s="4">
        <f>INDEX(Data_products!$A$1:$G$49, MATCH(Data_orders!$D516,Data_products!$A$1:$A$49,0), MATCH(Data_orders!K$1,Data_products!$A$1:$G$1,0))</f>
        <v>0.2</v>
      </c>
      <c r="L516">
        <f>INDEX(Data_products!$A$1:$G$49, MATCH(Data_orders!$D516,Data_products!$A$1:$A$49,0), MATCH(Data_orders!L$1,Data_products!$A$1:$G$1,0))</f>
        <v>4.3650000000000002</v>
      </c>
      <c r="M516">
        <f t="shared" si="16"/>
        <v>26.19</v>
      </c>
      <c r="N516" t="str" cm="1">
        <f t="array" ref="N516">_xlfn.IFS(I516 = "Rob", "Robusta", I516 = "Exc", "Excelsa", I516 = "Ara", "Arabica", I516 = "Lib", "Liberica")</f>
        <v>Liberica</v>
      </c>
      <c r="O516" t="str">
        <f t="shared" si="17"/>
        <v>Medium</v>
      </c>
      <c r="P516" t="str">
        <f>_xlfn.XLOOKUP(Table1[[#This Row],[Customer ID]],Data_customers!$A$2:$A$1001,Data_customers!$I$2:$I$1001,,0)</f>
        <v>Yes</v>
      </c>
    </row>
    <row r="517" spans="1:16" x14ac:dyDescent="0.2">
      <c r="A517" s="2" t="s">
        <v>3402</v>
      </c>
      <c r="B517" s="3">
        <v>44673</v>
      </c>
      <c r="C517" s="2" t="s">
        <v>3403</v>
      </c>
      <c r="D517" t="s">
        <v>6173</v>
      </c>
      <c r="E517" s="2">
        <v>3</v>
      </c>
      <c r="F517" s="2" t="str">
        <f>_xlfn.XLOOKUP(Data_orders!C517,Data_customers!$A$1:$A$1001,Data_customers!$B$1:$B$1001,,0)</f>
        <v>Tildie Tilzey</v>
      </c>
      <c r="G517" s="2" t="str">
        <f>IF(_xlfn.XLOOKUP(C517,Data_customers!$A$1:$A$1001,Data_customers!$C$1:$C$1001,,0)=0,"",_xlfn.XLOOKUP(C517,Data_customers!$A$1:$A$1001,Data_customers!$C$1:$C$1001,,0))</f>
        <v>ttilzeyeb@hostgator.com</v>
      </c>
      <c r="H517" s="2" t="str">
        <f>_xlfn.XLOOKUP(C517,Data_customers!$A$1:$A$1001,Data_customers!$G$1:$G$1001,"",0)</f>
        <v>United States</v>
      </c>
      <c r="I517" t="str">
        <f>INDEX(Data_products!$A$1:$G$49, MATCH(Data_orders!$D517,Data_products!$A$1:$A$49,0), MATCH(Data_orders!I$1,Data_products!$A$1:$G$1,0))</f>
        <v>Rob</v>
      </c>
      <c r="J517" t="str">
        <f>INDEX(Data_products!$A$1:$G$49, MATCH(Data_orders!$D517,Data_products!$A$1:$A$49,0), MATCH(Data_orders!J$1,Data_products!$A$1:$G$1,0))</f>
        <v>L</v>
      </c>
      <c r="K517" s="4">
        <f>INDEX(Data_products!$A$1:$G$49, MATCH(Data_orders!$D517,Data_products!$A$1:$A$49,0), MATCH(Data_orders!K$1,Data_products!$A$1:$G$1,0))</f>
        <v>0.5</v>
      </c>
      <c r="L517">
        <f>INDEX(Data_products!$A$1:$G$49, MATCH(Data_orders!$D517,Data_products!$A$1:$A$49,0), MATCH(Data_orders!L$1,Data_products!$A$1:$G$1,0))</f>
        <v>7.169999999999999</v>
      </c>
      <c r="M517">
        <f t="shared" si="16"/>
        <v>21.509999999999998</v>
      </c>
      <c r="N517" t="str" cm="1">
        <f t="array" ref="N517">_xlfn.IFS(I517 = "Rob", "Robusta", I517 = "Exc", "Excelsa", I517 = "Ara", "Arabica", I517 = "Lib", "Liberica")</f>
        <v>Robusta</v>
      </c>
      <c r="O517" t="str">
        <f t="shared" si="17"/>
        <v>Light</v>
      </c>
      <c r="P517" t="str">
        <f>_xlfn.XLOOKUP(Table1[[#This Row],[Customer ID]],Data_customers!$A$2:$A$1001,Data_customers!$I$2:$I$1001,,0)</f>
        <v>No</v>
      </c>
    </row>
    <row r="518" spans="1:16" x14ac:dyDescent="0.2">
      <c r="A518" s="2" t="s">
        <v>3408</v>
      </c>
      <c r="B518" s="3">
        <v>44723</v>
      </c>
      <c r="C518" s="2" t="s">
        <v>3409</v>
      </c>
      <c r="D518" t="s">
        <v>6149</v>
      </c>
      <c r="E518" s="2">
        <v>5</v>
      </c>
      <c r="F518" s="2" t="str">
        <f>_xlfn.XLOOKUP(Data_orders!C518,Data_customers!$A$1:$A$1001,Data_customers!$B$1:$B$1001,,0)</f>
        <v>Cindra Burling</v>
      </c>
      <c r="G518" s="2" t="str">
        <f>IF(_xlfn.XLOOKUP(C518,Data_customers!$A$1:$A$1001,Data_customers!$C$1:$C$1001,,0)=0,"",_xlfn.XLOOKUP(C518,Data_customers!$A$1:$A$1001,Data_customers!$C$1:$C$1001,,0))</f>
        <v/>
      </c>
      <c r="H518" s="2" t="str">
        <f>_xlfn.XLOOKUP(C518,Data_customers!$A$1:$A$1001,Data_customers!$G$1:$G$1001,"",0)</f>
        <v>United States</v>
      </c>
      <c r="I518" t="str">
        <f>INDEX(Data_products!$A$1:$G$49, MATCH(Data_orders!$D518,Data_products!$A$1:$A$49,0), MATCH(Data_orders!I$1,Data_products!$A$1:$G$1,0))</f>
        <v>Rob</v>
      </c>
      <c r="J518" t="str">
        <f>INDEX(Data_products!$A$1:$G$49, MATCH(Data_orders!$D518,Data_products!$A$1:$A$49,0), MATCH(Data_orders!J$1,Data_products!$A$1:$G$1,0))</f>
        <v>D</v>
      </c>
      <c r="K518" s="4">
        <f>INDEX(Data_products!$A$1:$G$49, MATCH(Data_orders!$D518,Data_products!$A$1:$A$49,0), MATCH(Data_orders!K$1,Data_products!$A$1:$G$1,0))</f>
        <v>2.5</v>
      </c>
      <c r="L518">
        <f>INDEX(Data_products!$A$1:$G$49, MATCH(Data_orders!$D518,Data_products!$A$1:$A$49,0), MATCH(Data_orders!L$1,Data_products!$A$1:$G$1,0))</f>
        <v>20.584999999999997</v>
      </c>
      <c r="M518">
        <f t="shared" si="16"/>
        <v>102.92499999999998</v>
      </c>
      <c r="N518" t="str" cm="1">
        <f t="array" ref="N518">_xlfn.IFS(I518 = "Rob", "Robusta", I518 = "Exc", "Excelsa", I518 = "Ara", "Arabica", I518 = "Lib", "Liberica")</f>
        <v>Robusta</v>
      </c>
      <c r="O518" t="str">
        <f t="shared" si="17"/>
        <v>Dark</v>
      </c>
      <c r="P518" t="str">
        <f>_xlfn.XLOOKUP(Table1[[#This Row],[Customer ID]],Data_customers!$A$2:$A$1001,Data_customers!$I$2:$I$1001,,0)</f>
        <v>Yes</v>
      </c>
    </row>
    <row r="519" spans="1:16" x14ac:dyDescent="0.2">
      <c r="A519" s="2" t="s">
        <v>3413</v>
      </c>
      <c r="B519" s="3">
        <v>44678</v>
      </c>
      <c r="C519" s="2" t="s">
        <v>3414</v>
      </c>
      <c r="D519" t="s">
        <v>6150</v>
      </c>
      <c r="E519" s="2">
        <v>2</v>
      </c>
      <c r="F519" s="2" t="str">
        <f>_xlfn.XLOOKUP(Data_orders!C519,Data_customers!$A$1:$A$1001,Data_customers!$B$1:$B$1001,,0)</f>
        <v>Channa Belamy</v>
      </c>
      <c r="G519" s="2" t="str">
        <f>IF(_xlfn.XLOOKUP(C519,Data_customers!$A$1:$A$1001,Data_customers!$C$1:$C$1001,,0)=0,"",_xlfn.XLOOKUP(C519,Data_customers!$A$1:$A$1001,Data_customers!$C$1:$C$1001,,0))</f>
        <v/>
      </c>
      <c r="H519" s="2" t="str">
        <f>_xlfn.XLOOKUP(C519,Data_customers!$A$1:$A$1001,Data_customers!$G$1:$G$1001,"",0)</f>
        <v>United States</v>
      </c>
      <c r="I519" t="str">
        <f>INDEX(Data_products!$A$1:$G$49, MATCH(Data_orders!$D519,Data_products!$A$1:$A$49,0), MATCH(Data_orders!I$1,Data_products!$A$1:$G$1,0))</f>
        <v>Lib</v>
      </c>
      <c r="J519" t="str">
        <f>INDEX(Data_products!$A$1:$G$49, MATCH(Data_orders!$D519,Data_products!$A$1:$A$49,0), MATCH(Data_orders!J$1,Data_products!$A$1:$G$1,0))</f>
        <v>D</v>
      </c>
      <c r="K519" s="4">
        <f>INDEX(Data_products!$A$1:$G$49, MATCH(Data_orders!$D519,Data_products!$A$1:$A$49,0), MATCH(Data_orders!K$1,Data_products!$A$1:$G$1,0))</f>
        <v>0.2</v>
      </c>
      <c r="L519">
        <f>INDEX(Data_products!$A$1:$G$49, MATCH(Data_orders!$D519,Data_products!$A$1:$A$49,0), MATCH(Data_orders!L$1,Data_products!$A$1:$G$1,0))</f>
        <v>3.8849999999999998</v>
      </c>
      <c r="M519">
        <f t="shared" si="16"/>
        <v>7.77</v>
      </c>
      <c r="N519" t="str" cm="1">
        <f t="array" ref="N519">_xlfn.IFS(I519 = "Rob", "Robusta", I519 = "Exc", "Excelsa", I519 = "Ara", "Arabica", I519 = "Lib", "Liberica")</f>
        <v>Liberica</v>
      </c>
      <c r="O519" t="str">
        <f t="shared" si="17"/>
        <v>Dark</v>
      </c>
      <c r="P519" t="str">
        <f>_xlfn.XLOOKUP(Table1[[#This Row],[Customer ID]],Data_customers!$A$2:$A$1001,Data_customers!$I$2:$I$1001,,0)</f>
        <v>No</v>
      </c>
    </row>
    <row r="520" spans="1:16" x14ac:dyDescent="0.2">
      <c r="A520" s="2" t="s">
        <v>3418</v>
      </c>
      <c r="B520" s="3">
        <v>44194</v>
      </c>
      <c r="C520" s="2" t="s">
        <v>3419</v>
      </c>
      <c r="D520" t="s">
        <v>6185</v>
      </c>
      <c r="E520" s="2">
        <v>5</v>
      </c>
      <c r="F520" s="2" t="str">
        <f>_xlfn.XLOOKUP(Data_orders!C520,Data_customers!$A$1:$A$1001,Data_customers!$B$1:$B$1001,,0)</f>
        <v>Karl Imorts</v>
      </c>
      <c r="G520" s="2" t="str">
        <f>IF(_xlfn.XLOOKUP(C520,Data_customers!$A$1:$A$1001,Data_customers!$C$1:$C$1001,,0)=0,"",_xlfn.XLOOKUP(C520,Data_customers!$A$1:$A$1001,Data_customers!$C$1:$C$1001,,0))</f>
        <v>kimortsee@alexa.com</v>
      </c>
      <c r="H520" s="2" t="str">
        <f>_xlfn.XLOOKUP(C520,Data_customers!$A$1:$A$1001,Data_customers!$G$1:$G$1001,"",0)</f>
        <v>United States</v>
      </c>
      <c r="I520" t="str">
        <f>INDEX(Data_products!$A$1:$G$49, MATCH(Data_orders!$D520,Data_products!$A$1:$A$49,0), MATCH(Data_orders!I$1,Data_products!$A$1:$G$1,0))</f>
        <v>Exc</v>
      </c>
      <c r="J520" t="str">
        <f>INDEX(Data_products!$A$1:$G$49, MATCH(Data_orders!$D520,Data_products!$A$1:$A$49,0), MATCH(Data_orders!J$1,Data_products!$A$1:$G$1,0))</f>
        <v>D</v>
      </c>
      <c r="K520" s="4">
        <f>INDEX(Data_products!$A$1:$G$49, MATCH(Data_orders!$D520,Data_products!$A$1:$A$49,0), MATCH(Data_orders!K$1,Data_products!$A$1:$G$1,0))</f>
        <v>2.5</v>
      </c>
      <c r="L520">
        <f>INDEX(Data_products!$A$1:$G$49, MATCH(Data_orders!$D520,Data_products!$A$1:$A$49,0), MATCH(Data_orders!L$1,Data_products!$A$1:$G$1,0))</f>
        <v>27.945</v>
      </c>
      <c r="M520">
        <f t="shared" si="16"/>
        <v>139.72499999999999</v>
      </c>
      <c r="N520" t="str" cm="1">
        <f t="array" ref="N520">_xlfn.IFS(I520 = "Rob", "Robusta", I520 = "Exc", "Excelsa", I520 = "Ara", "Arabica", I520 = "Lib", "Liberica")</f>
        <v>Excelsa</v>
      </c>
      <c r="O520" t="str">
        <f t="shared" si="17"/>
        <v>Dark</v>
      </c>
      <c r="P520" t="str">
        <f>_xlfn.XLOOKUP(Table1[[#This Row],[Customer ID]],Data_customers!$A$2:$A$1001,Data_customers!$I$2:$I$1001,,0)</f>
        <v>No</v>
      </c>
    </row>
    <row r="521" spans="1:16" x14ac:dyDescent="0.2">
      <c r="A521" s="2" t="s">
        <v>3424</v>
      </c>
      <c r="B521" s="3">
        <v>44026</v>
      </c>
      <c r="C521" s="2" t="s">
        <v>3368</v>
      </c>
      <c r="D521" t="s">
        <v>6158</v>
      </c>
      <c r="E521" s="2">
        <v>2</v>
      </c>
      <c r="F521" s="2" t="str">
        <f>_xlfn.XLOOKUP(Data_orders!C521,Data_customers!$A$1:$A$1001,Data_customers!$B$1:$B$1001,,0)</f>
        <v>Marja Urion</v>
      </c>
      <c r="G521" s="2" t="str">
        <f>IF(_xlfn.XLOOKUP(C521,Data_customers!$A$1:$A$1001,Data_customers!$C$1:$C$1001,,0)=0,"",_xlfn.XLOOKUP(C521,Data_customers!$A$1:$A$1001,Data_customers!$C$1:$C$1001,,0))</f>
        <v>murione5@alexa.com</v>
      </c>
      <c r="H521" s="2" t="str">
        <f>_xlfn.XLOOKUP(C521,Data_customers!$A$1:$A$1001,Data_customers!$G$1:$G$1001,"",0)</f>
        <v>Ireland</v>
      </c>
      <c r="I521" t="str">
        <f>INDEX(Data_products!$A$1:$G$49, MATCH(Data_orders!$D521,Data_products!$A$1:$A$49,0), MATCH(Data_orders!I$1,Data_products!$A$1:$G$1,0))</f>
        <v>Ara</v>
      </c>
      <c r="J521" t="str">
        <f>INDEX(Data_products!$A$1:$G$49, MATCH(Data_orders!$D521,Data_products!$A$1:$A$49,0), MATCH(Data_orders!J$1,Data_products!$A$1:$G$1,0))</f>
        <v>D</v>
      </c>
      <c r="K521" s="4">
        <f>INDEX(Data_products!$A$1:$G$49, MATCH(Data_orders!$D521,Data_products!$A$1:$A$49,0), MATCH(Data_orders!K$1,Data_products!$A$1:$G$1,0))</f>
        <v>0.5</v>
      </c>
      <c r="L521">
        <f>INDEX(Data_products!$A$1:$G$49, MATCH(Data_orders!$D521,Data_products!$A$1:$A$49,0), MATCH(Data_orders!L$1,Data_products!$A$1:$G$1,0))</f>
        <v>5.97</v>
      </c>
      <c r="M521">
        <f t="shared" si="16"/>
        <v>11.94</v>
      </c>
      <c r="N521" t="str" cm="1">
        <f t="array" ref="N521">_xlfn.IFS(I521 = "Rob", "Robusta", I521 = "Exc", "Excelsa", I521 = "Ara", "Arabica", I521 = "Lib", "Liberica")</f>
        <v>Arabica</v>
      </c>
      <c r="O521" t="str">
        <f t="shared" si="17"/>
        <v>Dark</v>
      </c>
      <c r="P521" t="str">
        <f>_xlfn.XLOOKUP(Table1[[#This Row],[Customer ID]],Data_customers!$A$2:$A$1001,Data_customers!$I$2:$I$1001,,0)</f>
        <v>Yes</v>
      </c>
    </row>
    <row r="522" spans="1:16" x14ac:dyDescent="0.2">
      <c r="A522" s="2" t="s">
        <v>3430</v>
      </c>
      <c r="B522" s="3">
        <v>44446</v>
      </c>
      <c r="C522" s="2" t="s">
        <v>3431</v>
      </c>
      <c r="D522" t="s">
        <v>6150</v>
      </c>
      <c r="E522" s="2">
        <v>1</v>
      </c>
      <c r="F522" s="2" t="str">
        <f>_xlfn.XLOOKUP(Data_orders!C522,Data_customers!$A$1:$A$1001,Data_customers!$B$1:$B$1001,,0)</f>
        <v>Mag Armistead</v>
      </c>
      <c r="G522" s="2" t="str">
        <f>IF(_xlfn.XLOOKUP(C522,Data_customers!$A$1:$A$1001,Data_customers!$C$1:$C$1001,,0)=0,"",_xlfn.XLOOKUP(C522,Data_customers!$A$1:$A$1001,Data_customers!$C$1:$C$1001,,0))</f>
        <v>marmisteadeg@blogtalkradio.com</v>
      </c>
      <c r="H522" s="2" t="str">
        <f>_xlfn.XLOOKUP(C522,Data_customers!$A$1:$A$1001,Data_customers!$G$1:$G$1001,"",0)</f>
        <v>United States</v>
      </c>
      <c r="I522" t="str">
        <f>INDEX(Data_products!$A$1:$G$49, MATCH(Data_orders!$D522,Data_products!$A$1:$A$49,0), MATCH(Data_orders!I$1,Data_products!$A$1:$G$1,0))</f>
        <v>Lib</v>
      </c>
      <c r="J522" t="str">
        <f>INDEX(Data_products!$A$1:$G$49, MATCH(Data_orders!$D522,Data_products!$A$1:$A$49,0), MATCH(Data_orders!J$1,Data_products!$A$1:$G$1,0))</f>
        <v>D</v>
      </c>
      <c r="K522" s="4">
        <f>INDEX(Data_products!$A$1:$G$49, MATCH(Data_orders!$D522,Data_products!$A$1:$A$49,0), MATCH(Data_orders!K$1,Data_products!$A$1:$G$1,0))</f>
        <v>0.2</v>
      </c>
      <c r="L522">
        <f>INDEX(Data_products!$A$1:$G$49, MATCH(Data_orders!$D522,Data_products!$A$1:$A$49,0), MATCH(Data_orders!L$1,Data_products!$A$1:$G$1,0))</f>
        <v>3.8849999999999998</v>
      </c>
      <c r="M522">
        <f t="shared" si="16"/>
        <v>3.8849999999999998</v>
      </c>
      <c r="N522" t="str" cm="1">
        <f t="array" ref="N522">_xlfn.IFS(I522 = "Rob", "Robusta", I522 = "Exc", "Excelsa", I522 = "Ara", "Arabica", I522 = "Lib", "Liberica")</f>
        <v>Liberica</v>
      </c>
      <c r="O522" t="str">
        <f t="shared" si="17"/>
        <v>Dark</v>
      </c>
      <c r="P522" t="str">
        <f>_xlfn.XLOOKUP(Table1[[#This Row],[Customer ID]],Data_customers!$A$2:$A$1001,Data_customers!$I$2:$I$1001,,0)</f>
        <v>No</v>
      </c>
    </row>
    <row r="523" spans="1:16" x14ac:dyDescent="0.2">
      <c r="A523" s="2" t="s">
        <v>3430</v>
      </c>
      <c r="B523" s="3">
        <v>44446</v>
      </c>
      <c r="C523" s="2" t="s">
        <v>3431</v>
      </c>
      <c r="D523" t="s">
        <v>6138</v>
      </c>
      <c r="E523" s="2">
        <v>4</v>
      </c>
      <c r="F523" s="2" t="str">
        <f>_xlfn.XLOOKUP(Data_orders!C523,Data_customers!$A$1:$A$1001,Data_customers!$B$1:$B$1001,,0)</f>
        <v>Mag Armistead</v>
      </c>
      <c r="G523" s="2" t="str">
        <f>IF(_xlfn.XLOOKUP(C523,Data_customers!$A$1:$A$1001,Data_customers!$C$1:$C$1001,,0)=0,"",_xlfn.XLOOKUP(C523,Data_customers!$A$1:$A$1001,Data_customers!$C$1:$C$1001,,0))</f>
        <v>marmisteadeg@blogtalkradio.com</v>
      </c>
      <c r="H523" s="2" t="str">
        <f>_xlfn.XLOOKUP(C523,Data_customers!$A$1:$A$1001,Data_customers!$G$1:$G$1001,"",0)</f>
        <v>United States</v>
      </c>
      <c r="I523" t="str">
        <f>INDEX(Data_products!$A$1:$G$49, MATCH(Data_orders!$D523,Data_products!$A$1:$A$49,0), MATCH(Data_orders!I$1,Data_products!$A$1:$G$1,0))</f>
        <v>Rob</v>
      </c>
      <c r="J523" t="str">
        <f>INDEX(Data_products!$A$1:$G$49, MATCH(Data_orders!$D523,Data_products!$A$1:$A$49,0), MATCH(Data_orders!J$1,Data_products!$A$1:$G$1,0))</f>
        <v>M</v>
      </c>
      <c r="K523" s="4">
        <f>INDEX(Data_products!$A$1:$G$49, MATCH(Data_orders!$D523,Data_products!$A$1:$A$49,0), MATCH(Data_orders!K$1,Data_products!$A$1:$G$1,0))</f>
        <v>1</v>
      </c>
      <c r="L523">
        <f>INDEX(Data_products!$A$1:$G$49, MATCH(Data_orders!$D523,Data_products!$A$1:$A$49,0), MATCH(Data_orders!L$1,Data_products!$A$1:$G$1,0))</f>
        <v>9.9499999999999993</v>
      </c>
      <c r="M523">
        <f t="shared" si="16"/>
        <v>39.799999999999997</v>
      </c>
      <c r="N523" t="str" cm="1">
        <f t="array" ref="N523">_xlfn.IFS(I523 = "Rob", "Robusta", I523 = "Exc", "Excelsa", I523 = "Ara", "Arabica", I523 = "Lib", "Liberica")</f>
        <v>Robusta</v>
      </c>
      <c r="O523" t="str">
        <f t="shared" si="17"/>
        <v>Medium</v>
      </c>
      <c r="P523" t="str">
        <f>_xlfn.XLOOKUP(Table1[[#This Row],[Customer ID]],Data_customers!$A$2:$A$1001,Data_customers!$I$2:$I$1001,,0)</f>
        <v>No</v>
      </c>
    </row>
    <row r="524" spans="1:16" x14ac:dyDescent="0.2">
      <c r="A524" s="2" t="s">
        <v>3441</v>
      </c>
      <c r="B524" s="3">
        <v>43625</v>
      </c>
      <c r="C524" s="2" t="s">
        <v>3442</v>
      </c>
      <c r="D524" t="s">
        <v>6146</v>
      </c>
      <c r="E524" s="2">
        <v>5</v>
      </c>
      <c r="F524" s="2" t="str">
        <f>_xlfn.XLOOKUP(Data_orders!C524,Data_customers!$A$1:$A$1001,Data_customers!$B$1:$B$1001,,0)</f>
        <v>Vasili Upstone</v>
      </c>
      <c r="G524" s="2" t="str">
        <f>IF(_xlfn.XLOOKUP(C524,Data_customers!$A$1:$A$1001,Data_customers!$C$1:$C$1001,,0)=0,"",_xlfn.XLOOKUP(C524,Data_customers!$A$1:$A$1001,Data_customers!$C$1:$C$1001,,0))</f>
        <v>vupstoneei@google.pl</v>
      </c>
      <c r="H524" s="2" t="str">
        <f>_xlfn.XLOOKUP(C524,Data_customers!$A$1:$A$1001,Data_customers!$G$1:$G$1001,"",0)</f>
        <v>United States</v>
      </c>
      <c r="I524" t="str">
        <f>INDEX(Data_products!$A$1:$G$49, MATCH(Data_orders!$D524,Data_products!$A$1:$A$49,0), MATCH(Data_orders!I$1,Data_products!$A$1:$G$1,0))</f>
        <v>Rob</v>
      </c>
      <c r="J524" t="str">
        <f>INDEX(Data_products!$A$1:$G$49, MATCH(Data_orders!$D524,Data_products!$A$1:$A$49,0), MATCH(Data_orders!J$1,Data_products!$A$1:$G$1,0))</f>
        <v>M</v>
      </c>
      <c r="K524" s="4">
        <f>INDEX(Data_products!$A$1:$G$49, MATCH(Data_orders!$D524,Data_products!$A$1:$A$49,0), MATCH(Data_orders!K$1,Data_products!$A$1:$G$1,0))</f>
        <v>0.5</v>
      </c>
      <c r="L524">
        <f>INDEX(Data_products!$A$1:$G$49, MATCH(Data_orders!$D524,Data_products!$A$1:$A$49,0), MATCH(Data_orders!L$1,Data_products!$A$1:$G$1,0))</f>
        <v>5.97</v>
      </c>
      <c r="M524">
        <f t="shared" si="16"/>
        <v>29.849999999999998</v>
      </c>
      <c r="N524" t="str" cm="1">
        <f t="array" ref="N524">_xlfn.IFS(I524 = "Rob", "Robusta", I524 = "Exc", "Excelsa", I524 = "Ara", "Arabica", I524 = "Lib", "Liberica")</f>
        <v>Robusta</v>
      </c>
      <c r="O524" t="str">
        <f t="shared" si="17"/>
        <v>Medium</v>
      </c>
      <c r="P524" t="str">
        <f>_xlfn.XLOOKUP(Table1[[#This Row],[Customer ID]],Data_customers!$A$2:$A$1001,Data_customers!$I$2:$I$1001,,0)</f>
        <v>No</v>
      </c>
    </row>
    <row r="525" spans="1:16" x14ac:dyDescent="0.2">
      <c r="A525" s="2" t="s">
        <v>3447</v>
      </c>
      <c r="B525" s="3">
        <v>44129</v>
      </c>
      <c r="C525" s="2" t="s">
        <v>3448</v>
      </c>
      <c r="D525" t="s">
        <v>6165</v>
      </c>
      <c r="E525" s="2">
        <v>1</v>
      </c>
      <c r="F525" s="2" t="str">
        <f>_xlfn.XLOOKUP(Data_orders!C525,Data_customers!$A$1:$A$1001,Data_customers!$B$1:$B$1001,,0)</f>
        <v>Berty Beelby</v>
      </c>
      <c r="G525" s="2" t="str">
        <f>IF(_xlfn.XLOOKUP(C525,Data_customers!$A$1:$A$1001,Data_customers!$C$1:$C$1001,,0)=0,"",_xlfn.XLOOKUP(C525,Data_customers!$A$1:$A$1001,Data_customers!$C$1:$C$1001,,0))</f>
        <v>bbeelbyej@rediff.com</v>
      </c>
      <c r="H525" s="2" t="str">
        <f>_xlfn.XLOOKUP(C525,Data_customers!$A$1:$A$1001,Data_customers!$G$1:$G$1001,"",0)</f>
        <v>Ireland</v>
      </c>
      <c r="I525" t="str">
        <f>INDEX(Data_products!$A$1:$G$49, MATCH(Data_orders!$D525,Data_products!$A$1:$A$49,0), MATCH(Data_orders!I$1,Data_products!$A$1:$G$1,0))</f>
        <v>Lib</v>
      </c>
      <c r="J525" t="str">
        <f>INDEX(Data_products!$A$1:$G$49, MATCH(Data_orders!$D525,Data_products!$A$1:$A$49,0), MATCH(Data_orders!J$1,Data_products!$A$1:$G$1,0))</f>
        <v>D</v>
      </c>
      <c r="K525" s="4">
        <f>INDEX(Data_products!$A$1:$G$49, MATCH(Data_orders!$D525,Data_products!$A$1:$A$49,0), MATCH(Data_orders!K$1,Data_products!$A$1:$G$1,0))</f>
        <v>2.5</v>
      </c>
      <c r="L525">
        <f>INDEX(Data_products!$A$1:$G$49, MATCH(Data_orders!$D525,Data_products!$A$1:$A$49,0), MATCH(Data_orders!L$1,Data_products!$A$1:$G$1,0))</f>
        <v>29.784999999999997</v>
      </c>
      <c r="M525">
        <f t="shared" si="16"/>
        <v>29.784999999999997</v>
      </c>
      <c r="N525" t="str" cm="1">
        <f t="array" ref="N525">_xlfn.IFS(I525 = "Rob", "Robusta", I525 = "Exc", "Excelsa", I525 = "Ara", "Arabica", I525 = "Lib", "Liberica")</f>
        <v>Liberica</v>
      </c>
      <c r="O525" t="str">
        <f t="shared" si="17"/>
        <v>Dark</v>
      </c>
      <c r="P525" t="str">
        <f>_xlfn.XLOOKUP(Table1[[#This Row],[Customer ID]],Data_customers!$A$2:$A$1001,Data_customers!$I$2:$I$1001,,0)</f>
        <v>No</v>
      </c>
    </row>
    <row r="526" spans="1:16" x14ac:dyDescent="0.2">
      <c r="A526" s="2" t="s">
        <v>3453</v>
      </c>
      <c r="B526" s="3">
        <v>44255</v>
      </c>
      <c r="C526" s="2" t="s">
        <v>3454</v>
      </c>
      <c r="D526" t="s">
        <v>6164</v>
      </c>
      <c r="E526" s="2">
        <v>2</v>
      </c>
      <c r="F526" s="2" t="str">
        <f>_xlfn.XLOOKUP(Data_orders!C526,Data_customers!$A$1:$A$1001,Data_customers!$B$1:$B$1001,,0)</f>
        <v>Erny Stenyng</v>
      </c>
      <c r="G526" s="2" t="str">
        <f>IF(_xlfn.XLOOKUP(C526,Data_customers!$A$1:$A$1001,Data_customers!$C$1:$C$1001,,0)=0,"",_xlfn.XLOOKUP(C526,Data_customers!$A$1:$A$1001,Data_customers!$C$1:$C$1001,,0))</f>
        <v/>
      </c>
      <c r="H526" s="2" t="str">
        <f>_xlfn.XLOOKUP(C526,Data_customers!$A$1:$A$1001,Data_customers!$G$1:$G$1001,"",0)</f>
        <v>United States</v>
      </c>
      <c r="I526" t="str">
        <f>INDEX(Data_products!$A$1:$G$49, MATCH(Data_orders!$D526,Data_products!$A$1:$A$49,0), MATCH(Data_orders!I$1,Data_products!$A$1:$G$1,0))</f>
        <v>Lib</v>
      </c>
      <c r="J526" t="str">
        <f>INDEX(Data_products!$A$1:$G$49, MATCH(Data_orders!$D526,Data_products!$A$1:$A$49,0), MATCH(Data_orders!J$1,Data_products!$A$1:$G$1,0))</f>
        <v>L</v>
      </c>
      <c r="K526" s="4">
        <f>INDEX(Data_products!$A$1:$G$49, MATCH(Data_orders!$D526,Data_products!$A$1:$A$49,0), MATCH(Data_orders!K$1,Data_products!$A$1:$G$1,0))</f>
        <v>2.5</v>
      </c>
      <c r="L526">
        <f>INDEX(Data_products!$A$1:$G$49, MATCH(Data_orders!$D526,Data_products!$A$1:$A$49,0), MATCH(Data_orders!L$1,Data_products!$A$1:$G$1,0))</f>
        <v>36.454999999999998</v>
      </c>
      <c r="M526">
        <f t="shared" si="16"/>
        <v>72.91</v>
      </c>
      <c r="N526" t="str" cm="1">
        <f t="array" ref="N526">_xlfn.IFS(I526 = "Rob", "Robusta", I526 = "Exc", "Excelsa", I526 = "Ara", "Arabica", I526 = "Lib", "Liberica")</f>
        <v>Liberica</v>
      </c>
      <c r="O526" t="str">
        <f t="shared" si="17"/>
        <v>Light</v>
      </c>
      <c r="P526" t="str">
        <f>_xlfn.XLOOKUP(Table1[[#This Row],[Customer ID]],Data_customers!$A$2:$A$1001,Data_customers!$I$2:$I$1001,,0)</f>
        <v>No</v>
      </c>
    </row>
    <row r="527" spans="1:16" x14ac:dyDescent="0.2">
      <c r="A527" s="2" t="s">
        <v>3458</v>
      </c>
      <c r="B527" s="3">
        <v>44038</v>
      </c>
      <c r="C527" s="2" t="s">
        <v>3459</v>
      </c>
      <c r="D527" t="s">
        <v>6163</v>
      </c>
      <c r="E527" s="2">
        <v>5</v>
      </c>
      <c r="F527" s="2" t="str">
        <f>_xlfn.XLOOKUP(Data_orders!C527,Data_customers!$A$1:$A$1001,Data_customers!$B$1:$B$1001,,0)</f>
        <v>Edin Yantsurev</v>
      </c>
      <c r="G527" s="2" t="str">
        <f>IF(_xlfn.XLOOKUP(C527,Data_customers!$A$1:$A$1001,Data_customers!$C$1:$C$1001,,0)=0,"",_xlfn.XLOOKUP(C527,Data_customers!$A$1:$A$1001,Data_customers!$C$1:$C$1001,,0))</f>
        <v/>
      </c>
      <c r="H527" s="2" t="str">
        <f>_xlfn.XLOOKUP(C527,Data_customers!$A$1:$A$1001,Data_customers!$G$1:$G$1001,"",0)</f>
        <v>United States</v>
      </c>
      <c r="I527" t="str">
        <f>INDEX(Data_products!$A$1:$G$49, MATCH(Data_orders!$D527,Data_products!$A$1:$A$49,0), MATCH(Data_orders!I$1,Data_products!$A$1:$G$1,0))</f>
        <v>Rob</v>
      </c>
      <c r="J527" t="str">
        <f>INDEX(Data_products!$A$1:$G$49, MATCH(Data_orders!$D527,Data_products!$A$1:$A$49,0), MATCH(Data_orders!J$1,Data_products!$A$1:$G$1,0))</f>
        <v>D</v>
      </c>
      <c r="K527" s="4">
        <f>INDEX(Data_products!$A$1:$G$49, MATCH(Data_orders!$D527,Data_products!$A$1:$A$49,0), MATCH(Data_orders!K$1,Data_products!$A$1:$G$1,0))</f>
        <v>0.2</v>
      </c>
      <c r="L527">
        <f>INDEX(Data_products!$A$1:$G$49, MATCH(Data_orders!$D527,Data_products!$A$1:$A$49,0), MATCH(Data_orders!L$1,Data_products!$A$1:$G$1,0))</f>
        <v>2.6849999999999996</v>
      </c>
      <c r="M527">
        <f t="shared" si="16"/>
        <v>13.424999999999997</v>
      </c>
      <c r="N527" t="str" cm="1">
        <f t="array" ref="N527">_xlfn.IFS(I527 = "Rob", "Robusta", I527 = "Exc", "Excelsa", I527 = "Ara", "Arabica", I527 = "Lib", "Liberica")</f>
        <v>Robusta</v>
      </c>
      <c r="O527" t="str">
        <f t="shared" si="17"/>
        <v>Dark</v>
      </c>
      <c r="P527" t="str">
        <f>_xlfn.XLOOKUP(Table1[[#This Row],[Customer ID]],Data_customers!$A$2:$A$1001,Data_customers!$I$2:$I$1001,,0)</f>
        <v>Yes</v>
      </c>
    </row>
    <row r="528" spans="1:16" x14ac:dyDescent="0.2">
      <c r="A528" s="2" t="s">
        <v>3463</v>
      </c>
      <c r="B528" s="3">
        <v>44717</v>
      </c>
      <c r="C528" s="2" t="s">
        <v>3464</v>
      </c>
      <c r="D528" t="s">
        <v>6166</v>
      </c>
      <c r="E528" s="2">
        <v>4</v>
      </c>
      <c r="F528" s="2" t="str">
        <f>_xlfn.XLOOKUP(Data_orders!C528,Data_customers!$A$1:$A$1001,Data_customers!$B$1:$B$1001,,0)</f>
        <v>Webb Speechly</v>
      </c>
      <c r="G528" s="2" t="str">
        <f>IF(_xlfn.XLOOKUP(C528,Data_customers!$A$1:$A$1001,Data_customers!$C$1:$C$1001,,0)=0,"",_xlfn.XLOOKUP(C528,Data_customers!$A$1:$A$1001,Data_customers!$C$1:$C$1001,,0))</f>
        <v>wspeechlyem@amazon.com</v>
      </c>
      <c r="H528" s="2" t="str">
        <f>_xlfn.XLOOKUP(C528,Data_customers!$A$1:$A$1001,Data_customers!$G$1:$G$1001,"",0)</f>
        <v>United States</v>
      </c>
      <c r="I528" t="str">
        <f>INDEX(Data_products!$A$1:$G$49, MATCH(Data_orders!$D528,Data_products!$A$1:$A$49,0), MATCH(Data_orders!I$1,Data_products!$A$1:$G$1,0))</f>
        <v>Exc</v>
      </c>
      <c r="J528" t="str">
        <f>INDEX(Data_products!$A$1:$G$49, MATCH(Data_orders!$D528,Data_products!$A$1:$A$49,0), MATCH(Data_orders!J$1,Data_products!$A$1:$G$1,0))</f>
        <v>M</v>
      </c>
      <c r="K528" s="4">
        <f>INDEX(Data_products!$A$1:$G$49, MATCH(Data_orders!$D528,Data_products!$A$1:$A$49,0), MATCH(Data_orders!K$1,Data_products!$A$1:$G$1,0))</f>
        <v>2.5</v>
      </c>
      <c r="L528">
        <f>INDEX(Data_products!$A$1:$G$49, MATCH(Data_orders!$D528,Data_products!$A$1:$A$49,0), MATCH(Data_orders!L$1,Data_products!$A$1:$G$1,0))</f>
        <v>31.624999999999996</v>
      </c>
      <c r="M528">
        <f t="shared" si="16"/>
        <v>126.49999999999999</v>
      </c>
      <c r="N528" t="str" cm="1">
        <f t="array" ref="N528">_xlfn.IFS(I528 = "Rob", "Robusta", I528 = "Exc", "Excelsa", I528 = "Ara", "Arabica", I528 = "Lib", "Liberica")</f>
        <v>Excelsa</v>
      </c>
      <c r="O528" t="str">
        <f t="shared" si="17"/>
        <v>Medium</v>
      </c>
      <c r="P528" t="str">
        <f>_xlfn.XLOOKUP(Table1[[#This Row],[Customer ID]],Data_customers!$A$2:$A$1001,Data_customers!$I$2:$I$1001,,0)</f>
        <v>Yes</v>
      </c>
    </row>
    <row r="529" spans="1:16" x14ac:dyDescent="0.2">
      <c r="A529" s="2" t="s">
        <v>3469</v>
      </c>
      <c r="B529" s="3">
        <v>43517</v>
      </c>
      <c r="C529" s="2" t="s">
        <v>3470</v>
      </c>
      <c r="D529" t="s">
        <v>6139</v>
      </c>
      <c r="E529" s="2">
        <v>5</v>
      </c>
      <c r="F529" s="2" t="str">
        <f>_xlfn.XLOOKUP(Data_orders!C529,Data_customers!$A$1:$A$1001,Data_customers!$B$1:$B$1001,,0)</f>
        <v>Irvine Phillpot</v>
      </c>
      <c r="G529" s="2" t="str">
        <f>IF(_xlfn.XLOOKUP(C529,Data_customers!$A$1:$A$1001,Data_customers!$C$1:$C$1001,,0)=0,"",_xlfn.XLOOKUP(C529,Data_customers!$A$1:$A$1001,Data_customers!$C$1:$C$1001,,0))</f>
        <v>iphillpoten@buzzfeed.com</v>
      </c>
      <c r="H529" s="2" t="str">
        <f>_xlfn.XLOOKUP(C529,Data_customers!$A$1:$A$1001,Data_customers!$G$1:$G$1001,"",0)</f>
        <v>United Kingdom</v>
      </c>
      <c r="I529" t="str">
        <f>INDEX(Data_products!$A$1:$G$49, MATCH(Data_orders!$D529,Data_products!$A$1:$A$49,0), MATCH(Data_orders!I$1,Data_products!$A$1:$G$1,0))</f>
        <v>Exc</v>
      </c>
      <c r="J529" t="str">
        <f>INDEX(Data_products!$A$1:$G$49, MATCH(Data_orders!$D529,Data_products!$A$1:$A$49,0), MATCH(Data_orders!J$1,Data_products!$A$1:$G$1,0))</f>
        <v>M</v>
      </c>
      <c r="K529" s="4">
        <f>INDEX(Data_products!$A$1:$G$49, MATCH(Data_orders!$D529,Data_products!$A$1:$A$49,0), MATCH(Data_orders!K$1,Data_products!$A$1:$G$1,0))</f>
        <v>0.5</v>
      </c>
      <c r="L529">
        <f>INDEX(Data_products!$A$1:$G$49, MATCH(Data_orders!$D529,Data_products!$A$1:$A$49,0), MATCH(Data_orders!L$1,Data_products!$A$1:$G$1,0))</f>
        <v>8.25</v>
      </c>
      <c r="M529">
        <f t="shared" si="16"/>
        <v>41.25</v>
      </c>
      <c r="N529" t="str" cm="1">
        <f t="array" ref="N529">_xlfn.IFS(I529 = "Rob", "Robusta", I529 = "Exc", "Excelsa", I529 = "Ara", "Arabica", I529 = "Lib", "Liberica")</f>
        <v>Excelsa</v>
      </c>
      <c r="O529" t="str">
        <f t="shared" si="17"/>
        <v>Medium</v>
      </c>
      <c r="P529" t="str">
        <f>_xlfn.XLOOKUP(Table1[[#This Row],[Customer ID]],Data_customers!$A$2:$A$1001,Data_customers!$I$2:$I$1001,,0)</f>
        <v>No</v>
      </c>
    </row>
    <row r="530" spans="1:16" x14ac:dyDescent="0.2">
      <c r="A530" s="2" t="s">
        <v>3475</v>
      </c>
      <c r="B530" s="3">
        <v>43926</v>
      </c>
      <c r="C530" s="2" t="s">
        <v>3476</v>
      </c>
      <c r="D530" t="s">
        <v>6176</v>
      </c>
      <c r="E530" s="2">
        <v>6</v>
      </c>
      <c r="F530" s="2" t="str">
        <f>_xlfn.XLOOKUP(Data_orders!C530,Data_customers!$A$1:$A$1001,Data_customers!$B$1:$B$1001,,0)</f>
        <v>Lem Pennacci</v>
      </c>
      <c r="G530" s="2" t="str">
        <f>IF(_xlfn.XLOOKUP(C530,Data_customers!$A$1:$A$1001,Data_customers!$C$1:$C$1001,,0)=0,"",_xlfn.XLOOKUP(C530,Data_customers!$A$1:$A$1001,Data_customers!$C$1:$C$1001,,0))</f>
        <v>lpennaccieo@statcounter.com</v>
      </c>
      <c r="H530" s="2" t="str">
        <f>_xlfn.XLOOKUP(C530,Data_customers!$A$1:$A$1001,Data_customers!$G$1:$G$1001,"",0)</f>
        <v>United States</v>
      </c>
      <c r="I530" t="str">
        <f>INDEX(Data_products!$A$1:$G$49, MATCH(Data_orders!$D530,Data_products!$A$1:$A$49,0), MATCH(Data_orders!I$1,Data_products!$A$1:$G$1,0))</f>
        <v>Exc</v>
      </c>
      <c r="J530" t="str">
        <f>INDEX(Data_products!$A$1:$G$49, MATCH(Data_orders!$D530,Data_products!$A$1:$A$49,0), MATCH(Data_orders!J$1,Data_products!$A$1:$G$1,0))</f>
        <v>L</v>
      </c>
      <c r="K530" s="4">
        <f>INDEX(Data_products!$A$1:$G$49, MATCH(Data_orders!$D530,Data_products!$A$1:$A$49,0), MATCH(Data_orders!K$1,Data_products!$A$1:$G$1,0))</f>
        <v>0.5</v>
      </c>
      <c r="L530">
        <f>INDEX(Data_products!$A$1:$G$49, MATCH(Data_orders!$D530,Data_products!$A$1:$A$49,0), MATCH(Data_orders!L$1,Data_products!$A$1:$G$1,0))</f>
        <v>8.91</v>
      </c>
      <c r="M530">
        <f t="shared" si="16"/>
        <v>53.46</v>
      </c>
      <c r="N530" t="str" cm="1">
        <f t="array" ref="N530">_xlfn.IFS(I530 = "Rob", "Robusta", I530 = "Exc", "Excelsa", I530 = "Ara", "Arabica", I530 = "Lib", "Liberica")</f>
        <v>Excelsa</v>
      </c>
      <c r="O530" t="str">
        <f t="shared" si="17"/>
        <v>Light</v>
      </c>
      <c r="P530" t="str">
        <f>_xlfn.XLOOKUP(Table1[[#This Row],[Customer ID]],Data_customers!$A$2:$A$1001,Data_customers!$I$2:$I$1001,,0)</f>
        <v>No</v>
      </c>
    </row>
    <row r="531" spans="1:16" x14ac:dyDescent="0.2">
      <c r="A531" s="2" t="s">
        <v>3481</v>
      </c>
      <c r="B531" s="3">
        <v>43475</v>
      </c>
      <c r="C531" s="2" t="s">
        <v>3482</v>
      </c>
      <c r="D531" t="s">
        <v>6138</v>
      </c>
      <c r="E531" s="2">
        <v>6</v>
      </c>
      <c r="F531" s="2" t="str">
        <f>_xlfn.XLOOKUP(Data_orders!C531,Data_customers!$A$1:$A$1001,Data_customers!$B$1:$B$1001,,0)</f>
        <v>Starr Arpin</v>
      </c>
      <c r="G531" s="2" t="str">
        <f>IF(_xlfn.XLOOKUP(C531,Data_customers!$A$1:$A$1001,Data_customers!$C$1:$C$1001,,0)=0,"",_xlfn.XLOOKUP(C531,Data_customers!$A$1:$A$1001,Data_customers!$C$1:$C$1001,,0))</f>
        <v>sarpinep@moonfruit.com</v>
      </c>
      <c r="H531" s="2" t="str">
        <f>_xlfn.XLOOKUP(C531,Data_customers!$A$1:$A$1001,Data_customers!$G$1:$G$1001,"",0)</f>
        <v>United States</v>
      </c>
      <c r="I531" t="str">
        <f>INDEX(Data_products!$A$1:$G$49, MATCH(Data_orders!$D531,Data_products!$A$1:$A$49,0), MATCH(Data_orders!I$1,Data_products!$A$1:$G$1,0))</f>
        <v>Rob</v>
      </c>
      <c r="J531" t="str">
        <f>INDEX(Data_products!$A$1:$G$49, MATCH(Data_orders!$D531,Data_products!$A$1:$A$49,0), MATCH(Data_orders!J$1,Data_products!$A$1:$G$1,0))</f>
        <v>M</v>
      </c>
      <c r="K531" s="4">
        <f>INDEX(Data_products!$A$1:$G$49, MATCH(Data_orders!$D531,Data_products!$A$1:$A$49,0), MATCH(Data_orders!K$1,Data_products!$A$1:$G$1,0))</f>
        <v>1</v>
      </c>
      <c r="L531">
        <f>INDEX(Data_products!$A$1:$G$49, MATCH(Data_orders!$D531,Data_products!$A$1:$A$49,0), MATCH(Data_orders!L$1,Data_products!$A$1:$G$1,0))</f>
        <v>9.9499999999999993</v>
      </c>
      <c r="M531">
        <f t="shared" si="16"/>
        <v>59.699999999999996</v>
      </c>
      <c r="N531" t="str" cm="1">
        <f t="array" ref="N531">_xlfn.IFS(I531 = "Rob", "Robusta", I531 = "Exc", "Excelsa", I531 = "Ara", "Arabica", I531 = "Lib", "Liberica")</f>
        <v>Robusta</v>
      </c>
      <c r="O531" t="str">
        <f t="shared" si="17"/>
        <v>Medium</v>
      </c>
      <c r="P531" t="str">
        <f>_xlfn.XLOOKUP(Table1[[#This Row],[Customer ID]],Data_customers!$A$2:$A$1001,Data_customers!$I$2:$I$1001,,0)</f>
        <v>No</v>
      </c>
    </row>
    <row r="532" spans="1:16" x14ac:dyDescent="0.2">
      <c r="A532" s="2" t="s">
        <v>3487</v>
      </c>
      <c r="B532" s="3">
        <v>44663</v>
      </c>
      <c r="C532" s="2" t="s">
        <v>3488</v>
      </c>
      <c r="D532" t="s">
        <v>6138</v>
      </c>
      <c r="E532" s="2">
        <v>6</v>
      </c>
      <c r="F532" s="2" t="str">
        <f>_xlfn.XLOOKUP(Data_orders!C532,Data_customers!$A$1:$A$1001,Data_customers!$B$1:$B$1001,,0)</f>
        <v>Donny Fries</v>
      </c>
      <c r="G532" s="2" t="str">
        <f>IF(_xlfn.XLOOKUP(C532,Data_customers!$A$1:$A$1001,Data_customers!$C$1:$C$1001,,0)=0,"",_xlfn.XLOOKUP(C532,Data_customers!$A$1:$A$1001,Data_customers!$C$1:$C$1001,,0))</f>
        <v>dfrieseq@cargocollective.com</v>
      </c>
      <c r="H532" s="2" t="str">
        <f>_xlfn.XLOOKUP(C532,Data_customers!$A$1:$A$1001,Data_customers!$G$1:$G$1001,"",0)</f>
        <v>United States</v>
      </c>
      <c r="I532" t="str">
        <f>INDEX(Data_products!$A$1:$G$49, MATCH(Data_orders!$D532,Data_products!$A$1:$A$49,0), MATCH(Data_orders!I$1,Data_products!$A$1:$G$1,0))</f>
        <v>Rob</v>
      </c>
      <c r="J532" t="str">
        <f>INDEX(Data_products!$A$1:$G$49, MATCH(Data_orders!$D532,Data_products!$A$1:$A$49,0), MATCH(Data_orders!J$1,Data_products!$A$1:$G$1,0))</f>
        <v>M</v>
      </c>
      <c r="K532" s="4">
        <f>INDEX(Data_products!$A$1:$G$49, MATCH(Data_orders!$D532,Data_products!$A$1:$A$49,0), MATCH(Data_orders!K$1,Data_products!$A$1:$G$1,0))</f>
        <v>1</v>
      </c>
      <c r="L532">
        <f>INDEX(Data_products!$A$1:$G$49, MATCH(Data_orders!$D532,Data_products!$A$1:$A$49,0), MATCH(Data_orders!L$1,Data_products!$A$1:$G$1,0))</f>
        <v>9.9499999999999993</v>
      </c>
      <c r="M532">
        <f t="shared" si="16"/>
        <v>59.699999999999996</v>
      </c>
      <c r="N532" t="str" cm="1">
        <f t="array" ref="N532">_xlfn.IFS(I532 = "Rob", "Robusta", I532 = "Exc", "Excelsa", I532 = "Ara", "Arabica", I532 = "Lib", "Liberica")</f>
        <v>Robusta</v>
      </c>
      <c r="O532" t="str">
        <f t="shared" si="17"/>
        <v>Medium</v>
      </c>
      <c r="P532" t="str">
        <f>_xlfn.XLOOKUP(Table1[[#This Row],[Customer ID]],Data_customers!$A$2:$A$1001,Data_customers!$I$2:$I$1001,,0)</f>
        <v>No</v>
      </c>
    </row>
    <row r="533" spans="1:16" x14ac:dyDescent="0.2">
      <c r="A533" s="2" t="s">
        <v>3493</v>
      </c>
      <c r="B533" s="3">
        <v>44591</v>
      </c>
      <c r="C533" s="2" t="s">
        <v>3494</v>
      </c>
      <c r="D533" t="s">
        <v>6177</v>
      </c>
      <c r="E533" s="2">
        <v>5</v>
      </c>
      <c r="F533" s="2" t="str">
        <f>_xlfn.XLOOKUP(Data_orders!C533,Data_customers!$A$1:$A$1001,Data_customers!$B$1:$B$1001,,0)</f>
        <v>Rana Sharer</v>
      </c>
      <c r="G533" s="2" t="str">
        <f>IF(_xlfn.XLOOKUP(C533,Data_customers!$A$1:$A$1001,Data_customers!$C$1:$C$1001,,0)=0,"",_xlfn.XLOOKUP(C533,Data_customers!$A$1:$A$1001,Data_customers!$C$1:$C$1001,,0))</f>
        <v>rsharerer@flavors.me</v>
      </c>
      <c r="H533" s="2" t="str">
        <f>_xlfn.XLOOKUP(C533,Data_customers!$A$1:$A$1001,Data_customers!$G$1:$G$1001,"",0)</f>
        <v>United States</v>
      </c>
      <c r="I533" t="str">
        <f>INDEX(Data_products!$A$1:$G$49, MATCH(Data_orders!$D533,Data_products!$A$1:$A$49,0), MATCH(Data_orders!I$1,Data_products!$A$1:$G$1,0))</f>
        <v>Rob</v>
      </c>
      <c r="J533" t="str">
        <f>INDEX(Data_products!$A$1:$G$49, MATCH(Data_orders!$D533,Data_products!$A$1:$A$49,0), MATCH(Data_orders!J$1,Data_products!$A$1:$G$1,0))</f>
        <v>D</v>
      </c>
      <c r="K533" s="4">
        <f>INDEX(Data_products!$A$1:$G$49, MATCH(Data_orders!$D533,Data_products!$A$1:$A$49,0), MATCH(Data_orders!K$1,Data_products!$A$1:$G$1,0))</f>
        <v>1</v>
      </c>
      <c r="L533">
        <f>INDEX(Data_products!$A$1:$G$49, MATCH(Data_orders!$D533,Data_products!$A$1:$A$49,0), MATCH(Data_orders!L$1,Data_products!$A$1:$G$1,0))</f>
        <v>8.9499999999999993</v>
      </c>
      <c r="M533">
        <f t="shared" si="16"/>
        <v>44.75</v>
      </c>
      <c r="N533" t="str" cm="1">
        <f t="array" ref="N533">_xlfn.IFS(I533 = "Rob", "Robusta", I533 = "Exc", "Excelsa", I533 = "Ara", "Arabica", I533 = "Lib", "Liberica")</f>
        <v>Robusta</v>
      </c>
      <c r="O533" t="str">
        <f t="shared" si="17"/>
        <v>Dark</v>
      </c>
      <c r="P533" t="str">
        <f>_xlfn.XLOOKUP(Table1[[#This Row],[Customer ID]],Data_customers!$A$2:$A$1001,Data_customers!$I$2:$I$1001,,0)</f>
        <v>No</v>
      </c>
    </row>
    <row r="534" spans="1:16" x14ac:dyDescent="0.2">
      <c r="A534" s="2" t="s">
        <v>3499</v>
      </c>
      <c r="B534" s="3">
        <v>44330</v>
      </c>
      <c r="C534" s="2" t="s">
        <v>3500</v>
      </c>
      <c r="D534" t="s">
        <v>6139</v>
      </c>
      <c r="E534" s="2">
        <v>2</v>
      </c>
      <c r="F534" s="2" t="str">
        <f>_xlfn.XLOOKUP(Data_orders!C534,Data_customers!$A$1:$A$1001,Data_customers!$B$1:$B$1001,,0)</f>
        <v>Nannie Naseby</v>
      </c>
      <c r="G534" s="2" t="str">
        <f>IF(_xlfn.XLOOKUP(C534,Data_customers!$A$1:$A$1001,Data_customers!$C$1:$C$1001,,0)=0,"",_xlfn.XLOOKUP(C534,Data_customers!$A$1:$A$1001,Data_customers!$C$1:$C$1001,,0))</f>
        <v>nnasebyes@umich.edu</v>
      </c>
      <c r="H534" s="2" t="str">
        <f>_xlfn.XLOOKUP(C534,Data_customers!$A$1:$A$1001,Data_customers!$G$1:$G$1001,"",0)</f>
        <v>United States</v>
      </c>
      <c r="I534" t="str">
        <f>INDEX(Data_products!$A$1:$G$49, MATCH(Data_orders!$D534,Data_products!$A$1:$A$49,0), MATCH(Data_orders!I$1,Data_products!$A$1:$G$1,0))</f>
        <v>Exc</v>
      </c>
      <c r="J534" t="str">
        <f>INDEX(Data_products!$A$1:$G$49, MATCH(Data_orders!$D534,Data_products!$A$1:$A$49,0), MATCH(Data_orders!J$1,Data_products!$A$1:$G$1,0))</f>
        <v>M</v>
      </c>
      <c r="K534" s="4">
        <f>INDEX(Data_products!$A$1:$G$49, MATCH(Data_orders!$D534,Data_products!$A$1:$A$49,0), MATCH(Data_orders!K$1,Data_products!$A$1:$G$1,0))</f>
        <v>0.5</v>
      </c>
      <c r="L534">
        <f>INDEX(Data_products!$A$1:$G$49, MATCH(Data_orders!$D534,Data_products!$A$1:$A$49,0), MATCH(Data_orders!L$1,Data_products!$A$1:$G$1,0))</f>
        <v>8.25</v>
      </c>
      <c r="M534">
        <f t="shared" si="16"/>
        <v>16.5</v>
      </c>
      <c r="N534" t="str" cm="1">
        <f t="array" ref="N534">_xlfn.IFS(I534 = "Rob", "Robusta", I534 = "Exc", "Excelsa", I534 = "Ara", "Arabica", I534 = "Lib", "Liberica")</f>
        <v>Excelsa</v>
      </c>
      <c r="O534" t="str">
        <f t="shared" si="17"/>
        <v>Medium</v>
      </c>
      <c r="P534" t="str">
        <f>_xlfn.XLOOKUP(Table1[[#This Row],[Customer ID]],Data_customers!$A$2:$A$1001,Data_customers!$I$2:$I$1001,,0)</f>
        <v>Yes</v>
      </c>
    </row>
    <row r="535" spans="1:16" x14ac:dyDescent="0.2">
      <c r="A535" s="2" t="s">
        <v>3505</v>
      </c>
      <c r="B535" s="3">
        <v>44724</v>
      </c>
      <c r="C535" s="2" t="s">
        <v>3506</v>
      </c>
      <c r="D535" t="s">
        <v>6172</v>
      </c>
      <c r="E535" s="2">
        <v>4</v>
      </c>
      <c r="F535" s="2" t="str">
        <f>_xlfn.XLOOKUP(Data_orders!C535,Data_customers!$A$1:$A$1001,Data_customers!$B$1:$B$1001,,0)</f>
        <v>Rea Offell</v>
      </c>
      <c r="G535" s="2" t="str">
        <f>IF(_xlfn.XLOOKUP(C535,Data_customers!$A$1:$A$1001,Data_customers!$C$1:$C$1001,,0)=0,"",_xlfn.XLOOKUP(C535,Data_customers!$A$1:$A$1001,Data_customers!$C$1:$C$1001,,0))</f>
        <v/>
      </c>
      <c r="H535" s="2" t="str">
        <f>_xlfn.XLOOKUP(C535,Data_customers!$A$1:$A$1001,Data_customers!$G$1:$G$1001,"",0)</f>
        <v>United States</v>
      </c>
      <c r="I535" t="str">
        <f>INDEX(Data_products!$A$1:$G$49, MATCH(Data_orders!$D535,Data_products!$A$1:$A$49,0), MATCH(Data_orders!I$1,Data_products!$A$1:$G$1,0))</f>
        <v>Rob</v>
      </c>
      <c r="J535" t="str">
        <f>INDEX(Data_products!$A$1:$G$49, MATCH(Data_orders!$D535,Data_products!$A$1:$A$49,0), MATCH(Data_orders!J$1,Data_products!$A$1:$G$1,0))</f>
        <v>D</v>
      </c>
      <c r="K535" s="4">
        <f>INDEX(Data_products!$A$1:$G$49, MATCH(Data_orders!$D535,Data_products!$A$1:$A$49,0), MATCH(Data_orders!K$1,Data_products!$A$1:$G$1,0))</f>
        <v>0.5</v>
      </c>
      <c r="L535">
        <f>INDEX(Data_products!$A$1:$G$49, MATCH(Data_orders!$D535,Data_products!$A$1:$A$49,0), MATCH(Data_orders!L$1,Data_products!$A$1:$G$1,0))</f>
        <v>5.3699999999999992</v>
      </c>
      <c r="M535">
        <f t="shared" si="16"/>
        <v>21.479999999999997</v>
      </c>
      <c r="N535" t="str" cm="1">
        <f t="array" ref="N535">_xlfn.IFS(I535 = "Rob", "Robusta", I535 = "Exc", "Excelsa", I535 = "Ara", "Arabica", I535 = "Lib", "Liberica")</f>
        <v>Robusta</v>
      </c>
      <c r="O535" t="str">
        <f t="shared" si="17"/>
        <v>Dark</v>
      </c>
      <c r="P535" t="str">
        <f>_xlfn.XLOOKUP(Table1[[#This Row],[Customer ID]],Data_customers!$A$2:$A$1001,Data_customers!$I$2:$I$1001,,0)</f>
        <v>No</v>
      </c>
    </row>
    <row r="536" spans="1:16" x14ac:dyDescent="0.2">
      <c r="A536" s="2" t="s">
        <v>3510</v>
      </c>
      <c r="B536" s="3">
        <v>44563</v>
      </c>
      <c r="C536" s="2" t="s">
        <v>3511</v>
      </c>
      <c r="D536" t="s">
        <v>6151</v>
      </c>
      <c r="E536" s="2">
        <v>2</v>
      </c>
      <c r="F536" s="2" t="str">
        <f>_xlfn.XLOOKUP(Data_orders!C536,Data_customers!$A$1:$A$1001,Data_customers!$B$1:$B$1001,,0)</f>
        <v>Kris O'Cullen</v>
      </c>
      <c r="G536" s="2" t="str">
        <f>IF(_xlfn.XLOOKUP(C536,Data_customers!$A$1:$A$1001,Data_customers!$C$1:$C$1001,,0)=0,"",_xlfn.XLOOKUP(C536,Data_customers!$A$1:$A$1001,Data_customers!$C$1:$C$1001,,0))</f>
        <v>koculleneu@ca.gov</v>
      </c>
      <c r="H536" s="2" t="str">
        <f>_xlfn.XLOOKUP(C536,Data_customers!$A$1:$A$1001,Data_customers!$G$1:$G$1001,"",0)</f>
        <v>Ireland</v>
      </c>
      <c r="I536" t="str">
        <f>INDEX(Data_products!$A$1:$G$49, MATCH(Data_orders!$D536,Data_products!$A$1:$A$49,0), MATCH(Data_orders!I$1,Data_products!$A$1:$G$1,0))</f>
        <v>Rob</v>
      </c>
      <c r="J536" t="str">
        <f>INDEX(Data_products!$A$1:$G$49, MATCH(Data_orders!$D536,Data_products!$A$1:$A$49,0), MATCH(Data_orders!J$1,Data_products!$A$1:$G$1,0))</f>
        <v>M</v>
      </c>
      <c r="K536" s="4">
        <f>INDEX(Data_products!$A$1:$G$49, MATCH(Data_orders!$D536,Data_products!$A$1:$A$49,0), MATCH(Data_orders!K$1,Data_products!$A$1:$G$1,0))</f>
        <v>2.5</v>
      </c>
      <c r="L536">
        <f>INDEX(Data_products!$A$1:$G$49, MATCH(Data_orders!$D536,Data_products!$A$1:$A$49,0), MATCH(Data_orders!L$1,Data_products!$A$1:$G$1,0))</f>
        <v>22.884999999999998</v>
      </c>
      <c r="M536">
        <f t="shared" si="16"/>
        <v>45.769999999999996</v>
      </c>
      <c r="N536" t="str" cm="1">
        <f t="array" ref="N536">_xlfn.IFS(I536 = "Rob", "Robusta", I536 = "Exc", "Excelsa", I536 = "Ara", "Arabica", I536 = "Lib", "Liberica")</f>
        <v>Robusta</v>
      </c>
      <c r="O536" t="str">
        <f t="shared" si="17"/>
        <v>Medium</v>
      </c>
      <c r="P536" t="str">
        <f>_xlfn.XLOOKUP(Table1[[#This Row],[Customer ID]],Data_customers!$A$2:$A$1001,Data_customers!$I$2:$I$1001,,0)</f>
        <v>Yes</v>
      </c>
    </row>
    <row r="537" spans="1:16" x14ac:dyDescent="0.2">
      <c r="A537" s="2" t="s">
        <v>3516</v>
      </c>
      <c r="B537" s="3">
        <v>44585</v>
      </c>
      <c r="C537" s="2" t="s">
        <v>3517</v>
      </c>
      <c r="D537" t="s">
        <v>6145</v>
      </c>
      <c r="E537" s="2">
        <v>2</v>
      </c>
      <c r="F537" s="2" t="str">
        <f>_xlfn.XLOOKUP(Data_orders!C537,Data_customers!$A$1:$A$1001,Data_customers!$B$1:$B$1001,,0)</f>
        <v>Timoteo Glisane</v>
      </c>
      <c r="G537" s="2" t="str">
        <f>IF(_xlfn.XLOOKUP(C537,Data_customers!$A$1:$A$1001,Data_customers!$C$1:$C$1001,,0)=0,"",_xlfn.XLOOKUP(C537,Data_customers!$A$1:$A$1001,Data_customers!$C$1:$C$1001,,0))</f>
        <v/>
      </c>
      <c r="H537" s="2" t="str">
        <f>_xlfn.XLOOKUP(C537,Data_customers!$A$1:$A$1001,Data_customers!$G$1:$G$1001,"",0)</f>
        <v>Ireland</v>
      </c>
      <c r="I537" t="str">
        <f>INDEX(Data_products!$A$1:$G$49, MATCH(Data_orders!$D537,Data_products!$A$1:$A$49,0), MATCH(Data_orders!I$1,Data_products!$A$1:$G$1,0))</f>
        <v>Lib</v>
      </c>
      <c r="J537" t="str">
        <f>INDEX(Data_products!$A$1:$G$49, MATCH(Data_orders!$D537,Data_products!$A$1:$A$49,0), MATCH(Data_orders!J$1,Data_products!$A$1:$G$1,0))</f>
        <v>L</v>
      </c>
      <c r="K537" s="4">
        <f>INDEX(Data_products!$A$1:$G$49, MATCH(Data_orders!$D537,Data_products!$A$1:$A$49,0), MATCH(Data_orders!K$1,Data_products!$A$1:$G$1,0))</f>
        <v>0.2</v>
      </c>
      <c r="L537">
        <f>INDEX(Data_products!$A$1:$G$49, MATCH(Data_orders!$D537,Data_products!$A$1:$A$49,0), MATCH(Data_orders!L$1,Data_products!$A$1:$G$1,0))</f>
        <v>4.7549999999999999</v>
      </c>
      <c r="M537">
        <f t="shared" si="16"/>
        <v>9.51</v>
      </c>
      <c r="N537" t="str" cm="1">
        <f t="array" ref="N537">_xlfn.IFS(I537 = "Rob", "Robusta", I537 = "Exc", "Excelsa", I537 = "Ara", "Arabica", I537 = "Lib", "Liberica")</f>
        <v>Liberica</v>
      </c>
      <c r="O537" t="str">
        <f t="shared" si="17"/>
        <v>Light</v>
      </c>
      <c r="P537" t="str">
        <f>_xlfn.XLOOKUP(Table1[[#This Row],[Customer ID]],Data_customers!$A$2:$A$1001,Data_customers!$I$2:$I$1001,,0)</f>
        <v>No</v>
      </c>
    </row>
    <row r="538" spans="1:16" x14ac:dyDescent="0.2">
      <c r="A538" s="2" t="s">
        <v>3521</v>
      </c>
      <c r="B538" s="3">
        <v>43544</v>
      </c>
      <c r="C538" s="2" t="s">
        <v>3368</v>
      </c>
      <c r="D538" t="s">
        <v>6163</v>
      </c>
      <c r="E538" s="2">
        <v>3</v>
      </c>
      <c r="F538" s="2" t="str">
        <f>_xlfn.XLOOKUP(Data_orders!C538,Data_customers!$A$1:$A$1001,Data_customers!$B$1:$B$1001,,0)</f>
        <v>Marja Urion</v>
      </c>
      <c r="G538" s="2" t="str">
        <f>IF(_xlfn.XLOOKUP(C538,Data_customers!$A$1:$A$1001,Data_customers!$C$1:$C$1001,,0)=0,"",_xlfn.XLOOKUP(C538,Data_customers!$A$1:$A$1001,Data_customers!$C$1:$C$1001,,0))</f>
        <v>murione5@alexa.com</v>
      </c>
      <c r="H538" s="2" t="str">
        <f>_xlfn.XLOOKUP(C538,Data_customers!$A$1:$A$1001,Data_customers!$G$1:$G$1001,"",0)</f>
        <v>Ireland</v>
      </c>
      <c r="I538" t="str">
        <f>INDEX(Data_products!$A$1:$G$49, MATCH(Data_orders!$D538,Data_products!$A$1:$A$49,0), MATCH(Data_orders!I$1,Data_products!$A$1:$G$1,0))</f>
        <v>Rob</v>
      </c>
      <c r="J538" t="str">
        <f>INDEX(Data_products!$A$1:$G$49, MATCH(Data_orders!$D538,Data_products!$A$1:$A$49,0), MATCH(Data_orders!J$1,Data_products!$A$1:$G$1,0))</f>
        <v>D</v>
      </c>
      <c r="K538" s="4">
        <f>INDEX(Data_products!$A$1:$G$49, MATCH(Data_orders!$D538,Data_products!$A$1:$A$49,0), MATCH(Data_orders!K$1,Data_products!$A$1:$G$1,0))</f>
        <v>0.2</v>
      </c>
      <c r="L538">
        <f>INDEX(Data_products!$A$1:$G$49, MATCH(Data_orders!$D538,Data_products!$A$1:$A$49,0), MATCH(Data_orders!L$1,Data_products!$A$1:$G$1,0))</f>
        <v>2.6849999999999996</v>
      </c>
      <c r="M538">
        <f t="shared" si="16"/>
        <v>8.0549999999999997</v>
      </c>
      <c r="N538" t="str" cm="1">
        <f t="array" ref="N538">_xlfn.IFS(I538 = "Rob", "Robusta", I538 = "Exc", "Excelsa", I538 = "Ara", "Arabica", I538 = "Lib", "Liberica")</f>
        <v>Robusta</v>
      </c>
      <c r="O538" t="str">
        <f t="shared" si="17"/>
        <v>Dark</v>
      </c>
      <c r="P538" t="str">
        <f>_xlfn.XLOOKUP(Table1[[#This Row],[Customer ID]],Data_customers!$A$2:$A$1001,Data_customers!$I$2:$I$1001,,0)</f>
        <v>Yes</v>
      </c>
    </row>
    <row r="539" spans="1:16" x14ac:dyDescent="0.2">
      <c r="A539" s="2" t="s">
        <v>3527</v>
      </c>
      <c r="B539" s="3">
        <v>44156</v>
      </c>
      <c r="C539" s="2" t="s">
        <v>3528</v>
      </c>
      <c r="D539" t="s">
        <v>6185</v>
      </c>
      <c r="E539" s="2">
        <v>4</v>
      </c>
      <c r="F539" s="2" t="str">
        <f>_xlfn.XLOOKUP(Data_orders!C539,Data_customers!$A$1:$A$1001,Data_customers!$B$1:$B$1001,,0)</f>
        <v>Hildegarde Brangan</v>
      </c>
      <c r="G539" s="2" t="str">
        <f>IF(_xlfn.XLOOKUP(C539,Data_customers!$A$1:$A$1001,Data_customers!$C$1:$C$1001,,0)=0,"",_xlfn.XLOOKUP(C539,Data_customers!$A$1:$A$1001,Data_customers!$C$1:$C$1001,,0))</f>
        <v>hbranganex@woothemes.com</v>
      </c>
      <c r="H539" s="2" t="str">
        <f>_xlfn.XLOOKUP(C539,Data_customers!$A$1:$A$1001,Data_customers!$G$1:$G$1001,"",0)</f>
        <v>United States</v>
      </c>
      <c r="I539" t="str">
        <f>INDEX(Data_products!$A$1:$G$49, MATCH(Data_orders!$D539,Data_products!$A$1:$A$49,0), MATCH(Data_orders!I$1,Data_products!$A$1:$G$1,0))</f>
        <v>Exc</v>
      </c>
      <c r="J539" t="str">
        <f>INDEX(Data_products!$A$1:$G$49, MATCH(Data_orders!$D539,Data_products!$A$1:$A$49,0), MATCH(Data_orders!J$1,Data_products!$A$1:$G$1,0))</f>
        <v>D</v>
      </c>
      <c r="K539" s="4">
        <f>INDEX(Data_products!$A$1:$G$49, MATCH(Data_orders!$D539,Data_products!$A$1:$A$49,0), MATCH(Data_orders!K$1,Data_products!$A$1:$G$1,0))</f>
        <v>2.5</v>
      </c>
      <c r="L539">
        <f>INDEX(Data_products!$A$1:$G$49, MATCH(Data_orders!$D539,Data_products!$A$1:$A$49,0), MATCH(Data_orders!L$1,Data_products!$A$1:$G$1,0))</f>
        <v>27.945</v>
      </c>
      <c r="M539">
        <f t="shared" si="16"/>
        <v>111.78</v>
      </c>
      <c r="N539" t="str" cm="1">
        <f t="array" ref="N539">_xlfn.IFS(I539 = "Rob", "Robusta", I539 = "Exc", "Excelsa", I539 = "Ara", "Arabica", I539 = "Lib", "Liberica")</f>
        <v>Excelsa</v>
      </c>
      <c r="O539" t="str">
        <f t="shared" si="17"/>
        <v>Dark</v>
      </c>
      <c r="P539" t="str">
        <f>_xlfn.XLOOKUP(Table1[[#This Row],[Customer ID]],Data_customers!$A$2:$A$1001,Data_customers!$I$2:$I$1001,,0)</f>
        <v>Yes</v>
      </c>
    </row>
    <row r="540" spans="1:16" x14ac:dyDescent="0.2">
      <c r="A540" s="2" t="s">
        <v>3532</v>
      </c>
      <c r="B540" s="3">
        <v>44482</v>
      </c>
      <c r="C540" s="2" t="s">
        <v>3533</v>
      </c>
      <c r="D540" t="s">
        <v>6163</v>
      </c>
      <c r="E540" s="2">
        <v>4</v>
      </c>
      <c r="F540" s="2" t="str">
        <f>_xlfn.XLOOKUP(Data_orders!C540,Data_customers!$A$1:$A$1001,Data_customers!$B$1:$B$1001,,0)</f>
        <v>Amii Gallyon</v>
      </c>
      <c r="G540" s="2" t="str">
        <f>IF(_xlfn.XLOOKUP(C540,Data_customers!$A$1:$A$1001,Data_customers!$C$1:$C$1001,,0)=0,"",_xlfn.XLOOKUP(C540,Data_customers!$A$1:$A$1001,Data_customers!$C$1:$C$1001,,0))</f>
        <v>agallyoney@engadget.com</v>
      </c>
      <c r="H540" s="2" t="str">
        <f>_xlfn.XLOOKUP(C540,Data_customers!$A$1:$A$1001,Data_customers!$G$1:$G$1001,"",0)</f>
        <v>United States</v>
      </c>
      <c r="I540" t="str">
        <f>INDEX(Data_products!$A$1:$G$49, MATCH(Data_orders!$D540,Data_products!$A$1:$A$49,0), MATCH(Data_orders!I$1,Data_products!$A$1:$G$1,0))</f>
        <v>Rob</v>
      </c>
      <c r="J540" t="str">
        <f>INDEX(Data_products!$A$1:$G$49, MATCH(Data_orders!$D540,Data_products!$A$1:$A$49,0), MATCH(Data_orders!J$1,Data_products!$A$1:$G$1,0))</f>
        <v>D</v>
      </c>
      <c r="K540" s="4">
        <f>INDEX(Data_products!$A$1:$G$49, MATCH(Data_orders!$D540,Data_products!$A$1:$A$49,0), MATCH(Data_orders!K$1,Data_products!$A$1:$G$1,0))</f>
        <v>0.2</v>
      </c>
      <c r="L540">
        <f>INDEX(Data_products!$A$1:$G$49, MATCH(Data_orders!$D540,Data_products!$A$1:$A$49,0), MATCH(Data_orders!L$1,Data_products!$A$1:$G$1,0))</f>
        <v>2.6849999999999996</v>
      </c>
      <c r="M540">
        <f t="shared" si="16"/>
        <v>10.739999999999998</v>
      </c>
      <c r="N540" t="str" cm="1">
        <f t="array" ref="N540">_xlfn.IFS(I540 = "Rob", "Robusta", I540 = "Exc", "Excelsa", I540 = "Ara", "Arabica", I540 = "Lib", "Liberica")</f>
        <v>Robusta</v>
      </c>
      <c r="O540" t="str">
        <f t="shared" si="17"/>
        <v>Dark</v>
      </c>
      <c r="P540" t="str">
        <f>_xlfn.XLOOKUP(Table1[[#This Row],[Customer ID]],Data_customers!$A$2:$A$1001,Data_customers!$I$2:$I$1001,,0)</f>
        <v>Yes</v>
      </c>
    </row>
    <row r="541" spans="1:16" x14ac:dyDescent="0.2">
      <c r="A541" s="2" t="s">
        <v>3537</v>
      </c>
      <c r="B541" s="3">
        <v>44488</v>
      </c>
      <c r="C541" s="2" t="s">
        <v>3538</v>
      </c>
      <c r="D541" t="s">
        <v>6172</v>
      </c>
      <c r="E541" s="2">
        <v>5</v>
      </c>
      <c r="F541" s="2" t="str">
        <f>_xlfn.XLOOKUP(Data_orders!C541,Data_customers!$A$1:$A$1001,Data_customers!$B$1:$B$1001,,0)</f>
        <v>Birgit Domange</v>
      </c>
      <c r="G541" s="2" t="str">
        <f>IF(_xlfn.XLOOKUP(C541,Data_customers!$A$1:$A$1001,Data_customers!$C$1:$C$1001,,0)=0,"",_xlfn.XLOOKUP(C541,Data_customers!$A$1:$A$1001,Data_customers!$C$1:$C$1001,,0))</f>
        <v>bdomangeez@yahoo.co.jp</v>
      </c>
      <c r="H541" s="2" t="str">
        <f>_xlfn.XLOOKUP(C541,Data_customers!$A$1:$A$1001,Data_customers!$G$1:$G$1001,"",0)</f>
        <v>United States</v>
      </c>
      <c r="I541" t="str">
        <f>INDEX(Data_products!$A$1:$G$49, MATCH(Data_orders!$D541,Data_products!$A$1:$A$49,0), MATCH(Data_orders!I$1,Data_products!$A$1:$G$1,0))</f>
        <v>Rob</v>
      </c>
      <c r="J541" t="str">
        <f>INDEX(Data_products!$A$1:$G$49, MATCH(Data_orders!$D541,Data_products!$A$1:$A$49,0), MATCH(Data_orders!J$1,Data_products!$A$1:$G$1,0))</f>
        <v>D</v>
      </c>
      <c r="K541" s="4">
        <f>INDEX(Data_products!$A$1:$G$49, MATCH(Data_orders!$D541,Data_products!$A$1:$A$49,0), MATCH(Data_orders!K$1,Data_products!$A$1:$G$1,0))</f>
        <v>0.5</v>
      </c>
      <c r="L541">
        <f>INDEX(Data_products!$A$1:$G$49, MATCH(Data_orders!$D541,Data_products!$A$1:$A$49,0), MATCH(Data_orders!L$1,Data_products!$A$1:$G$1,0))</f>
        <v>5.3699999999999992</v>
      </c>
      <c r="M541">
        <f t="shared" si="16"/>
        <v>26.849999999999994</v>
      </c>
      <c r="N541" t="str" cm="1">
        <f t="array" ref="N541">_xlfn.IFS(I541 = "Rob", "Robusta", I541 = "Exc", "Excelsa", I541 = "Ara", "Arabica", I541 = "Lib", "Liberica")</f>
        <v>Robusta</v>
      </c>
      <c r="O541" t="str">
        <f t="shared" si="17"/>
        <v>Dark</v>
      </c>
      <c r="P541" t="str">
        <f>_xlfn.XLOOKUP(Table1[[#This Row],[Customer ID]],Data_customers!$A$2:$A$1001,Data_customers!$I$2:$I$1001,,0)</f>
        <v>No</v>
      </c>
    </row>
    <row r="542" spans="1:16" x14ac:dyDescent="0.2">
      <c r="A542" s="2" t="s">
        <v>3542</v>
      </c>
      <c r="B542" s="3">
        <v>43584</v>
      </c>
      <c r="C542" s="2" t="s">
        <v>3543</v>
      </c>
      <c r="D542" t="s">
        <v>6170</v>
      </c>
      <c r="E542" s="2">
        <v>4</v>
      </c>
      <c r="F542" s="2" t="str">
        <f>_xlfn.XLOOKUP(Data_orders!C542,Data_customers!$A$1:$A$1001,Data_customers!$B$1:$B$1001,,0)</f>
        <v>Killian Osler</v>
      </c>
      <c r="G542" s="2" t="str">
        <f>IF(_xlfn.XLOOKUP(C542,Data_customers!$A$1:$A$1001,Data_customers!$C$1:$C$1001,,0)=0,"",_xlfn.XLOOKUP(C542,Data_customers!$A$1:$A$1001,Data_customers!$C$1:$C$1001,,0))</f>
        <v>koslerf0@gmpg.org</v>
      </c>
      <c r="H542" s="2" t="str">
        <f>_xlfn.XLOOKUP(C542,Data_customers!$A$1:$A$1001,Data_customers!$G$1:$G$1001,"",0)</f>
        <v>United States</v>
      </c>
      <c r="I542" t="str">
        <f>INDEX(Data_products!$A$1:$G$49, MATCH(Data_orders!$D542,Data_products!$A$1:$A$49,0), MATCH(Data_orders!I$1,Data_products!$A$1:$G$1,0))</f>
        <v>Lib</v>
      </c>
      <c r="J542" t="str">
        <f>INDEX(Data_products!$A$1:$G$49, MATCH(Data_orders!$D542,Data_products!$A$1:$A$49,0), MATCH(Data_orders!J$1,Data_products!$A$1:$G$1,0))</f>
        <v>L</v>
      </c>
      <c r="K542" s="4">
        <f>INDEX(Data_products!$A$1:$G$49, MATCH(Data_orders!$D542,Data_products!$A$1:$A$49,0), MATCH(Data_orders!K$1,Data_products!$A$1:$G$1,0))</f>
        <v>1</v>
      </c>
      <c r="L542">
        <f>INDEX(Data_products!$A$1:$G$49, MATCH(Data_orders!$D542,Data_products!$A$1:$A$49,0), MATCH(Data_orders!L$1,Data_products!$A$1:$G$1,0))</f>
        <v>15.85</v>
      </c>
      <c r="M542">
        <f t="shared" si="16"/>
        <v>63.4</v>
      </c>
      <c r="N542" t="str" cm="1">
        <f t="array" ref="N542">_xlfn.IFS(I542 = "Rob", "Robusta", I542 = "Exc", "Excelsa", I542 = "Ara", "Arabica", I542 = "Lib", "Liberica")</f>
        <v>Liberica</v>
      </c>
      <c r="O542" t="str">
        <f t="shared" si="17"/>
        <v>Light</v>
      </c>
      <c r="P542" t="str">
        <f>_xlfn.XLOOKUP(Table1[[#This Row],[Customer ID]],Data_customers!$A$2:$A$1001,Data_customers!$I$2:$I$1001,,0)</f>
        <v>Yes</v>
      </c>
    </row>
    <row r="543" spans="1:16" x14ac:dyDescent="0.2">
      <c r="A543" s="2" t="s">
        <v>3548</v>
      </c>
      <c r="B543" s="3">
        <v>43750</v>
      </c>
      <c r="C543" s="2" t="s">
        <v>3549</v>
      </c>
      <c r="D543" t="s">
        <v>6168</v>
      </c>
      <c r="E543" s="2">
        <v>1</v>
      </c>
      <c r="F543" s="2" t="str">
        <f>_xlfn.XLOOKUP(Data_orders!C543,Data_customers!$A$1:$A$1001,Data_customers!$B$1:$B$1001,,0)</f>
        <v>Lora Dukes</v>
      </c>
      <c r="G543" s="2" t="str">
        <f>IF(_xlfn.XLOOKUP(C543,Data_customers!$A$1:$A$1001,Data_customers!$C$1:$C$1001,,0)=0,"",_xlfn.XLOOKUP(C543,Data_customers!$A$1:$A$1001,Data_customers!$C$1:$C$1001,,0))</f>
        <v/>
      </c>
      <c r="H543" s="2" t="str">
        <f>_xlfn.XLOOKUP(C543,Data_customers!$A$1:$A$1001,Data_customers!$G$1:$G$1001,"",0)</f>
        <v>Ireland</v>
      </c>
      <c r="I543" t="str">
        <f>INDEX(Data_products!$A$1:$G$49, MATCH(Data_orders!$D543,Data_products!$A$1:$A$49,0), MATCH(Data_orders!I$1,Data_products!$A$1:$G$1,0))</f>
        <v>Ara</v>
      </c>
      <c r="J543" t="str">
        <f>INDEX(Data_products!$A$1:$G$49, MATCH(Data_orders!$D543,Data_products!$A$1:$A$49,0), MATCH(Data_orders!J$1,Data_products!$A$1:$G$1,0))</f>
        <v>D</v>
      </c>
      <c r="K543" s="4">
        <f>INDEX(Data_products!$A$1:$G$49, MATCH(Data_orders!$D543,Data_products!$A$1:$A$49,0), MATCH(Data_orders!K$1,Data_products!$A$1:$G$1,0))</f>
        <v>2.5</v>
      </c>
      <c r="L543">
        <f>INDEX(Data_products!$A$1:$G$49, MATCH(Data_orders!$D543,Data_products!$A$1:$A$49,0), MATCH(Data_orders!L$1,Data_products!$A$1:$G$1,0))</f>
        <v>22.884999999999998</v>
      </c>
      <c r="M543">
        <f t="shared" si="16"/>
        <v>22.884999999999998</v>
      </c>
      <c r="N543" t="str" cm="1">
        <f t="array" ref="N543">_xlfn.IFS(I543 = "Rob", "Robusta", I543 = "Exc", "Excelsa", I543 = "Ara", "Arabica", I543 = "Lib", "Liberica")</f>
        <v>Arabica</v>
      </c>
      <c r="O543" t="str">
        <f t="shared" si="17"/>
        <v>Dark</v>
      </c>
      <c r="P543" t="str">
        <f>_xlfn.XLOOKUP(Table1[[#This Row],[Customer ID]],Data_customers!$A$2:$A$1001,Data_customers!$I$2:$I$1001,,0)</f>
        <v>Yes</v>
      </c>
    </row>
    <row r="544" spans="1:16" x14ac:dyDescent="0.2">
      <c r="A544" s="2" t="s">
        <v>3553</v>
      </c>
      <c r="B544" s="3">
        <v>44335</v>
      </c>
      <c r="C544" s="2" t="s">
        <v>3554</v>
      </c>
      <c r="D544" t="s">
        <v>6175</v>
      </c>
      <c r="E544" s="2">
        <v>4</v>
      </c>
      <c r="F544" s="2" t="str">
        <f>_xlfn.XLOOKUP(Data_orders!C544,Data_customers!$A$1:$A$1001,Data_customers!$B$1:$B$1001,,0)</f>
        <v>Zack Pellett</v>
      </c>
      <c r="G544" s="2" t="str">
        <f>IF(_xlfn.XLOOKUP(C544,Data_customers!$A$1:$A$1001,Data_customers!$C$1:$C$1001,,0)=0,"",_xlfn.XLOOKUP(C544,Data_customers!$A$1:$A$1001,Data_customers!$C$1:$C$1001,,0))</f>
        <v>zpellettf2@dailymotion.com</v>
      </c>
      <c r="H544" s="2" t="str">
        <f>_xlfn.XLOOKUP(C544,Data_customers!$A$1:$A$1001,Data_customers!$G$1:$G$1001,"",0)</f>
        <v>United States</v>
      </c>
      <c r="I544" t="str">
        <f>INDEX(Data_products!$A$1:$G$49, MATCH(Data_orders!$D544,Data_products!$A$1:$A$49,0), MATCH(Data_orders!I$1,Data_products!$A$1:$G$1,0))</f>
        <v>Ara</v>
      </c>
      <c r="J544" t="str">
        <f>INDEX(Data_products!$A$1:$G$49, MATCH(Data_orders!$D544,Data_products!$A$1:$A$49,0), MATCH(Data_orders!J$1,Data_products!$A$1:$G$1,0))</f>
        <v>M</v>
      </c>
      <c r="K544" s="4">
        <f>INDEX(Data_products!$A$1:$G$49, MATCH(Data_orders!$D544,Data_products!$A$1:$A$49,0), MATCH(Data_orders!K$1,Data_products!$A$1:$G$1,0))</f>
        <v>2.5</v>
      </c>
      <c r="L544">
        <f>INDEX(Data_products!$A$1:$G$49, MATCH(Data_orders!$D544,Data_products!$A$1:$A$49,0), MATCH(Data_orders!L$1,Data_products!$A$1:$G$1,0))</f>
        <v>25.874999999999996</v>
      </c>
      <c r="M544">
        <f t="shared" si="16"/>
        <v>103.49999999999999</v>
      </c>
      <c r="N544" t="str" cm="1">
        <f t="array" ref="N544">_xlfn.IFS(I544 = "Rob", "Robusta", I544 = "Exc", "Excelsa", I544 = "Ara", "Arabica", I544 = "Lib", "Liberica")</f>
        <v>Arabica</v>
      </c>
      <c r="O544" t="str">
        <f t="shared" si="17"/>
        <v>Medium</v>
      </c>
      <c r="P544" t="str">
        <f>_xlfn.XLOOKUP(Table1[[#This Row],[Customer ID]],Data_customers!$A$2:$A$1001,Data_customers!$I$2:$I$1001,,0)</f>
        <v>No</v>
      </c>
    </row>
    <row r="545" spans="1:16" x14ac:dyDescent="0.2">
      <c r="A545" s="2" t="s">
        <v>3559</v>
      </c>
      <c r="B545" s="3">
        <v>44380</v>
      </c>
      <c r="C545" s="2" t="s">
        <v>3560</v>
      </c>
      <c r="D545" t="s">
        <v>6142</v>
      </c>
      <c r="E545" s="2">
        <v>2</v>
      </c>
      <c r="F545" s="2" t="str">
        <f>_xlfn.XLOOKUP(Data_orders!C545,Data_customers!$A$1:$A$1001,Data_customers!$B$1:$B$1001,,0)</f>
        <v>Ilaire Sprakes</v>
      </c>
      <c r="G545" s="2" t="str">
        <f>IF(_xlfn.XLOOKUP(C545,Data_customers!$A$1:$A$1001,Data_customers!$C$1:$C$1001,,0)=0,"",_xlfn.XLOOKUP(C545,Data_customers!$A$1:$A$1001,Data_customers!$C$1:$C$1001,,0))</f>
        <v>isprakesf3@spiegel.de</v>
      </c>
      <c r="H545" s="2" t="str">
        <f>_xlfn.XLOOKUP(C545,Data_customers!$A$1:$A$1001,Data_customers!$G$1:$G$1001,"",0)</f>
        <v>United States</v>
      </c>
      <c r="I545" t="str">
        <f>INDEX(Data_products!$A$1:$G$49, MATCH(Data_orders!$D545,Data_products!$A$1:$A$49,0), MATCH(Data_orders!I$1,Data_products!$A$1:$G$1,0))</f>
        <v>Rob</v>
      </c>
      <c r="J545" t="str">
        <f>INDEX(Data_products!$A$1:$G$49, MATCH(Data_orders!$D545,Data_products!$A$1:$A$49,0), MATCH(Data_orders!J$1,Data_products!$A$1:$G$1,0))</f>
        <v>L</v>
      </c>
      <c r="K545" s="4">
        <f>INDEX(Data_products!$A$1:$G$49, MATCH(Data_orders!$D545,Data_products!$A$1:$A$49,0), MATCH(Data_orders!K$1,Data_products!$A$1:$G$1,0))</f>
        <v>2.5</v>
      </c>
      <c r="L545">
        <f>INDEX(Data_products!$A$1:$G$49, MATCH(Data_orders!$D545,Data_products!$A$1:$A$49,0), MATCH(Data_orders!L$1,Data_products!$A$1:$G$1,0))</f>
        <v>27.484999999999996</v>
      </c>
      <c r="M545">
        <f t="shared" si="16"/>
        <v>54.969999999999992</v>
      </c>
      <c r="N545" t="str" cm="1">
        <f t="array" ref="N545">_xlfn.IFS(I545 = "Rob", "Robusta", I545 = "Exc", "Excelsa", I545 = "Ara", "Arabica", I545 = "Lib", "Liberica")</f>
        <v>Robusta</v>
      </c>
      <c r="O545" t="str">
        <f t="shared" si="17"/>
        <v>Light</v>
      </c>
      <c r="P545" t="str">
        <f>_xlfn.XLOOKUP(Table1[[#This Row],[Customer ID]],Data_customers!$A$2:$A$1001,Data_customers!$I$2:$I$1001,,0)</f>
        <v>No</v>
      </c>
    </row>
    <row r="546" spans="1:16" x14ac:dyDescent="0.2">
      <c r="A546" s="2" t="s">
        <v>3565</v>
      </c>
      <c r="B546" s="3">
        <v>43869</v>
      </c>
      <c r="C546" s="2" t="s">
        <v>3566</v>
      </c>
      <c r="D546" t="s">
        <v>6180</v>
      </c>
      <c r="E546" s="2">
        <v>2</v>
      </c>
      <c r="F546" s="2" t="str">
        <f>_xlfn.XLOOKUP(Data_orders!C546,Data_customers!$A$1:$A$1001,Data_customers!$B$1:$B$1001,,0)</f>
        <v>Heda Fromant</v>
      </c>
      <c r="G546" s="2" t="str">
        <f>IF(_xlfn.XLOOKUP(C546,Data_customers!$A$1:$A$1001,Data_customers!$C$1:$C$1001,,0)=0,"",_xlfn.XLOOKUP(C546,Data_customers!$A$1:$A$1001,Data_customers!$C$1:$C$1001,,0))</f>
        <v>hfromantf4@ucsd.edu</v>
      </c>
      <c r="H546" s="2" t="str">
        <f>_xlfn.XLOOKUP(C546,Data_customers!$A$1:$A$1001,Data_customers!$G$1:$G$1001,"",0)</f>
        <v>United States</v>
      </c>
      <c r="I546" t="str">
        <f>INDEX(Data_products!$A$1:$G$49, MATCH(Data_orders!$D546,Data_products!$A$1:$A$49,0), MATCH(Data_orders!I$1,Data_products!$A$1:$G$1,0))</f>
        <v>Ara</v>
      </c>
      <c r="J546" t="str">
        <f>INDEX(Data_products!$A$1:$G$49, MATCH(Data_orders!$D546,Data_products!$A$1:$A$49,0), MATCH(Data_orders!J$1,Data_products!$A$1:$G$1,0))</f>
        <v>L</v>
      </c>
      <c r="K546" s="4">
        <f>INDEX(Data_products!$A$1:$G$49, MATCH(Data_orders!$D546,Data_products!$A$1:$A$49,0), MATCH(Data_orders!K$1,Data_products!$A$1:$G$1,0))</f>
        <v>0.5</v>
      </c>
      <c r="L546">
        <f>INDEX(Data_products!$A$1:$G$49, MATCH(Data_orders!$D546,Data_products!$A$1:$A$49,0), MATCH(Data_orders!L$1,Data_products!$A$1:$G$1,0))</f>
        <v>7.77</v>
      </c>
      <c r="M546">
        <f t="shared" si="16"/>
        <v>15.54</v>
      </c>
      <c r="N546" t="str" cm="1">
        <f t="array" ref="N546">_xlfn.IFS(I546 = "Rob", "Robusta", I546 = "Exc", "Excelsa", I546 = "Ara", "Arabica", I546 = "Lib", "Liberica")</f>
        <v>Arabica</v>
      </c>
      <c r="O546" t="str">
        <f t="shared" si="17"/>
        <v>Light</v>
      </c>
      <c r="P546" t="str">
        <f>_xlfn.XLOOKUP(Table1[[#This Row],[Customer ID]],Data_customers!$A$2:$A$1001,Data_customers!$I$2:$I$1001,,0)</f>
        <v>No</v>
      </c>
    </row>
    <row r="547" spans="1:16" x14ac:dyDescent="0.2">
      <c r="A547" s="2" t="s">
        <v>3571</v>
      </c>
      <c r="B547" s="3">
        <v>44120</v>
      </c>
      <c r="C547" s="2" t="s">
        <v>3572</v>
      </c>
      <c r="D547" t="s">
        <v>6150</v>
      </c>
      <c r="E547" s="2">
        <v>4</v>
      </c>
      <c r="F547" s="2" t="str">
        <f>_xlfn.XLOOKUP(Data_orders!C547,Data_customers!$A$1:$A$1001,Data_customers!$B$1:$B$1001,,0)</f>
        <v>Rufus Flear</v>
      </c>
      <c r="G547" s="2" t="str">
        <f>IF(_xlfn.XLOOKUP(C547,Data_customers!$A$1:$A$1001,Data_customers!$C$1:$C$1001,,0)=0,"",_xlfn.XLOOKUP(C547,Data_customers!$A$1:$A$1001,Data_customers!$C$1:$C$1001,,0))</f>
        <v>rflearf5@artisteer.com</v>
      </c>
      <c r="H547" s="2" t="str">
        <f>_xlfn.XLOOKUP(C547,Data_customers!$A$1:$A$1001,Data_customers!$G$1:$G$1001,"",0)</f>
        <v>United Kingdom</v>
      </c>
      <c r="I547" t="str">
        <f>INDEX(Data_products!$A$1:$G$49, MATCH(Data_orders!$D547,Data_products!$A$1:$A$49,0), MATCH(Data_orders!I$1,Data_products!$A$1:$G$1,0))</f>
        <v>Lib</v>
      </c>
      <c r="J547" t="str">
        <f>INDEX(Data_products!$A$1:$G$49, MATCH(Data_orders!$D547,Data_products!$A$1:$A$49,0), MATCH(Data_orders!J$1,Data_products!$A$1:$G$1,0))</f>
        <v>D</v>
      </c>
      <c r="K547" s="4">
        <f>INDEX(Data_products!$A$1:$G$49, MATCH(Data_orders!$D547,Data_products!$A$1:$A$49,0), MATCH(Data_orders!K$1,Data_products!$A$1:$G$1,0))</f>
        <v>0.2</v>
      </c>
      <c r="L547">
        <f>INDEX(Data_products!$A$1:$G$49, MATCH(Data_orders!$D547,Data_products!$A$1:$A$49,0), MATCH(Data_orders!L$1,Data_products!$A$1:$G$1,0))</f>
        <v>3.8849999999999998</v>
      </c>
      <c r="M547">
        <f t="shared" si="16"/>
        <v>15.54</v>
      </c>
      <c r="N547" t="str" cm="1">
        <f t="array" ref="N547">_xlfn.IFS(I547 = "Rob", "Robusta", I547 = "Exc", "Excelsa", I547 = "Ara", "Arabica", I547 = "Lib", "Liberica")</f>
        <v>Liberica</v>
      </c>
      <c r="O547" t="str">
        <f t="shared" si="17"/>
        <v>Dark</v>
      </c>
      <c r="P547" t="str">
        <f>_xlfn.XLOOKUP(Table1[[#This Row],[Customer ID]],Data_customers!$A$2:$A$1001,Data_customers!$I$2:$I$1001,,0)</f>
        <v>No</v>
      </c>
    </row>
    <row r="548" spans="1:16" x14ac:dyDescent="0.2">
      <c r="A548" s="2" t="s">
        <v>3577</v>
      </c>
      <c r="B548" s="3">
        <v>44127</v>
      </c>
      <c r="C548" s="2" t="s">
        <v>3578</v>
      </c>
      <c r="D548" t="s">
        <v>6185</v>
      </c>
      <c r="E548" s="2">
        <v>3</v>
      </c>
      <c r="F548" s="2" t="str">
        <f>_xlfn.XLOOKUP(Data_orders!C548,Data_customers!$A$1:$A$1001,Data_customers!$B$1:$B$1001,,0)</f>
        <v>Dom Milella</v>
      </c>
      <c r="G548" s="2" t="str">
        <f>IF(_xlfn.XLOOKUP(C548,Data_customers!$A$1:$A$1001,Data_customers!$C$1:$C$1001,,0)=0,"",_xlfn.XLOOKUP(C548,Data_customers!$A$1:$A$1001,Data_customers!$C$1:$C$1001,,0))</f>
        <v/>
      </c>
      <c r="H548" s="2" t="str">
        <f>_xlfn.XLOOKUP(C548,Data_customers!$A$1:$A$1001,Data_customers!$G$1:$G$1001,"",0)</f>
        <v>Ireland</v>
      </c>
      <c r="I548" t="str">
        <f>INDEX(Data_products!$A$1:$G$49, MATCH(Data_orders!$D548,Data_products!$A$1:$A$49,0), MATCH(Data_orders!I$1,Data_products!$A$1:$G$1,0))</f>
        <v>Exc</v>
      </c>
      <c r="J548" t="str">
        <f>INDEX(Data_products!$A$1:$G$49, MATCH(Data_orders!$D548,Data_products!$A$1:$A$49,0), MATCH(Data_orders!J$1,Data_products!$A$1:$G$1,0))</f>
        <v>D</v>
      </c>
      <c r="K548" s="4">
        <f>INDEX(Data_products!$A$1:$G$49, MATCH(Data_orders!$D548,Data_products!$A$1:$A$49,0), MATCH(Data_orders!K$1,Data_products!$A$1:$G$1,0))</f>
        <v>2.5</v>
      </c>
      <c r="L548">
        <f>INDEX(Data_products!$A$1:$G$49, MATCH(Data_orders!$D548,Data_products!$A$1:$A$49,0), MATCH(Data_orders!L$1,Data_products!$A$1:$G$1,0))</f>
        <v>27.945</v>
      </c>
      <c r="M548">
        <f t="shared" si="16"/>
        <v>83.835000000000008</v>
      </c>
      <c r="N548" t="str" cm="1">
        <f t="array" ref="N548">_xlfn.IFS(I548 = "Rob", "Robusta", I548 = "Exc", "Excelsa", I548 = "Ara", "Arabica", I548 = "Lib", "Liberica")</f>
        <v>Excelsa</v>
      </c>
      <c r="O548" t="str">
        <f t="shared" si="17"/>
        <v>Dark</v>
      </c>
      <c r="P548" t="str">
        <f>_xlfn.XLOOKUP(Table1[[#This Row],[Customer ID]],Data_customers!$A$2:$A$1001,Data_customers!$I$2:$I$1001,,0)</f>
        <v>No</v>
      </c>
    </row>
    <row r="549" spans="1:16" x14ac:dyDescent="0.2">
      <c r="A549" s="2" t="s">
        <v>3582</v>
      </c>
      <c r="B549" s="3">
        <v>44265</v>
      </c>
      <c r="C549" s="2" t="s">
        <v>3594</v>
      </c>
      <c r="D549" t="s">
        <v>6178</v>
      </c>
      <c r="E549" s="2">
        <v>3</v>
      </c>
      <c r="F549" s="2" t="str">
        <f>_xlfn.XLOOKUP(Data_orders!C549,Data_customers!$A$1:$A$1001,Data_customers!$B$1:$B$1001,,0)</f>
        <v>Wilek Lightollers</v>
      </c>
      <c r="G549" s="2" t="str">
        <f>IF(_xlfn.XLOOKUP(C549,Data_customers!$A$1:$A$1001,Data_customers!$C$1:$C$1001,,0)=0,"",_xlfn.XLOOKUP(C549,Data_customers!$A$1:$A$1001,Data_customers!$C$1:$C$1001,,0))</f>
        <v>wlightollersf9@baidu.com</v>
      </c>
      <c r="H549" s="2" t="str">
        <f>_xlfn.XLOOKUP(C549,Data_customers!$A$1:$A$1001,Data_customers!$G$1:$G$1001,"",0)</f>
        <v>United States</v>
      </c>
      <c r="I549" t="str">
        <f>INDEX(Data_products!$A$1:$G$49, MATCH(Data_orders!$D549,Data_products!$A$1:$A$49,0), MATCH(Data_orders!I$1,Data_products!$A$1:$G$1,0))</f>
        <v>Rob</v>
      </c>
      <c r="J549" t="str">
        <f>INDEX(Data_products!$A$1:$G$49, MATCH(Data_orders!$D549,Data_products!$A$1:$A$49,0), MATCH(Data_orders!J$1,Data_products!$A$1:$G$1,0))</f>
        <v>L</v>
      </c>
      <c r="K549" s="4">
        <f>INDEX(Data_products!$A$1:$G$49, MATCH(Data_orders!$D549,Data_products!$A$1:$A$49,0), MATCH(Data_orders!K$1,Data_products!$A$1:$G$1,0))</f>
        <v>0.2</v>
      </c>
      <c r="L549">
        <f>INDEX(Data_products!$A$1:$G$49, MATCH(Data_orders!$D549,Data_products!$A$1:$A$49,0), MATCH(Data_orders!L$1,Data_products!$A$1:$G$1,0))</f>
        <v>3.5849999999999995</v>
      </c>
      <c r="M549">
        <f t="shared" si="16"/>
        <v>10.754999999999999</v>
      </c>
      <c r="N549" t="str" cm="1">
        <f t="array" ref="N549">_xlfn.IFS(I549 = "Rob", "Robusta", I549 = "Exc", "Excelsa", I549 = "Ara", "Arabica", I549 = "Lib", "Liberica")</f>
        <v>Robusta</v>
      </c>
      <c r="O549" t="str">
        <f t="shared" si="17"/>
        <v>Light</v>
      </c>
      <c r="P549" t="str">
        <f>_xlfn.XLOOKUP(Table1[[#This Row],[Customer ID]],Data_customers!$A$2:$A$1001,Data_customers!$I$2:$I$1001,,0)</f>
        <v>Yes</v>
      </c>
    </row>
    <row r="550" spans="1:16" x14ac:dyDescent="0.2">
      <c r="A550" s="2" t="s">
        <v>3587</v>
      </c>
      <c r="B550" s="3">
        <v>44384</v>
      </c>
      <c r="C550" s="2" t="s">
        <v>3588</v>
      </c>
      <c r="D550" t="s">
        <v>6184</v>
      </c>
      <c r="E550" s="2">
        <v>3</v>
      </c>
      <c r="F550" s="2" t="str">
        <f>_xlfn.XLOOKUP(Data_orders!C550,Data_customers!$A$1:$A$1001,Data_customers!$B$1:$B$1001,,0)</f>
        <v>Bette-ann Munden</v>
      </c>
      <c r="G550" s="2" t="str">
        <f>IF(_xlfn.XLOOKUP(C550,Data_customers!$A$1:$A$1001,Data_customers!$C$1:$C$1001,,0)=0,"",_xlfn.XLOOKUP(C550,Data_customers!$A$1:$A$1001,Data_customers!$C$1:$C$1001,,0))</f>
        <v>bmundenf8@elpais.com</v>
      </c>
      <c r="H550" s="2" t="str">
        <f>_xlfn.XLOOKUP(C550,Data_customers!$A$1:$A$1001,Data_customers!$G$1:$G$1001,"",0)</f>
        <v>United States</v>
      </c>
      <c r="I550" t="str">
        <f>INDEX(Data_products!$A$1:$G$49, MATCH(Data_orders!$D550,Data_products!$A$1:$A$49,0), MATCH(Data_orders!I$1,Data_products!$A$1:$G$1,0))</f>
        <v>Exc</v>
      </c>
      <c r="J550" t="str">
        <f>INDEX(Data_products!$A$1:$G$49, MATCH(Data_orders!$D550,Data_products!$A$1:$A$49,0), MATCH(Data_orders!J$1,Data_products!$A$1:$G$1,0))</f>
        <v>L</v>
      </c>
      <c r="K550" s="4">
        <f>INDEX(Data_products!$A$1:$G$49, MATCH(Data_orders!$D550,Data_products!$A$1:$A$49,0), MATCH(Data_orders!K$1,Data_products!$A$1:$G$1,0))</f>
        <v>0.2</v>
      </c>
      <c r="L550">
        <f>INDEX(Data_products!$A$1:$G$49, MATCH(Data_orders!$D550,Data_products!$A$1:$A$49,0), MATCH(Data_orders!L$1,Data_products!$A$1:$G$1,0))</f>
        <v>4.4550000000000001</v>
      </c>
      <c r="M550">
        <f t="shared" si="16"/>
        <v>13.365</v>
      </c>
      <c r="N550" t="str" cm="1">
        <f t="array" ref="N550">_xlfn.IFS(I550 = "Rob", "Robusta", I550 = "Exc", "Excelsa", I550 = "Ara", "Arabica", I550 = "Lib", "Liberica")</f>
        <v>Excelsa</v>
      </c>
      <c r="O550" t="str">
        <f t="shared" si="17"/>
        <v>Light</v>
      </c>
      <c r="P550" t="str">
        <f>_xlfn.XLOOKUP(Table1[[#This Row],[Customer ID]],Data_customers!$A$2:$A$1001,Data_customers!$I$2:$I$1001,,0)</f>
        <v>Yes</v>
      </c>
    </row>
    <row r="551" spans="1:16" x14ac:dyDescent="0.2">
      <c r="A551" s="2" t="s">
        <v>3593</v>
      </c>
      <c r="B551" s="3">
        <v>44232</v>
      </c>
      <c r="C551" s="2" t="s">
        <v>3594</v>
      </c>
      <c r="D551" t="s">
        <v>6184</v>
      </c>
      <c r="E551" s="2">
        <v>4</v>
      </c>
      <c r="F551" s="2" t="str">
        <f>_xlfn.XLOOKUP(Data_orders!C551,Data_customers!$A$1:$A$1001,Data_customers!$B$1:$B$1001,,0)</f>
        <v>Wilek Lightollers</v>
      </c>
      <c r="G551" s="2" t="str">
        <f>IF(_xlfn.XLOOKUP(C551,Data_customers!$A$1:$A$1001,Data_customers!$C$1:$C$1001,,0)=0,"",_xlfn.XLOOKUP(C551,Data_customers!$A$1:$A$1001,Data_customers!$C$1:$C$1001,,0))</f>
        <v>wlightollersf9@baidu.com</v>
      </c>
      <c r="H551" s="2" t="str">
        <f>_xlfn.XLOOKUP(C551,Data_customers!$A$1:$A$1001,Data_customers!$G$1:$G$1001,"",0)</f>
        <v>United States</v>
      </c>
      <c r="I551" t="str">
        <f>INDEX(Data_products!$A$1:$G$49, MATCH(Data_orders!$D551,Data_products!$A$1:$A$49,0), MATCH(Data_orders!I$1,Data_products!$A$1:$G$1,0))</f>
        <v>Exc</v>
      </c>
      <c r="J551" t="str">
        <f>INDEX(Data_products!$A$1:$G$49, MATCH(Data_orders!$D551,Data_products!$A$1:$A$49,0), MATCH(Data_orders!J$1,Data_products!$A$1:$G$1,0))</f>
        <v>L</v>
      </c>
      <c r="K551" s="4">
        <f>INDEX(Data_products!$A$1:$G$49, MATCH(Data_orders!$D551,Data_products!$A$1:$A$49,0), MATCH(Data_orders!K$1,Data_products!$A$1:$G$1,0))</f>
        <v>0.2</v>
      </c>
      <c r="L551">
        <f>INDEX(Data_products!$A$1:$G$49, MATCH(Data_orders!$D551,Data_products!$A$1:$A$49,0), MATCH(Data_orders!L$1,Data_products!$A$1:$G$1,0))</f>
        <v>4.4550000000000001</v>
      </c>
      <c r="M551">
        <f t="shared" si="16"/>
        <v>17.82</v>
      </c>
      <c r="N551" t="str" cm="1">
        <f t="array" ref="N551">_xlfn.IFS(I551 = "Rob", "Robusta", I551 = "Exc", "Excelsa", I551 = "Ara", "Arabica", I551 = "Lib", "Liberica")</f>
        <v>Excelsa</v>
      </c>
      <c r="O551" t="str">
        <f t="shared" si="17"/>
        <v>Light</v>
      </c>
      <c r="P551" t="str">
        <f>_xlfn.XLOOKUP(Table1[[#This Row],[Customer ID]],Data_customers!$A$2:$A$1001,Data_customers!$I$2:$I$1001,,0)</f>
        <v>Yes</v>
      </c>
    </row>
    <row r="552" spans="1:16" x14ac:dyDescent="0.2">
      <c r="A552" s="2" t="s">
        <v>3599</v>
      </c>
      <c r="B552" s="3">
        <v>44176</v>
      </c>
      <c r="C552" s="2" t="s">
        <v>3600</v>
      </c>
      <c r="D552" t="s">
        <v>6150</v>
      </c>
      <c r="E552" s="2">
        <v>6</v>
      </c>
      <c r="F552" s="2" t="str">
        <f>_xlfn.XLOOKUP(Data_orders!C552,Data_customers!$A$1:$A$1001,Data_customers!$B$1:$B$1001,,0)</f>
        <v>Nick Brakespear</v>
      </c>
      <c r="G552" s="2" t="str">
        <f>IF(_xlfn.XLOOKUP(C552,Data_customers!$A$1:$A$1001,Data_customers!$C$1:$C$1001,,0)=0,"",_xlfn.XLOOKUP(C552,Data_customers!$A$1:$A$1001,Data_customers!$C$1:$C$1001,,0))</f>
        <v>nbrakespearfa@rediff.com</v>
      </c>
      <c r="H552" s="2" t="str">
        <f>_xlfn.XLOOKUP(C552,Data_customers!$A$1:$A$1001,Data_customers!$G$1:$G$1001,"",0)</f>
        <v>United States</v>
      </c>
      <c r="I552" t="str">
        <f>INDEX(Data_products!$A$1:$G$49, MATCH(Data_orders!$D552,Data_products!$A$1:$A$49,0), MATCH(Data_orders!I$1,Data_products!$A$1:$G$1,0))</f>
        <v>Lib</v>
      </c>
      <c r="J552" t="str">
        <f>INDEX(Data_products!$A$1:$G$49, MATCH(Data_orders!$D552,Data_products!$A$1:$A$49,0), MATCH(Data_orders!J$1,Data_products!$A$1:$G$1,0))</f>
        <v>D</v>
      </c>
      <c r="K552" s="4">
        <f>INDEX(Data_products!$A$1:$G$49, MATCH(Data_orders!$D552,Data_products!$A$1:$A$49,0), MATCH(Data_orders!K$1,Data_products!$A$1:$G$1,0))</f>
        <v>0.2</v>
      </c>
      <c r="L552">
        <f>INDEX(Data_products!$A$1:$G$49, MATCH(Data_orders!$D552,Data_products!$A$1:$A$49,0), MATCH(Data_orders!L$1,Data_products!$A$1:$G$1,0))</f>
        <v>3.8849999999999998</v>
      </c>
      <c r="M552">
        <f t="shared" si="16"/>
        <v>23.31</v>
      </c>
      <c r="N552" t="str" cm="1">
        <f t="array" ref="N552">_xlfn.IFS(I552 = "Rob", "Robusta", I552 = "Exc", "Excelsa", I552 = "Ara", "Arabica", I552 = "Lib", "Liberica")</f>
        <v>Liberica</v>
      </c>
      <c r="O552" t="str">
        <f t="shared" si="17"/>
        <v>Dark</v>
      </c>
      <c r="P552" t="str">
        <f>_xlfn.XLOOKUP(Table1[[#This Row],[Customer ID]],Data_customers!$A$2:$A$1001,Data_customers!$I$2:$I$1001,,0)</f>
        <v>Yes</v>
      </c>
    </row>
    <row r="553" spans="1:16" x14ac:dyDescent="0.2">
      <c r="A553" s="2" t="s">
        <v>3605</v>
      </c>
      <c r="B553" s="3">
        <v>44694</v>
      </c>
      <c r="C553" s="2" t="s">
        <v>3606</v>
      </c>
      <c r="D553" t="s">
        <v>6153</v>
      </c>
      <c r="E553" s="2">
        <v>2</v>
      </c>
      <c r="F553" s="2" t="str">
        <f>_xlfn.XLOOKUP(Data_orders!C553,Data_customers!$A$1:$A$1001,Data_customers!$B$1:$B$1001,,0)</f>
        <v>Malynda Glawsop</v>
      </c>
      <c r="G553" s="2" t="str">
        <f>IF(_xlfn.XLOOKUP(C553,Data_customers!$A$1:$A$1001,Data_customers!$C$1:$C$1001,,0)=0,"",_xlfn.XLOOKUP(C553,Data_customers!$A$1:$A$1001,Data_customers!$C$1:$C$1001,,0))</f>
        <v>mglawsopfb@reverbnation.com</v>
      </c>
      <c r="H553" s="2" t="str">
        <f>_xlfn.XLOOKUP(C553,Data_customers!$A$1:$A$1001,Data_customers!$G$1:$G$1001,"",0)</f>
        <v>United States</v>
      </c>
      <c r="I553" t="str">
        <f>INDEX(Data_products!$A$1:$G$49, MATCH(Data_orders!$D553,Data_products!$A$1:$A$49,0), MATCH(Data_orders!I$1,Data_products!$A$1:$G$1,0))</f>
        <v>Exc</v>
      </c>
      <c r="J553" t="str">
        <f>INDEX(Data_products!$A$1:$G$49, MATCH(Data_orders!$D553,Data_products!$A$1:$A$49,0), MATCH(Data_orders!J$1,Data_products!$A$1:$G$1,0))</f>
        <v>D</v>
      </c>
      <c r="K553" s="4">
        <f>INDEX(Data_products!$A$1:$G$49, MATCH(Data_orders!$D553,Data_products!$A$1:$A$49,0), MATCH(Data_orders!K$1,Data_products!$A$1:$G$1,0))</f>
        <v>0.2</v>
      </c>
      <c r="L553">
        <f>INDEX(Data_products!$A$1:$G$49, MATCH(Data_orders!$D553,Data_products!$A$1:$A$49,0), MATCH(Data_orders!L$1,Data_products!$A$1:$G$1,0))</f>
        <v>3.645</v>
      </c>
      <c r="M553">
        <f t="shared" si="16"/>
        <v>7.29</v>
      </c>
      <c r="N553" t="str" cm="1">
        <f t="array" ref="N553">_xlfn.IFS(I553 = "Rob", "Robusta", I553 = "Exc", "Excelsa", I553 = "Ara", "Arabica", I553 = "Lib", "Liberica")</f>
        <v>Excelsa</v>
      </c>
      <c r="O553" t="str">
        <f t="shared" si="17"/>
        <v>Dark</v>
      </c>
      <c r="P553" t="str">
        <f>_xlfn.XLOOKUP(Table1[[#This Row],[Customer ID]],Data_customers!$A$2:$A$1001,Data_customers!$I$2:$I$1001,,0)</f>
        <v>No</v>
      </c>
    </row>
    <row r="554" spans="1:16" x14ac:dyDescent="0.2">
      <c r="A554" s="2" t="s">
        <v>3611</v>
      </c>
      <c r="B554" s="3">
        <v>43761</v>
      </c>
      <c r="C554" s="2" t="s">
        <v>3612</v>
      </c>
      <c r="D554" t="s">
        <v>6184</v>
      </c>
      <c r="E554" s="2">
        <v>4</v>
      </c>
      <c r="F554" s="2" t="str">
        <f>_xlfn.XLOOKUP(Data_orders!C554,Data_customers!$A$1:$A$1001,Data_customers!$B$1:$B$1001,,0)</f>
        <v>Granville Alberts</v>
      </c>
      <c r="G554" s="2" t="str">
        <f>IF(_xlfn.XLOOKUP(C554,Data_customers!$A$1:$A$1001,Data_customers!$C$1:$C$1001,,0)=0,"",_xlfn.XLOOKUP(C554,Data_customers!$A$1:$A$1001,Data_customers!$C$1:$C$1001,,0))</f>
        <v>galbertsfc@etsy.com</v>
      </c>
      <c r="H554" s="2" t="str">
        <f>_xlfn.XLOOKUP(C554,Data_customers!$A$1:$A$1001,Data_customers!$G$1:$G$1001,"",0)</f>
        <v>United Kingdom</v>
      </c>
      <c r="I554" t="str">
        <f>INDEX(Data_products!$A$1:$G$49, MATCH(Data_orders!$D554,Data_products!$A$1:$A$49,0), MATCH(Data_orders!I$1,Data_products!$A$1:$G$1,0))</f>
        <v>Exc</v>
      </c>
      <c r="J554" t="str">
        <f>INDEX(Data_products!$A$1:$G$49, MATCH(Data_orders!$D554,Data_products!$A$1:$A$49,0), MATCH(Data_orders!J$1,Data_products!$A$1:$G$1,0))</f>
        <v>L</v>
      </c>
      <c r="K554" s="4">
        <f>INDEX(Data_products!$A$1:$G$49, MATCH(Data_orders!$D554,Data_products!$A$1:$A$49,0), MATCH(Data_orders!K$1,Data_products!$A$1:$G$1,0))</f>
        <v>0.2</v>
      </c>
      <c r="L554">
        <f>INDEX(Data_products!$A$1:$G$49, MATCH(Data_orders!$D554,Data_products!$A$1:$A$49,0), MATCH(Data_orders!L$1,Data_products!$A$1:$G$1,0))</f>
        <v>4.4550000000000001</v>
      </c>
      <c r="M554">
        <f t="shared" si="16"/>
        <v>17.82</v>
      </c>
      <c r="N554" t="str" cm="1">
        <f t="array" ref="N554">_xlfn.IFS(I554 = "Rob", "Robusta", I554 = "Exc", "Excelsa", I554 = "Ara", "Arabica", I554 = "Lib", "Liberica")</f>
        <v>Excelsa</v>
      </c>
      <c r="O554" t="str">
        <f t="shared" si="17"/>
        <v>Light</v>
      </c>
      <c r="P554" t="str">
        <f>_xlfn.XLOOKUP(Table1[[#This Row],[Customer ID]],Data_customers!$A$2:$A$1001,Data_customers!$I$2:$I$1001,,0)</f>
        <v>Yes</v>
      </c>
    </row>
    <row r="555" spans="1:16" x14ac:dyDescent="0.2">
      <c r="A555" s="2" t="s">
        <v>3617</v>
      </c>
      <c r="B555" s="3">
        <v>44085</v>
      </c>
      <c r="C555" s="2" t="s">
        <v>3618</v>
      </c>
      <c r="D555" t="s">
        <v>6141</v>
      </c>
      <c r="E555" s="2">
        <v>5</v>
      </c>
      <c r="F555" s="2" t="str">
        <f>_xlfn.XLOOKUP(Data_orders!C555,Data_customers!$A$1:$A$1001,Data_customers!$B$1:$B$1001,,0)</f>
        <v>Vasily Polglase</v>
      </c>
      <c r="G555" s="2" t="str">
        <f>IF(_xlfn.XLOOKUP(C555,Data_customers!$A$1:$A$1001,Data_customers!$C$1:$C$1001,,0)=0,"",_xlfn.XLOOKUP(C555,Data_customers!$A$1:$A$1001,Data_customers!$C$1:$C$1001,,0))</f>
        <v>vpolglasefd@about.me</v>
      </c>
      <c r="H555" s="2" t="str">
        <f>_xlfn.XLOOKUP(C555,Data_customers!$A$1:$A$1001,Data_customers!$G$1:$G$1001,"",0)</f>
        <v>United States</v>
      </c>
      <c r="I555" t="str">
        <f>INDEX(Data_products!$A$1:$G$49, MATCH(Data_orders!$D555,Data_products!$A$1:$A$49,0), MATCH(Data_orders!I$1,Data_products!$A$1:$G$1,0))</f>
        <v>Exc</v>
      </c>
      <c r="J555" t="str">
        <f>INDEX(Data_products!$A$1:$G$49, MATCH(Data_orders!$D555,Data_products!$A$1:$A$49,0), MATCH(Data_orders!J$1,Data_products!$A$1:$G$1,0))</f>
        <v>M</v>
      </c>
      <c r="K555" s="4">
        <f>INDEX(Data_products!$A$1:$G$49, MATCH(Data_orders!$D555,Data_products!$A$1:$A$49,0), MATCH(Data_orders!K$1,Data_products!$A$1:$G$1,0))</f>
        <v>1</v>
      </c>
      <c r="L555">
        <f>INDEX(Data_products!$A$1:$G$49, MATCH(Data_orders!$D555,Data_products!$A$1:$A$49,0), MATCH(Data_orders!L$1,Data_products!$A$1:$G$1,0))</f>
        <v>13.75</v>
      </c>
      <c r="M555">
        <f t="shared" si="16"/>
        <v>68.75</v>
      </c>
      <c r="N555" t="str" cm="1">
        <f t="array" ref="N555">_xlfn.IFS(I555 = "Rob", "Robusta", I555 = "Exc", "Excelsa", I555 = "Ara", "Arabica", I555 = "Lib", "Liberica")</f>
        <v>Excelsa</v>
      </c>
      <c r="O555" t="str">
        <f t="shared" si="17"/>
        <v>Medium</v>
      </c>
      <c r="P555" t="str">
        <f>_xlfn.XLOOKUP(Table1[[#This Row],[Customer ID]],Data_customers!$A$2:$A$1001,Data_customers!$I$2:$I$1001,,0)</f>
        <v>No</v>
      </c>
    </row>
    <row r="556" spans="1:16" x14ac:dyDescent="0.2">
      <c r="A556" s="2" t="s">
        <v>3622</v>
      </c>
      <c r="B556" s="3">
        <v>43737</v>
      </c>
      <c r="C556" s="2" t="s">
        <v>3623</v>
      </c>
      <c r="D556" t="s">
        <v>6142</v>
      </c>
      <c r="E556" s="2">
        <v>2</v>
      </c>
      <c r="F556" s="2" t="str">
        <f>_xlfn.XLOOKUP(Data_orders!C556,Data_customers!$A$1:$A$1001,Data_customers!$B$1:$B$1001,,0)</f>
        <v>Madelaine Sharples</v>
      </c>
      <c r="G556" s="2" t="str">
        <f>IF(_xlfn.XLOOKUP(C556,Data_customers!$A$1:$A$1001,Data_customers!$C$1:$C$1001,,0)=0,"",_xlfn.XLOOKUP(C556,Data_customers!$A$1:$A$1001,Data_customers!$C$1:$C$1001,,0))</f>
        <v/>
      </c>
      <c r="H556" s="2" t="str">
        <f>_xlfn.XLOOKUP(C556,Data_customers!$A$1:$A$1001,Data_customers!$G$1:$G$1001,"",0)</f>
        <v>United Kingdom</v>
      </c>
      <c r="I556" t="str">
        <f>INDEX(Data_products!$A$1:$G$49, MATCH(Data_orders!$D556,Data_products!$A$1:$A$49,0), MATCH(Data_orders!I$1,Data_products!$A$1:$G$1,0))</f>
        <v>Rob</v>
      </c>
      <c r="J556" t="str">
        <f>INDEX(Data_products!$A$1:$G$49, MATCH(Data_orders!$D556,Data_products!$A$1:$A$49,0), MATCH(Data_orders!J$1,Data_products!$A$1:$G$1,0))</f>
        <v>L</v>
      </c>
      <c r="K556" s="4">
        <f>INDEX(Data_products!$A$1:$G$49, MATCH(Data_orders!$D556,Data_products!$A$1:$A$49,0), MATCH(Data_orders!K$1,Data_products!$A$1:$G$1,0))</f>
        <v>2.5</v>
      </c>
      <c r="L556">
        <f>INDEX(Data_products!$A$1:$G$49, MATCH(Data_orders!$D556,Data_products!$A$1:$A$49,0), MATCH(Data_orders!L$1,Data_products!$A$1:$G$1,0))</f>
        <v>27.484999999999996</v>
      </c>
      <c r="M556">
        <f t="shared" si="16"/>
        <v>54.969999999999992</v>
      </c>
      <c r="N556" t="str" cm="1">
        <f t="array" ref="N556">_xlfn.IFS(I556 = "Rob", "Robusta", I556 = "Exc", "Excelsa", I556 = "Ara", "Arabica", I556 = "Lib", "Liberica")</f>
        <v>Robusta</v>
      </c>
      <c r="O556" t="str">
        <f t="shared" si="17"/>
        <v>Light</v>
      </c>
      <c r="P556" t="str">
        <f>_xlfn.XLOOKUP(Table1[[#This Row],[Customer ID]],Data_customers!$A$2:$A$1001,Data_customers!$I$2:$I$1001,,0)</f>
        <v>Yes</v>
      </c>
    </row>
    <row r="557" spans="1:16" x14ac:dyDescent="0.2">
      <c r="A557" s="2" t="s">
        <v>3627</v>
      </c>
      <c r="B557" s="3">
        <v>44258</v>
      </c>
      <c r="C557" s="2" t="s">
        <v>3628</v>
      </c>
      <c r="D557" t="s">
        <v>6141</v>
      </c>
      <c r="E557" s="2">
        <v>6</v>
      </c>
      <c r="F557" s="2" t="str">
        <f>_xlfn.XLOOKUP(Data_orders!C557,Data_customers!$A$1:$A$1001,Data_customers!$B$1:$B$1001,,0)</f>
        <v>Sigfrid Busch</v>
      </c>
      <c r="G557" s="2" t="str">
        <f>IF(_xlfn.XLOOKUP(C557,Data_customers!$A$1:$A$1001,Data_customers!$C$1:$C$1001,,0)=0,"",_xlfn.XLOOKUP(C557,Data_customers!$A$1:$A$1001,Data_customers!$C$1:$C$1001,,0))</f>
        <v>sbuschff@so-net.ne.jp</v>
      </c>
      <c r="H557" s="2" t="str">
        <f>_xlfn.XLOOKUP(C557,Data_customers!$A$1:$A$1001,Data_customers!$G$1:$G$1001,"",0)</f>
        <v>Ireland</v>
      </c>
      <c r="I557" t="str">
        <f>INDEX(Data_products!$A$1:$G$49, MATCH(Data_orders!$D557,Data_products!$A$1:$A$49,0), MATCH(Data_orders!I$1,Data_products!$A$1:$G$1,0))</f>
        <v>Exc</v>
      </c>
      <c r="J557" t="str">
        <f>INDEX(Data_products!$A$1:$G$49, MATCH(Data_orders!$D557,Data_products!$A$1:$A$49,0), MATCH(Data_orders!J$1,Data_products!$A$1:$G$1,0))</f>
        <v>M</v>
      </c>
      <c r="K557" s="4">
        <f>INDEX(Data_products!$A$1:$G$49, MATCH(Data_orders!$D557,Data_products!$A$1:$A$49,0), MATCH(Data_orders!K$1,Data_products!$A$1:$G$1,0))</f>
        <v>1</v>
      </c>
      <c r="L557">
        <f>INDEX(Data_products!$A$1:$G$49, MATCH(Data_orders!$D557,Data_products!$A$1:$A$49,0), MATCH(Data_orders!L$1,Data_products!$A$1:$G$1,0))</f>
        <v>13.75</v>
      </c>
      <c r="M557">
        <f t="shared" si="16"/>
        <v>82.5</v>
      </c>
      <c r="N557" t="str" cm="1">
        <f t="array" ref="N557">_xlfn.IFS(I557 = "Rob", "Robusta", I557 = "Exc", "Excelsa", I557 = "Ara", "Arabica", I557 = "Lib", "Liberica")</f>
        <v>Excelsa</v>
      </c>
      <c r="O557" t="str">
        <f t="shared" si="17"/>
        <v>Medium</v>
      </c>
      <c r="P557" t="str">
        <f>_xlfn.XLOOKUP(Table1[[#This Row],[Customer ID]],Data_customers!$A$2:$A$1001,Data_customers!$I$2:$I$1001,,0)</f>
        <v>No</v>
      </c>
    </row>
    <row r="558" spans="1:16" x14ac:dyDescent="0.2">
      <c r="A558" s="2" t="s">
        <v>3633</v>
      </c>
      <c r="B558" s="3">
        <v>44523</v>
      </c>
      <c r="C558" s="2" t="s">
        <v>3634</v>
      </c>
      <c r="D558" t="s">
        <v>6159</v>
      </c>
      <c r="E558" s="2">
        <v>2</v>
      </c>
      <c r="F558" s="2" t="str">
        <f>_xlfn.XLOOKUP(Data_orders!C558,Data_customers!$A$1:$A$1001,Data_customers!$B$1:$B$1001,,0)</f>
        <v>Cissiee Raisbeck</v>
      </c>
      <c r="G558" s="2" t="str">
        <f>IF(_xlfn.XLOOKUP(C558,Data_customers!$A$1:$A$1001,Data_customers!$C$1:$C$1001,,0)=0,"",_xlfn.XLOOKUP(C558,Data_customers!$A$1:$A$1001,Data_customers!$C$1:$C$1001,,0))</f>
        <v>craisbeckfg@webnode.com</v>
      </c>
      <c r="H558" s="2" t="str">
        <f>_xlfn.XLOOKUP(C558,Data_customers!$A$1:$A$1001,Data_customers!$G$1:$G$1001,"",0)</f>
        <v>United States</v>
      </c>
      <c r="I558" t="str">
        <f>INDEX(Data_products!$A$1:$G$49, MATCH(Data_orders!$D558,Data_products!$A$1:$A$49,0), MATCH(Data_orders!I$1,Data_products!$A$1:$G$1,0))</f>
        <v>Lib</v>
      </c>
      <c r="J558" t="str">
        <f>INDEX(Data_products!$A$1:$G$49, MATCH(Data_orders!$D558,Data_products!$A$1:$A$49,0), MATCH(Data_orders!J$1,Data_products!$A$1:$G$1,0))</f>
        <v>M</v>
      </c>
      <c r="K558" s="4">
        <f>INDEX(Data_products!$A$1:$G$49, MATCH(Data_orders!$D558,Data_products!$A$1:$A$49,0), MATCH(Data_orders!K$1,Data_products!$A$1:$G$1,0))</f>
        <v>0.2</v>
      </c>
      <c r="L558">
        <f>INDEX(Data_products!$A$1:$G$49, MATCH(Data_orders!$D558,Data_products!$A$1:$A$49,0), MATCH(Data_orders!L$1,Data_products!$A$1:$G$1,0))</f>
        <v>4.3650000000000002</v>
      </c>
      <c r="M558">
        <f t="shared" si="16"/>
        <v>8.73</v>
      </c>
      <c r="N558" t="str" cm="1">
        <f t="array" ref="N558">_xlfn.IFS(I558 = "Rob", "Robusta", I558 = "Exc", "Excelsa", I558 = "Ara", "Arabica", I558 = "Lib", "Liberica")</f>
        <v>Liberica</v>
      </c>
      <c r="O558" t="str">
        <f t="shared" si="17"/>
        <v>Medium</v>
      </c>
      <c r="P558" t="str">
        <f>_xlfn.XLOOKUP(Table1[[#This Row],[Customer ID]],Data_customers!$A$2:$A$1001,Data_customers!$I$2:$I$1001,,0)</f>
        <v>Yes</v>
      </c>
    </row>
    <row r="559" spans="1:16" x14ac:dyDescent="0.2">
      <c r="A559" s="2" t="s">
        <v>3638</v>
      </c>
      <c r="B559" s="3">
        <v>44506</v>
      </c>
      <c r="C559" s="2" t="s">
        <v>3368</v>
      </c>
      <c r="D559" t="s">
        <v>6171</v>
      </c>
      <c r="E559" s="2">
        <v>4</v>
      </c>
      <c r="F559" s="2" t="str">
        <f>_xlfn.XLOOKUP(Data_orders!C559,Data_customers!$A$1:$A$1001,Data_customers!$B$1:$B$1001,,0)</f>
        <v>Marja Urion</v>
      </c>
      <c r="G559" s="2" t="str">
        <f>IF(_xlfn.XLOOKUP(C559,Data_customers!$A$1:$A$1001,Data_customers!$C$1:$C$1001,,0)=0,"",_xlfn.XLOOKUP(C559,Data_customers!$A$1:$A$1001,Data_customers!$C$1:$C$1001,,0))</f>
        <v>murione5@alexa.com</v>
      </c>
      <c r="H559" s="2" t="str">
        <f>_xlfn.XLOOKUP(C559,Data_customers!$A$1:$A$1001,Data_customers!$G$1:$G$1001,"",0)</f>
        <v>Ireland</v>
      </c>
      <c r="I559" t="str">
        <f>INDEX(Data_products!$A$1:$G$49, MATCH(Data_orders!$D559,Data_products!$A$1:$A$49,0), MATCH(Data_orders!I$1,Data_products!$A$1:$G$1,0))</f>
        <v>Exc</v>
      </c>
      <c r="J559" t="str">
        <f>INDEX(Data_products!$A$1:$G$49, MATCH(Data_orders!$D559,Data_products!$A$1:$A$49,0), MATCH(Data_orders!J$1,Data_products!$A$1:$G$1,0))</f>
        <v>L</v>
      </c>
      <c r="K559" s="4">
        <f>INDEX(Data_products!$A$1:$G$49, MATCH(Data_orders!$D559,Data_products!$A$1:$A$49,0), MATCH(Data_orders!K$1,Data_products!$A$1:$G$1,0))</f>
        <v>1</v>
      </c>
      <c r="L559">
        <f>INDEX(Data_products!$A$1:$G$49, MATCH(Data_orders!$D559,Data_products!$A$1:$A$49,0), MATCH(Data_orders!L$1,Data_products!$A$1:$G$1,0))</f>
        <v>14.85</v>
      </c>
      <c r="M559">
        <f t="shared" si="16"/>
        <v>59.4</v>
      </c>
      <c r="N559" t="str" cm="1">
        <f t="array" ref="N559">_xlfn.IFS(I559 = "Rob", "Robusta", I559 = "Exc", "Excelsa", I559 = "Ara", "Arabica", I559 = "Lib", "Liberica")</f>
        <v>Excelsa</v>
      </c>
      <c r="O559" t="str">
        <f t="shared" si="17"/>
        <v>Light</v>
      </c>
      <c r="P559" t="str">
        <f>_xlfn.XLOOKUP(Table1[[#This Row],[Customer ID]],Data_customers!$A$2:$A$1001,Data_customers!$I$2:$I$1001,,0)</f>
        <v>Yes</v>
      </c>
    </row>
    <row r="560" spans="1:16" x14ac:dyDescent="0.2">
      <c r="A560" s="2" t="s">
        <v>3643</v>
      </c>
      <c r="B560" s="3">
        <v>44225</v>
      </c>
      <c r="C560" s="2" t="s">
        <v>3644</v>
      </c>
      <c r="D560" t="s">
        <v>6150</v>
      </c>
      <c r="E560" s="2">
        <v>4</v>
      </c>
      <c r="F560" s="2" t="str">
        <f>_xlfn.XLOOKUP(Data_orders!C560,Data_customers!$A$1:$A$1001,Data_customers!$B$1:$B$1001,,0)</f>
        <v>Kenton Wetherick</v>
      </c>
      <c r="G560" s="2" t="str">
        <f>IF(_xlfn.XLOOKUP(C560,Data_customers!$A$1:$A$1001,Data_customers!$C$1:$C$1001,,0)=0,"",_xlfn.XLOOKUP(C560,Data_customers!$A$1:$A$1001,Data_customers!$C$1:$C$1001,,0))</f>
        <v/>
      </c>
      <c r="H560" s="2" t="str">
        <f>_xlfn.XLOOKUP(C560,Data_customers!$A$1:$A$1001,Data_customers!$G$1:$G$1001,"",0)</f>
        <v>United States</v>
      </c>
      <c r="I560" t="str">
        <f>INDEX(Data_products!$A$1:$G$49, MATCH(Data_orders!$D560,Data_products!$A$1:$A$49,0), MATCH(Data_orders!I$1,Data_products!$A$1:$G$1,0))</f>
        <v>Lib</v>
      </c>
      <c r="J560" t="str">
        <f>INDEX(Data_products!$A$1:$G$49, MATCH(Data_orders!$D560,Data_products!$A$1:$A$49,0), MATCH(Data_orders!J$1,Data_products!$A$1:$G$1,0))</f>
        <v>D</v>
      </c>
      <c r="K560" s="4">
        <f>INDEX(Data_products!$A$1:$G$49, MATCH(Data_orders!$D560,Data_products!$A$1:$A$49,0), MATCH(Data_orders!K$1,Data_products!$A$1:$G$1,0))</f>
        <v>0.2</v>
      </c>
      <c r="L560">
        <f>INDEX(Data_products!$A$1:$G$49, MATCH(Data_orders!$D560,Data_products!$A$1:$A$49,0), MATCH(Data_orders!L$1,Data_products!$A$1:$G$1,0))</f>
        <v>3.8849999999999998</v>
      </c>
      <c r="M560">
        <f t="shared" si="16"/>
        <v>15.54</v>
      </c>
      <c r="N560" t="str" cm="1">
        <f t="array" ref="N560">_xlfn.IFS(I560 = "Rob", "Robusta", I560 = "Exc", "Excelsa", I560 = "Ara", "Arabica", I560 = "Lib", "Liberica")</f>
        <v>Liberica</v>
      </c>
      <c r="O560" t="str">
        <f t="shared" si="17"/>
        <v>Dark</v>
      </c>
      <c r="P560" t="str">
        <f>_xlfn.XLOOKUP(Table1[[#This Row],[Customer ID]],Data_customers!$A$2:$A$1001,Data_customers!$I$2:$I$1001,,0)</f>
        <v>Yes</v>
      </c>
    </row>
    <row r="561" spans="1:16" x14ac:dyDescent="0.2">
      <c r="A561" s="2" t="s">
        <v>3648</v>
      </c>
      <c r="B561" s="3">
        <v>44667</v>
      </c>
      <c r="C561" s="2" t="s">
        <v>3649</v>
      </c>
      <c r="D561" t="s">
        <v>6140</v>
      </c>
      <c r="E561" s="2">
        <v>3</v>
      </c>
      <c r="F561" s="2" t="str">
        <f>_xlfn.XLOOKUP(Data_orders!C561,Data_customers!$A$1:$A$1001,Data_customers!$B$1:$B$1001,,0)</f>
        <v>Reamonn Aynold</v>
      </c>
      <c r="G561" s="2" t="str">
        <f>IF(_xlfn.XLOOKUP(C561,Data_customers!$A$1:$A$1001,Data_customers!$C$1:$C$1001,,0)=0,"",_xlfn.XLOOKUP(C561,Data_customers!$A$1:$A$1001,Data_customers!$C$1:$C$1001,,0))</f>
        <v>raynoldfj@ustream.tv</v>
      </c>
      <c r="H561" s="2" t="str">
        <f>_xlfn.XLOOKUP(C561,Data_customers!$A$1:$A$1001,Data_customers!$G$1:$G$1001,"",0)</f>
        <v>United States</v>
      </c>
      <c r="I561" t="str">
        <f>INDEX(Data_products!$A$1:$G$49, MATCH(Data_orders!$D561,Data_products!$A$1:$A$49,0), MATCH(Data_orders!I$1,Data_products!$A$1:$G$1,0))</f>
        <v>Ara</v>
      </c>
      <c r="J561" t="str">
        <f>INDEX(Data_products!$A$1:$G$49, MATCH(Data_orders!$D561,Data_products!$A$1:$A$49,0), MATCH(Data_orders!J$1,Data_products!$A$1:$G$1,0))</f>
        <v>L</v>
      </c>
      <c r="K561" s="4">
        <f>INDEX(Data_products!$A$1:$G$49, MATCH(Data_orders!$D561,Data_products!$A$1:$A$49,0), MATCH(Data_orders!K$1,Data_products!$A$1:$G$1,0))</f>
        <v>1</v>
      </c>
      <c r="L561">
        <f>INDEX(Data_products!$A$1:$G$49, MATCH(Data_orders!$D561,Data_products!$A$1:$A$49,0), MATCH(Data_orders!L$1,Data_products!$A$1:$G$1,0))</f>
        <v>12.95</v>
      </c>
      <c r="M561">
        <f t="shared" si="16"/>
        <v>38.849999999999994</v>
      </c>
      <c r="N561" t="str" cm="1">
        <f t="array" ref="N561">_xlfn.IFS(I561 = "Rob", "Robusta", I561 = "Exc", "Excelsa", I561 = "Ara", "Arabica", I561 = "Lib", "Liberica")</f>
        <v>Arabica</v>
      </c>
      <c r="O561" t="str">
        <f t="shared" si="17"/>
        <v>Light</v>
      </c>
      <c r="P561" t="str">
        <f>_xlfn.XLOOKUP(Table1[[#This Row],[Customer ID]],Data_customers!$A$2:$A$1001,Data_customers!$I$2:$I$1001,,0)</f>
        <v>Yes</v>
      </c>
    </row>
    <row r="562" spans="1:16" x14ac:dyDescent="0.2">
      <c r="A562" s="2" t="s">
        <v>3654</v>
      </c>
      <c r="B562" s="3">
        <v>44401</v>
      </c>
      <c r="C562" s="2" t="s">
        <v>3655</v>
      </c>
      <c r="D562" t="s">
        <v>6166</v>
      </c>
      <c r="E562" s="2">
        <v>6</v>
      </c>
      <c r="F562" s="2" t="str">
        <f>_xlfn.XLOOKUP(Data_orders!C562,Data_customers!$A$1:$A$1001,Data_customers!$B$1:$B$1001,,0)</f>
        <v>Hatty Dovydenas</v>
      </c>
      <c r="G562" s="2" t="str">
        <f>IF(_xlfn.XLOOKUP(C562,Data_customers!$A$1:$A$1001,Data_customers!$C$1:$C$1001,,0)=0,"",_xlfn.XLOOKUP(C562,Data_customers!$A$1:$A$1001,Data_customers!$C$1:$C$1001,,0))</f>
        <v/>
      </c>
      <c r="H562" s="2" t="str">
        <f>_xlfn.XLOOKUP(C562,Data_customers!$A$1:$A$1001,Data_customers!$G$1:$G$1001,"",0)</f>
        <v>United States</v>
      </c>
      <c r="I562" t="str">
        <f>INDEX(Data_products!$A$1:$G$49, MATCH(Data_orders!$D562,Data_products!$A$1:$A$49,0), MATCH(Data_orders!I$1,Data_products!$A$1:$G$1,0))</f>
        <v>Exc</v>
      </c>
      <c r="J562" t="str">
        <f>INDEX(Data_products!$A$1:$G$49, MATCH(Data_orders!$D562,Data_products!$A$1:$A$49,0), MATCH(Data_orders!J$1,Data_products!$A$1:$G$1,0))</f>
        <v>M</v>
      </c>
      <c r="K562" s="4">
        <f>INDEX(Data_products!$A$1:$G$49, MATCH(Data_orders!$D562,Data_products!$A$1:$A$49,0), MATCH(Data_orders!K$1,Data_products!$A$1:$G$1,0))</f>
        <v>2.5</v>
      </c>
      <c r="L562">
        <f>INDEX(Data_products!$A$1:$G$49, MATCH(Data_orders!$D562,Data_products!$A$1:$A$49,0), MATCH(Data_orders!L$1,Data_products!$A$1:$G$1,0))</f>
        <v>31.624999999999996</v>
      </c>
      <c r="M562">
        <f t="shared" si="16"/>
        <v>189.74999999999997</v>
      </c>
      <c r="N562" t="str" cm="1">
        <f t="array" ref="N562">_xlfn.IFS(I562 = "Rob", "Robusta", I562 = "Exc", "Excelsa", I562 = "Ara", "Arabica", I562 = "Lib", "Liberica")</f>
        <v>Excelsa</v>
      </c>
      <c r="O562" t="str">
        <f t="shared" si="17"/>
        <v>Medium</v>
      </c>
      <c r="P562" t="str">
        <f>_xlfn.XLOOKUP(Table1[[#This Row],[Customer ID]],Data_customers!$A$2:$A$1001,Data_customers!$I$2:$I$1001,,0)</f>
        <v>Yes</v>
      </c>
    </row>
    <row r="563" spans="1:16" x14ac:dyDescent="0.2">
      <c r="A563" s="2" t="s">
        <v>3659</v>
      </c>
      <c r="B563" s="3">
        <v>43688</v>
      </c>
      <c r="C563" s="2" t="s">
        <v>3660</v>
      </c>
      <c r="D563" t="s">
        <v>6154</v>
      </c>
      <c r="E563" s="2">
        <v>6</v>
      </c>
      <c r="F563" s="2" t="str">
        <f>_xlfn.XLOOKUP(Data_orders!C563,Data_customers!$A$1:$A$1001,Data_customers!$B$1:$B$1001,,0)</f>
        <v>Nathaniel Bloxland</v>
      </c>
      <c r="G563" s="2" t="str">
        <f>IF(_xlfn.XLOOKUP(C563,Data_customers!$A$1:$A$1001,Data_customers!$C$1:$C$1001,,0)=0,"",_xlfn.XLOOKUP(C563,Data_customers!$A$1:$A$1001,Data_customers!$C$1:$C$1001,,0))</f>
        <v/>
      </c>
      <c r="H563" s="2" t="str">
        <f>_xlfn.XLOOKUP(C563,Data_customers!$A$1:$A$1001,Data_customers!$G$1:$G$1001,"",0)</f>
        <v>Ireland</v>
      </c>
      <c r="I563" t="str">
        <f>INDEX(Data_products!$A$1:$G$49, MATCH(Data_orders!$D563,Data_products!$A$1:$A$49,0), MATCH(Data_orders!I$1,Data_products!$A$1:$G$1,0))</f>
        <v>Ara</v>
      </c>
      <c r="J563" t="str">
        <f>INDEX(Data_products!$A$1:$G$49, MATCH(Data_orders!$D563,Data_products!$A$1:$A$49,0), MATCH(Data_orders!J$1,Data_products!$A$1:$G$1,0))</f>
        <v>D</v>
      </c>
      <c r="K563" s="4">
        <f>INDEX(Data_products!$A$1:$G$49, MATCH(Data_orders!$D563,Data_products!$A$1:$A$49,0), MATCH(Data_orders!K$1,Data_products!$A$1:$G$1,0))</f>
        <v>0.2</v>
      </c>
      <c r="L563">
        <f>INDEX(Data_products!$A$1:$G$49, MATCH(Data_orders!$D563,Data_products!$A$1:$A$49,0), MATCH(Data_orders!L$1,Data_products!$A$1:$G$1,0))</f>
        <v>2.9849999999999999</v>
      </c>
      <c r="M563">
        <f t="shared" si="16"/>
        <v>17.91</v>
      </c>
      <c r="N563" t="str" cm="1">
        <f t="array" ref="N563">_xlfn.IFS(I563 = "Rob", "Robusta", I563 = "Exc", "Excelsa", I563 = "Ara", "Arabica", I563 = "Lib", "Liberica")</f>
        <v>Arabica</v>
      </c>
      <c r="O563" t="str">
        <f t="shared" si="17"/>
        <v>Dark</v>
      </c>
      <c r="P563" t="str">
        <f>_xlfn.XLOOKUP(Table1[[#This Row],[Customer ID]],Data_customers!$A$2:$A$1001,Data_customers!$I$2:$I$1001,,0)</f>
        <v>Yes</v>
      </c>
    </row>
    <row r="564" spans="1:16" x14ac:dyDescent="0.2">
      <c r="A564" s="2" t="s">
        <v>3665</v>
      </c>
      <c r="B564" s="3">
        <v>43669</v>
      </c>
      <c r="C564" s="2" t="s">
        <v>3666</v>
      </c>
      <c r="D564" t="s">
        <v>6145</v>
      </c>
      <c r="E564" s="2">
        <v>6</v>
      </c>
      <c r="F564" s="2" t="str">
        <f>_xlfn.XLOOKUP(Data_orders!C564,Data_customers!$A$1:$A$1001,Data_customers!$B$1:$B$1001,,0)</f>
        <v>Brendan Grece</v>
      </c>
      <c r="G564" s="2" t="str">
        <f>IF(_xlfn.XLOOKUP(C564,Data_customers!$A$1:$A$1001,Data_customers!$C$1:$C$1001,,0)=0,"",_xlfn.XLOOKUP(C564,Data_customers!$A$1:$A$1001,Data_customers!$C$1:$C$1001,,0))</f>
        <v>bgrecefm@naver.com</v>
      </c>
      <c r="H564" s="2" t="str">
        <f>_xlfn.XLOOKUP(C564,Data_customers!$A$1:$A$1001,Data_customers!$G$1:$G$1001,"",0)</f>
        <v>United Kingdom</v>
      </c>
      <c r="I564" t="str">
        <f>INDEX(Data_products!$A$1:$G$49, MATCH(Data_orders!$D564,Data_products!$A$1:$A$49,0), MATCH(Data_orders!I$1,Data_products!$A$1:$G$1,0))</f>
        <v>Lib</v>
      </c>
      <c r="J564" t="str">
        <f>INDEX(Data_products!$A$1:$G$49, MATCH(Data_orders!$D564,Data_products!$A$1:$A$49,0), MATCH(Data_orders!J$1,Data_products!$A$1:$G$1,0))</f>
        <v>L</v>
      </c>
      <c r="K564" s="4">
        <f>INDEX(Data_products!$A$1:$G$49, MATCH(Data_orders!$D564,Data_products!$A$1:$A$49,0), MATCH(Data_orders!K$1,Data_products!$A$1:$G$1,0))</f>
        <v>0.2</v>
      </c>
      <c r="L564">
        <f>INDEX(Data_products!$A$1:$G$49, MATCH(Data_orders!$D564,Data_products!$A$1:$A$49,0), MATCH(Data_orders!L$1,Data_products!$A$1:$G$1,0))</f>
        <v>4.7549999999999999</v>
      </c>
      <c r="M564">
        <f t="shared" si="16"/>
        <v>28.53</v>
      </c>
      <c r="N564" t="str" cm="1">
        <f t="array" ref="N564">_xlfn.IFS(I564 = "Rob", "Robusta", I564 = "Exc", "Excelsa", I564 = "Ara", "Arabica", I564 = "Lib", "Liberica")</f>
        <v>Liberica</v>
      </c>
      <c r="O564" t="str">
        <f t="shared" si="17"/>
        <v>Light</v>
      </c>
      <c r="P564" t="str">
        <f>_xlfn.XLOOKUP(Table1[[#This Row],[Customer ID]],Data_customers!$A$2:$A$1001,Data_customers!$I$2:$I$1001,,0)</f>
        <v>No</v>
      </c>
    </row>
    <row r="565" spans="1:16" x14ac:dyDescent="0.2">
      <c r="A565" s="2" t="s">
        <v>3671</v>
      </c>
      <c r="B565" s="3">
        <v>43991</v>
      </c>
      <c r="C565" s="2" t="s">
        <v>3752</v>
      </c>
      <c r="D565" t="s">
        <v>6141</v>
      </c>
      <c r="E565" s="2">
        <v>6</v>
      </c>
      <c r="F565" s="2" t="str">
        <f>_xlfn.XLOOKUP(Data_orders!C565,Data_customers!$A$1:$A$1001,Data_customers!$B$1:$B$1001,,0)</f>
        <v>Don Flintiff</v>
      </c>
      <c r="G565" s="2" t="str">
        <f>IF(_xlfn.XLOOKUP(C565,Data_customers!$A$1:$A$1001,Data_customers!$C$1:$C$1001,,0)=0,"",_xlfn.XLOOKUP(C565,Data_customers!$A$1:$A$1001,Data_customers!$C$1:$C$1001,,0))</f>
        <v>dflintiffg1@e-recht24.de</v>
      </c>
      <c r="H565" s="2" t="str">
        <f>_xlfn.XLOOKUP(C565,Data_customers!$A$1:$A$1001,Data_customers!$G$1:$G$1001,"",0)</f>
        <v>United Kingdom</v>
      </c>
      <c r="I565" t="str">
        <f>INDEX(Data_products!$A$1:$G$49, MATCH(Data_orders!$D565,Data_products!$A$1:$A$49,0), MATCH(Data_orders!I$1,Data_products!$A$1:$G$1,0))</f>
        <v>Exc</v>
      </c>
      <c r="J565" t="str">
        <f>INDEX(Data_products!$A$1:$G$49, MATCH(Data_orders!$D565,Data_products!$A$1:$A$49,0), MATCH(Data_orders!J$1,Data_products!$A$1:$G$1,0))</f>
        <v>M</v>
      </c>
      <c r="K565" s="4">
        <f>INDEX(Data_products!$A$1:$G$49, MATCH(Data_orders!$D565,Data_products!$A$1:$A$49,0), MATCH(Data_orders!K$1,Data_products!$A$1:$G$1,0))</f>
        <v>1</v>
      </c>
      <c r="L565">
        <f>INDEX(Data_products!$A$1:$G$49, MATCH(Data_orders!$D565,Data_products!$A$1:$A$49,0), MATCH(Data_orders!L$1,Data_products!$A$1:$G$1,0))</f>
        <v>13.75</v>
      </c>
      <c r="M565">
        <f t="shared" si="16"/>
        <v>82.5</v>
      </c>
      <c r="N565" t="str" cm="1">
        <f t="array" ref="N565">_xlfn.IFS(I565 = "Rob", "Robusta", I565 = "Exc", "Excelsa", I565 = "Ara", "Arabica", I565 = "Lib", "Liberica")</f>
        <v>Excelsa</v>
      </c>
      <c r="O565" t="str">
        <f t="shared" si="17"/>
        <v>Medium</v>
      </c>
      <c r="P565" t="str">
        <f>_xlfn.XLOOKUP(Table1[[#This Row],[Customer ID]],Data_customers!$A$2:$A$1001,Data_customers!$I$2:$I$1001,,0)</f>
        <v>No</v>
      </c>
    </row>
    <row r="566" spans="1:16" x14ac:dyDescent="0.2">
      <c r="A566" s="2" t="s">
        <v>3677</v>
      </c>
      <c r="B566" s="3">
        <v>43883</v>
      </c>
      <c r="C566" s="2" t="s">
        <v>3678</v>
      </c>
      <c r="D566" t="s">
        <v>6173</v>
      </c>
      <c r="E566" s="2">
        <v>2</v>
      </c>
      <c r="F566" s="2" t="str">
        <f>_xlfn.XLOOKUP(Data_orders!C566,Data_customers!$A$1:$A$1001,Data_customers!$B$1:$B$1001,,0)</f>
        <v>Abbe Thys</v>
      </c>
      <c r="G566" s="2" t="str">
        <f>IF(_xlfn.XLOOKUP(C566,Data_customers!$A$1:$A$1001,Data_customers!$C$1:$C$1001,,0)=0,"",_xlfn.XLOOKUP(C566,Data_customers!$A$1:$A$1001,Data_customers!$C$1:$C$1001,,0))</f>
        <v>athysfo@cdc.gov</v>
      </c>
      <c r="H566" s="2" t="str">
        <f>_xlfn.XLOOKUP(C566,Data_customers!$A$1:$A$1001,Data_customers!$G$1:$G$1001,"",0)</f>
        <v>United States</v>
      </c>
      <c r="I566" t="str">
        <f>INDEX(Data_products!$A$1:$G$49, MATCH(Data_orders!$D566,Data_products!$A$1:$A$49,0), MATCH(Data_orders!I$1,Data_products!$A$1:$G$1,0))</f>
        <v>Rob</v>
      </c>
      <c r="J566" t="str">
        <f>INDEX(Data_products!$A$1:$G$49, MATCH(Data_orders!$D566,Data_products!$A$1:$A$49,0), MATCH(Data_orders!J$1,Data_products!$A$1:$G$1,0))</f>
        <v>L</v>
      </c>
      <c r="K566" s="4">
        <f>INDEX(Data_products!$A$1:$G$49, MATCH(Data_orders!$D566,Data_products!$A$1:$A$49,0), MATCH(Data_orders!K$1,Data_products!$A$1:$G$1,0))</f>
        <v>0.5</v>
      </c>
      <c r="L566">
        <f>INDEX(Data_products!$A$1:$G$49, MATCH(Data_orders!$D566,Data_products!$A$1:$A$49,0), MATCH(Data_orders!L$1,Data_products!$A$1:$G$1,0))</f>
        <v>7.169999999999999</v>
      </c>
      <c r="M566">
        <f t="shared" si="16"/>
        <v>14.339999999999998</v>
      </c>
      <c r="N566" t="str" cm="1">
        <f t="array" ref="N566">_xlfn.IFS(I566 = "Rob", "Robusta", I566 = "Exc", "Excelsa", I566 = "Ara", "Arabica", I566 = "Lib", "Liberica")</f>
        <v>Robusta</v>
      </c>
      <c r="O566" t="str">
        <f t="shared" si="17"/>
        <v>Light</v>
      </c>
      <c r="P566" t="str">
        <f>_xlfn.XLOOKUP(Table1[[#This Row],[Customer ID]],Data_customers!$A$2:$A$1001,Data_customers!$I$2:$I$1001,,0)</f>
        <v>No</v>
      </c>
    </row>
    <row r="567" spans="1:16" x14ac:dyDescent="0.2">
      <c r="A567" s="2" t="s">
        <v>3683</v>
      </c>
      <c r="B567" s="3">
        <v>44031</v>
      </c>
      <c r="C567" s="2" t="s">
        <v>3684</v>
      </c>
      <c r="D567" t="s">
        <v>6149</v>
      </c>
      <c r="E567" s="2">
        <v>4</v>
      </c>
      <c r="F567" s="2" t="str">
        <f>_xlfn.XLOOKUP(Data_orders!C567,Data_customers!$A$1:$A$1001,Data_customers!$B$1:$B$1001,,0)</f>
        <v>Jackquelin Chugg</v>
      </c>
      <c r="G567" s="2" t="str">
        <f>IF(_xlfn.XLOOKUP(C567,Data_customers!$A$1:$A$1001,Data_customers!$C$1:$C$1001,,0)=0,"",_xlfn.XLOOKUP(C567,Data_customers!$A$1:$A$1001,Data_customers!$C$1:$C$1001,,0))</f>
        <v>jchuggfp@about.me</v>
      </c>
      <c r="H567" s="2" t="str">
        <f>_xlfn.XLOOKUP(C567,Data_customers!$A$1:$A$1001,Data_customers!$G$1:$G$1001,"",0)</f>
        <v>United States</v>
      </c>
      <c r="I567" t="str">
        <f>INDEX(Data_products!$A$1:$G$49, MATCH(Data_orders!$D567,Data_products!$A$1:$A$49,0), MATCH(Data_orders!I$1,Data_products!$A$1:$G$1,0))</f>
        <v>Rob</v>
      </c>
      <c r="J567" t="str">
        <f>INDEX(Data_products!$A$1:$G$49, MATCH(Data_orders!$D567,Data_products!$A$1:$A$49,0), MATCH(Data_orders!J$1,Data_products!$A$1:$G$1,0))</f>
        <v>D</v>
      </c>
      <c r="K567" s="4">
        <f>INDEX(Data_products!$A$1:$G$49, MATCH(Data_orders!$D567,Data_products!$A$1:$A$49,0), MATCH(Data_orders!K$1,Data_products!$A$1:$G$1,0))</f>
        <v>2.5</v>
      </c>
      <c r="L567">
        <f>INDEX(Data_products!$A$1:$G$49, MATCH(Data_orders!$D567,Data_products!$A$1:$A$49,0), MATCH(Data_orders!L$1,Data_products!$A$1:$G$1,0))</f>
        <v>20.584999999999997</v>
      </c>
      <c r="M567">
        <f t="shared" si="16"/>
        <v>82.339999999999989</v>
      </c>
      <c r="N567" t="str" cm="1">
        <f t="array" ref="N567">_xlfn.IFS(I567 = "Rob", "Robusta", I567 = "Exc", "Excelsa", I567 = "Ara", "Arabica", I567 = "Lib", "Liberica")</f>
        <v>Robusta</v>
      </c>
      <c r="O567" t="str">
        <f t="shared" si="17"/>
        <v>Dark</v>
      </c>
      <c r="P567" t="str">
        <f>_xlfn.XLOOKUP(Table1[[#This Row],[Customer ID]],Data_customers!$A$2:$A$1001,Data_customers!$I$2:$I$1001,,0)</f>
        <v>No</v>
      </c>
    </row>
    <row r="568" spans="1:16" x14ac:dyDescent="0.2">
      <c r="A568" s="2" t="s">
        <v>3689</v>
      </c>
      <c r="B568" s="3">
        <v>44459</v>
      </c>
      <c r="C568" s="2" t="s">
        <v>3690</v>
      </c>
      <c r="D568" t="s">
        <v>6152</v>
      </c>
      <c r="E568" s="2">
        <v>6</v>
      </c>
      <c r="F568" s="2" t="str">
        <f>_xlfn.XLOOKUP(Data_orders!C568,Data_customers!$A$1:$A$1001,Data_customers!$B$1:$B$1001,,0)</f>
        <v>Audra Kelston</v>
      </c>
      <c r="G568" s="2" t="str">
        <f>IF(_xlfn.XLOOKUP(C568,Data_customers!$A$1:$A$1001,Data_customers!$C$1:$C$1001,,0)=0,"",_xlfn.XLOOKUP(C568,Data_customers!$A$1:$A$1001,Data_customers!$C$1:$C$1001,,0))</f>
        <v>akelstonfq@sakura.ne.jp</v>
      </c>
      <c r="H568" s="2" t="str">
        <f>_xlfn.XLOOKUP(C568,Data_customers!$A$1:$A$1001,Data_customers!$G$1:$G$1001,"",0)</f>
        <v>United States</v>
      </c>
      <c r="I568" t="str">
        <f>INDEX(Data_products!$A$1:$G$49, MATCH(Data_orders!$D568,Data_products!$A$1:$A$49,0), MATCH(Data_orders!I$1,Data_products!$A$1:$G$1,0))</f>
        <v>Ara</v>
      </c>
      <c r="J568" t="str">
        <f>INDEX(Data_products!$A$1:$G$49, MATCH(Data_orders!$D568,Data_products!$A$1:$A$49,0), MATCH(Data_orders!J$1,Data_products!$A$1:$G$1,0))</f>
        <v>M</v>
      </c>
      <c r="K568" s="4">
        <f>INDEX(Data_products!$A$1:$G$49, MATCH(Data_orders!$D568,Data_products!$A$1:$A$49,0), MATCH(Data_orders!K$1,Data_products!$A$1:$G$1,0))</f>
        <v>0.2</v>
      </c>
      <c r="L568">
        <f>INDEX(Data_products!$A$1:$G$49, MATCH(Data_orders!$D568,Data_products!$A$1:$A$49,0), MATCH(Data_orders!L$1,Data_products!$A$1:$G$1,0))</f>
        <v>3.375</v>
      </c>
      <c r="M568">
        <f t="shared" si="16"/>
        <v>20.25</v>
      </c>
      <c r="N568" t="str" cm="1">
        <f t="array" ref="N568">_xlfn.IFS(I568 = "Rob", "Robusta", I568 = "Exc", "Excelsa", I568 = "Ara", "Arabica", I568 = "Lib", "Liberica")</f>
        <v>Arabica</v>
      </c>
      <c r="O568" t="str">
        <f t="shared" si="17"/>
        <v>Medium</v>
      </c>
      <c r="P568" t="str">
        <f>_xlfn.XLOOKUP(Table1[[#This Row],[Customer ID]],Data_customers!$A$2:$A$1001,Data_customers!$I$2:$I$1001,,0)</f>
        <v>Yes</v>
      </c>
    </row>
    <row r="569" spans="1:16" x14ac:dyDescent="0.2">
      <c r="A569" s="2" t="s">
        <v>3695</v>
      </c>
      <c r="B569" s="3">
        <v>44318</v>
      </c>
      <c r="C569" s="2" t="s">
        <v>3696</v>
      </c>
      <c r="D569" t="s">
        <v>6142</v>
      </c>
      <c r="E569" s="2">
        <v>6</v>
      </c>
      <c r="F569" s="2" t="str">
        <f>_xlfn.XLOOKUP(Data_orders!C569,Data_customers!$A$1:$A$1001,Data_customers!$B$1:$B$1001,,0)</f>
        <v>Elvina Angel</v>
      </c>
      <c r="G569" s="2" t="str">
        <f>IF(_xlfn.XLOOKUP(C569,Data_customers!$A$1:$A$1001,Data_customers!$C$1:$C$1001,,0)=0,"",_xlfn.XLOOKUP(C569,Data_customers!$A$1:$A$1001,Data_customers!$C$1:$C$1001,,0))</f>
        <v/>
      </c>
      <c r="H569" s="2" t="str">
        <f>_xlfn.XLOOKUP(C569,Data_customers!$A$1:$A$1001,Data_customers!$G$1:$G$1001,"",0)</f>
        <v>Ireland</v>
      </c>
      <c r="I569" t="str">
        <f>INDEX(Data_products!$A$1:$G$49, MATCH(Data_orders!$D569,Data_products!$A$1:$A$49,0), MATCH(Data_orders!I$1,Data_products!$A$1:$G$1,0))</f>
        <v>Rob</v>
      </c>
      <c r="J569" t="str">
        <f>INDEX(Data_products!$A$1:$G$49, MATCH(Data_orders!$D569,Data_products!$A$1:$A$49,0), MATCH(Data_orders!J$1,Data_products!$A$1:$G$1,0))</f>
        <v>L</v>
      </c>
      <c r="K569" s="4">
        <f>INDEX(Data_products!$A$1:$G$49, MATCH(Data_orders!$D569,Data_products!$A$1:$A$49,0), MATCH(Data_orders!K$1,Data_products!$A$1:$G$1,0))</f>
        <v>2.5</v>
      </c>
      <c r="L569">
        <f>INDEX(Data_products!$A$1:$G$49, MATCH(Data_orders!$D569,Data_products!$A$1:$A$49,0), MATCH(Data_orders!L$1,Data_products!$A$1:$G$1,0))</f>
        <v>27.484999999999996</v>
      </c>
      <c r="M569">
        <f t="shared" si="16"/>
        <v>164.90999999999997</v>
      </c>
      <c r="N569" t="str" cm="1">
        <f t="array" ref="N569">_xlfn.IFS(I569 = "Rob", "Robusta", I569 = "Exc", "Excelsa", I569 = "Ara", "Arabica", I569 = "Lib", "Liberica")</f>
        <v>Robusta</v>
      </c>
      <c r="O569" t="str">
        <f t="shared" si="17"/>
        <v>Light</v>
      </c>
      <c r="P569" t="str">
        <f>_xlfn.XLOOKUP(Table1[[#This Row],[Customer ID]],Data_customers!$A$2:$A$1001,Data_customers!$I$2:$I$1001,,0)</f>
        <v>No</v>
      </c>
    </row>
    <row r="570" spans="1:16" x14ac:dyDescent="0.2">
      <c r="A570" s="2" t="s">
        <v>3700</v>
      </c>
      <c r="B570" s="3">
        <v>44526</v>
      </c>
      <c r="C570" s="2" t="s">
        <v>3701</v>
      </c>
      <c r="D570" t="s">
        <v>6145</v>
      </c>
      <c r="E570" s="2">
        <v>4</v>
      </c>
      <c r="F570" s="2" t="str">
        <f>_xlfn.XLOOKUP(Data_orders!C570,Data_customers!$A$1:$A$1001,Data_customers!$B$1:$B$1001,,0)</f>
        <v>Claiborne Mottram</v>
      </c>
      <c r="G570" s="2" t="str">
        <f>IF(_xlfn.XLOOKUP(C570,Data_customers!$A$1:$A$1001,Data_customers!$C$1:$C$1001,,0)=0,"",_xlfn.XLOOKUP(C570,Data_customers!$A$1:$A$1001,Data_customers!$C$1:$C$1001,,0))</f>
        <v>cmottramfs@harvard.edu</v>
      </c>
      <c r="H570" s="2" t="str">
        <f>_xlfn.XLOOKUP(C570,Data_customers!$A$1:$A$1001,Data_customers!$G$1:$G$1001,"",0)</f>
        <v>United States</v>
      </c>
      <c r="I570" t="str">
        <f>INDEX(Data_products!$A$1:$G$49, MATCH(Data_orders!$D570,Data_products!$A$1:$A$49,0), MATCH(Data_orders!I$1,Data_products!$A$1:$G$1,0))</f>
        <v>Lib</v>
      </c>
      <c r="J570" t="str">
        <f>INDEX(Data_products!$A$1:$G$49, MATCH(Data_orders!$D570,Data_products!$A$1:$A$49,0), MATCH(Data_orders!J$1,Data_products!$A$1:$G$1,0))</f>
        <v>L</v>
      </c>
      <c r="K570" s="4">
        <f>INDEX(Data_products!$A$1:$G$49, MATCH(Data_orders!$D570,Data_products!$A$1:$A$49,0), MATCH(Data_orders!K$1,Data_products!$A$1:$G$1,0))</f>
        <v>0.2</v>
      </c>
      <c r="L570">
        <f>INDEX(Data_products!$A$1:$G$49, MATCH(Data_orders!$D570,Data_products!$A$1:$A$49,0), MATCH(Data_orders!L$1,Data_products!$A$1:$G$1,0))</f>
        <v>4.7549999999999999</v>
      </c>
      <c r="M570">
        <f t="shared" si="16"/>
        <v>19.02</v>
      </c>
      <c r="N570" t="str" cm="1">
        <f t="array" ref="N570">_xlfn.IFS(I570 = "Rob", "Robusta", I570 = "Exc", "Excelsa", I570 = "Ara", "Arabica", I570 = "Lib", "Liberica")</f>
        <v>Liberica</v>
      </c>
      <c r="O570" t="str">
        <f t="shared" si="17"/>
        <v>Light</v>
      </c>
      <c r="P570" t="str">
        <f>_xlfn.XLOOKUP(Table1[[#This Row],[Customer ID]],Data_customers!$A$2:$A$1001,Data_customers!$I$2:$I$1001,,0)</f>
        <v>Yes</v>
      </c>
    </row>
    <row r="571" spans="1:16" x14ac:dyDescent="0.2">
      <c r="A571" s="2" t="s">
        <v>3706</v>
      </c>
      <c r="B571" s="3">
        <v>43879</v>
      </c>
      <c r="C571" s="2" t="s">
        <v>3752</v>
      </c>
      <c r="D571" t="s">
        <v>6168</v>
      </c>
      <c r="E571" s="2">
        <v>6</v>
      </c>
      <c r="F571" s="2" t="str">
        <f>_xlfn.XLOOKUP(Data_orders!C571,Data_customers!$A$1:$A$1001,Data_customers!$B$1:$B$1001,,0)</f>
        <v>Don Flintiff</v>
      </c>
      <c r="G571" s="2" t="str">
        <f>IF(_xlfn.XLOOKUP(C571,Data_customers!$A$1:$A$1001,Data_customers!$C$1:$C$1001,,0)=0,"",_xlfn.XLOOKUP(C571,Data_customers!$A$1:$A$1001,Data_customers!$C$1:$C$1001,,0))</f>
        <v>dflintiffg1@e-recht24.de</v>
      </c>
      <c r="H571" s="2" t="str">
        <f>_xlfn.XLOOKUP(C571,Data_customers!$A$1:$A$1001,Data_customers!$G$1:$G$1001,"",0)</f>
        <v>United Kingdom</v>
      </c>
      <c r="I571" t="str">
        <f>INDEX(Data_products!$A$1:$G$49, MATCH(Data_orders!$D571,Data_products!$A$1:$A$49,0), MATCH(Data_orders!I$1,Data_products!$A$1:$G$1,0))</f>
        <v>Ara</v>
      </c>
      <c r="J571" t="str">
        <f>INDEX(Data_products!$A$1:$G$49, MATCH(Data_orders!$D571,Data_products!$A$1:$A$49,0), MATCH(Data_orders!J$1,Data_products!$A$1:$G$1,0))</f>
        <v>D</v>
      </c>
      <c r="K571" s="4">
        <f>INDEX(Data_products!$A$1:$G$49, MATCH(Data_orders!$D571,Data_products!$A$1:$A$49,0), MATCH(Data_orders!K$1,Data_products!$A$1:$G$1,0))</f>
        <v>2.5</v>
      </c>
      <c r="L571">
        <f>INDEX(Data_products!$A$1:$G$49, MATCH(Data_orders!$D571,Data_products!$A$1:$A$49,0), MATCH(Data_orders!L$1,Data_products!$A$1:$G$1,0))</f>
        <v>22.884999999999998</v>
      </c>
      <c r="M571">
        <f t="shared" si="16"/>
        <v>137.31</v>
      </c>
      <c r="N571" t="str" cm="1">
        <f t="array" ref="N571">_xlfn.IFS(I571 = "Rob", "Robusta", I571 = "Exc", "Excelsa", I571 = "Ara", "Arabica", I571 = "Lib", "Liberica")</f>
        <v>Arabica</v>
      </c>
      <c r="O571" t="str">
        <f t="shared" si="17"/>
        <v>Dark</v>
      </c>
      <c r="P571" t="str">
        <f>_xlfn.XLOOKUP(Table1[[#This Row],[Customer ID]],Data_customers!$A$2:$A$1001,Data_customers!$I$2:$I$1001,,0)</f>
        <v>No</v>
      </c>
    </row>
    <row r="572" spans="1:16" x14ac:dyDescent="0.2">
      <c r="A572" s="2" t="s">
        <v>3712</v>
      </c>
      <c r="B572" s="3">
        <v>43928</v>
      </c>
      <c r="C572" s="2" t="s">
        <v>3713</v>
      </c>
      <c r="D572" t="s">
        <v>6157</v>
      </c>
      <c r="E572" s="2">
        <v>4</v>
      </c>
      <c r="F572" s="2" t="str">
        <f>_xlfn.XLOOKUP(Data_orders!C572,Data_customers!$A$1:$A$1001,Data_customers!$B$1:$B$1001,,0)</f>
        <v>Donalt Sangwin</v>
      </c>
      <c r="G572" s="2" t="str">
        <f>IF(_xlfn.XLOOKUP(C572,Data_customers!$A$1:$A$1001,Data_customers!$C$1:$C$1001,,0)=0,"",_xlfn.XLOOKUP(C572,Data_customers!$A$1:$A$1001,Data_customers!$C$1:$C$1001,,0))</f>
        <v>dsangwinfu@weebly.com</v>
      </c>
      <c r="H572" s="2" t="str">
        <f>_xlfn.XLOOKUP(C572,Data_customers!$A$1:$A$1001,Data_customers!$G$1:$G$1001,"",0)</f>
        <v>United States</v>
      </c>
      <c r="I572" t="str">
        <f>INDEX(Data_products!$A$1:$G$49, MATCH(Data_orders!$D572,Data_products!$A$1:$A$49,0), MATCH(Data_orders!I$1,Data_products!$A$1:$G$1,0))</f>
        <v>Ara</v>
      </c>
      <c r="J572" t="str">
        <f>INDEX(Data_products!$A$1:$G$49, MATCH(Data_orders!$D572,Data_products!$A$1:$A$49,0), MATCH(Data_orders!J$1,Data_products!$A$1:$G$1,0))</f>
        <v>M</v>
      </c>
      <c r="K572" s="4">
        <f>INDEX(Data_products!$A$1:$G$49, MATCH(Data_orders!$D572,Data_products!$A$1:$A$49,0), MATCH(Data_orders!K$1,Data_products!$A$1:$G$1,0))</f>
        <v>0.5</v>
      </c>
      <c r="L572">
        <f>INDEX(Data_products!$A$1:$G$49, MATCH(Data_orders!$D572,Data_products!$A$1:$A$49,0), MATCH(Data_orders!L$1,Data_products!$A$1:$G$1,0))</f>
        <v>6.75</v>
      </c>
      <c r="M572">
        <f t="shared" si="16"/>
        <v>27</v>
      </c>
      <c r="N572" t="str" cm="1">
        <f t="array" ref="N572">_xlfn.IFS(I572 = "Rob", "Robusta", I572 = "Exc", "Excelsa", I572 = "Ara", "Arabica", I572 = "Lib", "Liberica")</f>
        <v>Arabica</v>
      </c>
      <c r="O572" t="str">
        <f t="shared" si="17"/>
        <v>Medium</v>
      </c>
      <c r="P572" t="str">
        <f>_xlfn.XLOOKUP(Table1[[#This Row],[Customer ID]],Data_customers!$A$2:$A$1001,Data_customers!$I$2:$I$1001,,0)</f>
        <v>No</v>
      </c>
    </row>
    <row r="573" spans="1:16" x14ac:dyDescent="0.2">
      <c r="A573" s="2" t="s">
        <v>3718</v>
      </c>
      <c r="B573" s="3">
        <v>44592</v>
      </c>
      <c r="C573" s="2" t="s">
        <v>3719</v>
      </c>
      <c r="D573" t="s">
        <v>6176</v>
      </c>
      <c r="E573" s="2">
        <v>4</v>
      </c>
      <c r="F573" s="2" t="str">
        <f>_xlfn.XLOOKUP(Data_orders!C573,Data_customers!$A$1:$A$1001,Data_customers!$B$1:$B$1001,,0)</f>
        <v>Elizabet Aizikowitz</v>
      </c>
      <c r="G573" s="2" t="str">
        <f>IF(_xlfn.XLOOKUP(C573,Data_customers!$A$1:$A$1001,Data_customers!$C$1:$C$1001,,0)=0,"",_xlfn.XLOOKUP(C573,Data_customers!$A$1:$A$1001,Data_customers!$C$1:$C$1001,,0))</f>
        <v>eaizikowitzfv@virginia.edu</v>
      </c>
      <c r="H573" s="2" t="str">
        <f>_xlfn.XLOOKUP(C573,Data_customers!$A$1:$A$1001,Data_customers!$G$1:$G$1001,"",0)</f>
        <v>United Kingdom</v>
      </c>
      <c r="I573" t="str">
        <f>INDEX(Data_products!$A$1:$G$49, MATCH(Data_orders!$D573,Data_products!$A$1:$A$49,0), MATCH(Data_orders!I$1,Data_products!$A$1:$G$1,0))</f>
        <v>Exc</v>
      </c>
      <c r="J573" t="str">
        <f>INDEX(Data_products!$A$1:$G$49, MATCH(Data_orders!$D573,Data_products!$A$1:$A$49,0), MATCH(Data_orders!J$1,Data_products!$A$1:$G$1,0))</f>
        <v>L</v>
      </c>
      <c r="K573" s="4">
        <f>INDEX(Data_products!$A$1:$G$49, MATCH(Data_orders!$D573,Data_products!$A$1:$A$49,0), MATCH(Data_orders!K$1,Data_products!$A$1:$G$1,0))</f>
        <v>0.5</v>
      </c>
      <c r="L573">
        <f>INDEX(Data_products!$A$1:$G$49, MATCH(Data_orders!$D573,Data_products!$A$1:$A$49,0), MATCH(Data_orders!L$1,Data_products!$A$1:$G$1,0))</f>
        <v>8.91</v>
      </c>
      <c r="M573">
        <f t="shared" si="16"/>
        <v>35.64</v>
      </c>
      <c r="N573" t="str" cm="1">
        <f t="array" ref="N573">_xlfn.IFS(I573 = "Rob", "Robusta", I573 = "Exc", "Excelsa", I573 = "Ara", "Arabica", I573 = "Lib", "Liberica")</f>
        <v>Excelsa</v>
      </c>
      <c r="O573" t="str">
        <f t="shared" si="17"/>
        <v>Light</v>
      </c>
      <c r="P573" t="str">
        <f>_xlfn.XLOOKUP(Table1[[#This Row],[Customer ID]],Data_customers!$A$2:$A$1001,Data_customers!$I$2:$I$1001,,0)</f>
        <v>No</v>
      </c>
    </row>
    <row r="574" spans="1:16" x14ac:dyDescent="0.2">
      <c r="A574" s="2" t="s">
        <v>3724</v>
      </c>
      <c r="B574" s="3">
        <v>43515</v>
      </c>
      <c r="C574" s="2" t="s">
        <v>3725</v>
      </c>
      <c r="D574" t="s">
        <v>6154</v>
      </c>
      <c r="E574" s="2">
        <v>2</v>
      </c>
      <c r="F574" s="2" t="str">
        <f>_xlfn.XLOOKUP(Data_orders!C574,Data_customers!$A$1:$A$1001,Data_customers!$B$1:$B$1001,,0)</f>
        <v>Herbie Peppard</v>
      </c>
      <c r="G574" s="2" t="str">
        <f>IF(_xlfn.XLOOKUP(C574,Data_customers!$A$1:$A$1001,Data_customers!$C$1:$C$1001,,0)=0,"",_xlfn.XLOOKUP(C574,Data_customers!$A$1:$A$1001,Data_customers!$C$1:$C$1001,,0))</f>
        <v/>
      </c>
      <c r="H574" s="2" t="str">
        <f>_xlfn.XLOOKUP(C574,Data_customers!$A$1:$A$1001,Data_customers!$G$1:$G$1001,"",0)</f>
        <v>United States</v>
      </c>
      <c r="I574" t="str">
        <f>INDEX(Data_products!$A$1:$G$49, MATCH(Data_orders!$D574,Data_products!$A$1:$A$49,0), MATCH(Data_orders!I$1,Data_products!$A$1:$G$1,0))</f>
        <v>Ara</v>
      </c>
      <c r="J574" t="str">
        <f>INDEX(Data_products!$A$1:$G$49, MATCH(Data_orders!$D574,Data_products!$A$1:$A$49,0), MATCH(Data_orders!J$1,Data_products!$A$1:$G$1,0))</f>
        <v>D</v>
      </c>
      <c r="K574" s="4">
        <f>INDEX(Data_products!$A$1:$G$49, MATCH(Data_orders!$D574,Data_products!$A$1:$A$49,0), MATCH(Data_orders!K$1,Data_products!$A$1:$G$1,0))</f>
        <v>0.2</v>
      </c>
      <c r="L574">
        <f>INDEX(Data_products!$A$1:$G$49, MATCH(Data_orders!$D574,Data_products!$A$1:$A$49,0), MATCH(Data_orders!L$1,Data_products!$A$1:$G$1,0))</f>
        <v>2.9849999999999999</v>
      </c>
      <c r="M574">
        <f t="shared" si="16"/>
        <v>5.97</v>
      </c>
      <c r="N574" t="str" cm="1">
        <f t="array" ref="N574">_xlfn.IFS(I574 = "Rob", "Robusta", I574 = "Exc", "Excelsa", I574 = "Ara", "Arabica", I574 = "Lib", "Liberica")</f>
        <v>Arabica</v>
      </c>
      <c r="O574" t="str">
        <f t="shared" si="17"/>
        <v>Dark</v>
      </c>
      <c r="P574" t="str">
        <f>_xlfn.XLOOKUP(Table1[[#This Row],[Customer ID]],Data_customers!$A$2:$A$1001,Data_customers!$I$2:$I$1001,,0)</f>
        <v>Yes</v>
      </c>
    </row>
    <row r="575" spans="1:16" x14ac:dyDescent="0.2">
      <c r="A575" s="2" t="s">
        <v>3728</v>
      </c>
      <c r="B575" s="3">
        <v>43781</v>
      </c>
      <c r="C575" s="2" t="s">
        <v>3729</v>
      </c>
      <c r="D575" t="s">
        <v>6155</v>
      </c>
      <c r="E575" s="2">
        <v>6</v>
      </c>
      <c r="F575" s="2" t="str">
        <f>_xlfn.XLOOKUP(Data_orders!C575,Data_customers!$A$1:$A$1001,Data_customers!$B$1:$B$1001,,0)</f>
        <v>Cornie Venour</v>
      </c>
      <c r="G575" s="2" t="str">
        <f>IF(_xlfn.XLOOKUP(C575,Data_customers!$A$1:$A$1001,Data_customers!$C$1:$C$1001,,0)=0,"",_xlfn.XLOOKUP(C575,Data_customers!$A$1:$A$1001,Data_customers!$C$1:$C$1001,,0))</f>
        <v>cvenourfx@ask.com</v>
      </c>
      <c r="H575" s="2" t="str">
        <f>_xlfn.XLOOKUP(C575,Data_customers!$A$1:$A$1001,Data_customers!$G$1:$G$1001,"",0)</f>
        <v>United States</v>
      </c>
      <c r="I575" t="str">
        <f>INDEX(Data_products!$A$1:$G$49, MATCH(Data_orders!$D575,Data_products!$A$1:$A$49,0), MATCH(Data_orders!I$1,Data_products!$A$1:$G$1,0))</f>
        <v>Ara</v>
      </c>
      <c r="J575" t="str">
        <f>INDEX(Data_products!$A$1:$G$49, MATCH(Data_orders!$D575,Data_products!$A$1:$A$49,0), MATCH(Data_orders!J$1,Data_products!$A$1:$G$1,0))</f>
        <v>M</v>
      </c>
      <c r="K575" s="4">
        <f>INDEX(Data_products!$A$1:$G$49, MATCH(Data_orders!$D575,Data_products!$A$1:$A$49,0), MATCH(Data_orders!K$1,Data_products!$A$1:$G$1,0))</f>
        <v>1</v>
      </c>
      <c r="L575">
        <f>INDEX(Data_products!$A$1:$G$49, MATCH(Data_orders!$D575,Data_products!$A$1:$A$49,0), MATCH(Data_orders!L$1,Data_products!$A$1:$G$1,0))</f>
        <v>11.25</v>
      </c>
      <c r="M575">
        <f t="shared" si="16"/>
        <v>67.5</v>
      </c>
      <c r="N575" t="str" cm="1">
        <f t="array" ref="N575">_xlfn.IFS(I575 = "Rob", "Robusta", I575 = "Exc", "Excelsa", I575 = "Ara", "Arabica", I575 = "Lib", "Liberica")</f>
        <v>Arabica</v>
      </c>
      <c r="O575" t="str">
        <f t="shared" si="17"/>
        <v>Medium</v>
      </c>
      <c r="P575" t="str">
        <f>_xlfn.XLOOKUP(Table1[[#This Row],[Customer ID]],Data_customers!$A$2:$A$1001,Data_customers!$I$2:$I$1001,,0)</f>
        <v>No</v>
      </c>
    </row>
    <row r="576" spans="1:16" x14ac:dyDescent="0.2">
      <c r="A576" s="2" t="s">
        <v>3734</v>
      </c>
      <c r="B576" s="3">
        <v>44697</v>
      </c>
      <c r="C576" s="2" t="s">
        <v>3735</v>
      </c>
      <c r="D576" t="s">
        <v>6178</v>
      </c>
      <c r="E576" s="2">
        <v>6</v>
      </c>
      <c r="F576" s="2" t="str">
        <f>_xlfn.XLOOKUP(Data_orders!C576,Data_customers!$A$1:$A$1001,Data_customers!$B$1:$B$1001,,0)</f>
        <v>Maggy Harby</v>
      </c>
      <c r="G576" s="2" t="str">
        <f>IF(_xlfn.XLOOKUP(C576,Data_customers!$A$1:$A$1001,Data_customers!$C$1:$C$1001,,0)=0,"",_xlfn.XLOOKUP(C576,Data_customers!$A$1:$A$1001,Data_customers!$C$1:$C$1001,,0))</f>
        <v>mharbyfy@163.com</v>
      </c>
      <c r="H576" s="2" t="str">
        <f>_xlfn.XLOOKUP(C576,Data_customers!$A$1:$A$1001,Data_customers!$G$1:$G$1001,"",0)</f>
        <v>United States</v>
      </c>
      <c r="I576" t="str">
        <f>INDEX(Data_products!$A$1:$G$49, MATCH(Data_orders!$D576,Data_products!$A$1:$A$49,0), MATCH(Data_orders!I$1,Data_products!$A$1:$G$1,0))</f>
        <v>Rob</v>
      </c>
      <c r="J576" t="str">
        <f>INDEX(Data_products!$A$1:$G$49, MATCH(Data_orders!$D576,Data_products!$A$1:$A$49,0), MATCH(Data_orders!J$1,Data_products!$A$1:$G$1,0))</f>
        <v>L</v>
      </c>
      <c r="K576" s="4">
        <f>INDEX(Data_products!$A$1:$G$49, MATCH(Data_orders!$D576,Data_products!$A$1:$A$49,0), MATCH(Data_orders!K$1,Data_products!$A$1:$G$1,0))</f>
        <v>0.2</v>
      </c>
      <c r="L576">
        <f>INDEX(Data_products!$A$1:$G$49, MATCH(Data_orders!$D576,Data_products!$A$1:$A$49,0), MATCH(Data_orders!L$1,Data_products!$A$1:$G$1,0))</f>
        <v>3.5849999999999995</v>
      </c>
      <c r="M576">
        <f t="shared" si="16"/>
        <v>21.509999999999998</v>
      </c>
      <c r="N576" t="str" cm="1">
        <f t="array" ref="N576">_xlfn.IFS(I576 = "Rob", "Robusta", I576 = "Exc", "Excelsa", I576 = "Ara", "Arabica", I576 = "Lib", "Liberica")</f>
        <v>Robusta</v>
      </c>
      <c r="O576" t="str">
        <f t="shared" si="17"/>
        <v>Light</v>
      </c>
      <c r="P576" t="str">
        <f>_xlfn.XLOOKUP(Table1[[#This Row],[Customer ID]],Data_customers!$A$2:$A$1001,Data_customers!$I$2:$I$1001,,0)</f>
        <v>Yes</v>
      </c>
    </row>
    <row r="577" spans="1:16" x14ac:dyDescent="0.2">
      <c r="A577" s="2" t="s">
        <v>3739</v>
      </c>
      <c r="B577" s="3">
        <v>44239</v>
      </c>
      <c r="C577" s="2" t="s">
        <v>3740</v>
      </c>
      <c r="D577" t="s">
        <v>6181</v>
      </c>
      <c r="E577" s="2">
        <v>2</v>
      </c>
      <c r="F577" s="2" t="str">
        <f>_xlfn.XLOOKUP(Data_orders!C577,Data_customers!$A$1:$A$1001,Data_customers!$B$1:$B$1001,,0)</f>
        <v>Reggie Thickpenny</v>
      </c>
      <c r="G577" s="2" t="str">
        <f>IF(_xlfn.XLOOKUP(C577,Data_customers!$A$1:$A$1001,Data_customers!$C$1:$C$1001,,0)=0,"",_xlfn.XLOOKUP(C577,Data_customers!$A$1:$A$1001,Data_customers!$C$1:$C$1001,,0))</f>
        <v>rthickpennyfz@cafepress.com</v>
      </c>
      <c r="H577" s="2" t="str">
        <f>_xlfn.XLOOKUP(C577,Data_customers!$A$1:$A$1001,Data_customers!$G$1:$G$1001,"",0)</f>
        <v>United States</v>
      </c>
      <c r="I577" t="str">
        <f>INDEX(Data_products!$A$1:$G$49, MATCH(Data_orders!$D577,Data_products!$A$1:$A$49,0), MATCH(Data_orders!I$1,Data_products!$A$1:$G$1,0))</f>
        <v>Lib</v>
      </c>
      <c r="J577" t="str">
        <f>INDEX(Data_products!$A$1:$G$49, MATCH(Data_orders!$D577,Data_products!$A$1:$A$49,0), MATCH(Data_orders!J$1,Data_products!$A$1:$G$1,0))</f>
        <v>M</v>
      </c>
      <c r="K577" s="4">
        <f>INDEX(Data_products!$A$1:$G$49, MATCH(Data_orders!$D577,Data_products!$A$1:$A$49,0), MATCH(Data_orders!K$1,Data_products!$A$1:$G$1,0))</f>
        <v>2.5</v>
      </c>
      <c r="L577">
        <f>INDEX(Data_products!$A$1:$G$49, MATCH(Data_orders!$D577,Data_products!$A$1:$A$49,0), MATCH(Data_orders!L$1,Data_products!$A$1:$G$1,0))</f>
        <v>33.464999999999996</v>
      </c>
      <c r="M577">
        <f t="shared" si="16"/>
        <v>66.929999999999993</v>
      </c>
      <c r="N577" t="str" cm="1">
        <f t="array" ref="N577">_xlfn.IFS(I577 = "Rob", "Robusta", I577 = "Exc", "Excelsa", I577 = "Ara", "Arabica", I577 = "Lib", "Liberica")</f>
        <v>Liberica</v>
      </c>
      <c r="O577" t="str">
        <f t="shared" si="17"/>
        <v>Medium</v>
      </c>
      <c r="P577" t="str">
        <f>_xlfn.XLOOKUP(Table1[[#This Row],[Customer ID]],Data_customers!$A$2:$A$1001,Data_customers!$I$2:$I$1001,,0)</f>
        <v>No</v>
      </c>
    </row>
    <row r="578" spans="1:16" x14ac:dyDescent="0.2">
      <c r="A578" s="2" t="s">
        <v>3745</v>
      </c>
      <c r="B578" s="3">
        <v>44290</v>
      </c>
      <c r="C578" s="2" t="s">
        <v>3746</v>
      </c>
      <c r="D578" t="s">
        <v>6154</v>
      </c>
      <c r="E578" s="2">
        <v>6</v>
      </c>
      <c r="F578" s="2" t="str">
        <f>_xlfn.XLOOKUP(Data_orders!C578,Data_customers!$A$1:$A$1001,Data_customers!$B$1:$B$1001,,0)</f>
        <v>Phyllys Ormerod</v>
      </c>
      <c r="G578" s="2" t="str">
        <f>IF(_xlfn.XLOOKUP(C578,Data_customers!$A$1:$A$1001,Data_customers!$C$1:$C$1001,,0)=0,"",_xlfn.XLOOKUP(C578,Data_customers!$A$1:$A$1001,Data_customers!$C$1:$C$1001,,0))</f>
        <v>pormerodg0@redcross.org</v>
      </c>
      <c r="H578" s="2" t="str">
        <f>_xlfn.XLOOKUP(C578,Data_customers!$A$1:$A$1001,Data_customers!$G$1:$G$1001,"",0)</f>
        <v>United States</v>
      </c>
      <c r="I578" t="str">
        <f>INDEX(Data_products!$A$1:$G$49, MATCH(Data_orders!$D578,Data_products!$A$1:$A$49,0), MATCH(Data_orders!I$1,Data_products!$A$1:$G$1,0))</f>
        <v>Ara</v>
      </c>
      <c r="J578" t="str">
        <f>INDEX(Data_products!$A$1:$G$49, MATCH(Data_orders!$D578,Data_products!$A$1:$A$49,0), MATCH(Data_orders!J$1,Data_products!$A$1:$G$1,0))</f>
        <v>D</v>
      </c>
      <c r="K578" s="4">
        <f>INDEX(Data_products!$A$1:$G$49, MATCH(Data_orders!$D578,Data_products!$A$1:$A$49,0), MATCH(Data_orders!K$1,Data_products!$A$1:$G$1,0))</f>
        <v>0.2</v>
      </c>
      <c r="L578">
        <f>INDEX(Data_products!$A$1:$G$49, MATCH(Data_orders!$D578,Data_products!$A$1:$A$49,0), MATCH(Data_orders!L$1,Data_products!$A$1:$G$1,0))</f>
        <v>2.9849999999999999</v>
      </c>
      <c r="M578">
        <f t="shared" si="16"/>
        <v>17.91</v>
      </c>
      <c r="N578" t="str" cm="1">
        <f t="array" ref="N578">_xlfn.IFS(I578 = "Rob", "Robusta", I578 = "Exc", "Excelsa", I578 = "Ara", "Arabica", I578 = "Lib", "Liberica")</f>
        <v>Arabica</v>
      </c>
      <c r="O578" t="str">
        <f t="shared" si="17"/>
        <v>Dark</v>
      </c>
      <c r="P578" t="str">
        <f>_xlfn.XLOOKUP(Table1[[#This Row],[Customer ID]],Data_customers!$A$2:$A$1001,Data_customers!$I$2:$I$1001,,0)</f>
        <v>No</v>
      </c>
    </row>
    <row r="579" spans="1:16" x14ac:dyDescent="0.2">
      <c r="A579" s="2" t="s">
        <v>3751</v>
      </c>
      <c r="B579" s="3">
        <v>44410</v>
      </c>
      <c r="C579" s="2" t="s">
        <v>3752</v>
      </c>
      <c r="D579" t="s">
        <v>6162</v>
      </c>
      <c r="E579" s="2">
        <v>4</v>
      </c>
      <c r="F579" s="2" t="str">
        <f>_xlfn.XLOOKUP(Data_orders!C579,Data_customers!$A$1:$A$1001,Data_customers!$B$1:$B$1001,,0)</f>
        <v>Don Flintiff</v>
      </c>
      <c r="G579" s="2" t="str">
        <f>IF(_xlfn.XLOOKUP(C579,Data_customers!$A$1:$A$1001,Data_customers!$C$1:$C$1001,,0)=0,"",_xlfn.XLOOKUP(C579,Data_customers!$A$1:$A$1001,Data_customers!$C$1:$C$1001,,0))</f>
        <v>dflintiffg1@e-recht24.de</v>
      </c>
      <c r="H579" s="2" t="str">
        <f>_xlfn.XLOOKUP(C579,Data_customers!$A$1:$A$1001,Data_customers!$G$1:$G$1001,"",0)</f>
        <v>United Kingdom</v>
      </c>
      <c r="I579" t="str">
        <f>INDEX(Data_products!$A$1:$G$49, MATCH(Data_orders!$D579,Data_products!$A$1:$A$49,0), MATCH(Data_orders!I$1,Data_products!$A$1:$G$1,0))</f>
        <v>Lib</v>
      </c>
      <c r="J579" t="str">
        <f>INDEX(Data_products!$A$1:$G$49, MATCH(Data_orders!$D579,Data_products!$A$1:$A$49,0), MATCH(Data_orders!J$1,Data_products!$A$1:$G$1,0))</f>
        <v>M</v>
      </c>
      <c r="K579" s="4">
        <f>INDEX(Data_products!$A$1:$G$49, MATCH(Data_orders!$D579,Data_products!$A$1:$A$49,0), MATCH(Data_orders!K$1,Data_products!$A$1:$G$1,0))</f>
        <v>1</v>
      </c>
      <c r="L579">
        <f>INDEX(Data_products!$A$1:$G$49, MATCH(Data_orders!$D579,Data_products!$A$1:$A$49,0), MATCH(Data_orders!L$1,Data_products!$A$1:$G$1,0))</f>
        <v>14.55</v>
      </c>
      <c r="M579">
        <f t="shared" ref="M579:M642" si="18">L579*E579</f>
        <v>58.2</v>
      </c>
      <c r="N579" t="str" cm="1">
        <f t="array" ref="N579">_xlfn.IFS(I579 = "Rob", "Robusta", I579 = "Exc", "Excelsa", I579 = "Ara", "Arabica", I579 = "Lib", "Liberica")</f>
        <v>Liberica</v>
      </c>
      <c r="O579" t="str">
        <f t="shared" ref="O579:O642" si="19">IF(J579 = "M", "Medium", IF(J579 =  "L", "Light", IF(J579 = "D", "Dark", "")))</f>
        <v>Medium</v>
      </c>
      <c r="P579" t="str">
        <f>_xlfn.XLOOKUP(Table1[[#This Row],[Customer ID]],Data_customers!$A$2:$A$1001,Data_customers!$I$2:$I$1001,,0)</f>
        <v>No</v>
      </c>
    </row>
    <row r="580" spans="1:16" x14ac:dyDescent="0.2">
      <c r="A580" s="2" t="s">
        <v>3756</v>
      </c>
      <c r="B580" s="3">
        <v>44720</v>
      </c>
      <c r="C580" s="2" t="s">
        <v>3757</v>
      </c>
      <c r="D580" t="s">
        <v>6184</v>
      </c>
      <c r="E580" s="2">
        <v>3</v>
      </c>
      <c r="F580" s="2" t="str">
        <f>_xlfn.XLOOKUP(Data_orders!C580,Data_customers!$A$1:$A$1001,Data_customers!$B$1:$B$1001,,0)</f>
        <v>Tymon Zanetti</v>
      </c>
      <c r="G580" s="2" t="str">
        <f>IF(_xlfn.XLOOKUP(C580,Data_customers!$A$1:$A$1001,Data_customers!$C$1:$C$1001,,0)=0,"",_xlfn.XLOOKUP(C580,Data_customers!$A$1:$A$1001,Data_customers!$C$1:$C$1001,,0))</f>
        <v>tzanettig2@gravatar.com</v>
      </c>
      <c r="H580" s="2" t="str">
        <f>_xlfn.XLOOKUP(C580,Data_customers!$A$1:$A$1001,Data_customers!$G$1:$G$1001,"",0)</f>
        <v>Ireland</v>
      </c>
      <c r="I580" t="str">
        <f>INDEX(Data_products!$A$1:$G$49, MATCH(Data_orders!$D580,Data_products!$A$1:$A$49,0), MATCH(Data_orders!I$1,Data_products!$A$1:$G$1,0))</f>
        <v>Exc</v>
      </c>
      <c r="J580" t="str">
        <f>INDEX(Data_products!$A$1:$G$49, MATCH(Data_orders!$D580,Data_products!$A$1:$A$49,0), MATCH(Data_orders!J$1,Data_products!$A$1:$G$1,0))</f>
        <v>L</v>
      </c>
      <c r="K580" s="4">
        <f>INDEX(Data_products!$A$1:$G$49, MATCH(Data_orders!$D580,Data_products!$A$1:$A$49,0), MATCH(Data_orders!K$1,Data_products!$A$1:$G$1,0))</f>
        <v>0.2</v>
      </c>
      <c r="L580">
        <f>INDEX(Data_products!$A$1:$G$49, MATCH(Data_orders!$D580,Data_products!$A$1:$A$49,0), MATCH(Data_orders!L$1,Data_products!$A$1:$G$1,0))</f>
        <v>4.4550000000000001</v>
      </c>
      <c r="M580">
        <f t="shared" si="18"/>
        <v>13.365</v>
      </c>
      <c r="N580" t="str" cm="1">
        <f t="array" ref="N580">_xlfn.IFS(I580 = "Rob", "Robusta", I580 = "Exc", "Excelsa", I580 = "Ara", "Arabica", I580 = "Lib", "Liberica")</f>
        <v>Excelsa</v>
      </c>
      <c r="O580" t="str">
        <f t="shared" si="19"/>
        <v>Light</v>
      </c>
      <c r="P580" t="str">
        <f>_xlfn.XLOOKUP(Table1[[#This Row],[Customer ID]],Data_customers!$A$2:$A$1001,Data_customers!$I$2:$I$1001,,0)</f>
        <v>No</v>
      </c>
    </row>
    <row r="581" spans="1:16" x14ac:dyDescent="0.2">
      <c r="A581" s="2" t="s">
        <v>3756</v>
      </c>
      <c r="B581" s="3">
        <v>44720</v>
      </c>
      <c r="C581" s="2" t="s">
        <v>3757</v>
      </c>
      <c r="D581" t="s">
        <v>6157</v>
      </c>
      <c r="E581" s="2">
        <v>5</v>
      </c>
      <c r="F581" s="2" t="str">
        <f>_xlfn.XLOOKUP(Data_orders!C581,Data_customers!$A$1:$A$1001,Data_customers!$B$1:$B$1001,,0)</f>
        <v>Tymon Zanetti</v>
      </c>
      <c r="G581" s="2" t="str">
        <f>IF(_xlfn.XLOOKUP(C581,Data_customers!$A$1:$A$1001,Data_customers!$C$1:$C$1001,,0)=0,"",_xlfn.XLOOKUP(C581,Data_customers!$A$1:$A$1001,Data_customers!$C$1:$C$1001,,0))</f>
        <v>tzanettig2@gravatar.com</v>
      </c>
      <c r="H581" s="2" t="str">
        <f>_xlfn.XLOOKUP(C581,Data_customers!$A$1:$A$1001,Data_customers!$G$1:$G$1001,"",0)</f>
        <v>Ireland</v>
      </c>
      <c r="I581" t="str">
        <f>INDEX(Data_products!$A$1:$G$49, MATCH(Data_orders!$D581,Data_products!$A$1:$A$49,0), MATCH(Data_orders!I$1,Data_products!$A$1:$G$1,0))</f>
        <v>Ara</v>
      </c>
      <c r="J581" t="str">
        <f>INDEX(Data_products!$A$1:$G$49, MATCH(Data_orders!$D581,Data_products!$A$1:$A$49,0), MATCH(Data_orders!J$1,Data_products!$A$1:$G$1,0))</f>
        <v>M</v>
      </c>
      <c r="K581" s="4">
        <f>INDEX(Data_products!$A$1:$G$49, MATCH(Data_orders!$D581,Data_products!$A$1:$A$49,0), MATCH(Data_orders!K$1,Data_products!$A$1:$G$1,0))</f>
        <v>0.5</v>
      </c>
      <c r="L581">
        <f>INDEX(Data_products!$A$1:$G$49, MATCH(Data_orders!$D581,Data_products!$A$1:$A$49,0), MATCH(Data_orders!L$1,Data_products!$A$1:$G$1,0))</f>
        <v>6.75</v>
      </c>
      <c r="M581">
        <f t="shared" si="18"/>
        <v>33.75</v>
      </c>
      <c r="N581" t="str" cm="1">
        <f t="array" ref="N581">_xlfn.IFS(I581 = "Rob", "Robusta", I581 = "Exc", "Excelsa", I581 = "Ara", "Arabica", I581 = "Lib", "Liberica")</f>
        <v>Arabica</v>
      </c>
      <c r="O581" t="str">
        <f t="shared" si="19"/>
        <v>Medium</v>
      </c>
      <c r="P581" t="str">
        <f>_xlfn.XLOOKUP(Table1[[#This Row],[Customer ID]],Data_customers!$A$2:$A$1001,Data_customers!$I$2:$I$1001,,0)</f>
        <v>No</v>
      </c>
    </row>
    <row r="582" spans="1:16" x14ac:dyDescent="0.2">
      <c r="A582" s="2" t="s">
        <v>3767</v>
      </c>
      <c r="B582" s="3">
        <v>43965</v>
      </c>
      <c r="C582" s="2" t="s">
        <v>3768</v>
      </c>
      <c r="D582" t="s">
        <v>6171</v>
      </c>
      <c r="E582" s="2">
        <v>3</v>
      </c>
      <c r="F582" s="2" t="str">
        <f>_xlfn.XLOOKUP(Data_orders!C582,Data_customers!$A$1:$A$1001,Data_customers!$B$1:$B$1001,,0)</f>
        <v>Reinaldos Kirtley</v>
      </c>
      <c r="G582" s="2" t="str">
        <f>IF(_xlfn.XLOOKUP(C582,Data_customers!$A$1:$A$1001,Data_customers!$C$1:$C$1001,,0)=0,"",_xlfn.XLOOKUP(C582,Data_customers!$A$1:$A$1001,Data_customers!$C$1:$C$1001,,0))</f>
        <v>rkirtleyg4@hatena.ne.jp</v>
      </c>
      <c r="H582" s="2" t="str">
        <f>_xlfn.XLOOKUP(C582,Data_customers!$A$1:$A$1001,Data_customers!$G$1:$G$1001,"",0)</f>
        <v>United States</v>
      </c>
      <c r="I582" t="str">
        <f>INDEX(Data_products!$A$1:$G$49, MATCH(Data_orders!$D582,Data_products!$A$1:$A$49,0), MATCH(Data_orders!I$1,Data_products!$A$1:$G$1,0))</f>
        <v>Exc</v>
      </c>
      <c r="J582" t="str">
        <f>INDEX(Data_products!$A$1:$G$49, MATCH(Data_orders!$D582,Data_products!$A$1:$A$49,0), MATCH(Data_orders!J$1,Data_products!$A$1:$G$1,0))</f>
        <v>L</v>
      </c>
      <c r="K582" s="4">
        <f>INDEX(Data_products!$A$1:$G$49, MATCH(Data_orders!$D582,Data_products!$A$1:$A$49,0), MATCH(Data_orders!K$1,Data_products!$A$1:$G$1,0))</f>
        <v>1</v>
      </c>
      <c r="L582">
        <f>INDEX(Data_products!$A$1:$G$49, MATCH(Data_orders!$D582,Data_products!$A$1:$A$49,0), MATCH(Data_orders!L$1,Data_products!$A$1:$G$1,0))</f>
        <v>14.85</v>
      </c>
      <c r="M582">
        <f t="shared" si="18"/>
        <v>44.55</v>
      </c>
      <c r="N582" t="str" cm="1">
        <f t="array" ref="N582">_xlfn.IFS(I582 = "Rob", "Robusta", I582 = "Exc", "Excelsa", I582 = "Ara", "Arabica", I582 = "Lib", "Liberica")</f>
        <v>Excelsa</v>
      </c>
      <c r="O582" t="str">
        <f t="shared" si="19"/>
        <v>Light</v>
      </c>
      <c r="P582" t="str">
        <f>_xlfn.XLOOKUP(Table1[[#This Row],[Customer ID]],Data_customers!$A$2:$A$1001,Data_customers!$I$2:$I$1001,,0)</f>
        <v>Yes</v>
      </c>
    </row>
    <row r="583" spans="1:16" x14ac:dyDescent="0.2">
      <c r="A583" s="2" t="s">
        <v>3773</v>
      </c>
      <c r="B583" s="3">
        <v>44190</v>
      </c>
      <c r="C583" s="2" t="s">
        <v>3774</v>
      </c>
      <c r="D583" t="s">
        <v>6176</v>
      </c>
      <c r="E583" s="2">
        <v>5</v>
      </c>
      <c r="F583" s="2" t="str">
        <f>_xlfn.XLOOKUP(Data_orders!C583,Data_customers!$A$1:$A$1001,Data_customers!$B$1:$B$1001,,0)</f>
        <v>Carney Clemencet</v>
      </c>
      <c r="G583" s="2" t="str">
        <f>IF(_xlfn.XLOOKUP(C583,Data_customers!$A$1:$A$1001,Data_customers!$C$1:$C$1001,,0)=0,"",_xlfn.XLOOKUP(C583,Data_customers!$A$1:$A$1001,Data_customers!$C$1:$C$1001,,0))</f>
        <v>cclemencetg5@weather.com</v>
      </c>
      <c r="H583" s="2" t="str">
        <f>_xlfn.XLOOKUP(C583,Data_customers!$A$1:$A$1001,Data_customers!$G$1:$G$1001,"",0)</f>
        <v>United Kingdom</v>
      </c>
      <c r="I583" t="str">
        <f>INDEX(Data_products!$A$1:$G$49, MATCH(Data_orders!$D583,Data_products!$A$1:$A$49,0), MATCH(Data_orders!I$1,Data_products!$A$1:$G$1,0))</f>
        <v>Exc</v>
      </c>
      <c r="J583" t="str">
        <f>INDEX(Data_products!$A$1:$G$49, MATCH(Data_orders!$D583,Data_products!$A$1:$A$49,0), MATCH(Data_orders!J$1,Data_products!$A$1:$G$1,0))</f>
        <v>L</v>
      </c>
      <c r="K583" s="4">
        <f>INDEX(Data_products!$A$1:$G$49, MATCH(Data_orders!$D583,Data_products!$A$1:$A$49,0), MATCH(Data_orders!K$1,Data_products!$A$1:$G$1,0))</f>
        <v>0.5</v>
      </c>
      <c r="L583">
        <f>INDEX(Data_products!$A$1:$G$49, MATCH(Data_orders!$D583,Data_products!$A$1:$A$49,0), MATCH(Data_orders!L$1,Data_products!$A$1:$G$1,0))</f>
        <v>8.91</v>
      </c>
      <c r="M583">
        <f t="shared" si="18"/>
        <v>44.55</v>
      </c>
      <c r="N583" t="str" cm="1">
        <f t="array" ref="N583">_xlfn.IFS(I583 = "Rob", "Robusta", I583 = "Exc", "Excelsa", I583 = "Ara", "Arabica", I583 = "Lib", "Liberica")</f>
        <v>Excelsa</v>
      </c>
      <c r="O583" t="str">
        <f t="shared" si="19"/>
        <v>Light</v>
      </c>
      <c r="P583" t="str">
        <f>_xlfn.XLOOKUP(Table1[[#This Row],[Customer ID]],Data_customers!$A$2:$A$1001,Data_customers!$I$2:$I$1001,,0)</f>
        <v>Yes</v>
      </c>
    </row>
    <row r="584" spans="1:16" x14ac:dyDescent="0.2">
      <c r="A584" s="2" t="s">
        <v>3778</v>
      </c>
      <c r="B584" s="3">
        <v>44382</v>
      </c>
      <c r="C584" s="2" t="s">
        <v>3779</v>
      </c>
      <c r="D584" t="s">
        <v>6183</v>
      </c>
      <c r="E584" s="2">
        <v>5</v>
      </c>
      <c r="F584" s="2" t="str">
        <f>_xlfn.XLOOKUP(Data_orders!C584,Data_customers!$A$1:$A$1001,Data_customers!$B$1:$B$1001,,0)</f>
        <v>Russell Donet</v>
      </c>
      <c r="G584" s="2" t="str">
        <f>IF(_xlfn.XLOOKUP(C584,Data_customers!$A$1:$A$1001,Data_customers!$C$1:$C$1001,,0)=0,"",_xlfn.XLOOKUP(C584,Data_customers!$A$1:$A$1001,Data_customers!$C$1:$C$1001,,0))</f>
        <v>rdonetg6@oakley.com</v>
      </c>
      <c r="H584" s="2" t="str">
        <f>_xlfn.XLOOKUP(C584,Data_customers!$A$1:$A$1001,Data_customers!$G$1:$G$1001,"",0)</f>
        <v>United States</v>
      </c>
      <c r="I584" t="str">
        <f>INDEX(Data_products!$A$1:$G$49, MATCH(Data_orders!$D584,Data_products!$A$1:$A$49,0), MATCH(Data_orders!I$1,Data_products!$A$1:$G$1,0))</f>
        <v>Exc</v>
      </c>
      <c r="J584" t="str">
        <f>INDEX(Data_products!$A$1:$G$49, MATCH(Data_orders!$D584,Data_products!$A$1:$A$49,0), MATCH(Data_orders!J$1,Data_products!$A$1:$G$1,0))</f>
        <v>D</v>
      </c>
      <c r="K584" s="4">
        <f>INDEX(Data_products!$A$1:$G$49, MATCH(Data_orders!$D584,Data_products!$A$1:$A$49,0), MATCH(Data_orders!K$1,Data_products!$A$1:$G$1,0))</f>
        <v>1</v>
      </c>
      <c r="L584">
        <f>INDEX(Data_products!$A$1:$G$49, MATCH(Data_orders!$D584,Data_products!$A$1:$A$49,0), MATCH(Data_orders!L$1,Data_products!$A$1:$G$1,0))</f>
        <v>12.15</v>
      </c>
      <c r="M584">
        <f t="shared" si="18"/>
        <v>60.75</v>
      </c>
      <c r="N584" t="str" cm="1">
        <f t="array" ref="N584">_xlfn.IFS(I584 = "Rob", "Robusta", I584 = "Exc", "Excelsa", I584 = "Ara", "Arabica", I584 = "Lib", "Liberica")</f>
        <v>Excelsa</v>
      </c>
      <c r="O584" t="str">
        <f t="shared" si="19"/>
        <v>Dark</v>
      </c>
      <c r="P584" t="str">
        <f>_xlfn.XLOOKUP(Table1[[#This Row],[Customer ID]],Data_customers!$A$2:$A$1001,Data_customers!$I$2:$I$1001,,0)</f>
        <v>No</v>
      </c>
    </row>
    <row r="585" spans="1:16" x14ac:dyDescent="0.2">
      <c r="A585" s="2" t="s">
        <v>3784</v>
      </c>
      <c r="B585" s="3">
        <v>43538</v>
      </c>
      <c r="C585" s="2" t="s">
        <v>3785</v>
      </c>
      <c r="D585" t="s">
        <v>6178</v>
      </c>
      <c r="E585" s="2">
        <v>1</v>
      </c>
      <c r="F585" s="2" t="str">
        <f>_xlfn.XLOOKUP(Data_orders!C585,Data_customers!$A$1:$A$1001,Data_customers!$B$1:$B$1001,,0)</f>
        <v>Sidney Gawen</v>
      </c>
      <c r="G585" s="2" t="str">
        <f>IF(_xlfn.XLOOKUP(C585,Data_customers!$A$1:$A$1001,Data_customers!$C$1:$C$1001,,0)=0,"",_xlfn.XLOOKUP(C585,Data_customers!$A$1:$A$1001,Data_customers!$C$1:$C$1001,,0))</f>
        <v>sgaweng7@creativecommons.org</v>
      </c>
      <c r="H585" s="2" t="str">
        <f>_xlfn.XLOOKUP(C585,Data_customers!$A$1:$A$1001,Data_customers!$G$1:$G$1001,"",0)</f>
        <v>United States</v>
      </c>
      <c r="I585" t="str">
        <f>INDEX(Data_products!$A$1:$G$49, MATCH(Data_orders!$D585,Data_products!$A$1:$A$49,0), MATCH(Data_orders!I$1,Data_products!$A$1:$G$1,0))</f>
        <v>Rob</v>
      </c>
      <c r="J585" t="str">
        <f>INDEX(Data_products!$A$1:$G$49, MATCH(Data_orders!$D585,Data_products!$A$1:$A$49,0), MATCH(Data_orders!J$1,Data_products!$A$1:$G$1,0))</f>
        <v>L</v>
      </c>
      <c r="K585" s="4">
        <f>INDEX(Data_products!$A$1:$G$49, MATCH(Data_orders!$D585,Data_products!$A$1:$A$49,0), MATCH(Data_orders!K$1,Data_products!$A$1:$G$1,0))</f>
        <v>0.2</v>
      </c>
      <c r="L585">
        <f>INDEX(Data_products!$A$1:$G$49, MATCH(Data_orders!$D585,Data_products!$A$1:$A$49,0), MATCH(Data_orders!L$1,Data_products!$A$1:$G$1,0))</f>
        <v>3.5849999999999995</v>
      </c>
      <c r="M585">
        <f t="shared" si="18"/>
        <v>3.5849999999999995</v>
      </c>
      <c r="N585" t="str" cm="1">
        <f t="array" ref="N585">_xlfn.IFS(I585 = "Rob", "Robusta", I585 = "Exc", "Excelsa", I585 = "Ara", "Arabica", I585 = "Lib", "Liberica")</f>
        <v>Robusta</v>
      </c>
      <c r="O585" t="str">
        <f t="shared" si="19"/>
        <v>Light</v>
      </c>
      <c r="P585" t="str">
        <f>_xlfn.XLOOKUP(Table1[[#This Row],[Customer ID]],Data_customers!$A$2:$A$1001,Data_customers!$I$2:$I$1001,,0)</f>
        <v>Yes</v>
      </c>
    </row>
    <row r="586" spans="1:16" x14ac:dyDescent="0.2">
      <c r="A586" s="2" t="s">
        <v>3790</v>
      </c>
      <c r="B586" s="3">
        <v>44262</v>
      </c>
      <c r="C586" s="2" t="s">
        <v>3791</v>
      </c>
      <c r="D586" t="s">
        <v>6178</v>
      </c>
      <c r="E586" s="2">
        <v>6</v>
      </c>
      <c r="F586" s="2" t="str">
        <f>_xlfn.XLOOKUP(Data_orders!C586,Data_customers!$A$1:$A$1001,Data_customers!$B$1:$B$1001,,0)</f>
        <v>Rickey Readie</v>
      </c>
      <c r="G586" s="2" t="str">
        <f>IF(_xlfn.XLOOKUP(C586,Data_customers!$A$1:$A$1001,Data_customers!$C$1:$C$1001,,0)=0,"",_xlfn.XLOOKUP(C586,Data_customers!$A$1:$A$1001,Data_customers!$C$1:$C$1001,,0))</f>
        <v>rreadieg8@guardian.co.uk</v>
      </c>
      <c r="H586" s="2" t="str">
        <f>_xlfn.XLOOKUP(C586,Data_customers!$A$1:$A$1001,Data_customers!$G$1:$G$1001,"",0)</f>
        <v>United States</v>
      </c>
      <c r="I586" t="str">
        <f>INDEX(Data_products!$A$1:$G$49, MATCH(Data_orders!$D586,Data_products!$A$1:$A$49,0), MATCH(Data_orders!I$1,Data_products!$A$1:$G$1,0))</f>
        <v>Rob</v>
      </c>
      <c r="J586" t="str">
        <f>INDEX(Data_products!$A$1:$G$49, MATCH(Data_orders!$D586,Data_products!$A$1:$A$49,0), MATCH(Data_orders!J$1,Data_products!$A$1:$G$1,0))</f>
        <v>L</v>
      </c>
      <c r="K586" s="4">
        <f>INDEX(Data_products!$A$1:$G$49, MATCH(Data_orders!$D586,Data_products!$A$1:$A$49,0), MATCH(Data_orders!K$1,Data_products!$A$1:$G$1,0))</f>
        <v>0.2</v>
      </c>
      <c r="L586">
        <f>INDEX(Data_products!$A$1:$G$49, MATCH(Data_orders!$D586,Data_products!$A$1:$A$49,0), MATCH(Data_orders!L$1,Data_products!$A$1:$G$1,0))</f>
        <v>3.5849999999999995</v>
      </c>
      <c r="M586">
        <f t="shared" si="18"/>
        <v>21.509999999999998</v>
      </c>
      <c r="N586" t="str" cm="1">
        <f t="array" ref="N586">_xlfn.IFS(I586 = "Rob", "Robusta", I586 = "Exc", "Excelsa", I586 = "Ara", "Arabica", I586 = "Lib", "Liberica")</f>
        <v>Robusta</v>
      </c>
      <c r="O586" t="str">
        <f t="shared" si="19"/>
        <v>Light</v>
      </c>
      <c r="P586" t="str">
        <f>_xlfn.XLOOKUP(Table1[[#This Row],[Customer ID]],Data_customers!$A$2:$A$1001,Data_customers!$I$2:$I$1001,,0)</f>
        <v>No</v>
      </c>
    </row>
    <row r="587" spans="1:16" x14ac:dyDescent="0.2">
      <c r="A587" s="2" t="s">
        <v>3796</v>
      </c>
      <c r="B587" s="3">
        <v>44505</v>
      </c>
      <c r="C587" s="2" t="s">
        <v>3840</v>
      </c>
      <c r="D587" t="s">
        <v>6139</v>
      </c>
      <c r="E587" s="2">
        <v>2</v>
      </c>
      <c r="F587" s="2" t="str">
        <f>_xlfn.XLOOKUP(Data_orders!C587,Data_customers!$A$1:$A$1001,Data_customers!$B$1:$B$1001,,0)</f>
        <v>Cody Verissimo</v>
      </c>
      <c r="G587" s="2" t="str">
        <f>IF(_xlfn.XLOOKUP(C587,Data_customers!$A$1:$A$1001,Data_customers!$C$1:$C$1001,,0)=0,"",_xlfn.XLOOKUP(C587,Data_customers!$A$1:$A$1001,Data_customers!$C$1:$C$1001,,0))</f>
        <v>cverissimogh@theglobeandmail.com</v>
      </c>
      <c r="H587" s="2" t="str">
        <f>_xlfn.XLOOKUP(C587,Data_customers!$A$1:$A$1001,Data_customers!$G$1:$G$1001,"",0)</f>
        <v>United Kingdom</v>
      </c>
      <c r="I587" t="str">
        <f>INDEX(Data_products!$A$1:$G$49, MATCH(Data_orders!$D587,Data_products!$A$1:$A$49,0), MATCH(Data_orders!I$1,Data_products!$A$1:$G$1,0))</f>
        <v>Exc</v>
      </c>
      <c r="J587" t="str">
        <f>INDEX(Data_products!$A$1:$G$49, MATCH(Data_orders!$D587,Data_products!$A$1:$A$49,0), MATCH(Data_orders!J$1,Data_products!$A$1:$G$1,0))</f>
        <v>M</v>
      </c>
      <c r="K587" s="4">
        <f>INDEX(Data_products!$A$1:$G$49, MATCH(Data_orders!$D587,Data_products!$A$1:$A$49,0), MATCH(Data_orders!K$1,Data_products!$A$1:$G$1,0))</f>
        <v>0.5</v>
      </c>
      <c r="L587">
        <f>INDEX(Data_products!$A$1:$G$49, MATCH(Data_orders!$D587,Data_products!$A$1:$A$49,0), MATCH(Data_orders!L$1,Data_products!$A$1:$G$1,0))</f>
        <v>8.25</v>
      </c>
      <c r="M587">
        <f t="shared" si="18"/>
        <v>16.5</v>
      </c>
      <c r="N587" t="str" cm="1">
        <f t="array" ref="N587">_xlfn.IFS(I587 = "Rob", "Robusta", I587 = "Exc", "Excelsa", I587 = "Ara", "Arabica", I587 = "Lib", "Liberica")</f>
        <v>Excelsa</v>
      </c>
      <c r="O587" t="str">
        <f t="shared" si="19"/>
        <v>Medium</v>
      </c>
      <c r="P587" t="str">
        <f>_xlfn.XLOOKUP(Table1[[#This Row],[Customer ID]],Data_customers!$A$2:$A$1001,Data_customers!$I$2:$I$1001,,0)</f>
        <v>Yes</v>
      </c>
    </row>
    <row r="588" spans="1:16" x14ac:dyDescent="0.2">
      <c r="A588" s="2" t="s">
        <v>3802</v>
      </c>
      <c r="B588" s="3">
        <v>43867</v>
      </c>
      <c r="C588" s="2" t="s">
        <v>3803</v>
      </c>
      <c r="D588" t="s">
        <v>6142</v>
      </c>
      <c r="E588" s="2">
        <v>3</v>
      </c>
      <c r="F588" s="2" t="str">
        <f>_xlfn.XLOOKUP(Data_orders!C588,Data_customers!$A$1:$A$1001,Data_customers!$B$1:$B$1001,,0)</f>
        <v>Zilvia Claisse</v>
      </c>
      <c r="G588" s="2" t="str">
        <f>IF(_xlfn.XLOOKUP(C588,Data_customers!$A$1:$A$1001,Data_customers!$C$1:$C$1001,,0)=0,"",_xlfn.XLOOKUP(C588,Data_customers!$A$1:$A$1001,Data_customers!$C$1:$C$1001,,0))</f>
        <v/>
      </c>
      <c r="H588" s="2" t="str">
        <f>_xlfn.XLOOKUP(C588,Data_customers!$A$1:$A$1001,Data_customers!$G$1:$G$1001,"",0)</f>
        <v>United States</v>
      </c>
      <c r="I588" t="str">
        <f>INDEX(Data_products!$A$1:$G$49, MATCH(Data_orders!$D588,Data_products!$A$1:$A$49,0), MATCH(Data_orders!I$1,Data_products!$A$1:$G$1,0))</f>
        <v>Rob</v>
      </c>
      <c r="J588" t="str">
        <f>INDEX(Data_products!$A$1:$G$49, MATCH(Data_orders!$D588,Data_products!$A$1:$A$49,0), MATCH(Data_orders!J$1,Data_products!$A$1:$G$1,0))</f>
        <v>L</v>
      </c>
      <c r="K588" s="4">
        <f>INDEX(Data_products!$A$1:$G$49, MATCH(Data_orders!$D588,Data_products!$A$1:$A$49,0), MATCH(Data_orders!K$1,Data_products!$A$1:$G$1,0))</f>
        <v>2.5</v>
      </c>
      <c r="L588">
        <f>INDEX(Data_products!$A$1:$G$49, MATCH(Data_orders!$D588,Data_products!$A$1:$A$49,0), MATCH(Data_orders!L$1,Data_products!$A$1:$G$1,0))</f>
        <v>27.484999999999996</v>
      </c>
      <c r="M588">
        <f t="shared" si="18"/>
        <v>82.454999999999984</v>
      </c>
      <c r="N588" t="str" cm="1">
        <f t="array" ref="N588">_xlfn.IFS(I588 = "Rob", "Robusta", I588 = "Exc", "Excelsa", I588 = "Ara", "Arabica", I588 = "Lib", "Liberica")</f>
        <v>Robusta</v>
      </c>
      <c r="O588" t="str">
        <f t="shared" si="19"/>
        <v>Light</v>
      </c>
      <c r="P588" t="str">
        <f>_xlfn.XLOOKUP(Table1[[#This Row],[Customer ID]],Data_customers!$A$2:$A$1001,Data_customers!$I$2:$I$1001,,0)</f>
        <v>No</v>
      </c>
    </row>
    <row r="589" spans="1:16" x14ac:dyDescent="0.2">
      <c r="A589" s="2" t="s">
        <v>3807</v>
      </c>
      <c r="B589" s="3">
        <v>44267</v>
      </c>
      <c r="C589" s="2" t="s">
        <v>3808</v>
      </c>
      <c r="D589" t="s">
        <v>6169</v>
      </c>
      <c r="E589" s="2">
        <v>1</v>
      </c>
      <c r="F589" s="2" t="str">
        <f>_xlfn.XLOOKUP(Data_orders!C589,Data_customers!$A$1:$A$1001,Data_customers!$B$1:$B$1001,,0)</f>
        <v>Bar O' Mahony</v>
      </c>
      <c r="G589" s="2" t="str">
        <f>IF(_xlfn.XLOOKUP(C589,Data_customers!$A$1:$A$1001,Data_customers!$C$1:$C$1001,,0)=0,"",_xlfn.XLOOKUP(C589,Data_customers!$A$1:$A$1001,Data_customers!$C$1:$C$1001,,0))</f>
        <v>bogb@elpais.com</v>
      </c>
      <c r="H589" s="2" t="str">
        <f>_xlfn.XLOOKUP(C589,Data_customers!$A$1:$A$1001,Data_customers!$G$1:$G$1001,"",0)</f>
        <v>United States</v>
      </c>
      <c r="I589" t="str">
        <f>INDEX(Data_products!$A$1:$G$49, MATCH(Data_orders!$D589,Data_products!$A$1:$A$49,0), MATCH(Data_orders!I$1,Data_products!$A$1:$G$1,0))</f>
        <v>Lib</v>
      </c>
      <c r="J589" t="str">
        <f>INDEX(Data_products!$A$1:$G$49, MATCH(Data_orders!$D589,Data_products!$A$1:$A$49,0), MATCH(Data_orders!J$1,Data_products!$A$1:$G$1,0))</f>
        <v>D</v>
      </c>
      <c r="K589" s="4">
        <f>INDEX(Data_products!$A$1:$G$49, MATCH(Data_orders!$D589,Data_products!$A$1:$A$49,0), MATCH(Data_orders!K$1,Data_products!$A$1:$G$1,0))</f>
        <v>0.5</v>
      </c>
      <c r="L589">
        <f>INDEX(Data_products!$A$1:$G$49, MATCH(Data_orders!$D589,Data_products!$A$1:$A$49,0), MATCH(Data_orders!L$1,Data_products!$A$1:$G$1,0))</f>
        <v>7.77</v>
      </c>
      <c r="M589">
        <f t="shared" si="18"/>
        <v>7.77</v>
      </c>
      <c r="N589" t="str" cm="1">
        <f t="array" ref="N589">_xlfn.IFS(I589 = "Rob", "Robusta", I589 = "Exc", "Excelsa", I589 = "Ara", "Arabica", I589 = "Lib", "Liberica")</f>
        <v>Liberica</v>
      </c>
      <c r="O589" t="str">
        <f t="shared" si="19"/>
        <v>Dark</v>
      </c>
      <c r="P589" t="str">
        <f>_xlfn.XLOOKUP(Table1[[#This Row],[Customer ID]],Data_customers!$A$2:$A$1001,Data_customers!$I$2:$I$1001,,0)</f>
        <v>Yes</v>
      </c>
    </row>
    <row r="590" spans="1:16" x14ac:dyDescent="0.2">
      <c r="A590" s="2" t="s">
        <v>3812</v>
      </c>
      <c r="B590" s="3">
        <v>44046</v>
      </c>
      <c r="C590" s="2" t="s">
        <v>3813</v>
      </c>
      <c r="D590" t="s">
        <v>6146</v>
      </c>
      <c r="E590" s="2">
        <v>2</v>
      </c>
      <c r="F590" s="2" t="str">
        <f>_xlfn.XLOOKUP(Data_orders!C590,Data_customers!$A$1:$A$1001,Data_customers!$B$1:$B$1001,,0)</f>
        <v>Valenka Stansbury</v>
      </c>
      <c r="G590" s="2" t="str">
        <f>IF(_xlfn.XLOOKUP(C590,Data_customers!$A$1:$A$1001,Data_customers!$C$1:$C$1001,,0)=0,"",_xlfn.XLOOKUP(C590,Data_customers!$A$1:$A$1001,Data_customers!$C$1:$C$1001,,0))</f>
        <v>vstansburygc@unblog.fr</v>
      </c>
      <c r="H590" s="2" t="str">
        <f>_xlfn.XLOOKUP(C590,Data_customers!$A$1:$A$1001,Data_customers!$G$1:$G$1001,"",0)</f>
        <v>United States</v>
      </c>
      <c r="I590" t="str">
        <f>INDEX(Data_products!$A$1:$G$49, MATCH(Data_orders!$D590,Data_products!$A$1:$A$49,0), MATCH(Data_orders!I$1,Data_products!$A$1:$G$1,0))</f>
        <v>Rob</v>
      </c>
      <c r="J590" t="str">
        <f>INDEX(Data_products!$A$1:$G$49, MATCH(Data_orders!$D590,Data_products!$A$1:$A$49,0), MATCH(Data_orders!J$1,Data_products!$A$1:$G$1,0))</f>
        <v>M</v>
      </c>
      <c r="K590" s="4">
        <f>INDEX(Data_products!$A$1:$G$49, MATCH(Data_orders!$D590,Data_products!$A$1:$A$49,0), MATCH(Data_orders!K$1,Data_products!$A$1:$G$1,0))</f>
        <v>0.5</v>
      </c>
      <c r="L590">
        <f>INDEX(Data_products!$A$1:$G$49, MATCH(Data_orders!$D590,Data_products!$A$1:$A$49,0), MATCH(Data_orders!L$1,Data_products!$A$1:$G$1,0))</f>
        <v>5.97</v>
      </c>
      <c r="M590">
        <f t="shared" si="18"/>
        <v>11.94</v>
      </c>
      <c r="N590" t="str" cm="1">
        <f t="array" ref="N590">_xlfn.IFS(I590 = "Rob", "Robusta", I590 = "Exc", "Excelsa", I590 = "Ara", "Arabica", I590 = "Lib", "Liberica")</f>
        <v>Robusta</v>
      </c>
      <c r="O590" t="str">
        <f t="shared" si="19"/>
        <v>Medium</v>
      </c>
      <c r="P590" t="str">
        <f>_xlfn.XLOOKUP(Table1[[#This Row],[Customer ID]],Data_customers!$A$2:$A$1001,Data_customers!$I$2:$I$1001,,0)</f>
        <v>Yes</v>
      </c>
    </row>
    <row r="591" spans="1:16" x14ac:dyDescent="0.2">
      <c r="A591" s="2" t="s">
        <v>3818</v>
      </c>
      <c r="B591" s="3">
        <v>43671</v>
      </c>
      <c r="C591" s="2" t="s">
        <v>3819</v>
      </c>
      <c r="D591" t="s">
        <v>6148</v>
      </c>
      <c r="E591" s="2">
        <v>6</v>
      </c>
      <c r="F591" s="2" t="str">
        <f>_xlfn.XLOOKUP(Data_orders!C591,Data_customers!$A$1:$A$1001,Data_customers!$B$1:$B$1001,,0)</f>
        <v>Daniel Heinonen</v>
      </c>
      <c r="G591" s="2" t="str">
        <f>IF(_xlfn.XLOOKUP(C591,Data_customers!$A$1:$A$1001,Data_customers!$C$1:$C$1001,,0)=0,"",_xlfn.XLOOKUP(C591,Data_customers!$A$1:$A$1001,Data_customers!$C$1:$C$1001,,0))</f>
        <v>dheinonengd@printfriendly.com</v>
      </c>
      <c r="H591" s="2" t="str">
        <f>_xlfn.XLOOKUP(C591,Data_customers!$A$1:$A$1001,Data_customers!$G$1:$G$1001,"",0)</f>
        <v>United States</v>
      </c>
      <c r="I591" t="str">
        <f>INDEX(Data_products!$A$1:$G$49, MATCH(Data_orders!$D591,Data_products!$A$1:$A$49,0), MATCH(Data_orders!I$1,Data_products!$A$1:$G$1,0))</f>
        <v>Exc</v>
      </c>
      <c r="J591" t="str">
        <f>INDEX(Data_products!$A$1:$G$49, MATCH(Data_orders!$D591,Data_products!$A$1:$A$49,0), MATCH(Data_orders!J$1,Data_products!$A$1:$G$1,0))</f>
        <v>L</v>
      </c>
      <c r="K591" s="4">
        <f>INDEX(Data_products!$A$1:$G$49, MATCH(Data_orders!$D591,Data_products!$A$1:$A$49,0), MATCH(Data_orders!K$1,Data_products!$A$1:$G$1,0))</f>
        <v>2.5</v>
      </c>
      <c r="L591">
        <f>INDEX(Data_products!$A$1:$G$49, MATCH(Data_orders!$D591,Data_products!$A$1:$A$49,0), MATCH(Data_orders!L$1,Data_products!$A$1:$G$1,0))</f>
        <v>34.154999999999994</v>
      </c>
      <c r="M591">
        <f t="shared" si="18"/>
        <v>204.92999999999995</v>
      </c>
      <c r="N591" t="str" cm="1">
        <f t="array" ref="N591">_xlfn.IFS(I591 = "Rob", "Robusta", I591 = "Exc", "Excelsa", I591 = "Ara", "Arabica", I591 = "Lib", "Liberica")</f>
        <v>Excelsa</v>
      </c>
      <c r="O591" t="str">
        <f t="shared" si="19"/>
        <v>Light</v>
      </c>
      <c r="P591" t="str">
        <f>_xlfn.XLOOKUP(Table1[[#This Row],[Customer ID]],Data_customers!$A$2:$A$1001,Data_customers!$I$2:$I$1001,,0)</f>
        <v>No</v>
      </c>
    </row>
    <row r="592" spans="1:16" x14ac:dyDescent="0.2">
      <c r="A592" s="2" t="s">
        <v>3823</v>
      </c>
      <c r="B592" s="3">
        <v>43950</v>
      </c>
      <c r="C592" s="2" t="s">
        <v>3824</v>
      </c>
      <c r="D592" t="s">
        <v>6166</v>
      </c>
      <c r="E592" s="2">
        <v>2</v>
      </c>
      <c r="F592" s="2" t="str">
        <f>_xlfn.XLOOKUP(Data_orders!C592,Data_customers!$A$1:$A$1001,Data_customers!$B$1:$B$1001,,0)</f>
        <v>Jewelle Shenton</v>
      </c>
      <c r="G592" s="2" t="str">
        <f>IF(_xlfn.XLOOKUP(C592,Data_customers!$A$1:$A$1001,Data_customers!$C$1:$C$1001,,0)=0,"",_xlfn.XLOOKUP(C592,Data_customers!$A$1:$A$1001,Data_customers!$C$1:$C$1001,,0))</f>
        <v>jshentonge@google.com.hk</v>
      </c>
      <c r="H592" s="2" t="str">
        <f>_xlfn.XLOOKUP(C592,Data_customers!$A$1:$A$1001,Data_customers!$G$1:$G$1001,"",0)</f>
        <v>United States</v>
      </c>
      <c r="I592" t="str">
        <f>INDEX(Data_products!$A$1:$G$49, MATCH(Data_orders!$D592,Data_products!$A$1:$A$49,0), MATCH(Data_orders!I$1,Data_products!$A$1:$G$1,0))</f>
        <v>Exc</v>
      </c>
      <c r="J592" t="str">
        <f>INDEX(Data_products!$A$1:$G$49, MATCH(Data_orders!$D592,Data_products!$A$1:$A$49,0), MATCH(Data_orders!J$1,Data_products!$A$1:$G$1,0))</f>
        <v>M</v>
      </c>
      <c r="K592" s="4">
        <f>INDEX(Data_products!$A$1:$G$49, MATCH(Data_orders!$D592,Data_products!$A$1:$A$49,0), MATCH(Data_orders!K$1,Data_products!$A$1:$G$1,0))</f>
        <v>2.5</v>
      </c>
      <c r="L592">
        <f>INDEX(Data_products!$A$1:$G$49, MATCH(Data_orders!$D592,Data_products!$A$1:$A$49,0), MATCH(Data_orders!L$1,Data_products!$A$1:$G$1,0))</f>
        <v>31.624999999999996</v>
      </c>
      <c r="M592">
        <f t="shared" si="18"/>
        <v>63.249999999999993</v>
      </c>
      <c r="N592" t="str" cm="1">
        <f t="array" ref="N592">_xlfn.IFS(I592 = "Rob", "Robusta", I592 = "Exc", "Excelsa", I592 = "Ara", "Arabica", I592 = "Lib", "Liberica")</f>
        <v>Excelsa</v>
      </c>
      <c r="O592" t="str">
        <f t="shared" si="19"/>
        <v>Medium</v>
      </c>
      <c r="P592" t="str">
        <f>_xlfn.XLOOKUP(Table1[[#This Row],[Customer ID]],Data_customers!$A$2:$A$1001,Data_customers!$I$2:$I$1001,,0)</f>
        <v>Yes</v>
      </c>
    </row>
    <row r="593" spans="1:16" x14ac:dyDescent="0.2">
      <c r="A593" s="2" t="s">
        <v>3829</v>
      </c>
      <c r="B593" s="3">
        <v>43587</v>
      </c>
      <c r="C593" s="2" t="s">
        <v>3830</v>
      </c>
      <c r="D593" t="s">
        <v>6163</v>
      </c>
      <c r="E593" s="2">
        <v>3</v>
      </c>
      <c r="F593" s="2" t="str">
        <f>_xlfn.XLOOKUP(Data_orders!C593,Data_customers!$A$1:$A$1001,Data_customers!$B$1:$B$1001,,0)</f>
        <v>Jennifer Wilkisson</v>
      </c>
      <c r="G593" s="2" t="str">
        <f>IF(_xlfn.XLOOKUP(C593,Data_customers!$A$1:$A$1001,Data_customers!$C$1:$C$1001,,0)=0,"",_xlfn.XLOOKUP(C593,Data_customers!$A$1:$A$1001,Data_customers!$C$1:$C$1001,,0))</f>
        <v>jwilkissongf@nba.com</v>
      </c>
      <c r="H593" s="2" t="str">
        <f>_xlfn.XLOOKUP(C593,Data_customers!$A$1:$A$1001,Data_customers!$G$1:$G$1001,"",0)</f>
        <v>United States</v>
      </c>
      <c r="I593" t="str">
        <f>INDEX(Data_products!$A$1:$G$49, MATCH(Data_orders!$D593,Data_products!$A$1:$A$49,0), MATCH(Data_orders!I$1,Data_products!$A$1:$G$1,0))</f>
        <v>Rob</v>
      </c>
      <c r="J593" t="str">
        <f>INDEX(Data_products!$A$1:$G$49, MATCH(Data_orders!$D593,Data_products!$A$1:$A$49,0), MATCH(Data_orders!J$1,Data_products!$A$1:$G$1,0))</f>
        <v>D</v>
      </c>
      <c r="K593" s="4">
        <f>INDEX(Data_products!$A$1:$G$49, MATCH(Data_orders!$D593,Data_products!$A$1:$A$49,0), MATCH(Data_orders!K$1,Data_products!$A$1:$G$1,0))</f>
        <v>0.2</v>
      </c>
      <c r="L593">
        <f>INDEX(Data_products!$A$1:$G$49, MATCH(Data_orders!$D593,Data_products!$A$1:$A$49,0), MATCH(Data_orders!L$1,Data_products!$A$1:$G$1,0))</f>
        <v>2.6849999999999996</v>
      </c>
      <c r="M593">
        <f t="shared" si="18"/>
        <v>8.0549999999999997</v>
      </c>
      <c r="N593" t="str" cm="1">
        <f t="array" ref="N593">_xlfn.IFS(I593 = "Rob", "Robusta", I593 = "Exc", "Excelsa", I593 = "Ara", "Arabica", I593 = "Lib", "Liberica")</f>
        <v>Robusta</v>
      </c>
      <c r="O593" t="str">
        <f t="shared" si="19"/>
        <v>Dark</v>
      </c>
      <c r="P593" t="str">
        <f>_xlfn.XLOOKUP(Table1[[#This Row],[Customer ID]],Data_customers!$A$2:$A$1001,Data_customers!$I$2:$I$1001,,0)</f>
        <v>Yes</v>
      </c>
    </row>
    <row r="594" spans="1:16" x14ac:dyDescent="0.2">
      <c r="A594" s="2" t="s">
        <v>3834</v>
      </c>
      <c r="B594" s="3">
        <v>44437</v>
      </c>
      <c r="C594" s="2" t="s">
        <v>3835</v>
      </c>
      <c r="D594" t="s">
        <v>6175</v>
      </c>
      <c r="E594" s="2">
        <v>2</v>
      </c>
      <c r="F594" s="2" t="str">
        <f>_xlfn.XLOOKUP(Data_orders!C594,Data_customers!$A$1:$A$1001,Data_customers!$B$1:$B$1001,,0)</f>
        <v>Kylie Mowat</v>
      </c>
      <c r="G594" s="2" t="str">
        <f>IF(_xlfn.XLOOKUP(C594,Data_customers!$A$1:$A$1001,Data_customers!$C$1:$C$1001,,0)=0,"",_xlfn.XLOOKUP(C594,Data_customers!$A$1:$A$1001,Data_customers!$C$1:$C$1001,,0))</f>
        <v/>
      </c>
      <c r="H594" s="2" t="str">
        <f>_xlfn.XLOOKUP(C594,Data_customers!$A$1:$A$1001,Data_customers!$G$1:$G$1001,"",0)</f>
        <v>United States</v>
      </c>
      <c r="I594" t="str">
        <f>INDEX(Data_products!$A$1:$G$49, MATCH(Data_orders!$D594,Data_products!$A$1:$A$49,0), MATCH(Data_orders!I$1,Data_products!$A$1:$G$1,0))</f>
        <v>Ara</v>
      </c>
      <c r="J594" t="str">
        <f>INDEX(Data_products!$A$1:$G$49, MATCH(Data_orders!$D594,Data_products!$A$1:$A$49,0), MATCH(Data_orders!J$1,Data_products!$A$1:$G$1,0))</f>
        <v>M</v>
      </c>
      <c r="K594" s="4">
        <f>INDEX(Data_products!$A$1:$G$49, MATCH(Data_orders!$D594,Data_products!$A$1:$A$49,0), MATCH(Data_orders!K$1,Data_products!$A$1:$G$1,0))</f>
        <v>2.5</v>
      </c>
      <c r="L594">
        <f>INDEX(Data_products!$A$1:$G$49, MATCH(Data_orders!$D594,Data_products!$A$1:$A$49,0), MATCH(Data_orders!L$1,Data_products!$A$1:$G$1,0))</f>
        <v>25.874999999999996</v>
      </c>
      <c r="M594">
        <f t="shared" si="18"/>
        <v>51.749999999999993</v>
      </c>
      <c r="N594" t="str" cm="1">
        <f t="array" ref="N594">_xlfn.IFS(I594 = "Rob", "Robusta", I594 = "Exc", "Excelsa", I594 = "Ara", "Arabica", I594 = "Lib", "Liberica")</f>
        <v>Arabica</v>
      </c>
      <c r="O594" t="str">
        <f t="shared" si="19"/>
        <v>Medium</v>
      </c>
      <c r="P594" t="str">
        <f>_xlfn.XLOOKUP(Table1[[#This Row],[Customer ID]],Data_customers!$A$2:$A$1001,Data_customers!$I$2:$I$1001,,0)</f>
        <v>No</v>
      </c>
    </row>
    <row r="595" spans="1:16" x14ac:dyDescent="0.2">
      <c r="A595" s="2" t="s">
        <v>3839</v>
      </c>
      <c r="B595" s="3">
        <v>43903</v>
      </c>
      <c r="C595" s="2" t="s">
        <v>3840</v>
      </c>
      <c r="D595" t="s">
        <v>6185</v>
      </c>
      <c r="E595" s="2">
        <v>1</v>
      </c>
      <c r="F595" s="2" t="str">
        <f>_xlfn.XLOOKUP(Data_orders!C595,Data_customers!$A$1:$A$1001,Data_customers!$B$1:$B$1001,,0)</f>
        <v>Cody Verissimo</v>
      </c>
      <c r="G595" s="2" t="str">
        <f>IF(_xlfn.XLOOKUP(C595,Data_customers!$A$1:$A$1001,Data_customers!$C$1:$C$1001,,0)=0,"",_xlfn.XLOOKUP(C595,Data_customers!$A$1:$A$1001,Data_customers!$C$1:$C$1001,,0))</f>
        <v>cverissimogh@theglobeandmail.com</v>
      </c>
      <c r="H595" s="2" t="str">
        <f>_xlfn.XLOOKUP(C595,Data_customers!$A$1:$A$1001,Data_customers!$G$1:$G$1001,"",0)</f>
        <v>United Kingdom</v>
      </c>
      <c r="I595" t="str">
        <f>INDEX(Data_products!$A$1:$G$49, MATCH(Data_orders!$D595,Data_products!$A$1:$A$49,0), MATCH(Data_orders!I$1,Data_products!$A$1:$G$1,0))</f>
        <v>Exc</v>
      </c>
      <c r="J595" t="str">
        <f>INDEX(Data_products!$A$1:$G$49, MATCH(Data_orders!$D595,Data_products!$A$1:$A$49,0), MATCH(Data_orders!J$1,Data_products!$A$1:$G$1,0))</f>
        <v>D</v>
      </c>
      <c r="K595" s="4">
        <f>INDEX(Data_products!$A$1:$G$49, MATCH(Data_orders!$D595,Data_products!$A$1:$A$49,0), MATCH(Data_orders!K$1,Data_products!$A$1:$G$1,0))</f>
        <v>2.5</v>
      </c>
      <c r="L595">
        <f>INDEX(Data_products!$A$1:$G$49, MATCH(Data_orders!$D595,Data_products!$A$1:$A$49,0), MATCH(Data_orders!L$1,Data_products!$A$1:$G$1,0))</f>
        <v>27.945</v>
      </c>
      <c r="M595">
        <f t="shared" si="18"/>
        <v>27.945</v>
      </c>
      <c r="N595" t="str" cm="1">
        <f t="array" ref="N595">_xlfn.IFS(I595 = "Rob", "Robusta", I595 = "Exc", "Excelsa", I595 = "Ara", "Arabica", I595 = "Lib", "Liberica")</f>
        <v>Excelsa</v>
      </c>
      <c r="O595" t="str">
        <f t="shared" si="19"/>
        <v>Dark</v>
      </c>
      <c r="P595" t="str">
        <f>_xlfn.XLOOKUP(Table1[[#This Row],[Customer ID]],Data_customers!$A$2:$A$1001,Data_customers!$I$2:$I$1001,,0)</f>
        <v>Yes</v>
      </c>
    </row>
    <row r="596" spans="1:16" x14ac:dyDescent="0.2">
      <c r="A596" s="2" t="s">
        <v>3844</v>
      </c>
      <c r="B596" s="3">
        <v>43512</v>
      </c>
      <c r="C596" s="2" t="s">
        <v>3845</v>
      </c>
      <c r="D596" t="s">
        <v>6182</v>
      </c>
      <c r="E596" s="2">
        <v>2</v>
      </c>
      <c r="F596" s="2" t="str">
        <f>_xlfn.XLOOKUP(Data_orders!C596,Data_customers!$A$1:$A$1001,Data_customers!$B$1:$B$1001,,0)</f>
        <v>Gabriel Starcks</v>
      </c>
      <c r="G596" s="2" t="str">
        <f>IF(_xlfn.XLOOKUP(C596,Data_customers!$A$1:$A$1001,Data_customers!$C$1:$C$1001,,0)=0,"",_xlfn.XLOOKUP(C596,Data_customers!$A$1:$A$1001,Data_customers!$C$1:$C$1001,,0))</f>
        <v>gstarcksgi@abc.net.au</v>
      </c>
      <c r="H596" s="2" t="str">
        <f>_xlfn.XLOOKUP(C596,Data_customers!$A$1:$A$1001,Data_customers!$G$1:$G$1001,"",0)</f>
        <v>United States</v>
      </c>
      <c r="I596" t="str">
        <f>INDEX(Data_products!$A$1:$G$49, MATCH(Data_orders!$D596,Data_products!$A$1:$A$49,0), MATCH(Data_orders!I$1,Data_products!$A$1:$G$1,0))</f>
        <v>Ara</v>
      </c>
      <c r="J596" t="str">
        <f>INDEX(Data_products!$A$1:$G$49, MATCH(Data_orders!$D596,Data_products!$A$1:$A$49,0), MATCH(Data_orders!J$1,Data_products!$A$1:$G$1,0))</f>
        <v>L</v>
      </c>
      <c r="K596" s="4">
        <f>INDEX(Data_products!$A$1:$G$49, MATCH(Data_orders!$D596,Data_products!$A$1:$A$49,0), MATCH(Data_orders!K$1,Data_products!$A$1:$G$1,0))</f>
        <v>2.5</v>
      </c>
      <c r="L596">
        <f>INDEX(Data_products!$A$1:$G$49, MATCH(Data_orders!$D596,Data_products!$A$1:$A$49,0), MATCH(Data_orders!L$1,Data_products!$A$1:$G$1,0))</f>
        <v>29.784999999999997</v>
      </c>
      <c r="M596">
        <f t="shared" si="18"/>
        <v>59.569999999999993</v>
      </c>
      <c r="N596" t="str" cm="1">
        <f t="array" ref="N596">_xlfn.IFS(I596 = "Rob", "Robusta", I596 = "Exc", "Excelsa", I596 = "Ara", "Arabica", I596 = "Lib", "Liberica")</f>
        <v>Arabica</v>
      </c>
      <c r="O596" t="str">
        <f t="shared" si="19"/>
        <v>Light</v>
      </c>
      <c r="P596" t="str">
        <f>_xlfn.XLOOKUP(Table1[[#This Row],[Customer ID]],Data_customers!$A$2:$A$1001,Data_customers!$I$2:$I$1001,,0)</f>
        <v>No</v>
      </c>
    </row>
    <row r="597" spans="1:16" x14ac:dyDescent="0.2">
      <c r="A597" s="2" t="s">
        <v>3850</v>
      </c>
      <c r="B597" s="3">
        <v>44527</v>
      </c>
      <c r="C597" s="2" t="s">
        <v>3851</v>
      </c>
      <c r="D597" t="s">
        <v>6171</v>
      </c>
      <c r="E597" s="2">
        <v>1</v>
      </c>
      <c r="F597" s="2" t="str">
        <f>_xlfn.XLOOKUP(Data_orders!C597,Data_customers!$A$1:$A$1001,Data_customers!$B$1:$B$1001,,0)</f>
        <v>Darby Dummer</v>
      </c>
      <c r="G597" s="2" t="str">
        <f>IF(_xlfn.XLOOKUP(C597,Data_customers!$A$1:$A$1001,Data_customers!$C$1:$C$1001,,0)=0,"",_xlfn.XLOOKUP(C597,Data_customers!$A$1:$A$1001,Data_customers!$C$1:$C$1001,,0))</f>
        <v/>
      </c>
      <c r="H597" s="2" t="str">
        <f>_xlfn.XLOOKUP(C597,Data_customers!$A$1:$A$1001,Data_customers!$G$1:$G$1001,"",0)</f>
        <v>United Kingdom</v>
      </c>
      <c r="I597" t="str">
        <f>INDEX(Data_products!$A$1:$G$49, MATCH(Data_orders!$D597,Data_products!$A$1:$A$49,0), MATCH(Data_orders!I$1,Data_products!$A$1:$G$1,0))</f>
        <v>Exc</v>
      </c>
      <c r="J597" t="str">
        <f>INDEX(Data_products!$A$1:$G$49, MATCH(Data_orders!$D597,Data_products!$A$1:$A$49,0), MATCH(Data_orders!J$1,Data_products!$A$1:$G$1,0))</f>
        <v>L</v>
      </c>
      <c r="K597" s="4">
        <f>INDEX(Data_products!$A$1:$G$49, MATCH(Data_orders!$D597,Data_products!$A$1:$A$49,0), MATCH(Data_orders!K$1,Data_products!$A$1:$G$1,0))</f>
        <v>1</v>
      </c>
      <c r="L597">
        <f>INDEX(Data_products!$A$1:$G$49, MATCH(Data_orders!$D597,Data_products!$A$1:$A$49,0), MATCH(Data_orders!L$1,Data_products!$A$1:$G$1,0))</f>
        <v>14.85</v>
      </c>
      <c r="M597">
        <f t="shared" si="18"/>
        <v>14.85</v>
      </c>
      <c r="N597" t="str" cm="1">
        <f t="array" ref="N597">_xlfn.IFS(I597 = "Rob", "Robusta", I597 = "Exc", "Excelsa", I597 = "Ara", "Arabica", I597 = "Lib", "Liberica")</f>
        <v>Excelsa</v>
      </c>
      <c r="O597" t="str">
        <f t="shared" si="19"/>
        <v>Light</v>
      </c>
      <c r="P597" t="str">
        <f>_xlfn.XLOOKUP(Table1[[#This Row],[Customer ID]],Data_customers!$A$2:$A$1001,Data_customers!$I$2:$I$1001,,0)</f>
        <v>No</v>
      </c>
    </row>
    <row r="598" spans="1:16" x14ac:dyDescent="0.2">
      <c r="A598" s="2" t="s">
        <v>3854</v>
      </c>
      <c r="B598" s="3">
        <v>44523</v>
      </c>
      <c r="C598" s="2" t="s">
        <v>3855</v>
      </c>
      <c r="D598" t="s">
        <v>6157</v>
      </c>
      <c r="E598" s="2">
        <v>5</v>
      </c>
      <c r="F598" s="2" t="str">
        <f>_xlfn.XLOOKUP(Data_orders!C598,Data_customers!$A$1:$A$1001,Data_customers!$B$1:$B$1001,,0)</f>
        <v>Kienan Scholard</v>
      </c>
      <c r="G598" s="2" t="str">
        <f>IF(_xlfn.XLOOKUP(C598,Data_customers!$A$1:$A$1001,Data_customers!$C$1:$C$1001,,0)=0,"",_xlfn.XLOOKUP(C598,Data_customers!$A$1:$A$1001,Data_customers!$C$1:$C$1001,,0))</f>
        <v>kscholardgk@sbwire.com</v>
      </c>
      <c r="H598" s="2" t="str">
        <f>_xlfn.XLOOKUP(C598,Data_customers!$A$1:$A$1001,Data_customers!$G$1:$G$1001,"",0)</f>
        <v>United States</v>
      </c>
      <c r="I598" t="str">
        <f>INDEX(Data_products!$A$1:$G$49, MATCH(Data_orders!$D598,Data_products!$A$1:$A$49,0), MATCH(Data_orders!I$1,Data_products!$A$1:$G$1,0))</f>
        <v>Ara</v>
      </c>
      <c r="J598" t="str">
        <f>INDEX(Data_products!$A$1:$G$49, MATCH(Data_orders!$D598,Data_products!$A$1:$A$49,0), MATCH(Data_orders!J$1,Data_products!$A$1:$G$1,0))</f>
        <v>M</v>
      </c>
      <c r="K598" s="4">
        <f>INDEX(Data_products!$A$1:$G$49, MATCH(Data_orders!$D598,Data_products!$A$1:$A$49,0), MATCH(Data_orders!K$1,Data_products!$A$1:$G$1,0))</f>
        <v>0.5</v>
      </c>
      <c r="L598">
        <f>INDEX(Data_products!$A$1:$G$49, MATCH(Data_orders!$D598,Data_products!$A$1:$A$49,0), MATCH(Data_orders!L$1,Data_products!$A$1:$G$1,0))</f>
        <v>6.75</v>
      </c>
      <c r="M598">
        <f t="shared" si="18"/>
        <v>33.75</v>
      </c>
      <c r="N598" t="str" cm="1">
        <f t="array" ref="N598">_xlfn.IFS(I598 = "Rob", "Robusta", I598 = "Exc", "Excelsa", I598 = "Ara", "Arabica", I598 = "Lib", "Liberica")</f>
        <v>Arabica</v>
      </c>
      <c r="O598" t="str">
        <f t="shared" si="19"/>
        <v>Medium</v>
      </c>
      <c r="P598" t="str">
        <f>_xlfn.XLOOKUP(Table1[[#This Row],[Customer ID]],Data_customers!$A$2:$A$1001,Data_customers!$I$2:$I$1001,,0)</f>
        <v>No</v>
      </c>
    </row>
    <row r="599" spans="1:16" x14ac:dyDescent="0.2">
      <c r="A599" s="2" t="s">
        <v>3860</v>
      </c>
      <c r="B599" s="3">
        <v>44532</v>
      </c>
      <c r="C599" s="2" t="s">
        <v>3861</v>
      </c>
      <c r="D599" t="s">
        <v>6164</v>
      </c>
      <c r="E599" s="2">
        <v>4</v>
      </c>
      <c r="F599" s="2" t="str">
        <f>_xlfn.XLOOKUP(Data_orders!C599,Data_customers!$A$1:$A$1001,Data_customers!$B$1:$B$1001,,0)</f>
        <v>Bo Kindley</v>
      </c>
      <c r="G599" s="2" t="str">
        <f>IF(_xlfn.XLOOKUP(C599,Data_customers!$A$1:$A$1001,Data_customers!$C$1:$C$1001,,0)=0,"",_xlfn.XLOOKUP(C599,Data_customers!$A$1:$A$1001,Data_customers!$C$1:$C$1001,,0))</f>
        <v>bkindleygl@wikimedia.org</v>
      </c>
      <c r="H599" s="2" t="str">
        <f>_xlfn.XLOOKUP(C599,Data_customers!$A$1:$A$1001,Data_customers!$G$1:$G$1001,"",0)</f>
        <v>United States</v>
      </c>
      <c r="I599" t="str">
        <f>INDEX(Data_products!$A$1:$G$49, MATCH(Data_orders!$D599,Data_products!$A$1:$A$49,0), MATCH(Data_orders!I$1,Data_products!$A$1:$G$1,0))</f>
        <v>Lib</v>
      </c>
      <c r="J599" t="str">
        <f>INDEX(Data_products!$A$1:$G$49, MATCH(Data_orders!$D599,Data_products!$A$1:$A$49,0), MATCH(Data_orders!J$1,Data_products!$A$1:$G$1,0))</f>
        <v>L</v>
      </c>
      <c r="K599" s="4">
        <f>INDEX(Data_products!$A$1:$G$49, MATCH(Data_orders!$D599,Data_products!$A$1:$A$49,0), MATCH(Data_orders!K$1,Data_products!$A$1:$G$1,0))</f>
        <v>2.5</v>
      </c>
      <c r="L599">
        <f>INDEX(Data_products!$A$1:$G$49, MATCH(Data_orders!$D599,Data_products!$A$1:$A$49,0), MATCH(Data_orders!L$1,Data_products!$A$1:$G$1,0))</f>
        <v>36.454999999999998</v>
      </c>
      <c r="M599">
        <f t="shared" si="18"/>
        <v>145.82</v>
      </c>
      <c r="N599" t="str" cm="1">
        <f t="array" ref="N599">_xlfn.IFS(I599 = "Rob", "Robusta", I599 = "Exc", "Excelsa", I599 = "Ara", "Arabica", I599 = "Lib", "Liberica")</f>
        <v>Liberica</v>
      </c>
      <c r="O599" t="str">
        <f t="shared" si="19"/>
        <v>Light</v>
      </c>
      <c r="P599" t="str">
        <f>_xlfn.XLOOKUP(Table1[[#This Row],[Customer ID]],Data_customers!$A$2:$A$1001,Data_customers!$I$2:$I$1001,,0)</f>
        <v>Yes</v>
      </c>
    </row>
    <row r="600" spans="1:16" x14ac:dyDescent="0.2">
      <c r="A600" s="2" t="s">
        <v>3866</v>
      </c>
      <c r="B600" s="3">
        <v>43471</v>
      </c>
      <c r="C600" s="2" t="s">
        <v>3867</v>
      </c>
      <c r="D600" t="s">
        <v>6174</v>
      </c>
      <c r="E600" s="2">
        <v>4</v>
      </c>
      <c r="F600" s="2" t="str">
        <f>_xlfn.XLOOKUP(Data_orders!C600,Data_customers!$A$1:$A$1001,Data_customers!$B$1:$B$1001,,0)</f>
        <v>Krissie Hammett</v>
      </c>
      <c r="G600" s="2" t="str">
        <f>IF(_xlfn.XLOOKUP(C600,Data_customers!$A$1:$A$1001,Data_customers!$C$1:$C$1001,,0)=0,"",_xlfn.XLOOKUP(C600,Data_customers!$A$1:$A$1001,Data_customers!$C$1:$C$1001,,0))</f>
        <v>khammettgm@dmoz.org</v>
      </c>
      <c r="H600" s="2" t="str">
        <f>_xlfn.XLOOKUP(C600,Data_customers!$A$1:$A$1001,Data_customers!$G$1:$G$1001,"",0)</f>
        <v>United States</v>
      </c>
      <c r="I600" t="str">
        <f>INDEX(Data_products!$A$1:$G$49, MATCH(Data_orders!$D600,Data_products!$A$1:$A$49,0), MATCH(Data_orders!I$1,Data_products!$A$1:$G$1,0))</f>
        <v>Rob</v>
      </c>
      <c r="J600" t="str">
        <f>INDEX(Data_products!$A$1:$G$49, MATCH(Data_orders!$D600,Data_products!$A$1:$A$49,0), MATCH(Data_orders!J$1,Data_products!$A$1:$G$1,0))</f>
        <v>M</v>
      </c>
      <c r="K600" s="4">
        <f>INDEX(Data_products!$A$1:$G$49, MATCH(Data_orders!$D600,Data_products!$A$1:$A$49,0), MATCH(Data_orders!K$1,Data_products!$A$1:$G$1,0))</f>
        <v>0.2</v>
      </c>
      <c r="L600">
        <f>INDEX(Data_products!$A$1:$G$49, MATCH(Data_orders!$D600,Data_products!$A$1:$A$49,0), MATCH(Data_orders!L$1,Data_products!$A$1:$G$1,0))</f>
        <v>2.9849999999999999</v>
      </c>
      <c r="M600">
        <f t="shared" si="18"/>
        <v>11.94</v>
      </c>
      <c r="N600" t="str" cm="1">
        <f t="array" ref="N600">_xlfn.IFS(I600 = "Rob", "Robusta", I600 = "Exc", "Excelsa", I600 = "Ara", "Arabica", I600 = "Lib", "Liberica")</f>
        <v>Robusta</v>
      </c>
      <c r="O600" t="str">
        <f t="shared" si="19"/>
        <v>Medium</v>
      </c>
      <c r="P600" t="str">
        <f>_xlfn.XLOOKUP(Table1[[#This Row],[Customer ID]],Data_customers!$A$2:$A$1001,Data_customers!$I$2:$I$1001,,0)</f>
        <v>Yes</v>
      </c>
    </row>
    <row r="601" spans="1:16" x14ac:dyDescent="0.2">
      <c r="A601" s="2" t="s">
        <v>3872</v>
      </c>
      <c r="B601" s="3">
        <v>44321</v>
      </c>
      <c r="C601" s="2" t="s">
        <v>3873</v>
      </c>
      <c r="D601" t="s">
        <v>6154</v>
      </c>
      <c r="E601" s="2">
        <v>4</v>
      </c>
      <c r="F601" s="2" t="str">
        <f>_xlfn.XLOOKUP(Data_orders!C601,Data_customers!$A$1:$A$1001,Data_customers!$B$1:$B$1001,,0)</f>
        <v>Alisha Hulburt</v>
      </c>
      <c r="G601" s="2" t="str">
        <f>IF(_xlfn.XLOOKUP(C601,Data_customers!$A$1:$A$1001,Data_customers!$C$1:$C$1001,,0)=0,"",_xlfn.XLOOKUP(C601,Data_customers!$A$1:$A$1001,Data_customers!$C$1:$C$1001,,0))</f>
        <v>ahulburtgn@fda.gov</v>
      </c>
      <c r="H601" s="2" t="str">
        <f>_xlfn.XLOOKUP(C601,Data_customers!$A$1:$A$1001,Data_customers!$G$1:$G$1001,"",0)</f>
        <v>United States</v>
      </c>
      <c r="I601" t="str">
        <f>INDEX(Data_products!$A$1:$G$49, MATCH(Data_orders!$D601,Data_products!$A$1:$A$49,0), MATCH(Data_orders!I$1,Data_products!$A$1:$G$1,0))</f>
        <v>Ara</v>
      </c>
      <c r="J601" t="str">
        <f>INDEX(Data_products!$A$1:$G$49, MATCH(Data_orders!$D601,Data_products!$A$1:$A$49,0), MATCH(Data_orders!J$1,Data_products!$A$1:$G$1,0))</f>
        <v>D</v>
      </c>
      <c r="K601" s="4">
        <f>INDEX(Data_products!$A$1:$G$49, MATCH(Data_orders!$D601,Data_products!$A$1:$A$49,0), MATCH(Data_orders!K$1,Data_products!$A$1:$G$1,0))</f>
        <v>0.2</v>
      </c>
      <c r="L601">
        <f>INDEX(Data_products!$A$1:$G$49, MATCH(Data_orders!$D601,Data_products!$A$1:$A$49,0), MATCH(Data_orders!L$1,Data_products!$A$1:$G$1,0))</f>
        <v>2.9849999999999999</v>
      </c>
      <c r="M601">
        <f t="shared" si="18"/>
        <v>11.94</v>
      </c>
      <c r="N601" t="str" cm="1">
        <f t="array" ref="N601">_xlfn.IFS(I601 = "Rob", "Robusta", I601 = "Exc", "Excelsa", I601 = "Ara", "Arabica", I601 = "Lib", "Liberica")</f>
        <v>Arabica</v>
      </c>
      <c r="O601" t="str">
        <f t="shared" si="19"/>
        <v>Dark</v>
      </c>
      <c r="P601" t="str">
        <f>_xlfn.XLOOKUP(Table1[[#This Row],[Customer ID]],Data_customers!$A$2:$A$1001,Data_customers!$I$2:$I$1001,,0)</f>
        <v>Yes</v>
      </c>
    </row>
    <row r="602" spans="1:16" x14ac:dyDescent="0.2">
      <c r="A602" s="2" t="s">
        <v>3877</v>
      </c>
      <c r="B602" s="3">
        <v>44492</v>
      </c>
      <c r="C602" s="2" t="s">
        <v>3878</v>
      </c>
      <c r="D602" t="s">
        <v>6169</v>
      </c>
      <c r="E602" s="2">
        <v>1</v>
      </c>
      <c r="F602" s="2" t="str">
        <f>_xlfn.XLOOKUP(Data_orders!C602,Data_customers!$A$1:$A$1001,Data_customers!$B$1:$B$1001,,0)</f>
        <v>Peyter Lauritzen</v>
      </c>
      <c r="G602" s="2" t="str">
        <f>IF(_xlfn.XLOOKUP(C602,Data_customers!$A$1:$A$1001,Data_customers!$C$1:$C$1001,,0)=0,"",_xlfn.XLOOKUP(C602,Data_customers!$A$1:$A$1001,Data_customers!$C$1:$C$1001,,0))</f>
        <v>plauritzengo@photobucket.com</v>
      </c>
      <c r="H602" s="2" t="str">
        <f>_xlfn.XLOOKUP(C602,Data_customers!$A$1:$A$1001,Data_customers!$G$1:$G$1001,"",0)</f>
        <v>United States</v>
      </c>
      <c r="I602" t="str">
        <f>INDEX(Data_products!$A$1:$G$49, MATCH(Data_orders!$D602,Data_products!$A$1:$A$49,0), MATCH(Data_orders!I$1,Data_products!$A$1:$G$1,0))</f>
        <v>Lib</v>
      </c>
      <c r="J602" t="str">
        <f>INDEX(Data_products!$A$1:$G$49, MATCH(Data_orders!$D602,Data_products!$A$1:$A$49,0), MATCH(Data_orders!J$1,Data_products!$A$1:$G$1,0))</f>
        <v>D</v>
      </c>
      <c r="K602" s="4">
        <f>INDEX(Data_products!$A$1:$G$49, MATCH(Data_orders!$D602,Data_products!$A$1:$A$49,0), MATCH(Data_orders!K$1,Data_products!$A$1:$G$1,0))</f>
        <v>0.5</v>
      </c>
      <c r="L602">
        <f>INDEX(Data_products!$A$1:$G$49, MATCH(Data_orders!$D602,Data_products!$A$1:$A$49,0), MATCH(Data_orders!L$1,Data_products!$A$1:$G$1,0))</f>
        <v>7.77</v>
      </c>
      <c r="M602">
        <f t="shared" si="18"/>
        <v>7.77</v>
      </c>
      <c r="N602" t="str" cm="1">
        <f t="array" ref="N602">_xlfn.IFS(I602 = "Rob", "Robusta", I602 = "Exc", "Excelsa", I602 = "Ara", "Arabica", I602 = "Lib", "Liberica")</f>
        <v>Liberica</v>
      </c>
      <c r="O602" t="str">
        <f t="shared" si="19"/>
        <v>Dark</v>
      </c>
      <c r="P602" t="str">
        <f>_xlfn.XLOOKUP(Table1[[#This Row],[Customer ID]],Data_customers!$A$2:$A$1001,Data_customers!$I$2:$I$1001,,0)</f>
        <v>No</v>
      </c>
    </row>
    <row r="603" spans="1:16" x14ac:dyDescent="0.2">
      <c r="A603" s="2" t="s">
        <v>3883</v>
      </c>
      <c r="B603" s="3">
        <v>43815</v>
      </c>
      <c r="C603" s="2" t="s">
        <v>3884</v>
      </c>
      <c r="D603" t="s">
        <v>6142</v>
      </c>
      <c r="E603" s="2">
        <v>4</v>
      </c>
      <c r="F603" s="2" t="str">
        <f>_xlfn.XLOOKUP(Data_orders!C603,Data_customers!$A$1:$A$1001,Data_customers!$B$1:$B$1001,,0)</f>
        <v>Aurelia Burgwin</v>
      </c>
      <c r="G603" s="2" t="str">
        <f>IF(_xlfn.XLOOKUP(C603,Data_customers!$A$1:$A$1001,Data_customers!$C$1:$C$1001,,0)=0,"",_xlfn.XLOOKUP(C603,Data_customers!$A$1:$A$1001,Data_customers!$C$1:$C$1001,,0))</f>
        <v>aburgwingp@redcross.org</v>
      </c>
      <c r="H603" s="2" t="str">
        <f>_xlfn.XLOOKUP(C603,Data_customers!$A$1:$A$1001,Data_customers!$G$1:$G$1001,"",0)</f>
        <v>United States</v>
      </c>
      <c r="I603" t="str">
        <f>INDEX(Data_products!$A$1:$G$49, MATCH(Data_orders!$D603,Data_products!$A$1:$A$49,0), MATCH(Data_orders!I$1,Data_products!$A$1:$G$1,0))</f>
        <v>Rob</v>
      </c>
      <c r="J603" t="str">
        <f>INDEX(Data_products!$A$1:$G$49, MATCH(Data_orders!$D603,Data_products!$A$1:$A$49,0), MATCH(Data_orders!J$1,Data_products!$A$1:$G$1,0))</f>
        <v>L</v>
      </c>
      <c r="K603" s="4">
        <f>INDEX(Data_products!$A$1:$G$49, MATCH(Data_orders!$D603,Data_products!$A$1:$A$49,0), MATCH(Data_orders!K$1,Data_products!$A$1:$G$1,0))</f>
        <v>2.5</v>
      </c>
      <c r="L603">
        <f>INDEX(Data_products!$A$1:$G$49, MATCH(Data_orders!$D603,Data_products!$A$1:$A$49,0), MATCH(Data_orders!L$1,Data_products!$A$1:$G$1,0))</f>
        <v>27.484999999999996</v>
      </c>
      <c r="M603">
        <f t="shared" si="18"/>
        <v>109.93999999999998</v>
      </c>
      <c r="N603" t="str" cm="1">
        <f t="array" ref="N603">_xlfn.IFS(I603 = "Rob", "Robusta", I603 = "Exc", "Excelsa", I603 = "Ara", "Arabica", I603 = "Lib", "Liberica")</f>
        <v>Robusta</v>
      </c>
      <c r="O603" t="str">
        <f t="shared" si="19"/>
        <v>Light</v>
      </c>
      <c r="P603" t="str">
        <f>_xlfn.XLOOKUP(Table1[[#This Row],[Customer ID]],Data_customers!$A$2:$A$1001,Data_customers!$I$2:$I$1001,,0)</f>
        <v>Yes</v>
      </c>
    </row>
    <row r="604" spans="1:16" x14ac:dyDescent="0.2">
      <c r="A604" s="2" t="s">
        <v>3889</v>
      </c>
      <c r="B604" s="3">
        <v>43603</v>
      </c>
      <c r="C604" s="2" t="s">
        <v>3890</v>
      </c>
      <c r="D604" t="s">
        <v>6184</v>
      </c>
      <c r="E604" s="2">
        <v>5</v>
      </c>
      <c r="F604" s="2" t="str">
        <f>_xlfn.XLOOKUP(Data_orders!C604,Data_customers!$A$1:$A$1001,Data_customers!$B$1:$B$1001,,0)</f>
        <v>Emalee Rolin</v>
      </c>
      <c r="G604" s="2" t="str">
        <f>IF(_xlfn.XLOOKUP(C604,Data_customers!$A$1:$A$1001,Data_customers!$C$1:$C$1001,,0)=0,"",_xlfn.XLOOKUP(C604,Data_customers!$A$1:$A$1001,Data_customers!$C$1:$C$1001,,0))</f>
        <v>erolingq@google.fr</v>
      </c>
      <c r="H604" s="2" t="str">
        <f>_xlfn.XLOOKUP(C604,Data_customers!$A$1:$A$1001,Data_customers!$G$1:$G$1001,"",0)</f>
        <v>United States</v>
      </c>
      <c r="I604" t="str">
        <f>INDEX(Data_products!$A$1:$G$49, MATCH(Data_orders!$D604,Data_products!$A$1:$A$49,0), MATCH(Data_orders!I$1,Data_products!$A$1:$G$1,0))</f>
        <v>Exc</v>
      </c>
      <c r="J604" t="str">
        <f>INDEX(Data_products!$A$1:$G$49, MATCH(Data_orders!$D604,Data_products!$A$1:$A$49,0), MATCH(Data_orders!J$1,Data_products!$A$1:$G$1,0))</f>
        <v>L</v>
      </c>
      <c r="K604" s="4">
        <f>INDEX(Data_products!$A$1:$G$49, MATCH(Data_orders!$D604,Data_products!$A$1:$A$49,0), MATCH(Data_orders!K$1,Data_products!$A$1:$G$1,0))</f>
        <v>0.2</v>
      </c>
      <c r="L604">
        <f>INDEX(Data_products!$A$1:$G$49, MATCH(Data_orders!$D604,Data_products!$A$1:$A$49,0), MATCH(Data_orders!L$1,Data_products!$A$1:$G$1,0))</f>
        <v>4.4550000000000001</v>
      </c>
      <c r="M604">
        <f t="shared" si="18"/>
        <v>22.274999999999999</v>
      </c>
      <c r="N604" t="str" cm="1">
        <f t="array" ref="N604">_xlfn.IFS(I604 = "Rob", "Robusta", I604 = "Exc", "Excelsa", I604 = "Ara", "Arabica", I604 = "Lib", "Liberica")</f>
        <v>Excelsa</v>
      </c>
      <c r="O604" t="str">
        <f t="shared" si="19"/>
        <v>Light</v>
      </c>
      <c r="P604" t="str">
        <f>_xlfn.XLOOKUP(Table1[[#This Row],[Customer ID]],Data_customers!$A$2:$A$1001,Data_customers!$I$2:$I$1001,,0)</f>
        <v>Yes</v>
      </c>
    </row>
    <row r="605" spans="1:16" x14ac:dyDescent="0.2">
      <c r="A605" s="2" t="s">
        <v>3895</v>
      </c>
      <c r="B605" s="3">
        <v>43660</v>
      </c>
      <c r="C605" s="2" t="s">
        <v>3896</v>
      </c>
      <c r="D605" t="s">
        <v>6174</v>
      </c>
      <c r="E605" s="2">
        <v>3</v>
      </c>
      <c r="F605" s="2" t="str">
        <f>_xlfn.XLOOKUP(Data_orders!C605,Data_customers!$A$1:$A$1001,Data_customers!$B$1:$B$1001,,0)</f>
        <v>Donavon Fowle</v>
      </c>
      <c r="G605" s="2" t="str">
        <f>IF(_xlfn.XLOOKUP(C605,Data_customers!$A$1:$A$1001,Data_customers!$C$1:$C$1001,,0)=0,"",_xlfn.XLOOKUP(C605,Data_customers!$A$1:$A$1001,Data_customers!$C$1:$C$1001,,0))</f>
        <v>dfowlegr@epa.gov</v>
      </c>
      <c r="H605" s="2" t="str">
        <f>_xlfn.XLOOKUP(C605,Data_customers!$A$1:$A$1001,Data_customers!$G$1:$G$1001,"",0)</f>
        <v>United States</v>
      </c>
      <c r="I605" t="str">
        <f>INDEX(Data_products!$A$1:$G$49, MATCH(Data_orders!$D605,Data_products!$A$1:$A$49,0), MATCH(Data_orders!I$1,Data_products!$A$1:$G$1,0))</f>
        <v>Rob</v>
      </c>
      <c r="J605" t="str">
        <f>INDEX(Data_products!$A$1:$G$49, MATCH(Data_orders!$D605,Data_products!$A$1:$A$49,0), MATCH(Data_orders!J$1,Data_products!$A$1:$G$1,0))</f>
        <v>M</v>
      </c>
      <c r="K605" s="4">
        <f>INDEX(Data_products!$A$1:$G$49, MATCH(Data_orders!$D605,Data_products!$A$1:$A$49,0), MATCH(Data_orders!K$1,Data_products!$A$1:$G$1,0))</f>
        <v>0.2</v>
      </c>
      <c r="L605">
        <f>INDEX(Data_products!$A$1:$G$49, MATCH(Data_orders!$D605,Data_products!$A$1:$A$49,0), MATCH(Data_orders!L$1,Data_products!$A$1:$G$1,0))</f>
        <v>2.9849999999999999</v>
      </c>
      <c r="M605">
        <f t="shared" si="18"/>
        <v>8.9550000000000001</v>
      </c>
      <c r="N605" t="str" cm="1">
        <f t="array" ref="N605">_xlfn.IFS(I605 = "Rob", "Robusta", I605 = "Exc", "Excelsa", I605 = "Ara", "Arabica", I605 = "Lib", "Liberica")</f>
        <v>Robusta</v>
      </c>
      <c r="O605" t="str">
        <f t="shared" si="19"/>
        <v>Medium</v>
      </c>
      <c r="P605" t="str">
        <f>_xlfn.XLOOKUP(Table1[[#This Row],[Customer ID]],Data_customers!$A$2:$A$1001,Data_customers!$I$2:$I$1001,,0)</f>
        <v>No</v>
      </c>
    </row>
    <row r="606" spans="1:16" x14ac:dyDescent="0.2">
      <c r="A606" s="2" t="s">
        <v>3900</v>
      </c>
      <c r="B606" s="3">
        <v>44148</v>
      </c>
      <c r="C606" s="2" t="s">
        <v>3901</v>
      </c>
      <c r="D606" t="s">
        <v>6165</v>
      </c>
      <c r="E606" s="2">
        <v>4</v>
      </c>
      <c r="F606" s="2" t="str">
        <f>_xlfn.XLOOKUP(Data_orders!C606,Data_customers!$A$1:$A$1001,Data_customers!$B$1:$B$1001,,0)</f>
        <v>Jorge Bettison</v>
      </c>
      <c r="G606" s="2" t="str">
        <f>IF(_xlfn.XLOOKUP(C606,Data_customers!$A$1:$A$1001,Data_customers!$C$1:$C$1001,,0)=0,"",_xlfn.XLOOKUP(C606,Data_customers!$A$1:$A$1001,Data_customers!$C$1:$C$1001,,0))</f>
        <v/>
      </c>
      <c r="H606" s="2" t="str">
        <f>_xlfn.XLOOKUP(C606,Data_customers!$A$1:$A$1001,Data_customers!$G$1:$G$1001,"",0)</f>
        <v>Ireland</v>
      </c>
      <c r="I606" t="str">
        <f>INDEX(Data_products!$A$1:$G$49, MATCH(Data_orders!$D606,Data_products!$A$1:$A$49,0), MATCH(Data_orders!I$1,Data_products!$A$1:$G$1,0))</f>
        <v>Lib</v>
      </c>
      <c r="J606" t="str">
        <f>INDEX(Data_products!$A$1:$G$49, MATCH(Data_orders!$D606,Data_products!$A$1:$A$49,0), MATCH(Data_orders!J$1,Data_products!$A$1:$G$1,0))</f>
        <v>D</v>
      </c>
      <c r="K606" s="4">
        <f>INDEX(Data_products!$A$1:$G$49, MATCH(Data_orders!$D606,Data_products!$A$1:$A$49,0), MATCH(Data_orders!K$1,Data_products!$A$1:$G$1,0))</f>
        <v>2.5</v>
      </c>
      <c r="L606">
        <f>INDEX(Data_products!$A$1:$G$49, MATCH(Data_orders!$D606,Data_products!$A$1:$A$49,0), MATCH(Data_orders!L$1,Data_products!$A$1:$G$1,0))</f>
        <v>29.784999999999997</v>
      </c>
      <c r="M606">
        <f t="shared" si="18"/>
        <v>119.13999999999999</v>
      </c>
      <c r="N606" t="str" cm="1">
        <f t="array" ref="N606">_xlfn.IFS(I606 = "Rob", "Robusta", I606 = "Exc", "Excelsa", I606 = "Ara", "Arabica", I606 = "Lib", "Liberica")</f>
        <v>Liberica</v>
      </c>
      <c r="O606" t="str">
        <f t="shared" si="19"/>
        <v>Dark</v>
      </c>
      <c r="P606" t="str">
        <f>_xlfn.XLOOKUP(Table1[[#This Row],[Customer ID]],Data_customers!$A$2:$A$1001,Data_customers!$I$2:$I$1001,,0)</f>
        <v>No</v>
      </c>
    </row>
    <row r="607" spans="1:16" x14ac:dyDescent="0.2">
      <c r="A607" s="2" t="s">
        <v>3905</v>
      </c>
      <c r="B607" s="3">
        <v>44028</v>
      </c>
      <c r="C607" s="2" t="s">
        <v>3906</v>
      </c>
      <c r="D607" t="s">
        <v>6182</v>
      </c>
      <c r="E607" s="2">
        <v>5</v>
      </c>
      <c r="F607" s="2" t="str">
        <f>_xlfn.XLOOKUP(Data_orders!C607,Data_customers!$A$1:$A$1001,Data_customers!$B$1:$B$1001,,0)</f>
        <v>Wang Powlesland</v>
      </c>
      <c r="G607" s="2" t="str">
        <f>IF(_xlfn.XLOOKUP(C607,Data_customers!$A$1:$A$1001,Data_customers!$C$1:$C$1001,,0)=0,"",_xlfn.XLOOKUP(C607,Data_customers!$A$1:$A$1001,Data_customers!$C$1:$C$1001,,0))</f>
        <v>wpowleslandgt@soundcloud.com</v>
      </c>
      <c r="H607" s="2" t="str">
        <f>_xlfn.XLOOKUP(C607,Data_customers!$A$1:$A$1001,Data_customers!$G$1:$G$1001,"",0)</f>
        <v>United States</v>
      </c>
      <c r="I607" t="str">
        <f>INDEX(Data_products!$A$1:$G$49, MATCH(Data_orders!$D607,Data_products!$A$1:$A$49,0), MATCH(Data_orders!I$1,Data_products!$A$1:$G$1,0))</f>
        <v>Ara</v>
      </c>
      <c r="J607" t="str">
        <f>INDEX(Data_products!$A$1:$G$49, MATCH(Data_orders!$D607,Data_products!$A$1:$A$49,0), MATCH(Data_orders!J$1,Data_products!$A$1:$G$1,0))</f>
        <v>L</v>
      </c>
      <c r="K607" s="4">
        <f>INDEX(Data_products!$A$1:$G$49, MATCH(Data_orders!$D607,Data_products!$A$1:$A$49,0), MATCH(Data_orders!K$1,Data_products!$A$1:$G$1,0))</f>
        <v>2.5</v>
      </c>
      <c r="L607">
        <f>INDEX(Data_products!$A$1:$G$49, MATCH(Data_orders!$D607,Data_products!$A$1:$A$49,0), MATCH(Data_orders!L$1,Data_products!$A$1:$G$1,0))</f>
        <v>29.784999999999997</v>
      </c>
      <c r="M607">
        <f t="shared" si="18"/>
        <v>148.92499999999998</v>
      </c>
      <c r="N607" t="str" cm="1">
        <f t="array" ref="N607">_xlfn.IFS(I607 = "Rob", "Robusta", I607 = "Exc", "Excelsa", I607 = "Ara", "Arabica", I607 = "Lib", "Liberica")</f>
        <v>Arabica</v>
      </c>
      <c r="O607" t="str">
        <f t="shared" si="19"/>
        <v>Light</v>
      </c>
      <c r="P607" t="str">
        <f>_xlfn.XLOOKUP(Table1[[#This Row],[Customer ID]],Data_customers!$A$2:$A$1001,Data_customers!$I$2:$I$1001,,0)</f>
        <v>Yes</v>
      </c>
    </row>
    <row r="608" spans="1:16" x14ac:dyDescent="0.2">
      <c r="A608" s="2" t="s">
        <v>3911</v>
      </c>
      <c r="B608" s="3">
        <v>44138</v>
      </c>
      <c r="C608" s="2" t="s">
        <v>3840</v>
      </c>
      <c r="D608" t="s">
        <v>6164</v>
      </c>
      <c r="E608" s="2">
        <v>3</v>
      </c>
      <c r="F608" s="2" t="str">
        <f>_xlfn.XLOOKUP(Data_orders!C608,Data_customers!$A$1:$A$1001,Data_customers!$B$1:$B$1001,,0)</f>
        <v>Cody Verissimo</v>
      </c>
      <c r="G608" s="2" t="str">
        <f>IF(_xlfn.XLOOKUP(C608,Data_customers!$A$1:$A$1001,Data_customers!$C$1:$C$1001,,0)=0,"",_xlfn.XLOOKUP(C608,Data_customers!$A$1:$A$1001,Data_customers!$C$1:$C$1001,,0))</f>
        <v>cverissimogh@theglobeandmail.com</v>
      </c>
      <c r="H608" s="2" t="str">
        <f>_xlfn.XLOOKUP(C608,Data_customers!$A$1:$A$1001,Data_customers!$G$1:$G$1001,"",0)</f>
        <v>United Kingdom</v>
      </c>
      <c r="I608" t="str">
        <f>INDEX(Data_products!$A$1:$G$49, MATCH(Data_orders!$D608,Data_products!$A$1:$A$49,0), MATCH(Data_orders!I$1,Data_products!$A$1:$G$1,0))</f>
        <v>Lib</v>
      </c>
      <c r="J608" t="str">
        <f>INDEX(Data_products!$A$1:$G$49, MATCH(Data_orders!$D608,Data_products!$A$1:$A$49,0), MATCH(Data_orders!J$1,Data_products!$A$1:$G$1,0))</f>
        <v>L</v>
      </c>
      <c r="K608" s="4">
        <f>INDEX(Data_products!$A$1:$G$49, MATCH(Data_orders!$D608,Data_products!$A$1:$A$49,0), MATCH(Data_orders!K$1,Data_products!$A$1:$G$1,0))</f>
        <v>2.5</v>
      </c>
      <c r="L608">
        <f>INDEX(Data_products!$A$1:$G$49, MATCH(Data_orders!$D608,Data_products!$A$1:$A$49,0), MATCH(Data_orders!L$1,Data_products!$A$1:$G$1,0))</f>
        <v>36.454999999999998</v>
      </c>
      <c r="M608">
        <f t="shared" si="18"/>
        <v>109.36499999999999</v>
      </c>
      <c r="N608" t="str" cm="1">
        <f t="array" ref="N608">_xlfn.IFS(I608 = "Rob", "Robusta", I608 = "Exc", "Excelsa", I608 = "Ara", "Arabica", I608 = "Lib", "Liberica")</f>
        <v>Liberica</v>
      </c>
      <c r="O608" t="str">
        <f t="shared" si="19"/>
        <v>Light</v>
      </c>
      <c r="P608" t="str">
        <f>_xlfn.XLOOKUP(Table1[[#This Row],[Customer ID]],Data_customers!$A$2:$A$1001,Data_customers!$I$2:$I$1001,,0)</f>
        <v>Yes</v>
      </c>
    </row>
    <row r="609" spans="1:16" x14ac:dyDescent="0.2">
      <c r="A609" s="2" t="s">
        <v>3917</v>
      </c>
      <c r="B609" s="3">
        <v>44640</v>
      </c>
      <c r="C609" s="2" t="s">
        <v>3918</v>
      </c>
      <c r="D609" t="s">
        <v>6153</v>
      </c>
      <c r="E609" s="2">
        <v>1</v>
      </c>
      <c r="F609" s="2" t="str">
        <f>_xlfn.XLOOKUP(Data_orders!C609,Data_customers!$A$1:$A$1001,Data_customers!$B$1:$B$1001,,0)</f>
        <v>Laurence Ellingham</v>
      </c>
      <c r="G609" s="2" t="str">
        <f>IF(_xlfn.XLOOKUP(C609,Data_customers!$A$1:$A$1001,Data_customers!$C$1:$C$1001,,0)=0,"",_xlfn.XLOOKUP(C609,Data_customers!$A$1:$A$1001,Data_customers!$C$1:$C$1001,,0))</f>
        <v>lellinghamgv@sciencedaily.com</v>
      </c>
      <c r="H609" s="2" t="str">
        <f>_xlfn.XLOOKUP(C609,Data_customers!$A$1:$A$1001,Data_customers!$G$1:$G$1001,"",0)</f>
        <v>United States</v>
      </c>
      <c r="I609" t="str">
        <f>INDEX(Data_products!$A$1:$G$49, MATCH(Data_orders!$D609,Data_products!$A$1:$A$49,0), MATCH(Data_orders!I$1,Data_products!$A$1:$G$1,0))</f>
        <v>Exc</v>
      </c>
      <c r="J609" t="str">
        <f>INDEX(Data_products!$A$1:$G$49, MATCH(Data_orders!$D609,Data_products!$A$1:$A$49,0), MATCH(Data_orders!J$1,Data_products!$A$1:$G$1,0))</f>
        <v>D</v>
      </c>
      <c r="K609" s="4">
        <f>INDEX(Data_products!$A$1:$G$49, MATCH(Data_orders!$D609,Data_products!$A$1:$A$49,0), MATCH(Data_orders!K$1,Data_products!$A$1:$G$1,0))</f>
        <v>0.2</v>
      </c>
      <c r="L609">
        <f>INDEX(Data_products!$A$1:$G$49, MATCH(Data_orders!$D609,Data_products!$A$1:$A$49,0), MATCH(Data_orders!L$1,Data_products!$A$1:$G$1,0))</f>
        <v>3.645</v>
      </c>
      <c r="M609">
        <f t="shared" si="18"/>
        <v>3.645</v>
      </c>
      <c r="N609" t="str" cm="1">
        <f t="array" ref="N609">_xlfn.IFS(I609 = "Rob", "Robusta", I609 = "Exc", "Excelsa", I609 = "Ara", "Arabica", I609 = "Lib", "Liberica")</f>
        <v>Excelsa</v>
      </c>
      <c r="O609" t="str">
        <f t="shared" si="19"/>
        <v>Dark</v>
      </c>
      <c r="P609" t="str">
        <f>_xlfn.XLOOKUP(Table1[[#This Row],[Customer ID]],Data_customers!$A$2:$A$1001,Data_customers!$I$2:$I$1001,,0)</f>
        <v>Yes</v>
      </c>
    </row>
    <row r="610" spans="1:16" x14ac:dyDescent="0.2">
      <c r="A610" s="2" t="s">
        <v>3923</v>
      </c>
      <c r="B610" s="3">
        <v>44608</v>
      </c>
      <c r="C610" s="2" t="s">
        <v>3924</v>
      </c>
      <c r="D610" t="s">
        <v>6185</v>
      </c>
      <c r="E610" s="2">
        <v>2</v>
      </c>
      <c r="F610" s="2" t="str">
        <f>_xlfn.XLOOKUP(Data_orders!C610,Data_customers!$A$1:$A$1001,Data_customers!$B$1:$B$1001,,0)</f>
        <v>Billy Neiland</v>
      </c>
      <c r="G610" s="2" t="str">
        <f>IF(_xlfn.XLOOKUP(C610,Data_customers!$A$1:$A$1001,Data_customers!$C$1:$C$1001,,0)=0,"",_xlfn.XLOOKUP(C610,Data_customers!$A$1:$A$1001,Data_customers!$C$1:$C$1001,,0))</f>
        <v/>
      </c>
      <c r="H610" s="2" t="str">
        <f>_xlfn.XLOOKUP(C610,Data_customers!$A$1:$A$1001,Data_customers!$G$1:$G$1001,"",0)</f>
        <v>United States</v>
      </c>
      <c r="I610" t="str">
        <f>INDEX(Data_products!$A$1:$G$49, MATCH(Data_orders!$D610,Data_products!$A$1:$A$49,0), MATCH(Data_orders!I$1,Data_products!$A$1:$G$1,0))</f>
        <v>Exc</v>
      </c>
      <c r="J610" t="str">
        <f>INDEX(Data_products!$A$1:$G$49, MATCH(Data_orders!$D610,Data_products!$A$1:$A$49,0), MATCH(Data_orders!J$1,Data_products!$A$1:$G$1,0))</f>
        <v>D</v>
      </c>
      <c r="K610" s="4">
        <f>INDEX(Data_products!$A$1:$G$49, MATCH(Data_orders!$D610,Data_products!$A$1:$A$49,0), MATCH(Data_orders!K$1,Data_products!$A$1:$G$1,0))</f>
        <v>2.5</v>
      </c>
      <c r="L610">
        <f>INDEX(Data_products!$A$1:$G$49, MATCH(Data_orders!$D610,Data_products!$A$1:$A$49,0), MATCH(Data_orders!L$1,Data_products!$A$1:$G$1,0))</f>
        <v>27.945</v>
      </c>
      <c r="M610">
        <f t="shared" si="18"/>
        <v>55.89</v>
      </c>
      <c r="N610" t="str" cm="1">
        <f t="array" ref="N610">_xlfn.IFS(I610 = "Rob", "Robusta", I610 = "Exc", "Excelsa", I610 = "Ara", "Arabica", I610 = "Lib", "Liberica")</f>
        <v>Excelsa</v>
      </c>
      <c r="O610" t="str">
        <f t="shared" si="19"/>
        <v>Dark</v>
      </c>
      <c r="P610" t="str">
        <f>_xlfn.XLOOKUP(Table1[[#This Row],[Customer ID]],Data_customers!$A$2:$A$1001,Data_customers!$I$2:$I$1001,,0)</f>
        <v>No</v>
      </c>
    </row>
    <row r="611" spans="1:16" x14ac:dyDescent="0.2">
      <c r="A611" s="2" t="s">
        <v>3927</v>
      </c>
      <c r="B611" s="3">
        <v>44147</v>
      </c>
      <c r="C611" s="2" t="s">
        <v>3928</v>
      </c>
      <c r="D611" t="s">
        <v>6159</v>
      </c>
      <c r="E611" s="2">
        <v>6</v>
      </c>
      <c r="F611" s="2" t="str">
        <f>_xlfn.XLOOKUP(Data_orders!C611,Data_customers!$A$1:$A$1001,Data_customers!$B$1:$B$1001,,0)</f>
        <v>Ancell Fendt</v>
      </c>
      <c r="G611" s="2" t="str">
        <f>IF(_xlfn.XLOOKUP(C611,Data_customers!$A$1:$A$1001,Data_customers!$C$1:$C$1001,,0)=0,"",_xlfn.XLOOKUP(C611,Data_customers!$A$1:$A$1001,Data_customers!$C$1:$C$1001,,0))</f>
        <v>afendtgx@forbes.com</v>
      </c>
      <c r="H611" s="2" t="str">
        <f>_xlfn.XLOOKUP(C611,Data_customers!$A$1:$A$1001,Data_customers!$G$1:$G$1001,"",0)</f>
        <v>United States</v>
      </c>
      <c r="I611" t="str">
        <f>INDEX(Data_products!$A$1:$G$49, MATCH(Data_orders!$D611,Data_products!$A$1:$A$49,0), MATCH(Data_orders!I$1,Data_products!$A$1:$G$1,0))</f>
        <v>Lib</v>
      </c>
      <c r="J611" t="str">
        <f>INDEX(Data_products!$A$1:$G$49, MATCH(Data_orders!$D611,Data_products!$A$1:$A$49,0), MATCH(Data_orders!J$1,Data_products!$A$1:$G$1,0))</f>
        <v>M</v>
      </c>
      <c r="K611" s="4">
        <f>INDEX(Data_products!$A$1:$G$49, MATCH(Data_orders!$D611,Data_products!$A$1:$A$49,0), MATCH(Data_orders!K$1,Data_products!$A$1:$G$1,0))</f>
        <v>0.2</v>
      </c>
      <c r="L611">
        <f>INDEX(Data_products!$A$1:$G$49, MATCH(Data_orders!$D611,Data_products!$A$1:$A$49,0), MATCH(Data_orders!L$1,Data_products!$A$1:$G$1,0))</f>
        <v>4.3650000000000002</v>
      </c>
      <c r="M611">
        <f t="shared" si="18"/>
        <v>26.19</v>
      </c>
      <c r="N611" t="str" cm="1">
        <f t="array" ref="N611">_xlfn.IFS(I611 = "Rob", "Robusta", I611 = "Exc", "Excelsa", I611 = "Ara", "Arabica", I611 = "Lib", "Liberica")</f>
        <v>Liberica</v>
      </c>
      <c r="O611" t="str">
        <f t="shared" si="19"/>
        <v>Medium</v>
      </c>
      <c r="P611" t="str">
        <f>_xlfn.XLOOKUP(Table1[[#This Row],[Customer ID]],Data_customers!$A$2:$A$1001,Data_customers!$I$2:$I$1001,,0)</f>
        <v>Yes</v>
      </c>
    </row>
    <row r="612" spans="1:16" x14ac:dyDescent="0.2">
      <c r="A612" s="2" t="s">
        <v>3933</v>
      </c>
      <c r="B612" s="3">
        <v>43743</v>
      </c>
      <c r="C612" s="2" t="s">
        <v>3934</v>
      </c>
      <c r="D612" t="s">
        <v>6138</v>
      </c>
      <c r="E612" s="2">
        <v>4</v>
      </c>
      <c r="F612" s="2" t="str">
        <f>_xlfn.XLOOKUP(Data_orders!C612,Data_customers!$A$1:$A$1001,Data_customers!$B$1:$B$1001,,0)</f>
        <v>Angelia Cleyburn</v>
      </c>
      <c r="G612" s="2" t="str">
        <f>IF(_xlfn.XLOOKUP(C612,Data_customers!$A$1:$A$1001,Data_customers!$C$1:$C$1001,,0)=0,"",_xlfn.XLOOKUP(C612,Data_customers!$A$1:$A$1001,Data_customers!$C$1:$C$1001,,0))</f>
        <v>acleyburngy@lycos.com</v>
      </c>
      <c r="H612" s="2" t="str">
        <f>_xlfn.XLOOKUP(C612,Data_customers!$A$1:$A$1001,Data_customers!$G$1:$G$1001,"",0)</f>
        <v>United States</v>
      </c>
      <c r="I612" t="str">
        <f>INDEX(Data_products!$A$1:$G$49, MATCH(Data_orders!$D612,Data_products!$A$1:$A$49,0), MATCH(Data_orders!I$1,Data_products!$A$1:$G$1,0))</f>
        <v>Rob</v>
      </c>
      <c r="J612" t="str">
        <f>INDEX(Data_products!$A$1:$G$49, MATCH(Data_orders!$D612,Data_products!$A$1:$A$49,0), MATCH(Data_orders!J$1,Data_products!$A$1:$G$1,0))</f>
        <v>M</v>
      </c>
      <c r="K612" s="4">
        <f>INDEX(Data_products!$A$1:$G$49, MATCH(Data_orders!$D612,Data_products!$A$1:$A$49,0), MATCH(Data_orders!K$1,Data_products!$A$1:$G$1,0))</f>
        <v>1</v>
      </c>
      <c r="L612">
        <f>INDEX(Data_products!$A$1:$G$49, MATCH(Data_orders!$D612,Data_products!$A$1:$A$49,0), MATCH(Data_orders!L$1,Data_products!$A$1:$G$1,0))</f>
        <v>9.9499999999999993</v>
      </c>
      <c r="M612">
        <f t="shared" si="18"/>
        <v>39.799999999999997</v>
      </c>
      <c r="N612" t="str" cm="1">
        <f t="array" ref="N612">_xlfn.IFS(I612 = "Rob", "Robusta", I612 = "Exc", "Excelsa", I612 = "Ara", "Arabica", I612 = "Lib", "Liberica")</f>
        <v>Robusta</v>
      </c>
      <c r="O612" t="str">
        <f t="shared" si="19"/>
        <v>Medium</v>
      </c>
      <c r="P612" t="str">
        <f>_xlfn.XLOOKUP(Table1[[#This Row],[Customer ID]],Data_customers!$A$2:$A$1001,Data_customers!$I$2:$I$1001,,0)</f>
        <v>No</v>
      </c>
    </row>
    <row r="613" spans="1:16" x14ac:dyDescent="0.2">
      <c r="A613" s="2" t="s">
        <v>3939</v>
      </c>
      <c r="B613" s="3">
        <v>43739</v>
      </c>
      <c r="C613" s="2" t="s">
        <v>3940</v>
      </c>
      <c r="D613" t="s">
        <v>6148</v>
      </c>
      <c r="E613" s="2">
        <v>2</v>
      </c>
      <c r="F613" s="2" t="str">
        <f>_xlfn.XLOOKUP(Data_orders!C613,Data_customers!$A$1:$A$1001,Data_customers!$B$1:$B$1001,,0)</f>
        <v>Temple Castiglione</v>
      </c>
      <c r="G613" s="2" t="str">
        <f>IF(_xlfn.XLOOKUP(C613,Data_customers!$A$1:$A$1001,Data_customers!$C$1:$C$1001,,0)=0,"",_xlfn.XLOOKUP(C613,Data_customers!$A$1:$A$1001,Data_customers!$C$1:$C$1001,,0))</f>
        <v>tcastiglionegz@xing.com</v>
      </c>
      <c r="H613" s="2" t="str">
        <f>_xlfn.XLOOKUP(C613,Data_customers!$A$1:$A$1001,Data_customers!$G$1:$G$1001,"",0)</f>
        <v>United States</v>
      </c>
      <c r="I613" t="str">
        <f>INDEX(Data_products!$A$1:$G$49, MATCH(Data_orders!$D613,Data_products!$A$1:$A$49,0), MATCH(Data_orders!I$1,Data_products!$A$1:$G$1,0))</f>
        <v>Exc</v>
      </c>
      <c r="J613" t="str">
        <f>INDEX(Data_products!$A$1:$G$49, MATCH(Data_orders!$D613,Data_products!$A$1:$A$49,0), MATCH(Data_orders!J$1,Data_products!$A$1:$G$1,0))</f>
        <v>L</v>
      </c>
      <c r="K613" s="4">
        <f>INDEX(Data_products!$A$1:$G$49, MATCH(Data_orders!$D613,Data_products!$A$1:$A$49,0), MATCH(Data_orders!K$1,Data_products!$A$1:$G$1,0))</f>
        <v>2.5</v>
      </c>
      <c r="L613">
        <f>INDEX(Data_products!$A$1:$G$49, MATCH(Data_orders!$D613,Data_products!$A$1:$A$49,0), MATCH(Data_orders!L$1,Data_products!$A$1:$G$1,0))</f>
        <v>34.154999999999994</v>
      </c>
      <c r="M613">
        <f t="shared" si="18"/>
        <v>68.309999999999988</v>
      </c>
      <c r="N613" t="str" cm="1">
        <f t="array" ref="N613">_xlfn.IFS(I613 = "Rob", "Robusta", I613 = "Exc", "Excelsa", I613 = "Ara", "Arabica", I613 = "Lib", "Liberica")</f>
        <v>Excelsa</v>
      </c>
      <c r="O613" t="str">
        <f t="shared" si="19"/>
        <v>Light</v>
      </c>
      <c r="P613" t="str">
        <f>_xlfn.XLOOKUP(Table1[[#This Row],[Customer ID]],Data_customers!$A$2:$A$1001,Data_customers!$I$2:$I$1001,,0)</f>
        <v>No</v>
      </c>
    </row>
    <row r="614" spans="1:16" x14ac:dyDescent="0.2">
      <c r="A614" s="2" t="s">
        <v>3945</v>
      </c>
      <c r="B614" s="3">
        <v>43896</v>
      </c>
      <c r="C614" s="2" t="s">
        <v>3946</v>
      </c>
      <c r="D614" t="s">
        <v>6152</v>
      </c>
      <c r="E614" s="2">
        <v>4</v>
      </c>
      <c r="F614" s="2" t="str">
        <f>_xlfn.XLOOKUP(Data_orders!C614,Data_customers!$A$1:$A$1001,Data_customers!$B$1:$B$1001,,0)</f>
        <v>Betti Lacasa</v>
      </c>
      <c r="G614" s="2" t="str">
        <f>IF(_xlfn.XLOOKUP(C614,Data_customers!$A$1:$A$1001,Data_customers!$C$1:$C$1001,,0)=0,"",_xlfn.XLOOKUP(C614,Data_customers!$A$1:$A$1001,Data_customers!$C$1:$C$1001,,0))</f>
        <v/>
      </c>
      <c r="H614" s="2" t="str">
        <f>_xlfn.XLOOKUP(C614,Data_customers!$A$1:$A$1001,Data_customers!$G$1:$G$1001,"",0)</f>
        <v>Ireland</v>
      </c>
      <c r="I614" t="str">
        <f>INDEX(Data_products!$A$1:$G$49, MATCH(Data_orders!$D614,Data_products!$A$1:$A$49,0), MATCH(Data_orders!I$1,Data_products!$A$1:$G$1,0))</f>
        <v>Ara</v>
      </c>
      <c r="J614" t="str">
        <f>INDEX(Data_products!$A$1:$G$49, MATCH(Data_orders!$D614,Data_products!$A$1:$A$49,0), MATCH(Data_orders!J$1,Data_products!$A$1:$G$1,0))</f>
        <v>M</v>
      </c>
      <c r="K614" s="4">
        <f>INDEX(Data_products!$A$1:$G$49, MATCH(Data_orders!$D614,Data_products!$A$1:$A$49,0), MATCH(Data_orders!K$1,Data_products!$A$1:$G$1,0))</f>
        <v>0.2</v>
      </c>
      <c r="L614">
        <f>INDEX(Data_products!$A$1:$G$49, MATCH(Data_orders!$D614,Data_products!$A$1:$A$49,0), MATCH(Data_orders!L$1,Data_products!$A$1:$G$1,0))</f>
        <v>3.375</v>
      </c>
      <c r="M614">
        <f t="shared" si="18"/>
        <v>13.5</v>
      </c>
      <c r="N614" t="str" cm="1">
        <f t="array" ref="N614">_xlfn.IFS(I614 = "Rob", "Robusta", I614 = "Exc", "Excelsa", I614 = "Ara", "Arabica", I614 = "Lib", "Liberica")</f>
        <v>Arabica</v>
      </c>
      <c r="O614" t="str">
        <f t="shared" si="19"/>
        <v>Medium</v>
      </c>
      <c r="P614" t="str">
        <f>_xlfn.XLOOKUP(Table1[[#This Row],[Customer ID]],Data_customers!$A$2:$A$1001,Data_customers!$I$2:$I$1001,,0)</f>
        <v>No</v>
      </c>
    </row>
    <row r="615" spans="1:16" x14ac:dyDescent="0.2">
      <c r="A615" s="2" t="s">
        <v>3950</v>
      </c>
      <c r="B615" s="3">
        <v>43761</v>
      </c>
      <c r="C615" s="2" t="s">
        <v>3951</v>
      </c>
      <c r="D615" t="s">
        <v>6146</v>
      </c>
      <c r="E615" s="2">
        <v>1</v>
      </c>
      <c r="F615" s="2" t="str">
        <f>_xlfn.XLOOKUP(Data_orders!C615,Data_customers!$A$1:$A$1001,Data_customers!$B$1:$B$1001,,0)</f>
        <v>Gunilla Lynch</v>
      </c>
      <c r="G615" s="2" t="str">
        <f>IF(_xlfn.XLOOKUP(C615,Data_customers!$A$1:$A$1001,Data_customers!$C$1:$C$1001,,0)=0,"",_xlfn.XLOOKUP(C615,Data_customers!$A$1:$A$1001,Data_customers!$C$1:$C$1001,,0))</f>
        <v/>
      </c>
      <c r="H615" s="2" t="str">
        <f>_xlfn.XLOOKUP(C615,Data_customers!$A$1:$A$1001,Data_customers!$G$1:$G$1001,"",0)</f>
        <v>United States</v>
      </c>
      <c r="I615" t="str">
        <f>INDEX(Data_products!$A$1:$G$49, MATCH(Data_orders!$D615,Data_products!$A$1:$A$49,0), MATCH(Data_orders!I$1,Data_products!$A$1:$G$1,0))</f>
        <v>Rob</v>
      </c>
      <c r="J615" t="str">
        <f>INDEX(Data_products!$A$1:$G$49, MATCH(Data_orders!$D615,Data_products!$A$1:$A$49,0), MATCH(Data_orders!J$1,Data_products!$A$1:$G$1,0))</f>
        <v>M</v>
      </c>
      <c r="K615" s="4">
        <f>INDEX(Data_products!$A$1:$G$49, MATCH(Data_orders!$D615,Data_products!$A$1:$A$49,0), MATCH(Data_orders!K$1,Data_products!$A$1:$G$1,0))</f>
        <v>0.5</v>
      </c>
      <c r="L615">
        <f>INDEX(Data_products!$A$1:$G$49, MATCH(Data_orders!$D615,Data_products!$A$1:$A$49,0), MATCH(Data_orders!L$1,Data_products!$A$1:$G$1,0))</f>
        <v>5.97</v>
      </c>
      <c r="M615">
        <f t="shared" si="18"/>
        <v>5.97</v>
      </c>
      <c r="N615" t="str" cm="1">
        <f t="array" ref="N615">_xlfn.IFS(I615 = "Rob", "Robusta", I615 = "Exc", "Excelsa", I615 = "Ara", "Arabica", I615 = "Lib", "Liberica")</f>
        <v>Robusta</v>
      </c>
      <c r="O615" t="str">
        <f t="shared" si="19"/>
        <v>Medium</v>
      </c>
      <c r="P615" t="str">
        <f>_xlfn.XLOOKUP(Table1[[#This Row],[Customer ID]],Data_customers!$A$2:$A$1001,Data_customers!$I$2:$I$1001,,0)</f>
        <v>No</v>
      </c>
    </row>
    <row r="616" spans="1:16" x14ac:dyDescent="0.2">
      <c r="A616" s="2" t="s">
        <v>3955</v>
      </c>
      <c r="B616" s="3">
        <v>43944</v>
      </c>
      <c r="C616" s="2" t="s">
        <v>3840</v>
      </c>
      <c r="D616" t="s">
        <v>6146</v>
      </c>
      <c r="E616" s="2">
        <v>5</v>
      </c>
      <c r="F616" s="2" t="str">
        <f>_xlfn.XLOOKUP(Data_orders!C616,Data_customers!$A$1:$A$1001,Data_customers!$B$1:$B$1001,,0)</f>
        <v>Cody Verissimo</v>
      </c>
      <c r="G616" s="2" t="str">
        <f>IF(_xlfn.XLOOKUP(C616,Data_customers!$A$1:$A$1001,Data_customers!$C$1:$C$1001,,0)=0,"",_xlfn.XLOOKUP(C616,Data_customers!$A$1:$A$1001,Data_customers!$C$1:$C$1001,,0))</f>
        <v>cverissimogh@theglobeandmail.com</v>
      </c>
      <c r="H616" s="2" t="str">
        <f>_xlfn.XLOOKUP(C616,Data_customers!$A$1:$A$1001,Data_customers!$G$1:$G$1001,"",0)</f>
        <v>United Kingdom</v>
      </c>
      <c r="I616" t="str">
        <f>INDEX(Data_products!$A$1:$G$49, MATCH(Data_orders!$D616,Data_products!$A$1:$A$49,0), MATCH(Data_orders!I$1,Data_products!$A$1:$G$1,0))</f>
        <v>Rob</v>
      </c>
      <c r="J616" t="str">
        <f>INDEX(Data_products!$A$1:$G$49, MATCH(Data_orders!$D616,Data_products!$A$1:$A$49,0), MATCH(Data_orders!J$1,Data_products!$A$1:$G$1,0))</f>
        <v>M</v>
      </c>
      <c r="K616" s="4">
        <f>INDEX(Data_products!$A$1:$G$49, MATCH(Data_orders!$D616,Data_products!$A$1:$A$49,0), MATCH(Data_orders!K$1,Data_products!$A$1:$G$1,0))</f>
        <v>0.5</v>
      </c>
      <c r="L616">
        <f>INDEX(Data_products!$A$1:$G$49, MATCH(Data_orders!$D616,Data_products!$A$1:$A$49,0), MATCH(Data_orders!L$1,Data_products!$A$1:$G$1,0))</f>
        <v>5.97</v>
      </c>
      <c r="M616">
        <f t="shared" si="18"/>
        <v>29.849999999999998</v>
      </c>
      <c r="N616" t="str" cm="1">
        <f t="array" ref="N616">_xlfn.IFS(I616 = "Rob", "Robusta", I616 = "Exc", "Excelsa", I616 = "Ara", "Arabica", I616 = "Lib", "Liberica")</f>
        <v>Robusta</v>
      </c>
      <c r="O616" t="str">
        <f t="shared" si="19"/>
        <v>Medium</v>
      </c>
      <c r="P616" t="str">
        <f>_xlfn.XLOOKUP(Table1[[#This Row],[Customer ID]],Data_customers!$A$2:$A$1001,Data_customers!$I$2:$I$1001,,0)</f>
        <v>Yes</v>
      </c>
    </row>
    <row r="617" spans="1:16" x14ac:dyDescent="0.2">
      <c r="A617" s="2" t="s">
        <v>3960</v>
      </c>
      <c r="B617" s="3">
        <v>44006</v>
      </c>
      <c r="C617" s="2" t="s">
        <v>3961</v>
      </c>
      <c r="D617" t="s">
        <v>6164</v>
      </c>
      <c r="E617" s="2">
        <v>2</v>
      </c>
      <c r="F617" s="2" t="str">
        <f>_xlfn.XLOOKUP(Data_orders!C617,Data_customers!$A$1:$A$1001,Data_customers!$B$1:$B$1001,,0)</f>
        <v>Shay Couronne</v>
      </c>
      <c r="G617" s="2" t="str">
        <f>IF(_xlfn.XLOOKUP(C617,Data_customers!$A$1:$A$1001,Data_customers!$C$1:$C$1001,,0)=0,"",_xlfn.XLOOKUP(C617,Data_customers!$A$1:$A$1001,Data_customers!$C$1:$C$1001,,0))</f>
        <v>scouronneh3@mozilla.org</v>
      </c>
      <c r="H617" s="2" t="str">
        <f>_xlfn.XLOOKUP(C617,Data_customers!$A$1:$A$1001,Data_customers!$G$1:$G$1001,"",0)</f>
        <v>United States</v>
      </c>
      <c r="I617" t="str">
        <f>INDEX(Data_products!$A$1:$G$49, MATCH(Data_orders!$D617,Data_products!$A$1:$A$49,0), MATCH(Data_orders!I$1,Data_products!$A$1:$G$1,0))</f>
        <v>Lib</v>
      </c>
      <c r="J617" t="str">
        <f>INDEX(Data_products!$A$1:$G$49, MATCH(Data_orders!$D617,Data_products!$A$1:$A$49,0), MATCH(Data_orders!J$1,Data_products!$A$1:$G$1,0))</f>
        <v>L</v>
      </c>
      <c r="K617" s="4">
        <f>INDEX(Data_products!$A$1:$G$49, MATCH(Data_orders!$D617,Data_products!$A$1:$A$49,0), MATCH(Data_orders!K$1,Data_products!$A$1:$G$1,0))</f>
        <v>2.5</v>
      </c>
      <c r="L617">
        <f>INDEX(Data_products!$A$1:$G$49, MATCH(Data_orders!$D617,Data_products!$A$1:$A$49,0), MATCH(Data_orders!L$1,Data_products!$A$1:$G$1,0))</f>
        <v>36.454999999999998</v>
      </c>
      <c r="M617">
        <f t="shared" si="18"/>
        <v>72.91</v>
      </c>
      <c r="N617" t="str" cm="1">
        <f t="array" ref="N617">_xlfn.IFS(I617 = "Rob", "Robusta", I617 = "Exc", "Excelsa", I617 = "Ara", "Arabica", I617 = "Lib", "Liberica")</f>
        <v>Liberica</v>
      </c>
      <c r="O617" t="str">
        <f t="shared" si="19"/>
        <v>Light</v>
      </c>
      <c r="P617" t="str">
        <f>_xlfn.XLOOKUP(Table1[[#This Row],[Customer ID]],Data_customers!$A$2:$A$1001,Data_customers!$I$2:$I$1001,,0)</f>
        <v>Yes</v>
      </c>
    </row>
    <row r="618" spans="1:16" x14ac:dyDescent="0.2">
      <c r="A618" s="2" t="s">
        <v>3966</v>
      </c>
      <c r="B618" s="3">
        <v>44271</v>
      </c>
      <c r="C618" s="2" t="s">
        <v>3967</v>
      </c>
      <c r="D618" t="s">
        <v>6166</v>
      </c>
      <c r="E618" s="2">
        <v>4</v>
      </c>
      <c r="F618" s="2" t="str">
        <f>_xlfn.XLOOKUP(Data_orders!C618,Data_customers!$A$1:$A$1001,Data_customers!$B$1:$B$1001,,0)</f>
        <v>Linus Flippelli</v>
      </c>
      <c r="G618" s="2" t="str">
        <f>IF(_xlfn.XLOOKUP(C618,Data_customers!$A$1:$A$1001,Data_customers!$C$1:$C$1001,,0)=0,"",_xlfn.XLOOKUP(C618,Data_customers!$A$1:$A$1001,Data_customers!$C$1:$C$1001,,0))</f>
        <v>lflippellih4@github.io</v>
      </c>
      <c r="H618" s="2" t="str">
        <f>_xlfn.XLOOKUP(C618,Data_customers!$A$1:$A$1001,Data_customers!$G$1:$G$1001,"",0)</f>
        <v>United Kingdom</v>
      </c>
      <c r="I618" t="str">
        <f>INDEX(Data_products!$A$1:$G$49, MATCH(Data_orders!$D618,Data_products!$A$1:$A$49,0), MATCH(Data_orders!I$1,Data_products!$A$1:$G$1,0))</f>
        <v>Exc</v>
      </c>
      <c r="J618" t="str">
        <f>INDEX(Data_products!$A$1:$G$49, MATCH(Data_orders!$D618,Data_products!$A$1:$A$49,0), MATCH(Data_orders!J$1,Data_products!$A$1:$G$1,0))</f>
        <v>M</v>
      </c>
      <c r="K618" s="4">
        <f>INDEX(Data_products!$A$1:$G$49, MATCH(Data_orders!$D618,Data_products!$A$1:$A$49,0), MATCH(Data_orders!K$1,Data_products!$A$1:$G$1,0))</f>
        <v>2.5</v>
      </c>
      <c r="L618">
        <f>INDEX(Data_products!$A$1:$G$49, MATCH(Data_orders!$D618,Data_products!$A$1:$A$49,0), MATCH(Data_orders!L$1,Data_products!$A$1:$G$1,0))</f>
        <v>31.624999999999996</v>
      </c>
      <c r="M618">
        <f t="shared" si="18"/>
        <v>126.49999999999999</v>
      </c>
      <c r="N618" t="str" cm="1">
        <f t="array" ref="N618">_xlfn.IFS(I618 = "Rob", "Robusta", I618 = "Exc", "Excelsa", I618 = "Ara", "Arabica", I618 = "Lib", "Liberica")</f>
        <v>Excelsa</v>
      </c>
      <c r="O618" t="str">
        <f t="shared" si="19"/>
        <v>Medium</v>
      </c>
      <c r="P618" t="str">
        <f>_xlfn.XLOOKUP(Table1[[#This Row],[Customer ID]],Data_customers!$A$2:$A$1001,Data_customers!$I$2:$I$1001,,0)</f>
        <v>No</v>
      </c>
    </row>
    <row r="619" spans="1:16" x14ac:dyDescent="0.2">
      <c r="A619" s="2" t="s">
        <v>3972</v>
      </c>
      <c r="B619" s="3">
        <v>43928</v>
      </c>
      <c r="C619" s="2" t="s">
        <v>3973</v>
      </c>
      <c r="D619" t="s">
        <v>6181</v>
      </c>
      <c r="E619" s="2">
        <v>1</v>
      </c>
      <c r="F619" s="2" t="str">
        <f>_xlfn.XLOOKUP(Data_orders!C619,Data_customers!$A$1:$A$1001,Data_customers!$B$1:$B$1001,,0)</f>
        <v>Rachelle Elizabeth</v>
      </c>
      <c r="G619" s="2" t="str">
        <f>IF(_xlfn.XLOOKUP(C619,Data_customers!$A$1:$A$1001,Data_customers!$C$1:$C$1001,,0)=0,"",_xlfn.XLOOKUP(C619,Data_customers!$A$1:$A$1001,Data_customers!$C$1:$C$1001,,0))</f>
        <v>relizabethh5@live.com</v>
      </c>
      <c r="H619" s="2" t="str">
        <f>_xlfn.XLOOKUP(C619,Data_customers!$A$1:$A$1001,Data_customers!$G$1:$G$1001,"",0)</f>
        <v>United States</v>
      </c>
      <c r="I619" t="str">
        <f>INDEX(Data_products!$A$1:$G$49, MATCH(Data_orders!$D619,Data_products!$A$1:$A$49,0), MATCH(Data_orders!I$1,Data_products!$A$1:$G$1,0))</f>
        <v>Lib</v>
      </c>
      <c r="J619" t="str">
        <f>INDEX(Data_products!$A$1:$G$49, MATCH(Data_orders!$D619,Data_products!$A$1:$A$49,0), MATCH(Data_orders!J$1,Data_products!$A$1:$G$1,0))</f>
        <v>M</v>
      </c>
      <c r="K619" s="4">
        <f>INDEX(Data_products!$A$1:$G$49, MATCH(Data_orders!$D619,Data_products!$A$1:$A$49,0), MATCH(Data_orders!K$1,Data_products!$A$1:$G$1,0))</f>
        <v>2.5</v>
      </c>
      <c r="L619">
        <f>INDEX(Data_products!$A$1:$G$49, MATCH(Data_orders!$D619,Data_products!$A$1:$A$49,0), MATCH(Data_orders!L$1,Data_products!$A$1:$G$1,0))</f>
        <v>33.464999999999996</v>
      </c>
      <c r="M619">
        <f t="shared" si="18"/>
        <v>33.464999999999996</v>
      </c>
      <c r="N619" t="str" cm="1">
        <f t="array" ref="N619">_xlfn.IFS(I619 = "Rob", "Robusta", I619 = "Exc", "Excelsa", I619 = "Ara", "Arabica", I619 = "Lib", "Liberica")</f>
        <v>Liberica</v>
      </c>
      <c r="O619" t="str">
        <f t="shared" si="19"/>
        <v>Medium</v>
      </c>
      <c r="P619" t="str">
        <f>_xlfn.XLOOKUP(Table1[[#This Row],[Customer ID]],Data_customers!$A$2:$A$1001,Data_customers!$I$2:$I$1001,,0)</f>
        <v>No</v>
      </c>
    </row>
    <row r="620" spans="1:16" x14ac:dyDescent="0.2">
      <c r="A620" s="2" t="s">
        <v>3978</v>
      </c>
      <c r="B620" s="3">
        <v>44469</v>
      </c>
      <c r="C620" s="2" t="s">
        <v>3979</v>
      </c>
      <c r="D620" t="s">
        <v>6183</v>
      </c>
      <c r="E620" s="2">
        <v>6</v>
      </c>
      <c r="F620" s="2" t="str">
        <f>_xlfn.XLOOKUP(Data_orders!C620,Data_customers!$A$1:$A$1001,Data_customers!$B$1:$B$1001,,0)</f>
        <v>Innis Renhard</v>
      </c>
      <c r="G620" s="2" t="str">
        <f>IF(_xlfn.XLOOKUP(C620,Data_customers!$A$1:$A$1001,Data_customers!$C$1:$C$1001,,0)=0,"",_xlfn.XLOOKUP(C620,Data_customers!$A$1:$A$1001,Data_customers!$C$1:$C$1001,,0))</f>
        <v>irenhardh6@i2i.jp</v>
      </c>
      <c r="H620" s="2" t="str">
        <f>_xlfn.XLOOKUP(C620,Data_customers!$A$1:$A$1001,Data_customers!$G$1:$G$1001,"",0)</f>
        <v>United States</v>
      </c>
      <c r="I620" t="str">
        <f>INDEX(Data_products!$A$1:$G$49, MATCH(Data_orders!$D620,Data_products!$A$1:$A$49,0), MATCH(Data_orders!I$1,Data_products!$A$1:$G$1,0))</f>
        <v>Exc</v>
      </c>
      <c r="J620" t="str">
        <f>INDEX(Data_products!$A$1:$G$49, MATCH(Data_orders!$D620,Data_products!$A$1:$A$49,0), MATCH(Data_orders!J$1,Data_products!$A$1:$G$1,0))</f>
        <v>D</v>
      </c>
      <c r="K620" s="4">
        <f>INDEX(Data_products!$A$1:$G$49, MATCH(Data_orders!$D620,Data_products!$A$1:$A$49,0), MATCH(Data_orders!K$1,Data_products!$A$1:$G$1,0))</f>
        <v>1</v>
      </c>
      <c r="L620">
        <f>INDEX(Data_products!$A$1:$G$49, MATCH(Data_orders!$D620,Data_products!$A$1:$A$49,0), MATCH(Data_orders!L$1,Data_products!$A$1:$G$1,0))</f>
        <v>12.15</v>
      </c>
      <c r="M620">
        <f t="shared" si="18"/>
        <v>72.900000000000006</v>
      </c>
      <c r="N620" t="str" cm="1">
        <f t="array" ref="N620">_xlfn.IFS(I620 = "Rob", "Robusta", I620 = "Exc", "Excelsa", I620 = "Ara", "Arabica", I620 = "Lib", "Liberica")</f>
        <v>Excelsa</v>
      </c>
      <c r="O620" t="str">
        <f t="shared" si="19"/>
        <v>Dark</v>
      </c>
      <c r="P620" t="str">
        <f>_xlfn.XLOOKUP(Table1[[#This Row],[Customer ID]],Data_customers!$A$2:$A$1001,Data_customers!$I$2:$I$1001,,0)</f>
        <v>Yes</v>
      </c>
    </row>
    <row r="621" spans="1:16" x14ac:dyDescent="0.2">
      <c r="A621" s="2" t="s">
        <v>3984</v>
      </c>
      <c r="B621" s="3">
        <v>44682</v>
      </c>
      <c r="C621" s="2" t="s">
        <v>3985</v>
      </c>
      <c r="D621" t="s">
        <v>6169</v>
      </c>
      <c r="E621" s="2">
        <v>2</v>
      </c>
      <c r="F621" s="2" t="str">
        <f>_xlfn.XLOOKUP(Data_orders!C621,Data_customers!$A$1:$A$1001,Data_customers!$B$1:$B$1001,,0)</f>
        <v>Winne Roche</v>
      </c>
      <c r="G621" s="2" t="str">
        <f>IF(_xlfn.XLOOKUP(C621,Data_customers!$A$1:$A$1001,Data_customers!$C$1:$C$1001,,0)=0,"",_xlfn.XLOOKUP(C621,Data_customers!$A$1:$A$1001,Data_customers!$C$1:$C$1001,,0))</f>
        <v>wrocheh7@xinhuanet.com</v>
      </c>
      <c r="H621" s="2" t="str">
        <f>_xlfn.XLOOKUP(C621,Data_customers!$A$1:$A$1001,Data_customers!$G$1:$G$1001,"",0)</f>
        <v>United States</v>
      </c>
      <c r="I621" t="str">
        <f>INDEX(Data_products!$A$1:$G$49, MATCH(Data_orders!$D621,Data_products!$A$1:$A$49,0), MATCH(Data_orders!I$1,Data_products!$A$1:$G$1,0))</f>
        <v>Lib</v>
      </c>
      <c r="J621" t="str">
        <f>INDEX(Data_products!$A$1:$G$49, MATCH(Data_orders!$D621,Data_products!$A$1:$A$49,0), MATCH(Data_orders!J$1,Data_products!$A$1:$G$1,0))</f>
        <v>D</v>
      </c>
      <c r="K621" s="4">
        <f>INDEX(Data_products!$A$1:$G$49, MATCH(Data_orders!$D621,Data_products!$A$1:$A$49,0), MATCH(Data_orders!K$1,Data_products!$A$1:$G$1,0))</f>
        <v>0.5</v>
      </c>
      <c r="L621">
        <f>INDEX(Data_products!$A$1:$G$49, MATCH(Data_orders!$D621,Data_products!$A$1:$A$49,0), MATCH(Data_orders!L$1,Data_products!$A$1:$G$1,0))</f>
        <v>7.77</v>
      </c>
      <c r="M621">
        <f t="shared" si="18"/>
        <v>15.54</v>
      </c>
      <c r="N621" t="str" cm="1">
        <f t="array" ref="N621">_xlfn.IFS(I621 = "Rob", "Robusta", I621 = "Exc", "Excelsa", I621 = "Ara", "Arabica", I621 = "Lib", "Liberica")</f>
        <v>Liberica</v>
      </c>
      <c r="O621" t="str">
        <f t="shared" si="19"/>
        <v>Dark</v>
      </c>
      <c r="P621" t="str">
        <f>_xlfn.XLOOKUP(Table1[[#This Row],[Customer ID]],Data_customers!$A$2:$A$1001,Data_customers!$I$2:$I$1001,,0)</f>
        <v>Yes</v>
      </c>
    </row>
    <row r="622" spans="1:16" x14ac:dyDescent="0.2">
      <c r="A622" s="2" t="s">
        <v>3990</v>
      </c>
      <c r="B622" s="3">
        <v>44217</v>
      </c>
      <c r="C622" s="2" t="s">
        <v>4042</v>
      </c>
      <c r="D622" t="s">
        <v>6152</v>
      </c>
      <c r="E622" s="2">
        <v>6</v>
      </c>
      <c r="F622" s="2" t="str">
        <f>_xlfn.XLOOKUP(Data_orders!C622,Data_customers!$A$1:$A$1001,Data_customers!$B$1:$B$1001,,0)</f>
        <v>Linn Alaway</v>
      </c>
      <c r="G622" s="2" t="str">
        <f>IF(_xlfn.XLOOKUP(C622,Data_customers!$A$1:$A$1001,Data_customers!$C$1:$C$1001,,0)=0,"",_xlfn.XLOOKUP(C622,Data_customers!$A$1:$A$1001,Data_customers!$C$1:$C$1001,,0))</f>
        <v>lalawayhh@weather.com</v>
      </c>
      <c r="H622" s="2" t="str">
        <f>_xlfn.XLOOKUP(C622,Data_customers!$A$1:$A$1001,Data_customers!$G$1:$G$1001,"",0)</f>
        <v>United States</v>
      </c>
      <c r="I622" t="str">
        <f>INDEX(Data_products!$A$1:$G$49, MATCH(Data_orders!$D622,Data_products!$A$1:$A$49,0), MATCH(Data_orders!I$1,Data_products!$A$1:$G$1,0))</f>
        <v>Ara</v>
      </c>
      <c r="J622" t="str">
        <f>INDEX(Data_products!$A$1:$G$49, MATCH(Data_orders!$D622,Data_products!$A$1:$A$49,0), MATCH(Data_orders!J$1,Data_products!$A$1:$G$1,0))</f>
        <v>M</v>
      </c>
      <c r="K622" s="4">
        <f>INDEX(Data_products!$A$1:$G$49, MATCH(Data_orders!$D622,Data_products!$A$1:$A$49,0), MATCH(Data_orders!K$1,Data_products!$A$1:$G$1,0))</f>
        <v>0.2</v>
      </c>
      <c r="L622">
        <f>INDEX(Data_products!$A$1:$G$49, MATCH(Data_orders!$D622,Data_products!$A$1:$A$49,0), MATCH(Data_orders!L$1,Data_products!$A$1:$G$1,0))</f>
        <v>3.375</v>
      </c>
      <c r="M622">
        <f t="shared" si="18"/>
        <v>20.25</v>
      </c>
      <c r="N622" t="str" cm="1">
        <f t="array" ref="N622">_xlfn.IFS(I622 = "Rob", "Robusta", I622 = "Exc", "Excelsa", I622 = "Ara", "Arabica", I622 = "Lib", "Liberica")</f>
        <v>Arabica</v>
      </c>
      <c r="O622" t="str">
        <f t="shared" si="19"/>
        <v>Medium</v>
      </c>
      <c r="P622" t="str">
        <f>_xlfn.XLOOKUP(Table1[[#This Row],[Customer ID]],Data_customers!$A$2:$A$1001,Data_customers!$I$2:$I$1001,,0)</f>
        <v>No</v>
      </c>
    </row>
    <row r="623" spans="1:16" x14ac:dyDescent="0.2">
      <c r="A623" s="2" t="s">
        <v>3996</v>
      </c>
      <c r="B623" s="3">
        <v>44006</v>
      </c>
      <c r="C623" s="2" t="s">
        <v>3997</v>
      </c>
      <c r="D623" t="s">
        <v>6140</v>
      </c>
      <c r="E623" s="2">
        <v>6</v>
      </c>
      <c r="F623" s="2" t="str">
        <f>_xlfn.XLOOKUP(Data_orders!C623,Data_customers!$A$1:$A$1001,Data_customers!$B$1:$B$1001,,0)</f>
        <v>Cordy Odgaard</v>
      </c>
      <c r="G623" s="2" t="str">
        <f>IF(_xlfn.XLOOKUP(C623,Data_customers!$A$1:$A$1001,Data_customers!$C$1:$C$1001,,0)=0,"",_xlfn.XLOOKUP(C623,Data_customers!$A$1:$A$1001,Data_customers!$C$1:$C$1001,,0))</f>
        <v>codgaardh9@nsw.gov.au</v>
      </c>
      <c r="H623" s="2" t="str">
        <f>_xlfn.XLOOKUP(C623,Data_customers!$A$1:$A$1001,Data_customers!$G$1:$G$1001,"",0)</f>
        <v>United States</v>
      </c>
      <c r="I623" t="str">
        <f>INDEX(Data_products!$A$1:$G$49, MATCH(Data_orders!$D623,Data_products!$A$1:$A$49,0), MATCH(Data_orders!I$1,Data_products!$A$1:$G$1,0))</f>
        <v>Ara</v>
      </c>
      <c r="J623" t="str">
        <f>INDEX(Data_products!$A$1:$G$49, MATCH(Data_orders!$D623,Data_products!$A$1:$A$49,0), MATCH(Data_orders!J$1,Data_products!$A$1:$G$1,0))</f>
        <v>L</v>
      </c>
      <c r="K623" s="4">
        <f>INDEX(Data_products!$A$1:$G$49, MATCH(Data_orders!$D623,Data_products!$A$1:$A$49,0), MATCH(Data_orders!K$1,Data_products!$A$1:$G$1,0))</f>
        <v>1</v>
      </c>
      <c r="L623">
        <f>INDEX(Data_products!$A$1:$G$49, MATCH(Data_orders!$D623,Data_products!$A$1:$A$49,0), MATCH(Data_orders!L$1,Data_products!$A$1:$G$1,0))</f>
        <v>12.95</v>
      </c>
      <c r="M623">
        <f t="shared" si="18"/>
        <v>77.699999999999989</v>
      </c>
      <c r="N623" t="str" cm="1">
        <f t="array" ref="N623">_xlfn.IFS(I623 = "Rob", "Robusta", I623 = "Exc", "Excelsa", I623 = "Ara", "Arabica", I623 = "Lib", "Liberica")</f>
        <v>Arabica</v>
      </c>
      <c r="O623" t="str">
        <f t="shared" si="19"/>
        <v>Light</v>
      </c>
      <c r="P623" t="str">
        <f>_xlfn.XLOOKUP(Table1[[#This Row],[Customer ID]],Data_customers!$A$2:$A$1001,Data_customers!$I$2:$I$1001,,0)</f>
        <v>No</v>
      </c>
    </row>
    <row r="624" spans="1:16" x14ac:dyDescent="0.2">
      <c r="A624" s="2" t="s">
        <v>4002</v>
      </c>
      <c r="B624" s="3">
        <v>43527</v>
      </c>
      <c r="C624" s="2" t="s">
        <v>4003</v>
      </c>
      <c r="D624" t="s">
        <v>6181</v>
      </c>
      <c r="E624" s="2">
        <v>4</v>
      </c>
      <c r="F624" s="2" t="str">
        <f>_xlfn.XLOOKUP(Data_orders!C624,Data_customers!$A$1:$A$1001,Data_customers!$B$1:$B$1001,,0)</f>
        <v>Bertine Byrd</v>
      </c>
      <c r="G624" s="2" t="str">
        <f>IF(_xlfn.XLOOKUP(C624,Data_customers!$A$1:$A$1001,Data_customers!$C$1:$C$1001,,0)=0,"",_xlfn.XLOOKUP(C624,Data_customers!$A$1:$A$1001,Data_customers!$C$1:$C$1001,,0))</f>
        <v>bbyrdha@4shared.com</v>
      </c>
      <c r="H624" s="2" t="str">
        <f>_xlfn.XLOOKUP(C624,Data_customers!$A$1:$A$1001,Data_customers!$G$1:$G$1001,"",0)</f>
        <v>United States</v>
      </c>
      <c r="I624" t="str">
        <f>INDEX(Data_products!$A$1:$G$49, MATCH(Data_orders!$D624,Data_products!$A$1:$A$49,0), MATCH(Data_orders!I$1,Data_products!$A$1:$G$1,0))</f>
        <v>Lib</v>
      </c>
      <c r="J624" t="str">
        <f>INDEX(Data_products!$A$1:$G$49, MATCH(Data_orders!$D624,Data_products!$A$1:$A$49,0), MATCH(Data_orders!J$1,Data_products!$A$1:$G$1,0))</f>
        <v>M</v>
      </c>
      <c r="K624" s="4">
        <f>INDEX(Data_products!$A$1:$G$49, MATCH(Data_orders!$D624,Data_products!$A$1:$A$49,0), MATCH(Data_orders!K$1,Data_products!$A$1:$G$1,0))</f>
        <v>2.5</v>
      </c>
      <c r="L624">
        <f>INDEX(Data_products!$A$1:$G$49, MATCH(Data_orders!$D624,Data_products!$A$1:$A$49,0), MATCH(Data_orders!L$1,Data_products!$A$1:$G$1,0))</f>
        <v>33.464999999999996</v>
      </c>
      <c r="M624">
        <f t="shared" si="18"/>
        <v>133.85999999999999</v>
      </c>
      <c r="N624" t="str" cm="1">
        <f t="array" ref="N624">_xlfn.IFS(I624 = "Rob", "Robusta", I624 = "Exc", "Excelsa", I624 = "Ara", "Arabica", I624 = "Lib", "Liberica")</f>
        <v>Liberica</v>
      </c>
      <c r="O624" t="str">
        <f t="shared" si="19"/>
        <v>Medium</v>
      </c>
      <c r="P624" t="str">
        <f>_xlfn.XLOOKUP(Table1[[#This Row],[Customer ID]],Data_customers!$A$2:$A$1001,Data_customers!$I$2:$I$1001,,0)</f>
        <v>No</v>
      </c>
    </row>
    <row r="625" spans="1:16" x14ac:dyDescent="0.2">
      <c r="A625" s="2" t="s">
        <v>4007</v>
      </c>
      <c r="B625" s="3">
        <v>44224</v>
      </c>
      <c r="C625" s="2" t="s">
        <v>4008</v>
      </c>
      <c r="D625" t="s">
        <v>6183</v>
      </c>
      <c r="E625" s="2">
        <v>1</v>
      </c>
      <c r="F625" s="2" t="str">
        <f>_xlfn.XLOOKUP(Data_orders!C625,Data_customers!$A$1:$A$1001,Data_customers!$B$1:$B$1001,,0)</f>
        <v>Nelie Garnson</v>
      </c>
      <c r="G625" s="2" t="str">
        <f>IF(_xlfn.XLOOKUP(C625,Data_customers!$A$1:$A$1001,Data_customers!$C$1:$C$1001,,0)=0,"",_xlfn.XLOOKUP(C625,Data_customers!$A$1:$A$1001,Data_customers!$C$1:$C$1001,,0))</f>
        <v/>
      </c>
      <c r="H625" s="2" t="str">
        <f>_xlfn.XLOOKUP(C625,Data_customers!$A$1:$A$1001,Data_customers!$G$1:$G$1001,"",0)</f>
        <v>United Kingdom</v>
      </c>
      <c r="I625" t="str">
        <f>INDEX(Data_products!$A$1:$G$49, MATCH(Data_orders!$D625,Data_products!$A$1:$A$49,0), MATCH(Data_orders!I$1,Data_products!$A$1:$G$1,0))</f>
        <v>Exc</v>
      </c>
      <c r="J625" t="str">
        <f>INDEX(Data_products!$A$1:$G$49, MATCH(Data_orders!$D625,Data_products!$A$1:$A$49,0), MATCH(Data_orders!J$1,Data_products!$A$1:$G$1,0))</f>
        <v>D</v>
      </c>
      <c r="K625" s="4">
        <f>INDEX(Data_products!$A$1:$G$49, MATCH(Data_orders!$D625,Data_products!$A$1:$A$49,0), MATCH(Data_orders!K$1,Data_products!$A$1:$G$1,0))</f>
        <v>1</v>
      </c>
      <c r="L625">
        <f>INDEX(Data_products!$A$1:$G$49, MATCH(Data_orders!$D625,Data_products!$A$1:$A$49,0), MATCH(Data_orders!L$1,Data_products!$A$1:$G$1,0))</f>
        <v>12.15</v>
      </c>
      <c r="M625">
        <f t="shared" si="18"/>
        <v>12.15</v>
      </c>
      <c r="N625" t="str" cm="1">
        <f t="array" ref="N625">_xlfn.IFS(I625 = "Rob", "Robusta", I625 = "Exc", "Excelsa", I625 = "Ara", "Arabica", I625 = "Lib", "Liberica")</f>
        <v>Excelsa</v>
      </c>
      <c r="O625" t="str">
        <f t="shared" si="19"/>
        <v>Dark</v>
      </c>
      <c r="P625" t="str">
        <f>_xlfn.XLOOKUP(Table1[[#This Row],[Customer ID]],Data_customers!$A$2:$A$1001,Data_customers!$I$2:$I$1001,,0)</f>
        <v>No</v>
      </c>
    </row>
    <row r="626" spans="1:16" x14ac:dyDescent="0.2">
      <c r="A626" s="2" t="s">
        <v>4012</v>
      </c>
      <c r="B626" s="3">
        <v>44010</v>
      </c>
      <c r="C626" s="2" t="s">
        <v>4013</v>
      </c>
      <c r="D626" t="s">
        <v>6166</v>
      </c>
      <c r="E626" s="2">
        <v>2</v>
      </c>
      <c r="F626" s="2" t="str">
        <f>_xlfn.XLOOKUP(Data_orders!C626,Data_customers!$A$1:$A$1001,Data_customers!$B$1:$B$1001,,0)</f>
        <v>Dianne Chardin</v>
      </c>
      <c r="G626" s="2" t="str">
        <f>IF(_xlfn.XLOOKUP(C626,Data_customers!$A$1:$A$1001,Data_customers!$C$1:$C$1001,,0)=0,"",_xlfn.XLOOKUP(C626,Data_customers!$A$1:$A$1001,Data_customers!$C$1:$C$1001,,0))</f>
        <v>dchardinhc@nhs.uk</v>
      </c>
      <c r="H626" s="2" t="str">
        <f>_xlfn.XLOOKUP(C626,Data_customers!$A$1:$A$1001,Data_customers!$G$1:$G$1001,"",0)</f>
        <v>Ireland</v>
      </c>
      <c r="I626" t="str">
        <f>INDEX(Data_products!$A$1:$G$49, MATCH(Data_orders!$D626,Data_products!$A$1:$A$49,0), MATCH(Data_orders!I$1,Data_products!$A$1:$G$1,0))</f>
        <v>Exc</v>
      </c>
      <c r="J626" t="str">
        <f>INDEX(Data_products!$A$1:$G$49, MATCH(Data_orders!$D626,Data_products!$A$1:$A$49,0), MATCH(Data_orders!J$1,Data_products!$A$1:$G$1,0))</f>
        <v>M</v>
      </c>
      <c r="K626" s="4">
        <f>INDEX(Data_products!$A$1:$G$49, MATCH(Data_orders!$D626,Data_products!$A$1:$A$49,0), MATCH(Data_orders!K$1,Data_products!$A$1:$G$1,0))</f>
        <v>2.5</v>
      </c>
      <c r="L626">
        <f>INDEX(Data_products!$A$1:$G$49, MATCH(Data_orders!$D626,Data_products!$A$1:$A$49,0), MATCH(Data_orders!L$1,Data_products!$A$1:$G$1,0))</f>
        <v>31.624999999999996</v>
      </c>
      <c r="M626">
        <f t="shared" si="18"/>
        <v>63.249999999999993</v>
      </c>
      <c r="N626" t="str" cm="1">
        <f t="array" ref="N626">_xlfn.IFS(I626 = "Rob", "Robusta", I626 = "Exc", "Excelsa", I626 = "Ara", "Arabica", I626 = "Lib", "Liberica")</f>
        <v>Excelsa</v>
      </c>
      <c r="O626" t="str">
        <f t="shared" si="19"/>
        <v>Medium</v>
      </c>
      <c r="P626" t="str">
        <f>_xlfn.XLOOKUP(Table1[[#This Row],[Customer ID]],Data_customers!$A$2:$A$1001,Data_customers!$I$2:$I$1001,,0)</f>
        <v>Yes</v>
      </c>
    </row>
    <row r="627" spans="1:16" x14ac:dyDescent="0.2">
      <c r="A627" s="2" t="s">
        <v>4017</v>
      </c>
      <c r="B627" s="3">
        <v>44017</v>
      </c>
      <c r="C627" s="2" t="s">
        <v>4018</v>
      </c>
      <c r="D627" t="s">
        <v>6173</v>
      </c>
      <c r="E627" s="2">
        <v>5</v>
      </c>
      <c r="F627" s="2" t="str">
        <f>_xlfn.XLOOKUP(Data_orders!C627,Data_customers!$A$1:$A$1001,Data_customers!$B$1:$B$1001,,0)</f>
        <v>Hailee Radbone</v>
      </c>
      <c r="G627" s="2" t="str">
        <f>IF(_xlfn.XLOOKUP(C627,Data_customers!$A$1:$A$1001,Data_customers!$C$1:$C$1001,,0)=0,"",_xlfn.XLOOKUP(C627,Data_customers!$A$1:$A$1001,Data_customers!$C$1:$C$1001,,0))</f>
        <v>hradbonehd@newsvine.com</v>
      </c>
      <c r="H627" s="2" t="str">
        <f>_xlfn.XLOOKUP(C627,Data_customers!$A$1:$A$1001,Data_customers!$G$1:$G$1001,"",0)</f>
        <v>United States</v>
      </c>
      <c r="I627" t="str">
        <f>INDEX(Data_products!$A$1:$G$49, MATCH(Data_orders!$D627,Data_products!$A$1:$A$49,0), MATCH(Data_orders!I$1,Data_products!$A$1:$G$1,0))</f>
        <v>Rob</v>
      </c>
      <c r="J627" t="str">
        <f>INDEX(Data_products!$A$1:$G$49, MATCH(Data_orders!$D627,Data_products!$A$1:$A$49,0), MATCH(Data_orders!J$1,Data_products!$A$1:$G$1,0))</f>
        <v>L</v>
      </c>
      <c r="K627" s="4">
        <f>INDEX(Data_products!$A$1:$G$49, MATCH(Data_orders!$D627,Data_products!$A$1:$A$49,0), MATCH(Data_orders!K$1,Data_products!$A$1:$G$1,0))</f>
        <v>0.5</v>
      </c>
      <c r="L627">
        <f>INDEX(Data_products!$A$1:$G$49, MATCH(Data_orders!$D627,Data_products!$A$1:$A$49,0), MATCH(Data_orders!L$1,Data_products!$A$1:$G$1,0))</f>
        <v>7.169999999999999</v>
      </c>
      <c r="M627">
        <f t="shared" si="18"/>
        <v>35.849999999999994</v>
      </c>
      <c r="N627" t="str" cm="1">
        <f t="array" ref="N627">_xlfn.IFS(I627 = "Rob", "Robusta", I627 = "Exc", "Excelsa", I627 = "Ara", "Arabica", I627 = "Lib", "Liberica")</f>
        <v>Robusta</v>
      </c>
      <c r="O627" t="str">
        <f t="shared" si="19"/>
        <v>Light</v>
      </c>
      <c r="P627" t="str">
        <f>_xlfn.XLOOKUP(Table1[[#This Row],[Customer ID]],Data_customers!$A$2:$A$1001,Data_customers!$I$2:$I$1001,,0)</f>
        <v>No</v>
      </c>
    </row>
    <row r="628" spans="1:16" x14ac:dyDescent="0.2">
      <c r="A628" s="2" t="s">
        <v>4023</v>
      </c>
      <c r="B628" s="3">
        <v>43526</v>
      </c>
      <c r="C628" s="2" t="s">
        <v>4024</v>
      </c>
      <c r="D628" t="s">
        <v>6175</v>
      </c>
      <c r="E628" s="2">
        <v>3</v>
      </c>
      <c r="F628" s="2" t="str">
        <f>_xlfn.XLOOKUP(Data_orders!C628,Data_customers!$A$1:$A$1001,Data_customers!$B$1:$B$1001,,0)</f>
        <v>Wallis Bernth</v>
      </c>
      <c r="G628" s="2" t="str">
        <f>IF(_xlfn.XLOOKUP(C628,Data_customers!$A$1:$A$1001,Data_customers!$C$1:$C$1001,,0)=0,"",_xlfn.XLOOKUP(C628,Data_customers!$A$1:$A$1001,Data_customers!$C$1:$C$1001,,0))</f>
        <v>wbernthhe@miitbeian.gov.cn</v>
      </c>
      <c r="H628" s="2" t="str">
        <f>_xlfn.XLOOKUP(C628,Data_customers!$A$1:$A$1001,Data_customers!$G$1:$G$1001,"",0)</f>
        <v>United States</v>
      </c>
      <c r="I628" t="str">
        <f>INDEX(Data_products!$A$1:$G$49, MATCH(Data_orders!$D628,Data_products!$A$1:$A$49,0), MATCH(Data_orders!I$1,Data_products!$A$1:$G$1,0))</f>
        <v>Ara</v>
      </c>
      <c r="J628" t="str">
        <f>INDEX(Data_products!$A$1:$G$49, MATCH(Data_orders!$D628,Data_products!$A$1:$A$49,0), MATCH(Data_orders!J$1,Data_products!$A$1:$G$1,0))</f>
        <v>M</v>
      </c>
      <c r="K628" s="4">
        <f>INDEX(Data_products!$A$1:$G$49, MATCH(Data_orders!$D628,Data_products!$A$1:$A$49,0), MATCH(Data_orders!K$1,Data_products!$A$1:$G$1,0))</f>
        <v>2.5</v>
      </c>
      <c r="L628">
        <f>INDEX(Data_products!$A$1:$G$49, MATCH(Data_orders!$D628,Data_products!$A$1:$A$49,0), MATCH(Data_orders!L$1,Data_products!$A$1:$G$1,0))</f>
        <v>25.874999999999996</v>
      </c>
      <c r="M628">
        <f t="shared" si="18"/>
        <v>77.624999999999986</v>
      </c>
      <c r="N628" t="str" cm="1">
        <f t="array" ref="N628">_xlfn.IFS(I628 = "Rob", "Robusta", I628 = "Exc", "Excelsa", I628 = "Ara", "Arabica", I628 = "Lib", "Liberica")</f>
        <v>Arabica</v>
      </c>
      <c r="O628" t="str">
        <f t="shared" si="19"/>
        <v>Medium</v>
      </c>
      <c r="P628" t="str">
        <f>_xlfn.XLOOKUP(Table1[[#This Row],[Customer ID]],Data_customers!$A$2:$A$1001,Data_customers!$I$2:$I$1001,,0)</f>
        <v>No</v>
      </c>
    </row>
    <row r="629" spans="1:16" x14ac:dyDescent="0.2">
      <c r="A629" s="2" t="s">
        <v>4029</v>
      </c>
      <c r="B629" s="3">
        <v>44682</v>
      </c>
      <c r="C629" s="2" t="s">
        <v>4030</v>
      </c>
      <c r="D629" t="s">
        <v>6166</v>
      </c>
      <c r="E629" s="2">
        <v>2</v>
      </c>
      <c r="F629" s="2" t="str">
        <f>_xlfn.XLOOKUP(Data_orders!C629,Data_customers!$A$1:$A$1001,Data_customers!$B$1:$B$1001,,0)</f>
        <v>Byron Acarson</v>
      </c>
      <c r="G629" s="2" t="str">
        <f>IF(_xlfn.XLOOKUP(C629,Data_customers!$A$1:$A$1001,Data_customers!$C$1:$C$1001,,0)=0,"",_xlfn.XLOOKUP(C629,Data_customers!$A$1:$A$1001,Data_customers!$C$1:$C$1001,,0))</f>
        <v>bacarsonhf@cnn.com</v>
      </c>
      <c r="H629" s="2" t="str">
        <f>_xlfn.XLOOKUP(C629,Data_customers!$A$1:$A$1001,Data_customers!$G$1:$G$1001,"",0)</f>
        <v>United States</v>
      </c>
      <c r="I629" t="str">
        <f>INDEX(Data_products!$A$1:$G$49, MATCH(Data_orders!$D629,Data_products!$A$1:$A$49,0), MATCH(Data_orders!I$1,Data_products!$A$1:$G$1,0))</f>
        <v>Exc</v>
      </c>
      <c r="J629" t="str">
        <f>INDEX(Data_products!$A$1:$G$49, MATCH(Data_orders!$D629,Data_products!$A$1:$A$49,0), MATCH(Data_orders!J$1,Data_products!$A$1:$G$1,0))</f>
        <v>M</v>
      </c>
      <c r="K629" s="4">
        <f>INDEX(Data_products!$A$1:$G$49, MATCH(Data_orders!$D629,Data_products!$A$1:$A$49,0), MATCH(Data_orders!K$1,Data_products!$A$1:$G$1,0))</f>
        <v>2.5</v>
      </c>
      <c r="L629">
        <f>INDEX(Data_products!$A$1:$G$49, MATCH(Data_orders!$D629,Data_products!$A$1:$A$49,0), MATCH(Data_orders!L$1,Data_products!$A$1:$G$1,0))</f>
        <v>31.624999999999996</v>
      </c>
      <c r="M629">
        <f t="shared" si="18"/>
        <v>63.249999999999993</v>
      </c>
      <c r="N629" t="str" cm="1">
        <f t="array" ref="N629">_xlfn.IFS(I629 = "Rob", "Robusta", I629 = "Exc", "Excelsa", I629 = "Ara", "Arabica", I629 = "Lib", "Liberica")</f>
        <v>Excelsa</v>
      </c>
      <c r="O629" t="str">
        <f t="shared" si="19"/>
        <v>Medium</v>
      </c>
      <c r="P629" t="str">
        <f>_xlfn.XLOOKUP(Table1[[#This Row],[Customer ID]],Data_customers!$A$2:$A$1001,Data_customers!$I$2:$I$1001,,0)</f>
        <v>Yes</v>
      </c>
    </row>
    <row r="630" spans="1:16" x14ac:dyDescent="0.2">
      <c r="A630" s="2" t="s">
        <v>4035</v>
      </c>
      <c r="B630" s="3">
        <v>44680</v>
      </c>
      <c r="C630" s="2" t="s">
        <v>4036</v>
      </c>
      <c r="D630" t="s">
        <v>6184</v>
      </c>
      <c r="E630" s="2">
        <v>6</v>
      </c>
      <c r="F630" s="2" t="str">
        <f>_xlfn.XLOOKUP(Data_orders!C630,Data_customers!$A$1:$A$1001,Data_customers!$B$1:$B$1001,,0)</f>
        <v>Faunie Brigham</v>
      </c>
      <c r="G630" s="2" t="str">
        <f>IF(_xlfn.XLOOKUP(C630,Data_customers!$A$1:$A$1001,Data_customers!$C$1:$C$1001,,0)=0,"",_xlfn.XLOOKUP(C630,Data_customers!$A$1:$A$1001,Data_customers!$C$1:$C$1001,,0))</f>
        <v>fbrighamhg@blog.com</v>
      </c>
      <c r="H630" s="2" t="str">
        <f>_xlfn.XLOOKUP(C630,Data_customers!$A$1:$A$1001,Data_customers!$G$1:$G$1001,"",0)</f>
        <v>Ireland</v>
      </c>
      <c r="I630" t="str">
        <f>INDEX(Data_products!$A$1:$G$49, MATCH(Data_orders!$D630,Data_products!$A$1:$A$49,0), MATCH(Data_orders!I$1,Data_products!$A$1:$G$1,0))</f>
        <v>Exc</v>
      </c>
      <c r="J630" t="str">
        <f>INDEX(Data_products!$A$1:$G$49, MATCH(Data_orders!$D630,Data_products!$A$1:$A$49,0), MATCH(Data_orders!J$1,Data_products!$A$1:$G$1,0))</f>
        <v>L</v>
      </c>
      <c r="K630" s="4">
        <f>INDEX(Data_products!$A$1:$G$49, MATCH(Data_orders!$D630,Data_products!$A$1:$A$49,0), MATCH(Data_orders!K$1,Data_products!$A$1:$G$1,0))</f>
        <v>0.2</v>
      </c>
      <c r="L630">
        <f>INDEX(Data_products!$A$1:$G$49, MATCH(Data_orders!$D630,Data_products!$A$1:$A$49,0), MATCH(Data_orders!L$1,Data_products!$A$1:$G$1,0))</f>
        <v>4.4550000000000001</v>
      </c>
      <c r="M630">
        <f t="shared" si="18"/>
        <v>26.73</v>
      </c>
      <c r="N630" t="str" cm="1">
        <f t="array" ref="N630">_xlfn.IFS(I630 = "Rob", "Robusta", I630 = "Exc", "Excelsa", I630 = "Ara", "Arabica", I630 = "Lib", "Liberica")</f>
        <v>Excelsa</v>
      </c>
      <c r="O630" t="str">
        <f t="shared" si="19"/>
        <v>Light</v>
      </c>
      <c r="P630" t="str">
        <f>_xlfn.XLOOKUP(Table1[[#This Row],[Customer ID]],Data_customers!$A$2:$A$1001,Data_customers!$I$2:$I$1001,,0)</f>
        <v>Yes</v>
      </c>
    </row>
    <row r="631" spans="1:16" x14ac:dyDescent="0.2">
      <c r="A631" s="2" t="s">
        <v>4035</v>
      </c>
      <c r="B631" s="3">
        <v>44680</v>
      </c>
      <c r="C631" s="2" t="s">
        <v>4036</v>
      </c>
      <c r="D631" t="s">
        <v>6169</v>
      </c>
      <c r="E631" s="2">
        <v>4</v>
      </c>
      <c r="F631" s="2" t="str">
        <f>_xlfn.XLOOKUP(Data_orders!C631,Data_customers!$A$1:$A$1001,Data_customers!$B$1:$B$1001,,0)</f>
        <v>Faunie Brigham</v>
      </c>
      <c r="G631" s="2" t="str">
        <f>IF(_xlfn.XLOOKUP(C631,Data_customers!$A$1:$A$1001,Data_customers!$C$1:$C$1001,,0)=0,"",_xlfn.XLOOKUP(C631,Data_customers!$A$1:$A$1001,Data_customers!$C$1:$C$1001,,0))</f>
        <v>fbrighamhg@blog.com</v>
      </c>
      <c r="H631" s="2" t="str">
        <f>_xlfn.XLOOKUP(C631,Data_customers!$A$1:$A$1001,Data_customers!$G$1:$G$1001,"",0)</f>
        <v>Ireland</v>
      </c>
      <c r="I631" t="str">
        <f>INDEX(Data_products!$A$1:$G$49, MATCH(Data_orders!$D631,Data_products!$A$1:$A$49,0), MATCH(Data_orders!I$1,Data_products!$A$1:$G$1,0))</f>
        <v>Lib</v>
      </c>
      <c r="J631" t="str">
        <f>INDEX(Data_products!$A$1:$G$49, MATCH(Data_orders!$D631,Data_products!$A$1:$A$49,0), MATCH(Data_orders!J$1,Data_products!$A$1:$G$1,0))</f>
        <v>D</v>
      </c>
      <c r="K631" s="4">
        <f>INDEX(Data_products!$A$1:$G$49, MATCH(Data_orders!$D631,Data_products!$A$1:$A$49,0), MATCH(Data_orders!K$1,Data_products!$A$1:$G$1,0))</f>
        <v>0.5</v>
      </c>
      <c r="L631">
        <f>INDEX(Data_products!$A$1:$G$49, MATCH(Data_orders!$D631,Data_products!$A$1:$A$49,0), MATCH(Data_orders!L$1,Data_products!$A$1:$G$1,0))</f>
        <v>7.77</v>
      </c>
      <c r="M631">
        <f t="shared" si="18"/>
        <v>31.08</v>
      </c>
      <c r="N631" t="str" cm="1">
        <f t="array" ref="N631">_xlfn.IFS(I631 = "Rob", "Robusta", I631 = "Exc", "Excelsa", I631 = "Ara", "Arabica", I631 = "Lib", "Liberica")</f>
        <v>Liberica</v>
      </c>
      <c r="O631" t="str">
        <f t="shared" si="19"/>
        <v>Dark</v>
      </c>
      <c r="P631" t="str">
        <f>_xlfn.XLOOKUP(Table1[[#This Row],[Customer ID]],Data_customers!$A$2:$A$1001,Data_customers!$I$2:$I$1001,,0)</f>
        <v>Yes</v>
      </c>
    </row>
    <row r="632" spans="1:16" x14ac:dyDescent="0.2">
      <c r="A632" s="2" t="s">
        <v>4035</v>
      </c>
      <c r="B632" s="3">
        <v>44680</v>
      </c>
      <c r="C632" s="2" t="s">
        <v>4036</v>
      </c>
      <c r="D632" t="s">
        <v>6154</v>
      </c>
      <c r="E632" s="2">
        <v>1</v>
      </c>
      <c r="F632" s="2" t="str">
        <f>_xlfn.XLOOKUP(Data_orders!C632,Data_customers!$A$1:$A$1001,Data_customers!$B$1:$B$1001,,0)</f>
        <v>Faunie Brigham</v>
      </c>
      <c r="G632" s="2" t="str">
        <f>IF(_xlfn.XLOOKUP(C632,Data_customers!$A$1:$A$1001,Data_customers!$C$1:$C$1001,,0)=0,"",_xlfn.XLOOKUP(C632,Data_customers!$A$1:$A$1001,Data_customers!$C$1:$C$1001,,0))</f>
        <v>fbrighamhg@blog.com</v>
      </c>
      <c r="H632" s="2" t="str">
        <f>_xlfn.XLOOKUP(C632,Data_customers!$A$1:$A$1001,Data_customers!$G$1:$G$1001,"",0)</f>
        <v>Ireland</v>
      </c>
      <c r="I632" t="str">
        <f>INDEX(Data_products!$A$1:$G$49, MATCH(Data_orders!$D632,Data_products!$A$1:$A$49,0), MATCH(Data_orders!I$1,Data_products!$A$1:$G$1,0))</f>
        <v>Ara</v>
      </c>
      <c r="J632" t="str">
        <f>INDEX(Data_products!$A$1:$G$49, MATCH(Data_orders!$D632,Data_products!$A$1:$A$49,0), MATCH(Data_orders!J$1,Data_products!$A$1:$G$1,0))</f>
        <v>D</v>
      </c>
      <c r="K632" s="4">
        <f>INDEX(Data_products!$A$1:$G$49, MATCH(Data_orders!$D632,Data_products!$A$1:$A$49,0), MATCH(Data_orders!K$1,Data_products!$A$1:$G$1,0))</f>
        <v>0.2</v>
      </c>
      <c r="L632">
        <f>INDEX(Data_products!$A$1:$G$49, MATCH(Data_orders!$D632,Data_products!$A$1:$A$49,0), MATCH(Data_orders!L$1,Data_products!$A$1:$G$1,0))</f>
        <v>2.9849999999999999</v>
      </c>
      <c r="M632">
        <f t="shared" si="18"/>
        <v>2.9849999999999999</v>
      </c>
      <c r="N632" t="str" cm="1">
        <f t="array" ref="N632">_xlfn.IFS(I632 = "Rob", "Robusta", I632 = "Exc", "Excelsa", I632 = "Ara", "Arabica", I632 = "Lib", "Liberica")</f>
        <v>Arabica</v>
      </c>
      <c r="O632" t="str">
        <f t="shared" si="19"/>
        <v>Dark</v>
      </c>
      <c r="P632" t="str">
        <f>_xlfn.XLOOKUP(Table1[[#This Row],[Customer ID]],Data_customers!$A$2:$A$1001,Data_customers!$I$2:$I$1001,,0)</f>
        <v>Yes</v>
      </c>
    </row>
    <row r="633" spans="1:16" x14ac:dyDescent="0.2">
      <c r="A633" s="2" t="s">
        <v>4035</v>
      </c>
      <c r="B633" s="3">
        <v>44680</v>
      </c>
      <c r="C633" s="2" t="s">
        <v>4036</v>
      </c>
      <c r="D633" t="s">
        <v>6149</v>
      </c>
      <c r="E633" s="2">
        <v>5</v>
      </c>
      <c r="F633" s="2" t="str">
        <f>_xlfn.XLOOKUP(Data_orders!C633,Data_customers!$A$1:$A$1001,Data_customers!$B$1:$B$1001,,0)</f>
        <v>Faunie Brigham</v>
      </c>
      <c r="G633" s="2" t="str">
        <f>IF(_xlfn.XLOOKUP(C633,Data_customers!$A$1:$A$1001,Data_customers!$C$1:$C$1001,,0)=0,"",_xlfn.XLOOKUP(C633,Data_customers!$A$1:$A$1001,Data_customers!$C$1:$C$1001,,0))</f>
        <v>fbrighamhg@blog.com</v>
      </c>
      <c r="H633" s="2" t="str">
        <f>_xlfn.XLOOKUP(C633,Data_customers!$A$1:$A$1001,Data_customers!$G$1:$G$1001,"",0)</f>
        <v>Ireland</v>
      </c>
      <c r="I633" t="str">
        <f>INDEX(Data_products!$A$1:$G$49, MATCH(Data_orders!$D633,Data_products!$A$1:$A$49,0), MATCH(Data_orders!I$1,Data_products!$A$1:$G$1,0))</f>
        <v>Rob</v>
      </c>
      <c r="J633" t="str">
        <f>INDEX(Data_products!$A$1:$G$49, MATCH(Data_orders!$D633,Data_products!$A$1:$A$49,0), MATCH(Data_orders!J$1,Data_products!$A$1:$G$1,0))</f>
        <v>D</v>
      </c>
      <c r="K633" s="4">
        <f>INDEX(Data_products!$A$1:$G$49, MATCH(Data_orders!$D633,Data_products!$A$1:$A$49,0), MATCH(Data_orders!K$1,Data_products!$A$1:$G$1,0))</f>
        <v>2.5</v>
      </c>
      <c r="L633">
        <f>INDEX(Data_products!$A$1:$G$49, MATCH(Data_orders!$D633,Data_products!$A$1:$A$49,0), MATCH(Data_orders!L$1,Data_products!$A$1:$G$1,0))</f>
        <v>20.584999999999997</v>
      </c>
      <c r="M633">
        <f t="shared" si="18"/>
        <v>102.92499999999998</v>
      </c>
      <c r="N633" t="str" cm="1">
        <f t="array" ref="N633">_xlfn.IFS(I633 = "Rob", "Robusta", I633 = "Exc", "Excelsa", I633 = "Ara", "Arabica", I633 = "Lib", "Liberica")</f>
        <v>Robusta</v>
      </c>
      <c r="O633" t="str">
        <f t="shared" si="19"/>
        <v>Dark</v>
      </c>
      <c r="P633" t="str">
        <f>_xlfn.XLOOKUP(Table1[[#This Row],[Customer ID]],Data_customers!$A$2:$A$1001,Data_customers!$I$2:$I$1001,,0)</f>
        <v>Yes</v>
      </c>
    </row>
    <row r="634" spans="1:16" x14ac:dyDescent="0.2">
      <c r="A634" s="2" t="s">
        <v>4056</v>
      </c>
      <c r="B634" s="3">
        <v>44049</v>
      </c>
      <c r="C634" s="2" t="s">
        <v>4057</v>
      </c>
      <c r="D634" t="s">
        <v>6176</v>
      </c>
      <c r="E634" s="2">
        <v>4</v>
      </c>
      <c r="F634" s="2" t="str">
        <f>_xlfn.XLOOKUP(Data_orders!C634,Data_customers!$A$1:$A$1001,Data_customers!$B$1:$B$1001,,0)</f>
        <v>Marjorie Yoxen</v>
      </c>
      <c r="G634" s="2" t="str">
        <f>IF(_xlfn.XLOOKUP(C634,Data_customers!$A$1:$A$1001,Data_customers!$C$1:$C$1001,,0)=0,"",_xlfn.XLOOKUP(C634,Data_customers!$A$1:$A$1001,Data_customers!$C$1:$C$1001,,0))</f>
        <v>myoxenhk@google.com</v>
      </c>
      <c r="H634" s="2" t="str">
        <f>_xlfn.XLOOKUP(C634,Data_customers!$A$1:$A$1001,Data_customers!$G$1:$G$1001,"",0)</f>
        <v>United States</v>
      </c>
      <c r="I634" t="str">
        <f>INDEX(Data_products!$A$1:$G$49, MATCH(Data_orders!$D634,Data_products!$A$1:$A$49,0), MATCH(Data_orders!I$1,Data_products!$A$1:$G$1,0))</f>
        <v>Exc</v>
      </c>
      <c r="J634" t="str">
        <f>INDEX(Data_products!$A$1:$G$49, MATCH(Data_orders!$D634,Data_products!$A$1:$A$49,0), MATCH(Data_orders!J$1,Data_products!$A$1:$G$1,0))</f>
        <v>L</v>
      </c>
      <c r="K634" s="4">
        <f>INDEX(Data_products!$A$1:$G$49, MATCH(Data_orders!$D634,Data_products!$A$1:$A$49,0), MATCH(Data_orders!K$1,Data_products!$A$1:$G$1,0))</f>
        <v>0.5</v>
      </c>
      <c r="L634">
        <f>INDEX(Data_products!$A$1:$G$49, MATCH(Data_orders!$D634,Data_products!$A$1:$A$49,0), MATCH(Data_orders!L$1,Data_products!$A$1:$G$1,0))</f>
        <v>8.91</v>
      </c>
      <c r="M634">
        <f t="shared" si="18"/>
        <v>35.64</v>
      </c>
      <c r="N634" t="str" cm="1">
        <f t="array" ref="N634">_xlfn.IFS(I634 = "Rob", "Robusta", I634 = "Exc", "Excelsa", I634 = "Ara", "Arabica", I634 = "Lib", "Liberica")</f>
        <v>Excelsa</v>
      </c>
      <c r="O634" t="str">
        <f t="shared" si="19"/>
        <v>Light</v>
      </c>
      <c r="P634" t="str">
        <f>_xlfn.XLOOKUP(Table1[[#This Row],[Customer ID]],Data_customers!$A$2:$A$1001,Data_customers!$I$2:$I$1001,,0)</f>
        <v>No</v>
      </c>
    </row>
    <row r="635" spans="1:16" x14ac:dyDescent="0.2">
      <c r="A635" s="2" t="s">
        <v>4062</v>
      </c>
      <c r="B635" s="3">
        <v>43820</v>
      </c>
      <c r="C635" s="2" t="s">
        <v>4063</v>
      </c>
      <c r="D635" t="s">
        <v>6179</v>
      </c>
      <c r="E635" s="2">
        <v>4</v>
      </c>
      <c r="F635" s="2" t="str">
        <f>_xlfn.XLOOKUP(Data_orders!C635,Data_customers!$A$1:$A$1001,Data_customers!$B$1:$B$1001,,0)</f>
        <v>Gaspar McGavin</v>
      </c>
      <c r="G635" s="2" t="str">
        <f>IF(_xlfn.XLOOKUP(C635,Data_customers!$A$1:$A$1001,Data_customers!$C$1:$C$1001,,0)=0,"",_xlfn.XLOOKUP(C635,Data_customers!$A$1:$A$1001,Data_customers!$C$1:$C$1001,,0))</f>
        <v>gmcgavinhl@histats.com</v>
      </c>
      <c r="H635" s="2" t="str">
        <f>_xlfn.XLOOKUP(C635,Data_customers!$A$1:$A$1001,Data_customers!$G$1:$G$1001,"",0)</f>
        <v>United States</v>
      </c>
      <c r="I635" t="str">
        <f>INDEX(Data_products!$A$1:$G$49, MATCH(Data_orders!$D635,Data_products!$A$1:$A$49,0), MATCH(Data_orders!I$1,Data_products!$A$1:$G$1,0))</f>
        <v>Rob</v>
      </c>
      <c r="J635" t="str">
        <f>INDEX(Data_products!$A$1:$G$49, MATCH(Data_orders!$D635,Data_products!$A$1:$A$49,0), MATCH(Data_orders!J$1,Data_products!$A$1:$G$1,0))</f>
        <v>L</v>
      </c>
      <c r="K635" s="4">
        <f>INDEX(Data_products!$A$1:$G$49, MATCH(Data_orders!$D635,Data_products!$A$1:$A$49,0), MATCH(Data_orders!K$1,Data_products!$A$1:$G$1,0))</f>
        <v>1</v>
      </c>
      <c r="L635">
        <f>INDEX(Data_products!$A$1:$G$49, MATCH(Data_orders!$D635,Data_products!$A$1:$A$49,0), MATCH(Data_orders!L$1,Data_products!$A$1:$G$1,0))</f>
        <v>11.95</v>
      </c>
      <c r="M635">
        <f t="shared" si="18"/>
        <v>47.8</v>
      </c>
      <c r="N635" t="str" cm="1">
        <f t="array" ref="N635">_xlfn.IFS(I635 = "Rob", "Robusta", I635 = "Exc", "Excelsa", I635 = "Ara", "Arabica", I635 = "Lib", "Liberica")</f>
        <v>Robusta</v>
      </c>
      <c r="O635" t="str">
        <f t="shared" si="19"/>
        <v>Light</v>
      </c>
      <c r="P635" t="str">
        <f>_xlfn.XLOOKUP(Table1[[#This Row],[Customer ID]],Data_customers!$A$2:$A$1001,Data_customers!$I$2:$I$1001,,0)</f>
        <v>No</v>
      </c>
    </row>
    <row r="636" spans="1:16" x14ac:dyDescent="0.2">
      <c r="A636" s="2" t="s">
        <v>4068</v>
      </c>
      <c r="B636" s="3">
        <v>43940</v>
      </c>
      <c r="C636" s="2" t="s">
        <v>4069</v>
      </c>
      <c r="D636" t="s">
        <v>6162</v>
      </c>
      <c r="E636" s="2">
        <v>3</v>
      </c>
      <c r="F636" s="2" t="str">
        <f>_xlfn.XLOOKUP(Data_orders!C636,Data_customers!$A$1:$A$1001,Data_customers!$B$1:$B$1001,,0)</f>
        <v>Lindy Uttermare</v>
      </c>
      <c r="G636" s="2" t="str">
        <f>IF(_xlfn.XLOOKUP(C636,Data_customers!$A$1:$A$1001,Data_customers!$C$1:$C$1001,,0)=0,"",_xlfn.XLOOKUP(C636,Data_customers!$A$1:$A$1001,Data_customers!$C$1:$C$1001,,0))</f>
        <v>luttermarehm@engadget.com</v>
      </c>
      <c r="H636" s="2" t="str">
        <f>_xlfn.XLOOKUP(C636,Data_customers!$A$1:$A$1001,Data_customers!$G$1:$G$1001,"",0)</f>
        <v>United States</v>
      </c>
      <c r="I636" t="str">
        <f>INDEX(Data_products!$A$1:$G$49, MATCH(Data_orders!$D636,Data_products!$A$1:$A$49,0), MATCH(Data_orders!I$1,Data_products!$A$1:$G$1,0))</f>
        <v>Lib</v>
      </c>
      <c r="J636" t="str">
        <f>INDEX(Data_products!$A$1:$G$49, MATCH(Data_orders!$D636,Data_products!$A$1:$A$49,0), MATCH(Data_orders!J$1,Data_products!$A$1:$G$1,0))</f>
        <v>M</v>
      </c>
      <c r="K636" s="4">
        <f>INDEX(Data_products!$A$1:$G$49, MATCH(Data_orders!$D636,Data_products!$A$1:$A$49,0), MATCH(Data_orders!K$1,Data_products!$A$1:$G$1,0))</f>
        <v>1</v>
      </c>
      <c r="L636">
        <f>INDEX(Data_products!$A$1:$G$49, MATCH(Data_orders!$D636,Data_products!$A$1:$A$49,0), MATCH(Data_orders!L$1,Data_products!$A$1:$G$1,0))</f>
        <v>14.55</v>
      </c>
      <c r="M636">
        <f t="shared" si="18"/>
        <v>43.650000000000006</v>
      </c>
      <c r="N636" t="str" cm="1">
        <f t="array" ref="N636">_xlfn.IFS(I636 = "Rob", "Robusta", I636 = "Exc", "Excelsa", I636 = "Ara", "Arabica", I636 = "Lib", "Liberica")</f>
        <v>Liberica</v>
      </c>
      <c r="O636" t="str">
        <f t="shared" si="19"/>
        <v>Medium</v>
      </c>
      <c r="P636" t="str">
        <f>_xlfn.XLOOKUP(Table1[[#This Row],[Customer ID]],Data_customers!$A$2:$A$1001,Data_customers!$I$2:$I$1001,,0)</f>
        <v>No</v>
      </c>
    </row>
    <row r="637" spans="1:16" x14ac:dyDescent="0.2">
      <c r="A637" s="2" t="s">
        <v>4074</v>
      </c>
      <c r="B637" s="3">
        <v>44578</v>
      </c>
      <c r="C637" s="2" t="s">
        <v>4075</v>
      </c>
      <c r="D637" t="s">
        <v>6176</v>
      </c>
      <c r="E637" s="2">
        <v>4</v>
      </c>
      <c r="F637" s="2" t="str">
        <f>_xlfn.XLOOKUP(Data_orders!C637,Data_customers!$A$1:$A$1001,Data_customers!$B$1:$B$1001,,0)</f>
        <v>Eal D'Ambrogio</v>
      </c>
      <c r="G637" s="2" t="str">
        <f>IF(_xlfn.XLOOKUP(C637,Data_customers!$A$1:$A$1001,Data_customers!$C$1:$C$1001,,0)=0,"",_xlfn.XLOOKUP(C637,Data_customers!$A$1:$A$1001,Data_customers!$C$1:$C$1001,,0))</f>
        <v>edambrogiohn@techcrunch.com</v>
      </c>
      <c r="H637" s="2" t="str">
        <f>_xlfn.XLOOKUP(C637,Data_customers!$A$1:$A$1001,Data_customers!$G$1:$G$1001,"",0)</f>
        <v>United States</v>
      </c>
      <c r="I637" t="str">
        <f>INDEX(Data_products!$A$1:$G$49, MATCH(Data_orders!$D637,Data_products!$A$1:$A$49,0), MATCH(Data_orders!I$1,Data_products!$A$1:$G$1,0))</f>
        <v>Exc</v>
      </c>
      <c r="J637" t="str">
        <f>INDEX(Data_products!$A$1:$G$49, MATCH(Data_orders!$D637,Data_products!$A$1:$A$49,0), MATCH(Data_orders!J$1,Data_products!$A$1:$G$1,0))</f>
        <v>L</v>
      </c>
      <c r="K637" s="4">
        <f>INDEX(Data_products!$A$1:$G$49, MATCH(Data_orders!$D637,Data_products!$A$1:$A$49,0), MATCH(Data_orders!K$1,Data_products!$A$1:$G$1,0))</f>
        <v>0.5</v>
      </c>
      <c r="L637">
        <f>INDEX(Data_products!$A$1:$G$49, MATCH(Data_orders!$D637,Data_products!$A$1:$A$49,0), MATCH(Data_orders!L$1,Data_products!$A$1:$G$1,0))</f>
        <v>8.91</v>
      </c>
      <c r="M637">
        <f t="shared" si="18"/>
        <v>35.64</v>
      </c>
      <c r="N637" t="str" cm="1">
        <f t="array" ref="N637">_xlfn.IFS(I637 = "Rob", "Robusta", I637 = "Exc", "Excelsa", I637 = "Ara", "Arabica", I637 = "Lib", "Liberica")</f>
        <v>Excelsa</v>
      </c>
      <c r="O637" t="str">
        <f t="shared" si="19"/>
        <v>Light</v>
      </c>
      <c r="P637" t="str">
        <f>_xlfn.XLOOKUP(Table1[[#This Row],[Customer ID]],Data_customers!$A$2:$A$1001,Data_customers!$I$2:$I$1001,,0)</f>
        <v>Yes</v>
      </c>
    </row>
    <row r="638" spans="1:16" x14ac:dyDescent="0.2">
      <c r="A638" s="2" t="s">
        <v>4080</v>
      </c>
      <c r="B638" s="3">
        <v>43487</v>
      </c>
      <c r="C638" s="2" t="s">
        <v>4081</v>
      </c>
      <c r="D638" t="s">
        <v>6170</v>
      </c>
      <c r="E638" s="2">
        <v>6</v>
      </c>
      <c r="F638" s="2" t="str">
        <f>_xlfn.XLOOKUP(Data_orders!C638,Data_customers!$A$1:$A$1001,Data_customers!$B$1:$B$1001,,0)</f>
        <v>Carolee Winchcombe</v>
      </c>
      <c r="G638" s="2" t="str">
        <f>IF(_xlfn.XLOOKUP(C638,Data_customers!$A$1:$A$1001,Data_customers!$C$1:$C$1001,,0)=0,"",_xlfn.XLOOKUP(C638,Data_customers!$A$1:$A$1001,Data_customers!$C$1:$C$1001,,0))</f>
        <v>cwinchcombeho@jiathis.com</v>
      </c>
      <c r="H638" s="2" t="str">
        <f>_xlfn.XLOOKUP(C638,Data_customers!$A$1:$A$1001,Data_customers!$G$1:$G$1001,"",0)</f>
        <v>United States</v>
      </c>
      <c r="I638" t="str">
        <f>INDEX(Data_products!$A$1:$G$49, MATCH(Data_orders!$D638,Data_products!$A$1:$A$49,0), MATCH(Data_orders!I$1,Data_products!$A$1:$G$1,0))</f>
        <v>Lib</v>
      </c>
      <c r="J638" t="str">
        <f>INDEX(Data_products!$A$1:$G$49, MATCH(Data_orders!$D638,Data_products!$A$1:$A$49,0), MATCH(Data_orders!J$1,Data_products!$A$1:$G$1,0))</f>
        <v>L</v>
      </c>
      <c r="K638" s="4">
        <f>INDEX(Data_products!$A$1:$G$49, MATCH(Data_orders!$D638,Data_products!$A$1:$A$49,0), MATCH(Data_orders!K$1,Data_products!$A$1:$G$1,0))</f>
        <v>1</v>
      </c>
      <c r="L638">
        <f>INDEX(Data_products!$A$1:$G$49, MATCH(Data_orders!$D638,Data_products!$A$1:$A$49,0), MATCH(Data_orders!L$1,Data_products!$A$1:$G$1,0))</f>
        <v>15.85</v>
      </c>
      <c r="M638">
        <f t="shared" si="18"/>
        <v>95.1</v>
      </c>
      <c r="N638" t="str" cm="1">
        <f t="array" ref="N638">_xlfn.IFS(I638 = "Rob", "Robusta", I638 = "Exc", "Excelsa", I638 = "Ara", "Arabica", I638 = "Lib", "Liberica")</f>
        <v>Liberica</v>
      </c>
      <c r="O638" t="str">
        <f t="shared" si="19"/>
        <v>Light</v>
      </c>
      <c r="P638" t="str">
        <f>_xlfn.XLOOKUP(Table1[[#This Row],[Customer ID]],Data_customers!$A$2:$A$1001,Data_customers!$I$2:$I$1001,,0)</f>
        <v>Yes</v>
      </c>
    </row>
    <row r="639" spans="1:16" x14ac:dyDescent="0.2">
      <c r="A639" s="2" t="s">
        <v>4086</v>
      </c>
      <c r="B639" s="3">
        <v>43889</v>
      </c>
      <c r="C639" s="2" t="s">
        <v>4087</v>
      </c>
      <c r="D639" t="s">
        <v>6166</v>
      </c>
      <c r="E639" s="2">
        <v>1</v>
      </c>
      <c r="F639" s="2" t="str">
        <f>_xlfn.XLOOKUP(Data_orders!C639,Data_customers!$A$1:$A$1001,Data_customers!$B$1:$B$1001,,0)</f>
        <v>Benedikta Paumier</v>
      </c>
      <c r="G639" s="2" t="str">
        <f>IF(_xlfn.XLOOKUP(C639,Data_customers!$A$1:$A$1001,Data_customers!$C$1:$C$1001,,0)=0,"",_xlfn.XLOOKUP(C639,Data_customers!$A$1:$A$1001,Data_customers!$C$1:$C$1001,,0))</f>
        <v>bpaumierhp@umn.edu</v>
      </c>
      <c r="H639" s="2" t="str">
        <f>_xlfn.XLOOKUP(C639,Data_customers!$A$1:$A$1001,Data_customers!$G$1:$G$1001,"",0)</f>
        <v>Ireland</v>
      </c>
      <c r="I639" t="str">
        <f>INDEX(Data_products!$A$1:$G$49, MATCH(Data_orders!$D639,Data_products!$A$1:$A$49,0), MATCH(Data_orders!I$1,Data_products!$A$1:$G$1,0))</f>
        <v>Exc</v>
      </c>
      <c r="J639" t="str">
        <f>INDEX(Data_products!$A$1:$G$49, MATCH(Data_orders!$D639,Data_products!$A$1:$A$49,0), MATCH(Data_orders!J$1,Data_products!$A$1:$G$1,0))</f>
        <v>M</v>
      </c>
      <c r="K639" s="4">
        <f>INDEX(Data_products!$A$1:$G$49, MATCH(Data_orders!$D639,Data_products!$A$1:$A$49,0), MATCH(Data_orders!K$1,Data_products!$A$1:$G$1,0))</f>
        <v>2.5</v>
      </c>
      <c r="L639">
        <f>INDEX(Data_products!$A$1:$G$49, MATCH(Data_orders!$D639,Data_products!$A$1:$A$49,0), MATCH(Data_orders!L$1,Data_products!$A$1:$G$1,0))</f>
        <v>31.624999999999996</v>
      </c>
      <c r="M639">
        <f t="shared" si="18"/>
        <v>31.624999999999996</v>
      </c>
      <c r="N639" t="str" cm="1">
        <f t="array" ref="N639">_xlfn.IFS(I639 = "Rob", "Robusta", I639 = "Exc", "Excelsa", I639 = "Ara", "Arabica", I639 = "Lib", "Liberica")</f>
        <v>Excelsa</v>
      </c>
      <c r="O639" t="str">
        <f t="shared" si="19"/>
        <v>Medium</v>
      </c>
      <c r="P639" t="str">
        <f>_xlfn.XLOOKUP(Table1[[#This Row],[Customer ID]],Data_customers!$A$2:$A$1001,Data_customers!$I$2:$I$1001,,0)</f>
        <v>Yes</v>
      </c>
    </row>
    <row r="640" spans="1:16" x14ac:dyDescent="0.2">
      <c r="A640" s="2" t="s">
        <v>4093</v>
      </c>
      <c r="B640" s="3">
        <v>43684</v>
      </c>
      <c r="C640" s="2" t="s">
        <v>4094</v>
      </c>
      <c r="D640" t="s">
        <v>6175</v>
      </c>
      <c r="E640" s="2">
        <v>3</v>
      </c>
      <c r="F640" s="2" t="str">
        <f>_xlfn.XLOOKUP(Data_orders!C640,Data_customers!$A$1:$A$1001,Data_customers!$B$1:$B$1001,,0)</f>
        <v>Neville Piatto</v>
      </c>
      <c r="G640" s="2" t="str">
        <f>IF(_xlfn.XLOOKUP(C640,Data_customers!$A$1:$A$1001,Data_customers!$C$1:$C$1001,,0)=0,"",_xlfn.XLOOKUP(C640,Data_customers!$A$1:$A$1001,Data_customers!$C$1:$C$1001,,0))</f>
        <v/>
      </c>
      <c r="H640" s="2" t="str">
        <f>_xlfn.XLOOKUP(C640,Data_customers!$A$1:$A$1001,Data_customers!$G$1:$G$1001,"",0)</f>
        <v>Ireland</v>
      </c>
      <c r="I640" t="str">
        <f>INDEX(Data_products!$A$1:$G$49, MATCH(Data_orders!$D640,Data_products!$A$1:$A$49,0), MATCH(Data_orders!I$1,Data_products!$A$1:$G$1,0))</f>
        <v>Ara</v>
      </c>
      <c r="J640" t="str">
        <f>INDEX(Data_products!$A$1:$G$49, MATCH(Data_orders!$D640,Data_products!$A$1:$A$49,0), MATCH(Data_orders!J$1,Data_products!$A$1:$G$1,0))</f>
        <v>M</v>
      </c>
      <c r="K640" s="4">
        <f>INDEX(Data_products!$A$1:$G$49, MATCH(Data_orders!$D640,Data_products!$A$1:$A$49,0), MATCH(Data_orders!K$1,Data_products!$A$1:$G$1,0))</f>
        <v>2.5</v>
      </c>
      <c r="L640">
        <f>INDEX(Data_products!$A$1:$G$49, MATCH(Data_orders!$D640,Data_products!$A$1:$A$49,0), MATCH(Data_orders!L$1,Data_products!$A$1:$G$1,0))</f>
        <v>25.874999999999996</v>
      </c>
      <c r="M640">
        <f t="shared" si="18"/>
        <v>77.624999999999986</v>
      </c>
      <c r="N640" t="str" cm="1">
        <f t="array" ref="N640">_xlfn.IFS(I640 = "Rob", "Robusta", I640 = "Exc", "Excelsa", I640 = "Ara", "Arabica", I640 = "Lib", "Liberica")</f>
        <v>Arabica</v>
      </c>
      <c r="O640" t="str">
        <f t="shared" si="19"/>
        <v>Medium</v>
      </c>
      <c r="P640" t="str">
        <f>_xlfn.XLOOKUP(Table1[[#This Row],[Customer ID]],Data_customers!$A$2:$A$1001,Data_customers!$I$2:$I$1001,,0)</f>
        <v>Yes</v>
      </c>
    </row>
    <row r="641" spans="1:16" x14ac:dyDescent="0.2">
      <c r="A641" s="2" t="s">
        <v>4098</v>
      </c>
      <c r="B641" s="3">
        <v>44331</v>
      </c>
      <c r="C641" s="2" t="s">
        <v>4099</v>
      </c>
      <c r="D641" t="s">
        <v>6150</v>
      </c>
      <c r="E641" s="2">
        <v>1</v>
      </c>
      <c r="F641" s="2" t="str">
        <f>_xlfn.XLOOKUP(Data_orders!C641,Data_customers!$A$1:$A$1001,Data_customers!$B$1:$B$1001,,0)</f>
        <v>Jeno Capey</v>
      </c>
      <c r="G641" s="2" t="str">
        <f>IF(_xlfn.XLOOKUP(C641,Data_customers!$A$1:$A$1001,Data_customers!$C$1:$C$1001,,0)=0,"",_xlfn.XLOOKUP(C641,Data_customers!$A$1:$A$1001,Data_customers!$C$1:$C$1001,,0))</f>
        <v>jcapeyhr@bravesites.com</v>
      </c>
      <c r="H641" s="2" t="str">
        <f>_xlfn.XLOOKUP(C641,Data_customers!$A$1:$A$1001,Data_customers!$G$1:$G$1001,"",0)</f>
        <v>United States</v>
      </c>
      <c r="I641" t="str">
        <f>INDEX(Data_products!$A$1:$G$49, MATCH(Data_orders!$D641,Data_products!$A$1:$A$49,0), MATCH(Data_orders!I$1,Data_products!$A$1:$G$1,0))</f>
        <v>Lib</v>
      </c>
      <c r="J641" t="str">
        <f>INDEX(Data_products!$A$1:$G$49, MATCH(Data_orders!$D641,Data_products!$A$1:$A$49,0), MATCH(Data_orders!J$1,Data_products!$A$1:$G$1,0))</f>
        <v>D</v>
      </c>
      <c r="K641" s="4">
        <f>INDEX(Data_products!$A$1:$G$49, MATCH(Data_orders!$D641,Data_products!$A$1:$A$49,0), MATCH(Data_orders!K$1,Data_products!$A$1:$G$1,0))</f>
        <v>0.2</v>
      </c>
      <c r="L641">
        <f>INDEX(Data_products!$A$1:$G$49, MATCH(Data_orders!$D641,Data_products!$A$1:$A$49,0), MATCH(Data_orders!L$1,Data_products!$A$1:$G$1,0))</f>
        <v>3.8849999999999998</v>
      </c>
      <c r="M641">
        <f t="shared" si="18"/>
        <v>3.8849999999999998</v>
      </c>
      <c r="N641" t="str" cm="1">
        <f t="array" ref="N641">_xlfn.IFS(I641 = "Rob", "Robusta", I641 = "Exc", "Excelsa", I641 = "Ara", "Arabica", I641 = "Lib", "Liberica")</f>
        <v>Liberica</v>
      </c>
      <c r="O641" t="str">
        <f t="shared" si="19"/>
        <v>Dark</v>
      </c>
      <c r="P641" t="str">
        <f>_xlfn.XLOOKUP(Table1[[#This Row],[Customer ID]],Data_customers!$A$2:$A$1001,Data_customers!$I$2:$I$1001,,0)</f>
        <v>Yes</v>
      </c>
    </row>
    <row r="642" spans="1:16" x14ac:dyDescent="0.2">
      <c r="A642" s="2" t="s">
        <v>4104</v>
      </c>
      <c r="B642" s="3">
        <v>44547</v>
      </c>
      <c r="C642" s="2" t="s">
        <v>4152</v>
      </c>
      <c r="D642" t="s">
        <v>6142</v>
      </c>
      <c r="E642" s="2">
        <v>5</v>
      </c>
      <c r="F642" s="2" t="str">
        <f>_xlfn.XLOOKUP(Data_orders!C642,Data_customers!$A$1:$A$1001,Data_customers!$B$1:$B$1001,,0)</f>
        <v>Tuckie Mathonnet</v>
      </c>
      <c r="G642" s="2" t="str">
        <f>IF(_xlfn.XLOOKUP(C642,Data_customers!$A$1:$A$1001,Data_customers!$C$1:$C$1001,,0)=0,"",_xlfn.XLOOKUP(C642,Data_customers!$A$1:$A$1001,Data_customers!$C$1:$C$1001,,0))</f>
        <v>tmathonneti0@google.co.jp</v>
      </c>
      <c r="H642" s="2" t="str">
        <f>_xlfn.XLOOKUP(C642,Data_customers!$A$1:$A$1001,Data_customers!$G$1:$G$1001,"",0)</f>
        <v>United States</v>
      </c>
      <c r="I642" t="str">
        <f>INDEX(Data_products!$A$1:$G$49, MATCH(Data_orders!$D642,Data_products!$A$1:$A$49,0), MATCH(Data_orders!I$1,Data_products!$A$1:$G$1,0))</f>
        <v>Rob</v>
      </c>
      <c r="J642" t="str">
        <f>INDEX(Data_products!$A$1:$G$49, MATCH(Data_orders!$D642,Data_products!$A$1:$A$49,0), MATCH(Data_orders!J$1,Data_products!$A$1:$G$1,0))</f>
        <v>L</v>
      </c>
      <c r="K642" s="4">
        <f>INDEX(Data_products!$A$1:$G$49, MATCH(Data_orders!$D642,Data_products!$A$1:$A$49,0), MATCH(Data_orders!K$1,Data_products!$A$1:$G$1,0))</f>
        <v>2.5</v>
      </c>
      <c r="L642">
        <f>INDEX(Data_products!$A$1:$G$49, MATCH(Data_orders!$D642,Data_products!$A$1:$A$49,0), MATCH(Data_orders!L$1,Data_products!$A$1:$G$1,0))</f>
        <v>27.484999999999996</v>
      </c>
      <c r="M642">
        <f t="shared" si="18"/>
        <v>137.42499999999998</v>
      </c>
      <c r="N642" t="str" cm="1">
        <f t="array" ref="N642">_xlfn.IFS(I642 = "Rob", "Robusta", I642 = "Exc", "Excelsa", I642 = "Ara", "Arabica", I642 = "Lib", "Liberica")</f>
        <v>Robusta</v>
      </c>
      <c r="O642" t="str">
        <f t="shared" si="19"/>
        <v>Light</v>
      </c>
      <c r="P642" t="str">
        <f>_xlfn.XLOOKUP(Table1[[#This Row],[Customer ID]],Data_customers!$A$2:$A$1001,Data_customers!$I$2:$I$1001,,0)</f>
        <v>No</v>
      </c>
    </row>
    <row r="643" spans="1:16" x14ac:dyDescent="0.2">
      <c r="A643" s="2" t="s">
        <v>4109</v>
      </c>
      <c r="B643" s="3">
        <v>44448</v>
      </c>
      <c r="C643" s="2" t="s">
        <v>4110</v>
      </c>
      <c r="D643" t="s">
        <v>6179</v>
      </c>
      <c r="E643" s="2">
        <v>3</v>
      </c>
      <c r="F643" s="2" t="str">
        <f>_xlfn.XLOOKUP(Data_orders!C643,Data_customers!$A$1:$A$1001,Data_customers!$B$1:$B$1001,,0)</f>
        <v>Yardley Basill</v>
      </c>
      <c r="G643" s="2" t="str">
        <f>IF(_xlfn.XLOOKUP(C643,Data_customers!$A$1:$A$1001,Data_customers!$C$1:$C$1001,,0)=0,"",_xlfn.XLOOKUP(C643,Data_customers!$A$1:$A$1001,Data_customers!$C$1:$C$1001,,0))</f>
        <v>ybasillht@theguardian.com</v>
      </c>
      <c r="H643" s="2" t="str">
        <f>_xlfn.XLOOKUP(C643,Data_customers!$A$1:$A$1001,Data_customers!$G$1:$G$1001,"",0)</f>
        <v>United States</v>
      </c>
      <c r="I643" t="str">
        <f>INDEX(Data_products!$A$1:$G$49, MATCH(Data_orders!$D643,Data_products!$A$1:$A$49,0), MATCH(Data_orders!I$1,Data_products!$A$1:$G$1,0))</f>
        <v>Rob</v>
      </c>
      <c r="J643" t="str">
        <f>INDEX(Data_products!$A$1:$G$49, MATCH(Data_orders!$D643,Data_products!$A$1:$A$49,0), MATCH(Data_orders!J$1,Data_products!$A$1:$G$1,0))</f>
        <v>L</v>
      </c>
      <c r="K643" s="4">
        <f>INDEX(Data_products!$A$1:$G$49, MATCH(Data_orders!$D643,Data_products!$A$1:$A$49,0), MATCH(Data_orders!K$1,Data_products!$A$1:$G$1,0))</f>
        <v>1</v>
      </c>
      <c r="L643">
        <f>INDEX(Data_products!$A$1:$G$49, MATCH(Data_orders!$D643,Data_products!$A$1:$A$49,0), MATCH(Data_orders!L$1,Data_products!$A$1:$G$1,0))</f>
        <v>11.95</v>
      </c>
      <c r="M643">
        <f t="shared" ref="M643:M706" si="20">L643*E643</f>
        <v>35.849999999999994</v>
      </c>
      <c r="N643" t="str" cm="1">
        <f t="array" ref="N643">_xlfn.IFS(I643 = "Rob", "Robusta", I643 = "Exc", "Excelsa", I643 = "Ara", "Arabica", I643 = "Lib", "Liberica")</f>
        <v>Robusta</v>
      </c>
      <c r="O643" t="str">
        <f t="shared" ref="O643:O706" si="21">IF(J643 = "M", "Medium", IF(J643 =  "L", "Light", IF(J643 = "D", "Dark", "")))</f>
        <v>Light</v>
      </c>
      <c r="P643" t="str">
        <f>_xlfn.XLOOKUP(Table1[[#This Row],[Customer ID]],Data_customers!$A$2:$A$1001,Data_customers!$I$2:$I$1001,,0)</f>
        <v>Yes</v>
      </c>
    </row>
    <row r="644" spans="1:16" x14ac:dyDescent="0.2">
      <c r="A644" s="2" t="s">
        <v>4115</v>
      </c>
      <c r="B644" s="3">
        <v>43880</v>
      </c>
      <c r="C644" s="2" t="s">
        <v>4116</v>
      </c>
      <c r="D644" t="s">
        <v>6156</v>
      </c>
      <c r="E644" s="2">
        <v>2</v>
      </c>
      <c r="F644" s="2" t="str">
        <f>_xlfn.XLOOKUP(Data_orders!C644,Data_customers!$A$1:$A$1001,Data_customers!$B$1:$B$1001,,0)</f>
        <v>Maggy Baistow</v>
      </c>
      <c r="G644" s="2" t="str">
        <f>IF(_xlfn.XLOOKUP(C644,Data_customers!$A$1:$A$1001,Data_customers!$C$1:$C$1001,,0)=0,"",_xlfn.XLOOKUP(C644,Data_customers!$A$1:$A$1001,Data_customers!$C$1:$C$1001,,0))</f>
        <v>mbaistowhu@i2i.jp</v>
      </c>
      <c r="H644" s="2" t="str">
        <f>_xlfn.XLOOKUP(C644,Data_customers!$A$1:$A$1001,Data_customers!$G$1:$G$1001,"",0)</f>
        <v>United Kingdom</v>
      </c>
      <c r="I644" t="str">
        <f>INDEX(Data_products!$A$1:$G$49, MATCH(Data_orders!$D644,Data_products!$A$1:$A$49,0), MATCH(Data_orders!I$1,Data_products!$A$1:$G$1,0))</f>
        <v>Exc</v>
      </c>
      <c r="J644" t="str">
        <f>INDEX(Data_products!$A$1:$G$49, MATCH(Data_orders!$D644,Data_products!$A$1:$A$49,0), MATCH(Data_orders!J$1,Data_products!$A$1:$G$1,0))</f>
        <v>M</v>
      </c>
      <c r="K644" s="4">
        <f>INDEX(Data_products!$A$1:$G$49, MATCH(Data_orders!$D644,Data_products!$A$1:$A$49,0), MATCH(Data_orders!K$1,Data_products!$A$1:$G$1,0))</f>
        <v>0.2</v>
      </c>
      <c r="L644">
        <f>INDEX(Data_products!$A$1:$G$49, MATCH(Data_orders!$D644,Data_products!$A$1:$A$49,0), MATCH(Data_orders!L$1,Data_products!$A$1:$G$1,0))</f>
        <v>4.125</v>
      </c>
      <c r="M644">
        <f t="shared" si="20"/>
        <v>8.25</v>
      </c>
      <c r="N644" t="str" cm="1">
        <f t="array" ref="N644">_xlfn.IFS(I644 = "Rob", "Robusta", I644 = "Exc", "Excelsa", I644 = "Ara", "Arabica", I644 = "Lib", "Liberica")</f>
        <v>Excelsa</v>
      </c>
      <c r="O644" t="str">
        <f t="shared" si="21"/>
        <v>Medium</v>
      </c>
      <c r="P644" t="str">
        <f>_xlfn.XLOOKUP(Table1[[#This Row],[Customer ID]],Data_customers!$A$2:$A$1001,Data_customers!$I$2:$I$1001,,0)</f>
        <v>Yes</v>
      </c>
    </row>
    <row r="645" spans="1:16" x14ac:dyDescent="0.2">
      <c r="A645" s="2" t="s">
        <v>4123</v>
      </c>
      <c r="B645" s="3">
        <v>44011</v>
      </c>
      <c r="C645" s="2" t="s">
        <v>4124</v>
      </c>
      <c r="D645" t="s">
        <v>6148</v>
      </c>
      <c r="E645" s="2">
        <v>3</v>
      </c>
      <c r="F645" s="2" t="str">
        <f>_xlfn.XLOOKUP(Data_orders!C645,Data_customers!$A$1:$A$1001,Data_customers!$B$1:$B$1001,,0)</f>
        <v>Courtney Pallant</v>
      </c>
      <c r="G645" s="2" t="str">
        <f>IF(_xlfn.XLOOKUP(C645,Data_customers!$A$1:$A$1001,Data_customers!$C$1:$C$1001,,0)=0,"",_xlfn.XLOOKUP(C645,Data_customers!$A$1:$A$1001,Data_customers!$C$1:$C$1001,,0))</f>
        <v>cpallanthv@typepad.com</v>
      </c>
      <c r="H645" s="2" t="str">
        <f>_xlfn.XLOOKUP(C645,Data_customers!$A$1:$A$1001,Data_customers!$G$1:$G$1001,"",0)</f>
        <v>United States</v>
      </c>
      <c r="I645" t="str">
        <f>INDEX(Data_products!$A$1:$G$49, MATCH(Data_orders!$D645,Data_products!$A$1:$A$49,0), MATCH(Data_orders!I$1,Data_products!$A$1:$G$1,0))</f>
        <v>Exc</v>
      </c>
      <c r="J645" t="str">
        <f>INDEX(Data_products!$A$1:$G$49, MATCH(Data_orders!$D645,Data_products!$A$1:$A$49,0), MATCH(Data_orders!J$1,Data_products!$A$1:$G$1,0))</f>
        <v>L</v>
      </c>
      <c r="K645" s="4">
        <f>INDEX(Data_products!$A$1:$G$49, MATCH(Data_orders!$D645,Data_products!$A$1:$A$49,0), MATCH(Data_orders!K$1,Data_products!$A$1:$G$1,0))</f>
        <v>2.5</v>
      </c>
      <c r="L645">
        <f>INDEX(Data_products!$A$1:$G$49, MATCH(Data_orders!$D645,Data_products!$A$1:$A$49,0), MATCH(Data_orders!L$1,Data_products!$A$1:$G$1,0))</f>
        <v>34.154999999999994</v>
      </c>
      <c r="M645">
        <f t="shared" si="20"/>
        <v>102.46499999999997</v>
      </c>
      <c r="N645" t="str" cm="1">
        <f t="array" ref="N645">_xlfn.IFS(I645 = "Rob", "Robusta", I645 = "Exc", "Excelsa", I645 = "Ara", "Arabica", I645 = "Lib", "Liberica")</f>
        <v>Excelsa</v>
      </c>
      <c r="O645" t="str">
        <f t="shared" si="21"/>
        <v>Light</v>
      </c>
      <c r="P645" t="str">
        <f>_xlfn.XLOOKUP(Table1[[#This Row],[Customer ID]],Data_customers!$A$2:$A$1001,Data_customers!$I$2:$I$1001,,0)</f>
        <v>Yes</v>
      </c>
    </row>
    <row r="646" spans="1:16" x14ac:dyDescent="0.2">
      <c r="A646" s="2" t="s">
        <v>4128</v>
      </c>
      <c r="B646" s="3">
        <v>44694</v>
      </c>
      <c r="C646" s="2" t="s">
        <v>4129</v>
      </c>
      <c r="D646" t="s">
        <v>6149</v>
      </c>
      <c r="E646" s="2">
        <v>2</v>
      </c>
      <c r="F646" s="2" t="str">
        <f>_xlfn.XLOOKUP(Data_orders!C646,Data_customers!$A$1:$A$1001,Data_customers!$B$1:$B$1001,,0)</f>
        <v>Marne Mingey</v>
      </c>
      <c r="G646" s="2" t="str">
        <f>IF(_xlfn.XLOOKUP(C646,Data_customers!$A$1:$A$1001,Data_customers!$C$1:$C$1001,,0)=0,"",_xlfn.XLOOKUP(C646,Data_customers!$A$1:$A$1001,Data_customers!$C$1:$C$1001,,0))</f>
        <v/>
      </c>
      <c r="H646" s="2" t="str">
        <f>_xlfn.XLOOKUP(C646,Data_customers!$A$1:$A$1001,Data_customers!$G$1:$G$1001,"",0)</f>
        <v>United States</v>
      </c>
      <c r="I646" t="str">
        <f>INDEX(Data_products!$A$1:$G$49, MATCH(Data_orders!$D646,Data_products!$A$1:$A$49,0), MATCH(Data_orders!I$1,Data_products!$A$1:$G$1,0))</f>
        <v>Rob</v>
      </c>
      <c r="J646" t="str">
        <f>INDEX(Data_products!$A$1:$G$49, MATCH(Data_orders!$D646,Data_products!$A$1:$A$49,0), MATCH(Data_orders!J$1,Data_products!$A$1:$G$1,0))</f>
        <v>D</v>
      </c>
      <c r="K646" s="4">
        <f>INDEX(Data_products!$A$1:$G$49, MATCH(Data_orders!$D646,Data_products!$A$1:$A$49,0), MATCH(Data_orders!K$1,Data_products!$A$1:$G$1,0))</f>
        <v>2.5</v>
      </c>
      <c r="L646">
        <f>INDEX(Data_products!$A$1:$G$49, MATCH(Data_orders!$D646,Data_products!$A$1:$A$49,0), MATCH(Data_orders!L$1,Data_products!$A$1:$G$1,0))</f>
        <v>20.584999999999997</v>
      </c>
      <c r="M646">
        <f t="shared" si="20"/>
        <v>41.169999999999995</v>
      </c>
      <c r="N646" t="str" cm="1">
        <f t="array" ref="N646">_xlfn.IFS(I646 = "Rob", "Robusta", I646 = "Exc", "Excelsa", I646 = "Ara", "Arabica", I646 = "Lib", "Liberica")</f>
        <v>Robusta</v>
      </c>
      <c r="O646" t="str">
        <f t="shared" si="21"/>
        <v>Dark</v>
      </c>
      <c r="P646" t="str">
        <f>_xlfn.XLOOKUP(Table1[[#This Row],[Customer ID]],Data_customers!$A$2:$A$1001,Data_customers!$I$2:$I$1001,,0)</f>
        <v>No</v>
      </c>
    </row>
    <row r="647" spans="1:16" x14ac:dyDescent="0.2">
      <c r="A647" s="2" t="s">
        <v>4133</v>
      </c>
      <c r="B647" s="3">
        <v>44106</v>
      </c>
      <c r="C647" s="2" t="s">
        <v>4134</v>
      </c>
      <c r="D647" t="s">
        <v>6168</v>
      </c>
      <c r="E647" s="2">
        <v>3</v>
      </c>
      <c r="F647" s="2" t="str">
        <f>_xlfn.XLOOKUP(Data_orders!C647,Data_customers!$A$1:$A$1001,Data_customers!$B$1:$B$1001,,0)</f>
        <v>Denny O' Ronan</v>
      </c>
      <c r="G647" s="2" t="str">
        <f>IF(_xlfn.XLOOKUP(C647,Data_customers!$A$1:$A$1001,Data_customers!$C$1:$C$1001,,0)=0,"",_xlfn.XLOOKUP(C647,Data_customers!$A$1:$A$1001,Data_customers!$C$1:$C$1001,,0))</f>
        <v>dohx@redcross.org</v>
      </c>
      <c r="H647" s="2" t="str">
        <f>_xlfn.XLOOKUP(C647,Data_customers!$A$1:$A$1001,Data_customers!$G$1:$G$1001,"",0)</f>
        <v>United States</v>
      </c>
      <c r="I647" t="str">
        <f>INDEX(Data_products!$A$1:$G$49, MATCH(Data_orders!$D647,Data_products!$A$1:$A$49,0), MATCH(Data_orders!I$1,Data_products!$A$1:$G$1,0))</f>
        <v>Ara</v>
      </c>
      <c r="J647" t="str">
        <f>INDEX(Data_products!$A$1:$G$49, MATCH(Data_orders!$D647,Data_products!$A$1:$A$49,0), MATCH(Data_orders!J$1,Data_products!$A$1:$G$1,0))</f>
        <v>D</v>
      </c>
      <c r="K647" s="4">
        <f>INDEX(Data_products!$A$1:$G$49, MATCH(Data_orders!$D647,Data_products!$A$1:$A$49,0), MATCH(Data_orders!K$1,Data_products!$A$1:$G$1,0))</f>
        <v>2.5</v>
      </c>
      <c r="L647">
        <f>INDEX(Data_products!$A$1:$G$49, MATCH(Data_orders!$D647,Data_products!$A$1:$A$49,0), MATCH(Data_orders!L$1,Data_products!$A$1:$G$1,0))</f>
        <v>22.884999999999998</v>
      </c>
      <c r="M647">
        <f t="shared" si="20"/>
        <v>68.655000000000001</v>
      </c>
      <c r="N647" t="str" cm="1">
        <f t="array" ref="N647">_xlfn.IFS(I647 = "Rob", "Robusta", I647 = "Exc", "Excelsa", I647 = "Ara", "Arabica", I647 = "Lib", "Liberica")</f>
        <v>Arabica</v>
      </c>
      <c r="O647" t="str">
        <f t="shared" si="21"/>
        <v>Dark</v>
      </c>
      <c r="P647" t="str">
        <f>_xlfn.XLOOKUP(Table1[[#This Row],[Customer ID]],Data_customers!$A$2:$A$1001,Data_customers!$I$2:$I$1001,,0)</f>
        <v>Yes</v>
      </c>
    </row>
    <row r="648" spans="1:16" x14ac:dyDescent="0.2">
      <c r="A648" s="2" t="s">
        <v>4139</v>
      </c>
      <c r="B648" s="3">
        <v>44532</v>
      </c>
      <c r="C648" s="2" t="s">
        <v>4140</v>
      </c>
      <c r="D648" t="s">
        <v>6147</v>
      </c>
      <c r="E648" s="2">
        <v>1</v>
      </c>
      <c r="F648" s="2" t="str">
        <f>_xlfn.XLOOKUP(Data_orders!C648,Data_customers!$A$1:$A$1001,Data_customers!$B$1:$B$1001,,0)</f>
        <v>Dottie Rallin</v>
      </c>
      <c r="G648" s="2" t="str">
        <f>IF(_xlfn.XLOOKUP(C648,Data_customers!$A$1:$A$1001,Data_customers!$C$1:$C$1001,,0)=0,"",_xlfn.XLOOKUP(C648,Data_customers!$A$1:$A$1001,Data_customers!$C$1:$C$1001,,0))</f>
        <v>drallinhy@howstuffworks.com</v>
      </c>
      <c r="H648" s="2" t="str">
        <f>_xlfn.XLOOKUP(C648,Data_customers!$A$1:$A$1001,Data_customers!$G$1:$G$1001,"",0)</f>
        <v>United States</v>
      </c>
      <c r="I648" t="str">
        <f>INDEX(Data_products!$A$1:$G$49, MATCH(Data_orders!$D648,Data_products!$A$1:$A$49,0), MATCH(Data_orders!I$1,Data_products!$A$1:$G$1,0))</f>
        <v>Ara</v>
      </c>
      <c r="J648" t="str">
        <f>INDEX(Data_products!$A$1:$G$49, MATCH(Data_orders!$D648,Data_products!$A$1:$A$49,0), MATCH(Data_orders!J$1,Data_products!$A$1:$G$1,0))</f>
        <v>D</v>
      </c>
      <c r="K648" s="4">
        <f>INDEX(Data_products!$A$1:$G$49, MATCH(Data_orders!$D648,Data_products!$A$1:$A$49,0), MATCH(Data_orders!K$1,Data_products!$A$1:$G$1,0))</f>
        <v>1</v>
      </c>
      <c r="L648">
        <f>INDEX(Data_products!$A$1:$G$49, MATCH(Data_orders!$D648,Data_products!$A$1:$A$49,0), MATCH(Data_orders!L$1,Data_products!$A$1:$G$1,0))</f>
        <v>9.9499999999999993</v>
      </c>
      <c r="M648">
        <f t="shared" si="20"/>
        <v>9.9499999999999993</v>
      </c>
      <c r="N648" t="str" cm="1">
        <f t="array" ref="N648">_xlfn.IFS(I648 = "Rob", "Robusta", I648 = "Exc", "Excelsa", I648 = "Ara", "Arabica", I648 = "Lib", "Liberica")</f>
        <v>Arabica</v>
      </c>
      <c r="O648" t="str">
        <f t="shared" si="21"/>
        <v>Dark</v>
      </c>
      <c r="P648" t="str">
        <f>_xlfn.XLOOKUP(Table1[[#This Row],[Customer ID]],Data_customers!$A$2:$A$1001,Data_customers!$I$2:$I$1001,,0)</f>
        <v>Yes</v>
      </c>
    </row>
    <row r="649" spans="1:16" x14ac:dyDescent="0.2">
      <c r="A649" s="2" t="s">
        <v>4145</v>
      </c>
      <c r="B649" s="3">
        <v>44502</v>
      </c>
      <c r="C649" s="2" t="s">
        <v>4146</v>
      </c>
      <c r="D649" t="s">
        <v>6161</v>
      </c>
      <c r="E649" s="2">
        <v>3</v>
      </c>
      <c r="F649" s="2" t="str">
        <f>_xlfn.XLOOKUP(Data_orders!C649,Data_customers!$A$1:$A$1001,Data_customers!$B$1:$B$1001,,0)</f>
        <v>Ardith Chill</v>
      </c>
      <c r="G649" s="2" t="str">
        <f>IF(_xlfn.XLOOKUP(C649,Data_customers!$A$1:$A$1001,Data_customers!$C$1:$C$1001,,0)=0,"",_xlfn.XLOOKUP(C649,Data_customers!$A$1:$A$1001,Data_customers!$C$1:$C$1001,,0))</f>
        <v>achillhz@epa.gov</v>
      </c>
      <c r="H649" s="2" t="str">
        <f>_xlfn.XLOOKUP(C649,Data_customers!$A$1:$A$1001,Data_customers!$G$1:$G$1001,"",0)</f>
        <v>United Kingdom</v>
      </c>
      <c r="I649" t="str">
        <f>INDEX(Data_products!$A$1:$G$49, MATCH(Data_orders!$D649,Data_products!$A$1:$A$49,0), MATCH(Data_orders!I$1,Data_products!$A$1:$G$1,0))</f>
        <v>Lib</v>
      </c>
      <c r="J649" t="str">
        <f>INDEX(Data_products!$A$1:$G$49, MATCH(Data_orders!$D649,Data_products!$A$1:$A$49,0), MATCH(Data_orders!J$1,Data_products!$A$1:$G$1,0))</f>
        <v>L</v>
      </c>
      <c r="K649" s="4">
        <f>INDEX(Data_products!$A$1:$G$49, MATCH(Data_orders!$D649,Data_products!$A$1:$A$49,0), MATCH(Data_orders!K$1,Data_products!$A$1:$G$1,0))</f>
        <v>0.5</v>
      </c>
      <c r="L649">
        <f>INDEX(Data_products!$A$1:$G$49, MATCH(Data_orders!$D649,Data_products!$A$1:$A$49,0), MATCH(Data_orders!L$1,Data_products!$A$1:$G$1,0))</f>
        <v>9.51</v>
      </c>
      <c r="M649">
        <f t="shared" si="20"/>
        <v>28.53</v>
      </c>
      <c r="N649" t="str" cm="1">
        <f t="array" ref="N649">_xlfn.IFS(I649 = "Rob", "Robusta", I649 = "Exc", "Excelsa", I649 = "Ara", "Arabica", I649 = "Lib", "Liberica")</f>
        <v>Liberica</v>
      </c>
      <c r="O649" t="str">
        <f t="shared" si="21"/>
        <v>Light</v>
      </c>
      <c r="P649" t="str">
        <f>_xlfn.XLOOKUP(Table1[[#This Row],[Customer ID]],Data_customers!$A$2:$A$1001,Data_customers!$I$2:$I$1001,,0)</f>
        <v>Yes</v>
      </c>
    </row>
    <row r="650" spans="1:16" x14ac:dyDescent="0.2">
      <c r="A650" s="2" t="s">
        <v>4151</v>
      </c>
      <c r="B650" s="3">
        <v>43884</v>
      </c>
      <c r="C650" s="2" t="s">
        <v>4152</v>
      </c>
      <c r="D650" t="s">
        <v>6163</v>
      </c>
      <c r="E650" s="2">
        <v>6</v>
      </c>
      <c r="F650" s="2" t="str">
        <f>_xlfn.XLOOKUP(Data_orders!C650,Data_customers!$A$1:$A$1001,Data_customers!$B$1:$B$1001,,0)</f>
        <v>Tuckie Mathonnet</v>
      </c>
      <c r="G650" s="2" t="str">
        <f>IF(_xlfn.XLOOKUP(C650,Data_customers!$A$1:$A$1001,Data_customers!$C$1:$C$1001,,0)=0,"",_xlfn.XLOOKUP(C650,Data_customers!$A$1:$A$1001,Data_customers!$C$1:$C$1001,,0))</f>
        <v>tmathonneti0@google.co.jp</v>
      </c>
      <c r="H650" s="2" t="str">
        <f>_xlfn.XLOOKUP(C650,Data_customers!$A$1:$A$1001,Data_customers!$G$1:$G$1001,"",0)</f>
        <v>United States</v>
      </c>
      <c r="I650" t="str">
        <f>INDEX(Data_products!$A$1:$G$49, MATCH(Data_orders!$D650,Data_products!$A$1:$A$49,0), MATCH(Data_orders!I$1,Data_products!$A$1:$G$1,0))</f>
        <v>Rob</v>
      </c>
      <c r="J650" t="str">
        <f>INDEX(Data_products!$A$1:$G$49, MATCH(Data_orders!$D650,Data_products!$A$1:$A$49,0), MATCH(Data_orders!J$1,Data_products!$A$1:$G$1,0))</f>
        <v>D</v>
      </c>
      <c r="K650" s="4">
        <f>INDEX(Data_products!$A$1:$G$49, MATCH(Data_orders!$D650,Data_products!$A$1:$A$49,0), MATCH(Data_orders!K$1,Data_products!$A$1:$G$1,0))</f>
        <v>0.2</v>
      </c>
      <c r="L650">
        <f>INDEX(Data_products!$A$1:$G$49, MATCH(Data_orders!$D650,Data_products!$A$1:$A$49,0), MATCH(Data_orders!L$1,Data_products!$A$1:$G$1,0))</f>
        <v>2.6849999999999996</v>
      </c>
      <c r="M650">
        <f t="shared" si="20"/>
        <v>16.11</v>
      </c>
      <c r="N650" t="str" cm="1">
        <f t="array" ref="N650">_xlfn.IFS(I650 = "Rob", "Robusta", I650 = "Exc", "Excelsa", I650 = "Ara", "Arabica", I650 = "Lib", "Liberica")</f>
        <v>Robusta</v>
      </c>
      <c r="O650" t="str">
        <f t="shared" si="21"/>
        <v>Dark</v>
      </c>
      <c r="P650" t="str">
        <f>_xlfn.XLOOKUP(Table1[[#This Row],[Customer ID]],Data_customers!$A$2:$A$1001,Data_customers!$I$2:$I$1001,,0)</f>
        <v>No</v>
      </c>
    </row>
    <row r="651" spans="1:16" x14ac:dyDescent="0.2">
      <c r="A651" s="2" t="s">
        <v>4157</v>
      </c>
      <c r="B651" s="3">
        <v>44015</v>
      </c>
      <c r="C651" s="2" t="s">
        <v>4158</v>
      </c>
      <c r="D651" t="s">
        <v>6170</v>
      </c>
      <c r="E651" s="2">
        <v>6</v>
      </c>
      <c r="F651" s="2" t="str">
        <f>_xlfn.XLOOKUP(Data_orders!C651,Data_customers!$A$1:$A$1001,Data_customers!$B$1:$B$1001,,0)</f>
        <v>Charmane Denys</v>
      </c>
      <c r="G651" s="2" t="str">
        <f>IF(_xlfn.XLOOKUP(C651,Data_customers!$A$1:$A$1001,Data_customers!$C$1:$C$1001,,0)=0,"",_xlfn.XLOOKUP(C651,Data_customers!$A$1:$A$1001,Data_customers!$C$1:$C$1001,,0))</f>
        <v>cdenysi1@is.gd</v>
      </c>
      <c r="H651" s="2" t="str">
        <f>_xlfn.XLOOKUP(C651,Data_customers!$A$1:$A$1001,Data_customers!$G$1:$G$1001,"",0)</f>
        <v>United Kingdom</v>
      </c>
      <c r="I651" t="str">
        <f>INDEX(Data_products!$A$1:$G$49, MATCH(Data_orders!$D651,Data_products!$A$1:$A$49,0), MATCH(Data_orders!I$1,Data_products!$A$1:$G$1,0))</f>
        <v>Lib</v>
      </c>
      <c r="J651" t="str">
        <f>INDEX(Data_products!$A$1:$G$49, MATCH(Data_orders!$D651,Data_products!$A$1:$A$49,0), MATCH(Data_orders!J$1,Data_products!$A$1:$G$1,0))</f>
        <v>L</v>
      </c>
      <c r="K651" s="4">
        <f>INDEX(Data_products!$A$1:$G$49, MATCH(Data_orders!$D651,Data_products!$A$1:$A$49,0), MATCH(Data_orders!K$1,Data_products!$A$1:$G$1,0))</f>
        <v>1</v>
      </c>
      <c r="L651">
        <f>INDEX(Data_products!$A$1:$G$49, MATCH(Data_orders!$D651,Data_products!$A$1:$A$49,0), MATCH(Data_orders!L$1,Data_products!$A$1:$G$1,0))</f>
        <v>15.85</v>
      </c>
      <c r="M651">
        <f t="shared" si="20"/>
        <v>95.1</v>
      </c>
      <c r="N651" t="str" cm="1">
        <f t="array" ref="N651">_xlfn.IFS(I651 = "Rob", "Robusta", I651 = "Exc", "Excelsa", I651 = "Ara", "Arabica", I651 = "Lib", "Liberica")</f>
        <v>Liberica</v>
      </c>
      <c r="O651" t="str">
        <f t="shared" si="21"/>
        <v>Light</v>
      </c>
      <c r="P651" t="str">
        <f>_xlfn.XLOOKUP(Table1[[#This Row],[Customer ID]],Data_customers!$A$2:$A$1001,Data_customers!$I$2:$I$1001,,0)</f>
        <v>No</v>
      </c>
    </row>
    <row r="652" spans="1:16" x14ac:dyDescent="0.2">
      <c r="A652" s="2" t="s">
        <v>4163</v>
      </c>
      <c r="B652" s="3">
        <v>43507</v>
      </c>
      <c r="C652" s="2" t="s">
        <v>4164</v>
      </c>
      <c r="D652" t="s">
        <v>6172</v>
      </c>
      <c r="E652" s="2">
        <v>1</v>
      </c>
      <c r="F652" s="2" t="str">
        <f>_xlfn.XLOOKUP(Data_orders!C652,Data_customers!$A$1:$A$1001,Data_customers!$B$1:$B$1001,,0)</f>
        <v>Cecily Stebbings</v>
      </c>
      <c r="G652" s="2" t="str">
        <f>IF(_xlfn.XLOOKUP(C652,Data_customers!$A$1:$A$1001,Data_customers!$C$1:$C$1001,,0)=0,"",_xlfn.XLOOKUP(C652,Data_customers!$A$1:$A$1001,Data_customers!$C$1:$C$1001,,0))</f>
        <v>cstebbingsi2@drupal.org</v>
      </c>
      <c r="H652" s="2" t="str">
        <f>_xlfn.XLOOKUP(C652,Data_customers!$A$1:$A$1001,Data_customers!$G$1:$G$1001,"",0)</f>
        <v>United States</v>
      </c>
      <c r="I652" t="str">
        <f>INDEX(Data_products!$A$1:$G$49, MATCH(Data_orders!$D652,Data_products!$A$1:$A$49,0), MATCH(Data_orders!I$1,Data_products!$A$1:$G$1,0))</f>
        <v>Rob</v>
      </c>
      <c r="J652" t="str">
        <f>INDEX(Data_products!$A$1:$G$49, MATCH(Data_orders!$D652,Data_products!$A$1:$A$49,0), MATCH(Data_orders!J$1,Data_products!$A$1:$G$1,0))</f>
        <v>D</v>
      </c>
      <c r="K652" s="4">
        <f>INDEX(Data_products!$A$1:$G$49, MATCH(Data_orders!$D652,Data_products!$A$1:$A$49,0), MATCH(Data_orders!K$1,Data_products!$A$1:$G$1,0))</f>
        <v>0.5</v>
      </c>
      <c r="L652">
        <f>INDEX(Data_products!$A$1:$G$49, MATCH(Data_orders!$D652,Data_products!$A$1:$A$49,0), MATCH(Data_orders!L$1,Data_products!$A$1:$G$1,0))</f>
        <v>5.3699999999999992</v>
      </c>
      <c r="M652">
        <f t="shared" si="20"/>
        <v>5.3699999999999992</v>
      </c>
      <c r="N652" t="str" cm="1">
        <f t="array" ref="N652">_xlfn.IFS(I652 = "Rob", "Robusta", I652 = "Exc", "Excelsa", I652 = "Ara", "Arabica", I652 = "Lib", "Liberica")</f>
        <v>Robusta</v>
      </c>
      <c r="O652" t="str">
        <f t="shared" si="21"/>
        <v>Dark</v>
      </c>
      <c r="P652" t="str">
        <f>_xlfn.XLOOKUP(Table1[[#This Row],[Customer ID]],Data_customers!$A$2:$A$1001,Data_customers!$I$2:$I$1001,,0)</f>
        <v>Yes</v>
      </c>
    </row>
    <row r="653" spans="1:16" x14ac:dyDescent="0.2">
      <c r="A653" s="2" t="s">
        <v>4169</v>
      </c>
      <c r="B653" s="3">
        <v>44084</v>
      </c>
      <c r="C653" s="2" t="s">
        <v>4170</v>
      </c>
      <c r="D653" t="s">
        <v>6179</v>
      </c>
      <c r="E653" s="2">
        <v>4</v>
      </c>
      <c r="F653" s="2" t="str">
        <f>_xlfn.XLOOKUP(Data_orders!C653,Data_customers!$A$1:$A$1001,Data_customers!$B$1:$B$1001,,0)</f>
        <v>Giana Tonnesen</v>
      </c>
      <c r="G653" s="2" t="str">
        <f>IF(_xlfn.XLOOKUP(C653,Data_customers!$A$1:$A$1001,Data_customers!$C$1:$C$1001,,0)=0,"",_xlfn.XLOOKUP(C653,Data_customers!$A$1:$A$1001,Data_customers!$C$1:$C$1001,,0))</f>
        <v/>
      </c>
      <c r="H653" s="2" t="str">
        <f>_xlfn.XLOOKUP(C653,Data_customers!$A$1:$A$1001,Data_customers!$G$1:$G$1001,"",0)</f>
        <v>United States</v>
      </c>
      <c r="I653" t="str">
        <f>INDEX(Data_products!$A$1:$G$49, MATCH(Data_orders!$D653,Data_products!$A$1:$A$49,0), MATCH(Data_orders!I$1,Data_products!$A$1:$G$1,0))</f>
        <v>Rob</v>
      </c>
      <c r="J653" t="str">
        <f>INDEX(Data_products!$A$1:$G$49, MATCH(Data_orders!$D653,Data_products!$A$1:$A$49,0), MATCH(Data_orders!J$1,Data_products!$A$1:$G$1,0))</f>
        <v>L</v>
      </c>
      <c r="K653" s="4">
        <f>INDEX(Data_products!$A$1:$G$49, MATCH(Data_orders!$D653,Data_products!$A$1:$A$49,0), MATCH(Data_orders!K$1,Data_products!$A$1:$G$1,0))</f>
        <v>1</v>
      </c>
      <c r="L653">
        <f>INDEX(Data_products!$A$1:$G$49, MATCH(Data_orders!$D653,Data_products!$A$1:$A$49,0), MATCH(Data_orders!L$1,Data_products!$A$1:$G$1,0))</f>
        <v>11.95</v>
      </c>
      <c r="M653">
        <f t="shared" si="20"/>
        <v>47.8</v>
      </c>
      <c r="N653" t="str" cm="1">
        <f t="array" ref="N653">_xlfn.IFS(I653 = "Rob", "Robusta", I653 = "Exc", "Excelsa", I653 = "Ara", "Arabica", I653 = "Lib", "Liberica")</f>
        <v>Robusta</v>
      </c>
      <c r="O653" t="str">
        <f t="shared" si="21"/>
        <v>Light</v>
      </c>
      <c r="P653" t="str">
        <f>_xlfn.XLOOKUP(Table1[[#This Row],[Customer ID]],Data_customers!$A$2:$A$1001,Data_customers!$I$2:$I$1001,,0)</f>
        <v>No</v>
      </c>
    </row>
    <row r="654" spans="1:16" x14ac:dyDescent="0.2">
      <c r="A654" s="2" t="s">
        <v>4174</v>
      </c>
      <c r="B654" s="3">
        <v>43892</v>
      </c>
      <c r="C654" s="2" t="s">
        <v>4175</v>
      </c>
      <c r="D654" t="s">
        <v>6170</v>
      </c>
      <c r="E654" s="2">
        <v>4</v>
      </c>
      <c r="F654" s="2" t="str">
        <f>_xlfn.XLOOKUP(Data_orders!C654,Data_customers!$A$1:$A$1001,Data_customers!$B$1:$B$1001,,0)</f>
        <v>Rhetta Zywicki</v>
      </c>
      <c r="G654" s="2" t="str">
        <f>IF(_xlfn.XLOOKUP(C654,Data_customers!$A$1:$A$1001,Data_customers!$C$1:$C$1001,,0)=0,"",_xlfn.XLOOKUP(C654,Data_customers!$A$1:$A$1001,Data_customers!$C$1:$C$1001,,0))</f>
        <v>rzywickii4@ifeng.com</v>
      </c>
      <c r="H654" s="2" t="str">
        <f>_xlfn.XLOOKUP(C654,Data_customers!$A$1:$A$1001,Data_customers!$G$1:$G$1001,"",0)</f>
        <v>Ireland</v>
      </c>
      <c r="I654" t="str">
        <f>INDEX(Data_products!$A$1:$G$49, MATCH(Data_orders!$D654,Data_products!$A$1:$A$49,0), MATCH(Data_orders!I$1,Data_products!$A$1:$G$1,0))</f>
        <v>Lib</v>
      </c>
      <c r="J654" t="str">
        <f>INDEX(Data_products!$A$1:$G$49, MATCH(Data_orders!$D654,Data_products!$A$1:$A$49,0), MATCH(Data_orders!J$1,Data_products!$A$1:$G$1,0))</f>
        <v>L</v>
      </c>
      <c r="K654" s="4">
        <f>INDEX(Data_products!$A$1:$G$49, MATCH(Data_orders!$D654,Data_products!$A$1:$A$49,0), MATCH(Data_orders!K$1,Data_products!$A$1:$G$1,0))</f>
        <v>1</v>
      </c>
      <c r="L654">
        <f>INDEX(Data_products!$A$1:$G$49, MATCH(Data_orders!$D654,Data_products!$A$1:$A$49,0), MATCH(Data_orders!L$1,Data_products!$A$1:$G$1,0))</f>
        <v>15.85</v>
      </c>
      <c r="M654">
        <f t="shared" si="20"/>
        <v>63.4</v>
      </c>
      <c r="N654" t="str" cm="1">
        <f t="array" ref="N654">_xlfn.IFS(I654 = "Rob", "Robusta", I654 = "Exc", "Excelsa", I654 = "Ara", "Arabica", I654 = "Lib", "Liberica")</f>
        <v>Liberica</v>
      </c>
      <c r="O654" t="str">
        <f t="shared" si="21"/>
        <v>Light</v>
      </c>
      <c r="P654" t="str">
        <f>_xlfn.XLOOKUP(Table1[[#This Row],[Customer ID]],Data_customers!$A$2:$A$1001,Data_customers!$I$2:$I$1001,,0)</f>
        <v>No</v>
      </c>
    </row>
    <row r="655" spans="1:16" x14ac:dyDescent="0.2">
      <c r="A655" s="2" t="s">
        <v>4179</v>
      </c>
      <c r="B655" s="3">
        <v>44375</v>
      </c>
      <c r="C655" s="2" t="s">
        <v>4180</v>
      </c>
      <c r="D655" t="s">
        <v>6175</v>
      </c>
      <c r="E655" s="2">
        <v>4</v>
      </c>
      <c r="F655" s="2" t="str">
        <f>_xlfn.XLOOKUP(Data_orders!C655,Data_customers!$A$1:$A$1001,Data_customers!$B$1:$B$1001,,0)</f>
        <v>Almeria Burgett</v>
      </c>
      <c r="G655" s="2" t="str">
        <f>IF(_xlfn.XLOOKUP(C655,Data_customers!$A$1:$A$1001,Data_customers!$C$1:$C$1001,,0)=0,"",_xlfn.XLOOKUP(C655,Data_customers!$A$1:$A$1001,Data_customers!$C$1:$C$1001,,0))</f>
        <v>aburgetti5@moonfruit.com</v>
      </c>
      <c r="H655" s="2" t="str">
        <f>_xlfn.XLOOKUP(C655,Data_customers!$A$1:$A$1001,Data_customers!$G$1:$G$1001,"",0)</f>
        <v>United States</v>
      </c>
      <c r="I655" t="str">
        <f>INDEX(Data_products!$A$1:$G$49, MATCH(Data_orders!$D655,Data_products!$A$1:$A$49,0), MATCH(Data_orders!I$1,Data_products!$A$1:$G$1,0))</f>
        <v>Ara</v>
      </c>
      <c r="J655" t="str">
        <f>INDEX(Data_products!$A$1:$G$49, MATCH(Data_orders!$D655,Data_products!$A$1:$A$49,0), MATCH(Data_orders!J$1,Data_products!$A$1:$G$1,0))</f>
        <v>M</v>
      </c>
      <c r="K655" s="4">
        <f>INDEX(Data_products!$A$1:$G$49, MATCH(Data_orders!$D655,Data_products!$A$1:$A$49,0), MATCH(Data_orders!K$1,Data_products!$A$1:$G$1,0))</f>
        <v>2.5</v>
      </c>
      <c r="L655">
        <f>INDEX(Data_products!$A$1:$G$49, MATCH(Data_orders!$D655,Data_products!$A$1:$A$49,0), MATCH(Data_orders!L$1,Data_products!$A$1:$G$1,0))</f>
        <v>25.874999999999996</v>
      </c>
      <c r="M655">
        <f t="shared" si="20"/>
        <v>103.49999999999999</v>
      </c>
      <c r="N655" t="str" cm="1">
        <f t="array" ref="N655">_xlfn.IFS(I655 = "Rob", "Robusta", I655 = "Exc", "Excelsa", I655 = "Ara", "Arabica", I655 = "Lib", "Liberica")</f>
        <v>Arabica</v>
      </c>
      <c r="O655" t="str">
        <f t="shared" si="21"/>
        <v>Medium</v>
      </c>
      <c r="P655" t="str">
        <f>_xlfn.XLOOKUP(Table1[[#This Row],[Customer ID]],Data_customers!$A$2:$A$1001,Data_customers!$I$2:$I$1001,,0)</f>
        <v>No</v>
      </c>
    </row>
    <row r="656" spans="1:16" x14ac:dyDescent="0.2">
      <c r="A656" s="2" t="s">
        <v>4185</v>
      </c>
      <c r="B656" s="3">
        <v>43476</v>
      </c>
      <c r="C656" s="2" t="s">
        <v>4186</v>
      </c>
      <c r="D656" t="s">
        <v>6168</v>
      </c>
      <c r="E656" s="2">
        <v>3</v>
      </c>
      <c r="F656" s="2" t="str">
        <f>_xlfn.XLOOKUP(Data_orders!C656,Data_customers!$A$1:$A$1001,Data_customers!$B$1:$B$1001,,0)</f>
        <v>Marvin Malloy</v>
      </c>
      <c r="G656" s="2" t="str">
        <f>IF(_xlfn.XLOOKUP(C656,Data_customers!$A$1:$A$1001,Data_customers!$C$1:$C$1001,,0)=0,"",_xlfn.XLOOKUP(C656,Data_customers!$A$1:$A$1001,Data_customers!$C$1:$C$1001,,0))</f>
        <v>mmalloyi6@seattletimes.com</v>
      </c>
      <c r="H656" s="2" t="str">
        <f>_xlfn.XLOOKUP(C656,Data_customers!$A$1:$A$1001,Data_customers!$G$1:$G$1001,"",0)</f>
        <v>United States</v>
      </c>
      <c r="I656" t="str">
        <f>INDEX(Data_products!$A$1:$G$49, MATCH(Data_orders!$D656,Data_products!$A$1:$A$49,0), MATCH(Data_orders!I$1,Data_products!$A$1:$G$1,0))</f>
        <v>Ara</v>
      </c>
      <c r="J656" t="str">
        <f>INDEX(Data_products!$A$1:$G$49, MATCH(Data_orders!$D656,Data_products!$A$1:$A$49,0), MATCH(Data_orders!J$1,Data_products!$A$1:$G$1,0))</f>
        <v>D</v>
      </c>
      <c r="K656" s="4">
        <f>INDEX(Data_products!$A$1:$G$49, MATCH(Data_orders!$D656,Data_products!$A$1:$A$49,0), MATCH(Data_orders!K$1,Data_products!$A$1:$G$1,0))</f>
        <v>2.5</v>
      </c>
      <c r="L656">
        <f>INDEX(Data_products!$A$1:$G$49, MATCH(Data_orders!$D656,Data_products!$A$1:$A$49,0), MATCH(Data_orders!L$1,Data_products!$A$1:$G$1,0))</f>
        <v>22.884999999999998</v>
      </c>
      <c r="M656">
        <f t="shared" si="20"/>
        <v>68.655000000000001</v>
      </c>
      <c r="N656" t="str" cm="1">
        <f t="array" ref="N656">_xlfn.IFS(I656 = "Rob", "Robusta", I656 = "Exc", "Excelsa", I656 = "Ara", "Arabica", I656 = "Lib", "Liberica")</f>
        <v>Arabica</v>
      </c>
      <c r="O656" t="str">
        <f t="shared" si="21"/>
        <v>Dark</v>
      </c>
      <c r="P656" t="str">
        <f>_xlfn.XLOOKUP(Table1[[#This Row],[Customer ID]],Data_customers!$A$2:$A$1001,Data_customers!$I$2:$I$1001,,0)</f>
        <v>No</v>
      </c>
    </row>
    <row r="657" spans="1:16" x14ac:dyDescent="0.2">
      <c r="A657" s="2" t="s">
        <v>4191</v>
      </c>
      <c r="B657" s="3">
        <v>43728</v>
      </c>
      <c r="C657" s="2" t="s">
        <v>4192</v>
      </c>
      <c r="D657" t="s">
        <v>6151</v>
      </c>
      <c r="E657" s="2">
        <v>2</v>
      </c>
      <c r="F657" s="2" t="str">
        <f>_xlfn.XLOOKUP(Data_orders!C657,Data_customers!$A$1:$A$1001,Data_customers!$B$1:$B$1001,,0)</f>
        <v>Maxim McParland</v>
      </c>
      <c r="G657" s="2" t="str">
        <f>IF(_xlfn.XLOOKUP(C657,Data_customers!$A$1:$A$1001,Data_customers!$C$1:$C$1001,,0)=0,"",_xlfn.XLOOKUP(C657,Data_customers!$A$1:$A$1001,Data_customers!$C$1:$C$1001,,0))</f>
        <v>mmcparlandi7@w3.org</v>
      </c>
      <c r="H657" s="2" t="str">
        <f>_xlfn.XLOOKUP(C657,Data_customers!$A$1:$A$1001,Data_customers!$G$1:$G$1001,"",0)</f>
        <v>United States</v>
      </c>
      <c r="I657" t="str">
        <f>INDEX(Data_products!$A$1:$G$49, MATCH(Data_orders!$D657,Data_products!$A$1:$A$49,0), MATCH(Data_orders!I$1,Data_products!$A$1:$G$1,0))</f>
        <v>Rob</v>
      </c>
      <c r="J657" t="str">
        <f>INDEX(Data_products!$A$1:$G$49, MATCH(Data_orders!$D657,Data_products!$A$1:$A$49,0), MATCH(Data_orders!J$1,Data_products!$A$1:$G$1,0))</f>
        <v>M</v>
      </c>
      <c r="K657" s="4">
        <f>INDEX(Data_products!$A$1:$G$49, MATCH(Data_orders!$D657,Data_products!$A$1:$A$49,0), MATCH(Data_orders!K$1,Data_products!$A$1:$G$1,0))</f>
        <v>2.5</v>
      </c>
      <c r="L657">
        <f>INDEX(Data_products!$A$1:$G$49, MATCH(Data_orders!$D657,Data_products!$A$1:$A$49,0), MATCH(Data_orders!L$1,Data_products!$A$1:$G$1,0))</f>
        <v>22.884999999999998</v>
      </c>
      <c r="M657">
        <f t="shared" si="20"/>
        <v>45.769999999999996</v>
      </c>
      <c r="N657" t="str" cm="1">
        <f t="array" ref="N657">_xlfn.IFS(I657 = "Rob", "Robusta", I657 = "Exc", "Excelsa", I657 = "Ara", "Arabica", I657 = "Lib", "Liberica")</f>
        <v>Robusta</v>
      </c>
      <c r="O657" t="str">
        <f t="shared" si="21"/>
        <v>Medium</v>
      </c>
      <c r="P657" t="str">
        <f>_xlfn.XLOOKUP(Table1[[#This Row],[Customer ID]],Data_customers!$A$2:$A$1001,Data_customers!$I$2:$I$1001,,0)</f>
        <v>Yes</v>
      </c>
    </row>
    <row r="658" spans="1:16" x14ac:dyDescent="0.2">
      <c r="A658" s="2" t="s">
        <v>4196</v>
      </c>
      <c r="B658" s="3">
        <v>44485</v>
      </c>
      <c r="C658" s="2" t="s">
        <v>4197</v>
      </c>
      <c r="D658" t="s">
        <v>6143</v>
      </c>
      <c r="E658" s="2">
        <v>4</v>
      </c>
      <c r="F658" s="2" t="str">
        <f>_xlfn.XLOOKUP(Data_orders!C658,Data_customers!$A$1:$A$1001,Data_customers!$B$1:$B$1001,,0)</f>
        <v>Sylas Jennaroy</v>
      </c>
      <c r="G658" s="2" t="str">
        <f>IF(_xlfn.XLOOKUP(C658,Data_customers!$A$1:$A$1001,Data_customers!$C$1:$C$1001,,0)=0,"",_xlfn.XLOOKUP(C658,Data_customers!$A$1:$A$1001,Data_customers!$C$1:$C$1001,,0))</f>
        <v>sjennaroyi8@purevolume.com</v>
      </c>
      <c r="H658" s="2" t="str">
        <f>_xlfn.XLOOKUP(C658,Data_customers!$A$1:$A$1001,Data_customers!$G$1:$G$1001,"",0)</f>
        <v>United States</v>
      </c>
      <c r="I658" t="str">
        <f>INDEX(Data_products!$A$1:$G$49, MATCH(Data_orders!$D658,Data_products!$A$1:$A$49,0), MATCH(Data_orders!I$1,Data_products!$A$1:$G$1,0))</f>
        <v>Lib</v>
      </c>
      <c r="J658" t="str">
        <f>INDEX(Data_products!$A$1:$G$49, MATCH(Data_orders!$D658,Data_products!$A$1:$A$49,0), MATCH(Data_orders!J$1,Data_products!$A$1:$G$1,0))</f>
        <v>D</v>
      </c>
      <c r="K658" s="4">
        <f>INDEX(Data_products!$A$1:$G$49, MATCH(Data_orders!$D658,Data_products!$A$1:$A$49,0), MATCH(Data_orders!K$1,Data_products!$A$1:$G$1,0))</f>
        <v>1</v>
      </c>
      <c r="L658">
        <f>INDEX(Data_products!$A$1:$G$49, MATCH(Data_orders!$D658,Data_products!$A$1:$A$49,0), MATCH(Data_orders!L$1,Data_products!$A$1:$G$1,0))</f>
        <v>12.95</v>
      </c>
      <c r="M658">
        <f t="shared" si="20"/>
        <v>51.8</v>
      </c>
      <c r="N658" t="str" cm="1">
        <f t="array" ref="N658">_xlfn.IFS(I658 = "Rob", "Robusta", I658 = "Exc", "Excelsa", I658 = "Ara", "Arabica", I658 = "Lib", "Liberica")</f>
        <v>Liberica</v>
      </c>
      <c r="O658" t="str">
        <f t="shared" si="21"/>
        <v>Dark</v>
      </c>
      <c r="P658" t="str">
        <f>_xlfn.XLOOKUP(Table1[[#This Row],[Customer ID]],Data_customers!$A$2:$A$1001,Data_customers!$I$2:$I$1001,,0)</f>
        <v>No</v>
      </c>
    </row>
    <row r="659" spans="1:16" x14ac:dyDescent="0.2">
      <c r="A659" s="2" t="s">
        <v>4201</v>
      </c>
      <c r="B659" s="3">
        <v>43831</v>
      </c>
      <c r="C659" s="2" t="s">
        <v>4202</v>
      </c>
      <c r="D659" t="s">
        <v>6157</v>
      </c>
      <c r="E659" s="2">
        <v>2</v>
      </c>
      <c r="F659" s="2" t="str">
        <f>_xlfn.XLOOKUP(Data_orders!C659,Data_customers!$A$1:$A$1001,Data_customers!$B$1:$B$1001,,0)</f>
        <v>Wren Place</v>
      </c>
      <c r="G659" s="2" t="str">
        <f>IF(_xlfn.XLOOKUP(C659,Data_customers!$A$1:$A$1001,Data_customers!$C$1:$C$1001,,0)=0,"",_xlfn.XLOOKUP(C659,Data_customers!$A$1:$A$1001,Data_customers!$C$1:$C$1001,,0))</f>
        <v>wplacei9@wsj.com</v>
      </c>
      <c r="H659" s="2" t="str">
        <f>_xlfn.XLOOKUP(C659,Data_customers!$A$1:$A$1001,Data_customers!$G$1:$G$1001,"",0)</f>
        <v>United States</v>
      </c>
      <c r="I659" t="str">
        <f>INDEX(Data_products!$A$1:$G$49, MATCH(Data_orders!$D659,Data_products!$A$1:$A$49,0), MATCH(Data_orders!I$1,Data_products!$A$1:$G$1,0))</f>
        <v>Ara</v>
      </c>
      <c r="J659" t="str">
        <f>INDEX(Data_products!$A$1:$G$49, MATCH(Data_orders!$D659,Data_products!$A$1:$A$49,0), MATCH(Data_orders!J$1,Data_products!$A$1:$G$1,0))</f>
        <v>M</v>
      </c>
      <c r="K659" s="4">
        <f>INDEX(Data_products!$A$1:$G$49, MATCH(Data_orders!$D659,Data_products!$A$1:$A$49,0), MATCH(Data_orders!K$1,Data_products!$A$1:$G$1,0))</f>
        <v>0.5</v>
      </c>
      <c r="L659">
        <f>INDEX(Data_products!$A$1:$G$49, MATCH(Data_orders!$D659,Data_products!$A$1:$A$49,0), MATCH(Data_orders!L$1,Data_products!$A$1:$G$1,0))</f>
        <v>6.75</v>
      </c>
      <c r="M659">
        <f t="shared" si="20"/>
        <v>13.5</v>
      </c>
      <c r="N659" t="str" cm="1">
        <f t="array" ref="N659">_xlfn.IFS(I659 = "Rob", "Robusta", I659 = "Exc", "Excelsa", I659 = "Ara", "Arabica", I659 = "Lib", "Liberica")</f>
        <v>Arabica</v>
      </c>
      <c r="O659" t="str">
        <f t="shared" si="21"/>
        <v>Medium</v>
      </c>
      <c r="P659" t="str">
        <f>_xlfn.XLOOKUP(Table1[[#This Row],[Customer ID]],Data_customers!$A$2:$A$1001,Data_customers!$I$2:$I$1001,,0)</f>
        <v>Yes</v>
      </c>
    </row>
    <row r="660" spans="1:16" x14ac:dyDescent="0.2">
      <c r="A660" s="2" t="s">
        <v>4207</v>
      </c>
      <c r="B660" s="3">
        <v>44630</v>
      </c>
      <c r="C660" s="2" t="s">
        <v>4263</v>
      </c>
      <c r="D660" t="s">
        <v>6139</v>
      </c>
      <c r="E660" s="2">
        <v>3</v>
      </c>
      <c r="F660" s="2" t="str">
        <f>_xlfn.XLOOKUP(Data_orders!C660,Data_customers!$A$1:$A$1001,Data_customers!$B$1:$B$1001,,0)</f>
        <v>Janella Millett</v>
      </c>
      <c r="G660" s="2" t="str">
        <f>IF(_xlfn.XLOOKUP(C660,Data_customers!$A$1:$A$1001,Data_customers!$C$1:$C$1001,,0)=0,"",_xlfn.XLOOKUP(C660,Data_customers!$A$1:$A$1001,Data_customers!$C$1:$C$1001,,0))</f>
        <v>jmillettik@addtoany.com</v>
      </c>
      <c r="H660" s="2" t="str">
        <f>_xlfn.XLOOKUP(C660,Data_customers!$A$1:$A$1001,Data_customers!$G$1:$G$1001,"",0)</f>
        <v>United States</v>
      </c>
      <c r="I660" t="str">
        <f>INDEX(Data_products!$A$1:$G$49, MATCH(Data_orders!$D660,Data_products!$A$1:$A$49,0), MATCH(Data_orders!I$1,Data_products!$A$1:$G$1,0))</f>
        <v>Exc</v>
      </c>
      <c r="J660" t="str">
        <f>INDEX(Data_products!$A$1:$G$49, MATCH(Data_orders!$D660,Data_products!$A$1:$A$49,0), MATCH(Data_orders!J$1,Data_products!$A$1:$G$1,0))</f>
        <v>M</v>
      </c>
      <c r="K660" s="4">
        <f>INDEX(Data_products!$A$1:$G$49, MATCH(Data_orders!$D660,Data_products!$A$1:$A$49,0), MATCH(Data_orders!K$1,Data_products!$A$1:$G$1,0))</f>
        <v>0.5</v>
      </c>
      <c r="L660">
        <f>INDEX(Data_products!$A$1:$G$49, MATCH(Data_orders!$D660,Data_products!$A$1:$A$49,0), MATCH(Data_orders!L$1,Data_products!$A$1:$G$1,0))</f>
        <v>8.25</v>
      </c>
      <c r="M660">
        <f t="shared" si="20"/>
        <v>24.75</v>
      </c>
      <c r="N660" t="str" cm="1">
        <f t="array" ref="N660">_xlfn.IFS(I660 = "Rob", "Robusta", I660 = "Exc", "Excelsa", I660 = "Ara", "Arabica", I660 = "Lib", "Liberica")</f>
        <v>Excelsa</v>
      </c>
      <c r="O660" t="str">
        <f t="shared" si="21"/>
        <v>Medium</v>
      </c>
      <c r="P660" t="str">
        <f>_xlfn.XLOOKUP(Table1[[#This Row],[Customer ID]],Data_customers!$A$2:$A$1001,Data_customers!$I$2:$I$1001,,0)</f>
        <v>Yes</v>
      </c>
    </row>
    <row r="661" spans="1:16" x14ac:dyDescent="0.2">
      <c r="A661" s="2" t="s">
        <v>4211</v>
      </c>
      <c r="B661" s="3">
        <v>44693</v>
      </c>
      <c r="C661" s="2" t="s">
        <v>4212</v>
      </c>
      <c r="D661" t="s">
        <v>6168</v>
      </c>
      <c r="E661" s="2">
        <v>2</v>
      </c>
      <c r="F661" s="2" t="str">
        <f>_xlfn.XLOOKUP(Data_orders!C661,Data_customers!$A$1:$A$1001,Data_customers!$B$1:$B$1001,,0)</f>
        <v>Dollie Gadsden</v>
      </c>
      <c r="G661" s="2" t="str">
        <f>IF(_xlfn.XLOOKUP(C661,Data_customers!$A$1:$A$1001,Data_customers!$C$1:$C$1001,,0)=0,"",_xlfn.XLOOKUP(C661,Data_customers!$A$1:$A$1001,Data_customers!$C$1:$C$1001,,0))</f>
        <v>dgadsdenib@google.com.hk</v>
      </c>
      <c r="H661" s="2" t="str">
        <f>_xlfn.XLOOKUP(C661,Data_customers!$A$1:$A$1001,Data_customers!$G$1:$G$1001,"",0)</f>
        <v>Ireland</v>
      </c>
      <c r="I661" t="str">
        <f>INDEX(Data_products!$A$1:$G$49, MATCH(Data_orders!$D661,Data_products!$A$1:$A$49,0), MATCH(Data_orders!I$1,Data_products!$A$1:$G$1,0))</f>
        <v>Ara</v>
      </c>
      <c r="J661" t="str">
        <f>INDEX(Data_products!$A$1:$G$49, MATCH(Data_orders!$D661,Data_products!$A$1:$A$49,0), MATCH(Data_orders!J$1,Data_products!$A$1:$G$1,0))</f>
        <v>D</v>
      </c>
      <c r="K661" s="4">
        <f>INDEX(Data_products!$A$1:$G$49, MATCH(Data_orders!$D661,Data_products!$A$1:$A$49,0), MATCH(Data_orders!K$1,Data_products!$A$1:$G$1,0))</f>
        <v>2.5</v>
      </c>
      <c r="L661">
        <f>INDEX(Data_products!$A$1:$G$49, MATCH(Data_orders!$D661,Data_products!$A$1:$A$49,0), MATCH(Data_orders!L$1,Data_products!$A$1:$G$1,0))</f>
        <v>22.884999999999998</v>
      </c>
      <c r="M661">
        <f t="shared" si="20"/>
        <v>45.769999999999996</v>
      </c>
      <c r="N661" t="str" cm="1">
        <f t="array" ref="N661">_xlfn.IFS(I661 = "Rob", "Robusta", I661 = "Exc", "Excelsa", I661 = "Ara", "Arabica", I661 = "Lib", "Liberica")</f>
        <v>Arabica</v>
      </c>
      <c r="O661" t="str">
        <f t="shared" si="21"/>
        <v>Dark</v>
      </c>
      <c r="P661" t="str">
        <f>_xlfn.XLOOKUP(Table1[[#This Row],[Customer ID]],Data_customers!$A$2:$A$1001,Data_customers!$I$2:$I$1001,,0)</f>
        <v>Yes</v>
      </c>
    </row>
    <row r="662" spans="1:16" x14ac:dyDescent="0.2">
      <c r="A662" s="2" t="s">
        <v>4217</v>
      </c>
      <c r="B662" s="3">
        <v>44084</v>
      </c>
      <c r="C662" s="2" t="s">
        <v>4218</v>
      </c>
      <c r="D662" t="s">
        <v>6176</v>
      </c>
      <c r="E662" s="2">
        <v>6</v>
      </c>
      <c r="F662" s="2" t="str">
        <f>_xlfn.XLOOKUP(Data_orders!C662,Data_customers!$A$1:$A$1001,Data_customers!$B$1:$B$1001,,0)</f>
        <v>Val Wakelin</v>
      </c>
      <c r="G662" s="2" t="str">
        <f>IF(_xlfn.XLOOKUP(C662,Data_customers!$A$1:$A$1001,Data_customers!$C$1:$C$1001,,0)=0,"",_xlfn.XLOOKUP(C662,Data_customers!$A$1:$A$1001,Data_customers!$C$1:$C$1001,,0))</f>
        <v>vwakelinic@unesco.org</v>
      </c>
      <c r="H662" s="2" t="str">
        <f>_xlfn.XLOOKUP(C662,Data_customers!$A$1:$A$1001,Data_customers!$G$1:$G$1001,"",0)</f>
        <v>United States</v>
      </c>
      <c r="I662" t="str">
        <f>INDEX(Data_products!$A$1:$G$49, MATCH(Data_orders!$D662,Data_products!$A$1:$A$49,0), MATCH(Data_orders!I$1,Data_products!$A$1:$G$1,0))</f>
        <v>Exc</v>
      </c>
      <c r="J662" t="str">
        <f>INDEX(Data_products!$A$1:$G$49, MATCH(Data_orders!$D662,Data_products!$A$1:$A$49,0), MATCH(Data_orders!J$1,Data_products!$A$1:$G$1,0))</f>
        <v>L</v>
      </c>
      <c r="K662" s="4">
        <f>INDEX(Data_products!$A$1:$G$49, MATCH(Data_orders!$D662,Data_products!$A$1:$A$49,0), MATCH(Data_orders!K$1,Data_products!$A$1:$G$1,0))</f>
        <v>0.5</v>
      </c>
      <c r="L662">
        <f>INDEX(Data_products!$A$1:$G$49, MATCH(Data_orders!$D662,Data_products!$A$1:$A$49,0), MATCH(Data_orders!L$1,Data_products!$A$1:$G$1,0))</f>
        <v>8.91</v>
      </c>
      <c r="M662">
        <f t="shared" si="20"/>
        <v>53.46</v>
      </c>
      <c r="N662" t="str" cm="1">
        <f t="array" ref="N662">_xlfn.IFS(I662 = "Rob", "Robusta", I662 = "Exc", "Excelsa", I662 = "Ara", "Arabica", I662 = "Lib", "Liberica")</f>
        <v>Excelsa</v>
      </c>
      <c r="O662" t="str">
        <f t="shared" si="21"/>
        <v>Light</v>
      </c>
      <c r="P662" t="str">
        <f>_xlfn.XLOOKUP(Table1[[#This Row],[Customer ID]],Data_customers!$A$2:$A$1001,Data_customers!$I$2:$I$1001,,0)</f>
        <v>No</v>
      </c>
    </row>
    <row r="663" spans="1:16" x14ac:dyDescent="0.2">
      <c r="A663" s="2" t="s">
        <v>4223</v>
      </c>
      <c r="B663" s="3">
        <v>44485</v>
      </c>
      <c r="C663" s="2" t="s">
        <v>4224</v>
      </c>
      <c r="D663" t="s">
        <v>6152</v>
      </c>
      <c r="E663" s="2">
        <v>6</v>
      </c>
      <c r="F663" s="2" t="str">
        <f>_xlfn.XLOOKUP(Data_orders!C663,Data_customers!$A$1:$A$1001,Data_customers!$B$1:$B$1001,,0)</f>
        <v>Annie Campsall</v>
      </c>
      <c r="G663" s="2" t="str">
        <f>IF(_xlfn.XLOOKUP(C663,Data_customers!$A$1:$A$1001,Data_customers!$C$1:$C$1001,,0)=0,"",_xlfn.XLOOKUP(C663,Data_customers!$A$1:$A$1001,Data_customers!$C$1:$C$1001,,0))</f>
        <v>acampsallid@zimbio.com</v>
      </c>
      <c r="H663" s="2" t="str">
        <f>_xlfn.XLOOKUP(C663,Data_customers!$A$1:$A$1001,Data_customers!$G$1:$G$1001,"",0)</f>
        <v>United States</v>
      </c>
      <c r="I663" t="str">
        <f>INDEX(Data_products!$A$1:$G$49, MATCH(Data_orders!$D663,Data_products!$A$1:$A$49,0), MATCH(Data_orders!I$1,Data_products!$A$1:$G$1,0))</f>
        <v>Ara</v>
      </c>
      <c r="J663" t="str">
        <f>INDEX(Data_products!$A$1:$G$49, MATCH(Data_orders!$D663,Data_products!$A$1:$A$49,0), MATCH(Data_orders!J$1,Data_products!$A$1:$G$1,0))</f>
        <v>M</v>
      </c>
      <c r="K663" s="4">
        <f>INDEX(Data_products!$A$1:$G$49, MATCH(Data_orders!$D663,Data_products!$A$1:$A$49,0), MATCH(Data_orders!K$1,Data_products!$A$1:$G$1,0))</f>
        <v>0.2</v>
      </c>
      <c r="L663">
        <f>INDEX(Data_products!$A$1:$G$49, MATCH(Data_orders!$D663,Data_products!$A$1:$A$49,0), MATCH(Data_orders!L$1,Data_products!$A$1:$G$1,0))</f>
        <v>3.375</v>
      </c>
      <c r="M663">
        <f t="shared" si="20"/>
        <v>20.25</v>
      </c>
      <c r="N663" t="str" cm="1">
        <f t="array" ref="N663">_xlfn.IFS(I663 = "Rob", "Robusta", I663 = "Exc", "Excelsa", I663 = "Ara", "Arabica", I663 = "Lib", "Liberica")</f>
        <v>Arabica</v>
      </c>
      <c r="O663" t="str">
        <f t="shared" si="21"/>
        <v>Medium</v>
      </c>
      <c r="P663" t="str">
        <f>_xlfn.XLOOKUP(Table1[[#This Row],[Customer ID]],Data_customers!$A$2:$A$1001,Data_customers!$I$2:$I$1001,,0)</f>
        <v>Yes</v>
      </c>
    </row>
    <row r="664" spans="1:16" x14ac:dyDescent="0.2">
      <c r="A664" s="2" t="s">
        <v>4229</v>
      </c>
      <c r="B664" s="3">
        <v>44364</v>
      </c>
      <c r="C664" s="2" t="s">
        <v>4230</v>
      </c>
      <c r="D664" t="s">
        <v>6165</v>
      </c>
      <c r="E664" s="2">
        <v>5</v>
      </c>
      <c r="F664" s="2" t="str">
        <f>_xlfn.XLOOKUP(Data_orders!C664,Data_customers!$A$1:$A$1001,Data_customers!$B$1:$B$1001,,0)</f>
        <v>Shermy Moseby</v>
      </c>
      <c r="G664" s="2" t="str">
        <f>IF(_xlfn.XLOOKUP(C664,Data_customers!$A$1:$A$1001,Data_customers!$C$1:$C$1001,,0)=0,"",_xlfn.XLOOKUP(C664,Data_customers!$A$1:$A$1001,Data_customers!$C$1:$C$1001,,0))</f>
        <v>smosebyie@stanford.edu</v>
      </c>
      <c r="H664" s="2" t="str">
        <f>_xlfn.XLOOKUP(C664,Data_customers!$A$1:$A$1001,Data_customers!$G$1:$G$1001,"",0)</f>
        <v>United States</v>
      </c>
      <c r="I664" t="str">
        <f>INDEX(Data_products!$A$1:$G$49, MATCH(Data_orders!$D664,Data_products!$A$1:$A$49,0), MATCH(Data_orders!I$1,Data_products!$A$1:$G$1,0))</f>
        <v>Lib</v>
      </c>
      <c r="J664" t="str">
        <f>INDEX(Data_products!$A$1:$G$49, MATCH(Data_orders!$D664,Data_products!$A$1:$A$49,0), MATCH(Data_orders!J$1,Data_products!$A$1:$G$1,0))</f>
        <v>D</v>
      </c>
      <c r="K664" s="4">
        <f>INDEX(Data_products!$A$1:$G$49, MATCH(Data_orders!$D664,Data_products!$A$1:$A$49,0), MATCH(Data_orders!K$1,Data_products!$A$1:$G$1,0))</f>
        <v>2.5</v>
      </c>
      <c r="L664">
        <f>INDEX(Data_products!$A$1:$G$49, MATCH(Data_orders!$D664,Data_products!$A$1:$A$49,0), MATCH(Data_orders!L$1,Data_products!$A$1:$G$1,0))</f>
        <v>29.784999999999997</v>
      </c>
      <c r="M664">
        <f t="shared" si="20"/>
        <v>148.92499999999998</v>
      </c>
      <c r="N664" t="str" cm="1">
        <f t="array" ref="N664">_xlfn.IFS(I664 = "Rob", "Robusta", I664 = "Exc", "Excelsa", I664 = "Ara", "Arabica", I664 = "Lib", "Liberica")</f>
        <v>Liberica</v>
      </c>
      <c r="O664" t="str">
        <f t="shared" si="21"/>
        <v>Dark</v>
      </c>
      <c r="P664" t="str">
        <f>_xlfn.XLOOKUP(Table1[[#This Row],[Customer ID]],Data_customers!$A$2:$A$1001,Data_customers!$I$2:$I$1001,,0)</f>
        <v>No</v>
      </c>
    </row>
    <row r="665" spans="1:16" x14ac:dyDescent="0.2">
      <c r="A665" s="2" t="s">
        <v>4234</v>
      </c>
      <c r="B665" s="3">
        <v>43554</v>
      </c>
      <c r="C665" s="2" t="s">
        <v>4235</v>
      </c>
      <c r="D665" t="s">
        <v>6155</v>
      </c>
      <c r="E665" s="2">
        <v>6</v>
      </c>
      <c r="F665" s="2" t="str">
        <f>_xlfn.XLOOKUP(Data_orders!C665,Data_customers!$A$1:$A$1001,Data_customers!$B$1:$B$1001,,0)</f>
        <v>Corrie Wass</v>
      </c>
      <c r="G665" s="2" t="str">
        <f>IF(_xlfn.XLOOKUP(C665,Data_customers!$A$1:$A$1001,Data_customers!$C$1:$C$1001,,0)=0,"",_xlfn.XLOOKUP(C665,Data_customers!$A$1:$A$1001,Data_customers!$C$1:$C$1001,,0))</f>
        <v>cwassif@prweb.com</v>
      </c>
      <c r="H665" s="2" t="str">
        <f>_xlfn.XLOOKUP(C665,Data_customers!$A$1:$A$1001,Data_customers!$G$1:$G$1001,"",0)</f>
        <v>United States</v>
      </c>
      <c r="I665" t="str">
        <f>INDEX(Data_products!$A$1:$G$49, MATCH(Data_orders!$D665,Data_products!$A$1:$A$49,0), MATCH(Data_orders!I$1,Data_products!$A$1:$G$1,0))</f>
        <v>Ara</v>
      </c>
      <c r="J665" t="str">
        <f>INDEX(Data_products!$A$1:$G$49, MATCH(Data_orders!$D665,Data_products!$A$1:$A$49,0), MATCH(Data_orders!J$1,Data_products!$A$1:$G$1,0))</f>
        <v>M</v>
      </c>
      <c r="K665" s="4">
        <f>INDEX(Data_products!$A$1:$G$49, MATCH(Data_orders!$D665,Data_products!$A$1:$A$49,0), MATCH(Data_orders!K$1,Data_products!$A$1:$G$1,0))</f>
        <v>1</v>
      </c>
      <c r="L665">
        <f>INDEX(Data_products!$A$1:$G$49, MATCH(Data_orders!$D665,Data_products!$A$1:$A$49,0), MATCH(Data_orders!L$1,Data_products!$A$1:$G$1,0))</f>
        <v>11.25</v>
      </c>
      <c r="M665">
        <f t="shared" si="20"/>
        <v>67.5</v>
      </c>
      <c r="N665" t="str" cm="1">
        <f t="array" ref="N665">_xlfn.IFS(I665 = "Rob", "Robusta", I665 = "Exc", "Excelsa", I665 = "Ara", "Arabica", I665 = "Lib", "Liberica")</f>
        <v>Arabica</v>
      </c>
      <c r="O665" t="str">
        <f t="shared" si="21"/>
        <v>Medium</v>
      </c>
      <c r="P665" t="str">
        <f>_xlfn.XLOOKUP(Table1[[#This Row],[Customer ID]],Data_customers!$A$2:$A$1001,Data_customers!$I$2:$I$1001,,0)</f>
        <v>No</v>
      </c>
    </row>
    <row r="666" spans="1:16" x14ac:dyDescent="0.2">
      <c r="A666" s="2" t="s">
        <v>4239</v>
      </c>
      <c r="B666" s="3">
        <v>44549</v>
      </c>
      <c r="C666" s="2" t="s">
        <v>4240</v>
      </c>
      <c r="D666" t="s">
        <v>6183</v>
      </c>
      <c r="E666" s="2">
        <v>6</v>
      </c>
      <c r="F666" s="2" t="str">
        <f>_xlfn.XLOOKUP(Data_orders!C666,Data_customers!$A$1:$A$1001,Data_customers!$B$1:$B$1001,,0)</f>
        <v>Ira Sjostrom</v>
      </c>
      <c r="G666" s="2" t="str">
        <f>IF(_xlfn.XLOOKUP(C666,Data_customers!$A$1:$A$1001,Data_customers!$C$1:$C$1001,,0)=0,"",_xlfn.XLOOKUP(C666,Data_customers!$A$1:$A$1001,Data_customers!$C$1:$C$1001,,0))</f>
        <v>isjostromig@pbs.org</v>
      </c>
      <c r="H666" s="2" t="str">
        <f>_xlfn.XLOOKUP(C666,Data_customers!$A$1:$A$1001,Data_customers!$G$1:$G$1001,"",0)</f>
        <v>United States</v>
      </c>
      <c r="I666" t="str">
        <f>INDEX(Data_products!$A$1:$G$49, MATCH(Data_orders!$D666,Data_products!$A$1:$A$49,0), MATCH(Data_orders!I$1,Data_products!$A$1:$G$1,0))</f>
        <v>Exc</v>
      </c>
      <c r="J666" t="str">
        <f>INDEX(Data_products!$A$1:$G$49, MATCH(Data_orders!$D666,Data_products!$A$1:$A$49,0), MATCH(Data_orders!J$1,Data_products!$A$1:$G$1,0))</f>
        <v>D</v>
      </c>
      <c r="K666" s="4">
        <f>INDEX(Data_products!$A$1:$G$49, MATCH(Data_orders!$D666,Data_products!$A$1:$A$49,0), MATCH(Data_orders!K$1,Data_products!$A$1:$G$1,0))</f>
        <v>1</v>
      </c>
      <c r="L666">
        <f>INDEX(Data_products!$A$1:$G$49, MATCH(Data_orders!$D666,Data_products!$A$1:$A$49,0), MATCH(Data_orders!L$1,Data_products!$A$1:$G$1,0))</f>
        <v>12.15</v>
      </c>
      <c r="M666">
        <f t="shared" si="20"/>
        <v>72.900000000000006</v>
      </c>
      <c r="N666" t="str" cm="1">
        <f t="array" ref="N666">_xlfn.IFS(I666 = "Rob", "Robusta", I666 = "Exc", "Excelsa", I666 = "Ara", "Arabica", I666 = "Lib", "Liberica")</f>
        <v>Excelsa</v>
      </c>
      <c r="O666" t="str">
        <f t="shared" si="21"/>
        <v>Dark</v>
      </c>
      <c r="P666" t="str">
        <f>_xlfn.XLOOKUP(Table1[[#This Row],[Customer ID]],Data_customers!$A$2:$A$1001,Data_customers!$I$2:$I$1001,,0)</f>
        <v>No</v>
      </c>
    </row>
    <row r="667" spans="1:16" x14ac:dyDescent="0.2">
      <c r="A667" s="2" t="s">
        <v>4239</v>
      </c>
      <c r="B667" s="3">
        <v>44549</v>
      </c>
      <c r="C667" s="2" t="s">
        <v>4240</v>
      </c>
      <c r="D667" t="s">
        <v>6150</v>
      </c>
      <c r="E667" s="2">
        <v>2</v>
      </c>
      <c r="F667" s="2" t="str">
        <f>_xlfn.XLOOKUP(Data_orders!C667,Data_customers!$A$1:$A$1001,Data_customers!$B$1:$B$1001,,0)</f>
        <v>Ira Sjostrom</v>
      </c>
      <c r="G667" s="2" t="str">
        <f>IF(_xlfn.XLOOKUP(C667,Data_customers!$A$1:$A$1001,Data_customers!$C$1:$C$1001,,0)=0,"",_xlfn.XLOOKUP(C667,Data_customers!$A$1:$A$1001,Data_customers!$C$1:$C$1001,,0))</f>
        <v>isjostromig@pbs.org</v>
      </c>
      <c r="H667" s="2" t="str">
        <f>_xlfn.XLOOKUP(C667,Data_customers!$A$1:$A$1001,Data_customers!$G$1:$G$1001,"",0)</f>
        <v>United States</v>
      </c>
      <c r="I667" t="str">
        <f>INDEX(Data_products!$A$1:$G$49, MATCH(Data_orders!$D667,Data_products!$A$1:$A$49,0), MATCH(Data_orders!I$1,Data_products!$A$1:$G$1,0))</f>
        <v>Lib</v>
      </c>
      <c r="J667" t="str">
        <f>INDEX(Data_products!$A$1:$G$49, MATCH(Data_orders!$D667,Data_products!$A$1:$A$49,0), MATCH(Data_orders!J$1,Data_products!$A$1:$G$1,0))</f>
        <v>D</v>
      </c>
      <c r="K667" s="4">
        <f>INDEX(Data_products!$A$1:$G$49, MATCH(Data_orders!$D667,Data_products!$A$1:$A$49,0), MATCH(Data_orders!K$1,Data_products!$A$1:$G$1,0))</f>
        <v>0.2</v>
      </c>
      <c r="L667">
        <f>INDEX(Data_products!$A$1:$G$49, MATCH(Data_orders!$D667,Data_products!$A$1:$A$49,0), MATCH(Data_orders!L$1,Data_products!$A$1:$G$1,0))</f>
        <v>3.8849999999999998</v>
      </c>
      <c r="M667">
        <f t="shared" si="20"/>
        <v>7.77</v>
      </c>
      <c r="N667" t="str" cm="1">
        <f t="array" ref="N667">_xlfn.IFS(I667 = "Rob", "Robusta", I667 = "Exc", "Excelsa", I667 = "Ara", "Arabica", I667 = "Lib", "Liberica")</f>
        <v>Liberica</v>
      </c>
      <c r="O667" t="str">
        <f t="shared" si="21"/>
        <v>Dark</v>
      </c>
      <c r="P667" t="str">
        <f>_xlfn.XLOOKUP(Table1[[#This Row],[Customer ID]],Data_customers!$A$2:$A$1001,Data_customers!$I$2:$I$1001,,0)</f>
        <v>No</v>
      </c>
    </row>
    <row r="668" spans="1:16" x14ac:dyDescent="0.2">
      <c r="A668" s="2" t="s">
        <v>4250</v>
      </c>
      <c r="B668" s="3">
        <v>43987</v>
      </c>
      <c r="C668" s="2" t="s">
        <v>4251</v>
      </c>
      <c r="D668" t="s">
        <v>6168</v>
      </c>
      <c r="E668" s="2">
        <v>4</v>
      </c>
      <c r="F668" s="2" t="str">
        <f>_xlfn.XLOOKUP(Data_orders!C668,Data_customers!$A$1:$A$1001,Data_customers!$B$1:$B$1001,,0)</f>
        <v>Jermaine Branchett</v>
      </c>
      <c r="G668" s="2" t="str">
        <f>IF(_xlfn.XLOOKUP(C668,Data_customers!$A$1:$A$1001,Data_customers!$C$1:$C$1001,,0)=0,"",_xlfn.XLOOKUP(C668,Data_customers!$A$1:$A$1001,Data_customers!$C$1:$C$1001,,0))</f>
        <v>jbranchettii@bravesites.com</v>
      </c>
      <c r="H668" s="2" t="str">
        <f>_xlfn.XLOOKUP(C668,Data_customers!$A$1:$A$1001,Data_customers!$G$1:$G$1001,"",0)</f>
        <v>United States</v>
      </c>
      <c r="I668" t="str">
        <f>INDEX(Data_products!$A$1:$G$49, MATCH(Data_orders!$D668,Data_products!$A$1:$A$49,0), MATCH(Data_orders!I$1,Data_products!$A$1:$G$1,0))</f>
        <v>Ara</v>
      </c>
      <c r="J668" t="str">
        <f>INDEX(Data_products!$A$1:$G$49, MATCH(Data_orders!$D668,Data_products!$A$1:$A$49,0), MATCH(Data_orders!J$1,Data_products!$A$1:$G$1,0))</f>
        <v>D</v>
      </c>
      <c r="K668" s="4">
        <f>INDEX(Data_products!$A$1:$G$49, MATCH(Data_orders!$D668,Data_products!$A$1:$A$49,0), MATCH(Data_orders!K$1,Data_products!$A$1:$G$1,0))</f>
        <v>2.5</v>
      </c>
      <c r="L668">
        <f>INDEX(Data_products!$A$1:$G$49, MATCH(Data_orders!$D668,Data_products!$A$1:$A$49,0), MATCH(Data_orders!L$1,Data_products!$A$1:$G$1,0))</f>
        <v>22.884999999999998</v>
      </c>
      <c r="M668">
        <f t="shared" si="20"/>
        <v>91.539999999999992</v>
      </c>
      <c r="N668" t="str" cm="1">
        <f t="array" ref="N668">_xlfn.IFS(I668 = "Rob", "Robusta", I668 = "Exc", "Excelsa", I668 = "Ara", "Arabica", I668 = "Lib", "Liberica")</f>
        <v>Arabica</v>
      </c>
      <c r="O668" t="str">
        <f t="shared" si="21"/>
        <v>Dark</v>
      </c>
      <c r="P668" t="str">
        <f>_xlfn.XLOOKUP(Table1[[#This Row],[Customer ID]],Data_customers!$A$2:$A$1001,Data_customers!$I$2:$I$1001,,0)</f>
        <v>No</v>
      </c>
    </row>
    <row r="669" spans="1:16" x14ac:dyDescent="0.2">
      <c r="A669" s="2" t="s">
        <v>4256</v>
      </c>
      <c r="B669" s="3">
        <v>44451</v>
      </c>
      <c r="C669" s="2" t="s">
        <v>4257</v>
      </c>
      <c r="D669" t="s">
        <v>6147</v>
      </c>
      <c r="E669" s="2">
        <v>6</v>
      </c>
      <c r="F669" s="2" t="str">
        <f>_xlfn.XLOOKUP(Data_orders!C669,Data_customers!$A$1:$A$1001,Data_customers!$B$1:$B$1001,,0)</f>
        <v>Nissie Rudland</v>
      </c>
      <c r="G669" s="2" t="str">
        <f>IF(_xlfn.XLOOKUP(C669,Data_customers!$A$1:$A$1001,Data_customers!$C$1:$C$1001,,0)=0,"",_xlfn.XLOOKUP(C669,Data_customers!$A$1:$A$1001,Data_customers!$C$1:$C$1001,,0))</f>
        <v>nrudlandij@blogs.com</v>
      </c>
      <c r="H669" s="2" t="str">
        <f>_xlfn.XLOOKUP(C669,Data_customers!$A$1:$A$1001,Data_customers!$G$1:$G$1001,"",0)</f>
        <v>Ireland</v>
      </c>
      <c r="I669" t="str">
        <f>INDEX(Data_products!$A$1:$G$49, MATCH(Data_orders!$D669,Data_products!$A$1:$A$49,0), MATCH(Data_orders!I$1,Data_products!$A$1:$G$1,0))</f>
        <v>Ara</v>
      </c>
      <c r="J669" t="str">
        <f>INDEX(Data_products!$A$1:$G$49, MATCH(Data_orders!$D669,Data_products!$A$1:$A$49,0), MATCH(Data_orders!J$1,Data_products!$A$1:$G$1,0))</f>
        <v>D</v>
      </c>
      <c r="K669" s="4">
        <f>INDEX(Data_products!$A$1:$G$49, MATCH(Data_orders!$D669,Data_products!$A$1:$A$49,0), MATCH(Data_orders!K$1,Data_products!$A$1:$G$1,0))</f>
        <v>1</v>
      </c>
      <c r="L669">
        <f>INDEX(Data_products!$A$1:$G$49, MATCH(Data_orders!$D669,Data_products!$A$1:$A$49,0), MATCH(Data_orders!L$1,Data_products!$A$1:$G$1,0))</f>
        <v>9.9499999999999993</v>
      </c>
      <c r="M669">
        <f t="shared" si="20"/>
        <v>59.699999999999996</v>
      </c>
      <c r="N669" t="str" cm="1">
        <f t="array" ref="N669">_xlfn.IFS(I669 = "Rob", "Robusta", I669 = "Exc", "Excelsa", I669 = "Ara", "Arabica", I669 = "Lib", "Liberica")</f>
        <v>Arabica</v>
      </c>
      <c r="O669" t="str">
        <f t="shared" si="21"/>
        <v>Dark</v>
      </c>
      <c r="P669" t="str">
        <f>_xlfn.XLOOKUP(Table1[[#This Row],[Customer ID]],Data_customers!$A$2:$A$1001,Data_customers!$I$2:$I$1001,,0)</f>
        <v>No</v>
      </c>
    </row>
    <row r="670" spans="1:16" x14ac:dyDescent="0.2">
      <c r="A670" s="2" t="s">
        <v>4262</v>
      </c>
      <c r="B670" s="3">
        <v>44636</v>
      </c>
      <c r="C670" s="2" t="s">
        <v>4263</v>
      </c>
      <c r="D670" t="s">
        <v>6142</v>
      </c>
      <c r="E670" s="2">
        <v>5</v>
      </c>
      <c r="F670" s="2" t="str">
        <f>_xlfn.XLOOKUP(Data_orders!C670,Data_customers!$A$1:$A$1001,Data_customers!$B$1:$B$1001,,0)</f>
        <v>Janella Millett</v>
      </c>
      <c r="G670" s="2" t="str">
        <f>IF(_xlfn.XLOOKUP(C670,Data_customers!$A$1:$A$1001,Data_customers!$C$1:$C$1001,,0)=0,"",_xlfn.XLOOKUP(C670,Data_customers!$A$1:$A$1001,Data_customers!$C$1:$C$1001,,0))</f>
        <v>jmillettik@addtoany.com</v>
      </c>
      <c r="H670" s="2" t="str">
        <f>_xlfn.XLOOKUP(C670,Data_customers!$A$1:$A$1001,Data_customers!$G$1:$G$1001,"",0)</f>
        <v>United States</v>
      </c>
      <c r="I670" t="str">
        <f>INDEX(Data_products!$A$1:$G$49, MATCH(Data_orders!$D670,Data_products!$A$1:$A$49,0), MATCH(Data_orders!I$1,Data_products!$A$1:$G$1,0))</f>
        <v>Rob</v>
      </c>
      <c r="J670" t="str">
        <f>INDEX(Data_products!$A$1:$G$49, MATCH(Data_orders!$D670,Data_products!$A$1:$A$49,0), MATCH(Data_orders!J$1,Data_products!$A$1:$G$1,0))</f>
        <v>L</v>
      </c>
      <c r="K670" s="4">
        <f>INDEX(Data_products!$A$1:$G$49, MATCH(Data_orders!$D670,Data_products!$A$1:$A$49,0), MATCH(Data_orders!K$1,Data_products!$A$1:$G$1,0))</f>
        <v>2.5</v>
      </c>
      <c r="L670">
        <f>INDEX(Data_products!$A$1:$G$49, MATCH(Data_orders!$D670,Data_products!$A$1:$A$49,0), MATCH(Data_orders!L$1,Data_products!$A$1:$G$1,0))</f>
        <v>27.484999999999996</v>
      </c>
      <c r="M670">
        <f t="shared" si="20"/>
        <v>137.42499999999998</v>
      </c>
      <c r="N670" t="str" cm="1">
        <f t="array" ref="N670">_xlfn.IFS(I670 = "Rob", "Robusta", I670 = "Exc", "Excelsa", I670 = "Ara", "Arabica", I670 = "Lib", "Liberica")</f>
        <v>Robusta</v>
      </c>
      <c r="O670" t="str">
        <f t="shared" si="21"/>
        <v>Light</v>
      </c>
      <c r="P670" t="str">
        <f>_xlfn.XLOOKUP(Table1[[#This Row],[Customer ID]],Data_customers!$A$2:$A$1001,Data_customers!$I$2:$I$1001,,0)</f>
        <v>Yes</v>
      </c>
    </row>
    <row r="671" spans="1:16" x14ac:dyDescent="0.2">
      <c r="A671" s="2" t="s">
        <v>4268</v>
      </c>
      <c r="B671" s="3">
        <v>44551</v>
      </c>
      <c r="C671" s="2" t="s">
        <v>4269</v>
      </c>
      <c r="D671" t="s">
        <v>6181</v>
      </c>
      <c r="E671" s="2">
        <v>2</v>
      </c>
      <c r="F671" s="2" t="str">
        <f>_xlfn.XLOOKUP(Data_orders!C671,Data_customers!$A$1:$A$1001,Data_customers!$B$1:$B$1001,,0)</f>
        <v>Ferdie Tourry</v>
      </c>
      <c r="G671" s="2" t="str">
        <f>IF(_xlfn.XLOOKUP(C671,Data_customers!$A$1:$A$1001,Data_customers!$C$1:$C$1001,,0)=0,"",_xlfn.XLOOKUP(C671,Data_customers!$A$1:$A$1001,Data_customers!$C$1:$C$1001,,0))</f>
        <v>ftourryil@google.de</v>
      </c>
      <c r="H671" s="2" t="str">
        <f>_xlfn.XLOOKUP(C671,Data_customers!$A$1:$A$1001,Data_customers!$G$1:$G$1001,"",0)</f>
        <v>United States</v>
      </c>
      <c r="I671" t="str">
        <f>INDEX(Data_products!$A$1:$G$49, MATCH(Data_orders!$D671,Data_products!$A$1:$A$49,0), MATCH(Data_orders!I$1,Data_products!$A$1:$G$1,0))</f>
        <v>Lib</v>
      </c>
      <c r="J671" t="str">
        <f>INDEX(Data_products!$A$1:$G$49, MATCH(Data_orders!$D671,Data_products!$A$1:$A$49,0), MATCH(Data_orders!J$1,Data_products!$A$1:$G$1,0))</f>
        <v>M</v>
      </c>
      <c r="K671" s="4">
        <f>INDEX(Data_products!$A$1:$G$49, MATCH(Data_orders!$D671,Data_products!$A$1:$A$49,0), MATCH(Data_orders!K$1,Data_products!$A$1:$G$1,0))</f>
        <v>2.5</v>
      </c>
      <c r="L671">
        <f>INDEX(Data_products!$A$1:$G$49, MATCH(Data_orders!$D671,Data_products!$A$1:$A$49,0), MATCH(Data_orders!L$1,Data_products!$A$1:$G$1,0))</f>
        <v>33.464999999999996</v>
      </c>
      <c r="M671">
        <f t="shared" si="20"/>
        <v>66.929999999999993</v>
      </c>
      <c r="N671" t="str" cm="1">
        <f t="array" ref="N671">_xlfn.IFS(I671 = "Rob", "Robusta", I671 = "Exc", "Excelsa", I671 = "Ara", "Arabica", I671 = "Lib", "Liberica")</f>
        <v>Liberica</v>
      </c>
      <c r="O671" t="str">
        <f t="shared" si="21"/>
        <v>Medium</v>
      </c>
      <c r="P671" t="str">
        <f>_xlfn.XLOOKUP(Table1[[#This Row],[Customer ID]],Data_customers!$A$2:$A$1001,Data_customers!$I$2:$I$1001,,0)</f>
        <v>No</v>
      </c>
    </row>
    <row r="672" spans="1:16" x14ac:dyDescent="0.2">
      <c r="A672" s="2" t="s">
        <v>4274</v>
      </c>
      <c r="B672" s="3">
        <v>43606</v>
      </c>
      <c r="C672" s="2" t="s">
        <v>4275</v>
      </c>
      <c r="D672" t="s">
        <v>6159</v>
      </c>
      <c r="E672" s="2">
        <v>3</v>
      </c>
      <c r="F672" s="2" t="str">
        <f>_xlfn.XLOOKUP(Data_orders!C672,Data_customers!$A$1:$A$1001,Data_customers!$B$1:$B$1001,,0)</f>
        <v>Cecil Weatherall</v>
      </c>
      <c r="G672" s="2" t="str">
        <f>IF(_xlfn.XLOOKUP(C672,Data_customers!$A$1:$A$1001,Data_customers!$C$1:$C$1001,,0)=0,"",_xlfn.XLOOKUP(C672,Data_customers!$A$1:$A$1001,Data_customers!$C$1:$C$1001,,0))</f>
        <v>cweatherallim@toplist.cz</v>
      </c>
      <c r="H672" s="2" t="str">
        <f>_xlfn.XLOOKUP(C672,Data_customers!$A$1:$A$1001,Data_customers!$G$1:$G$1001,"",0)</f>
        <v>United States</v>
      </c>
      <c r="I672" t="str">
        <f>INDEX(Data_products!$A$1:$G$49, MATCH(Data_orders!$D672,Data_products!$A$1:$A$49,0), MATCH(Data_orders!I$1,Data_products!$A$1:$G$1,0))</f>
        <v>Lib</v>
      </c>
      <c r="J672" t="str">
        <f>INDEX(Data_products!$A$1:$G$49, MATCH(Data_orders!$D672,Data_products!$A$1:$A$49,0), MATCH(Data_orders!J$1,Data_products!$A$1:$G$1,0))</f>
        <v>M</v>
      </c>
      <c r="K672" s="4">
        <f>INDEX(Data_products!$A$1:$G$49, MATCH(Data_orders!$D672,Data_products!$A$1:$A$49,0), MATCH(Data_orders!K$1,Data_products!$A$1:$G$1,0))</f>
        <v>0.2</v>
      </c>
      <c r="L672">
        <f>INDEX(Data_products!$A$1:$G$49, MATCH(Data_orders!$D672,Data_products!$A$1:$A$49,0), MATCH(Data_orders!L$1,Data_products!$A$1:$G$1,0))</f>
        <v>4.3650000000000002</v>
      </c>
      <c r="M672">
        <f t="shared" si="20"/>
        <v>13.095000000000001</v>
      </c>
      <c r="N672" t="str" cm="1">
        <f t="array" ref="N672">_xlfn.IFS(I672 = "Rob", "Robusta", I672 = "Exc", "Excelsa", I672 = "Ara", "Arabica", I672 = "Lib", "Liberica")</f>
        <v>Liberica</v>
      </c>
      <c r="O672" t="str">
        <f t="shared" si="21"/>
        <v>Medium</v>
      </c>
      <c r="P672" t="str">
        <f>_xlfn.XLOOKUP(Table1[[#This Row],[Customer ID]],Data_customers!$A$2:$A$1001,Data_customers!$I$2:$I$1001,,0)</f>
        <v>Yes</v>
      </c>
    </row>
    <row r="673" spans="1:16" x14ac:dyDescent="0.2">
      <c r="A673" s="2" t="s">
        <v>4280</v>
      </c>
      <c r="B673" s="3">
        <v>44495</v>
      </c>
      <c r="C673" s="2" t="s">
        <v>4281</v>
      </c>
      <c r="D673" t="s">
        <v>6179</v>
      </c>
      <c r="E673" s="2">
        <v>5</v>
      </c>
      <c r="F673" s="2" t="str">
        <f>_xlfn.XLOOKUP(Data_orders!C673,Data_customers!$A$1:$A$1001,Data_customers!$B$1:$B$1001,,0)</f>
        <v>Gale Heindrick</v>
      </c>
      <c r="G673" s="2" t="str">
        <f>IF(_xlfn.XLOOKUP(C673,Data_customers!$A$1:$A$1001,Data_customers!$C$1:$C$1001,,0)=0,"",_xlfn.XLOOKUP(C673,Data_customers!$A$1:$A$1001,Data_customers!$C$1:$C$1001,,0))</f>
        <v>gheindrickin@usda.gov</v>
      </c>
      <c r="H673" s="2" t="str">
        <f>_xlfn.XLOOKUP(C673,Data_customers!$A$1:$A$1001,Data_customers!$G$1:$G$1001,"",0)</f>
        <v>United States</v>
      </c>
      <c r="I673" t="str">
        <f>INDEX(Data_products!$A$1:$G$49, MATCH(Data_orders!$D673,Data_products!$A$1:$A$49,0), MATCH(Data_orders!I$1,Data_products!$A$1:$G$1,0))</f>
        <v>Rob</v>
      </c>
      <c r="J673" t="str">
        <f>INDEX(Data_products!$A$1:$G$49, MATCH(Data_orders!$D673,Data_products!$A$1:$A$49,0), MATCH(Data_orders!J$1,Data_products!$A$1:$G$1,0))</f>
        <v>L</v>
      </c>
      <c r="K673" s="4">
        <f>INDEX(Data_products!$A$1:$G$49, MATCH(Data_orders!$D673,Data_products!$A$1:$A$49,0), MATCH(Data_orders!K$1,Data_products!$A$1:$G$1,0))</f>
        <v>1</v>
      </c>
      <c r="L673">
        <f>INDEX(Data_products!$A$1:$G$49, MATCH(Data_orders!$D673,Data_products!$A$1:$A$49,0), MATCH(Data_orders!L$1,Data_products!$A$1:$G$1,0))</f>
        <v>11.95</v>
      </c>
      <c r="M673">
        <f t="shared" si="20"/>
        <v>59.75</v>
      </c>
      <c r="N673" t="str" cm="1">
        <f t="array" ref="N673">_xlfn.IFS(I673 = "Rob", "Robusta", I673 = "Exc", "Excelsa", I673 = "Ara", "Arabica", I673 = "Lib", "Liberica")</f>
        <v>Robusta</v>
      </c>
      <c r="O673" t="str">
        <f t="shared" si="21"/>
        <v>Light</v>
      </c>
      <c r="P673" t="str">
        <f>_xlfn.XLOOKUP(Table1[[#This Row],[Customer ID]],Data_customers!$A$2:$A$1001,Data_customers!$I$2:$I$1001,,0)</f>
        <v>No</v>
      </c>
    </row>
    <row r="674" spans="1:16" x14ac:dyDescent="0.2">
      <c r="A674" s="2" t="s">
        <v>4286</v>
      </c>
      <c r="B674" s="3">
        <v>43916</v>
      </c>
      <c r="C674" s="2" t="s">
        <v>4287</v>
      </c>
      <c r="D674" t="s">
        <v>6160</v>
      </c>
      <c r="E674" s="2">
        <v>5</v>
      </c>
      <c r="F674" s="2" t="str">
        <f>_xlfn.XLOOKUP(Data_orders!C674,Data_customers!$A$1:$A$1001,Data_customers!$B$1:$B$1001,,0)</f>
        <v>Layne Imason</v>
      </c>
      <c r="G674" s="2" t="str">
        <f>IF(_xlfn.XLOOKUP(C674,Data_customers!$A$1:$A$1001,Data_customers!$C$1:$C$1001,,0)=0,"",_xlfn.XLOOKUP(C674,Data_customers!$A$1:$A$1001,Data_customers!$C$1:$C$1001,,0))</f>
        <v>limasonio@discuz.net</v>
      </c>
      <c r="H674" s="2" t="str">
        <f>_xlfn.XLOOKUP(C674,Data_customers!$A$1:$A$1001,Data_customers!$G$1:$G$1001,"",0)</f>
        <v>United States</v>
      </c>
      <c r="I674" t="str">
        <f>INDEX(Data_products!$A$1:$G$49, MATCH(Data_orders!$D674,Data_products!$A$1:$A$49,0), MATCH(Data_orders!I$1,Data_products!$A$1:$G$1,0))</f>
        <v>Lib</v>
      </c>
      <c r="J674" t="str">
        <f>INDEX(Data_products!$A$1:$G$49, MATCH(Data_orders!$D674,Data_products!$A$1:$A$49,0), MATCH(Data_orders!J$1,Data_products!$A$1:$G$1,0))</f>
        <v>M</v>
      </c>
      <c r="K674" s="4">
        <f>INDEX(Data_products!$A$1:$G$49, MATCH(Data_orders!$D674,Data_products!$A$1:$A$49,0), MATCH(Data_orders!K$1,Data_products!$A$1:$G$1,0))</f>
        <v>0.5</v>
      </c>
      <c r="L674">
        <f>INDEX(Data_products!$A$1:$G$49, MATCH(Data_orders!$D674,Data_products!$A$1:$A$49,0), MATCH(Data_orders!L$1,Data_products!$A$1:$G$1,0))</f>
        <v>8.73</v>
      </c>
      <c r="M674">
        <f t="shared" si="20"/>
        <v>43.650000000000006</v>
      </c>
      <c r="N674" t="str" cm="1">
        <f t="array" ref="N674">_xlfn.IFS(I674 = "Rob", "Robusta", I674 = "Exc", "Excelsa", I674 = "Ara", "Arabica", I674 = "Lib", "Liberica")</f>
        <v>Liberica</v>
      </c>
      <c r="O674" t="str">
        <f t="shared" si="21"/>
        <v>Medium</v>
      </c>
      <c r="P674" t="str">
        <f>_xlfn.XLOOKUP(Table1[[#This Row],[Customer ID]],Data_customers!$A$2:$A$1001,Data_customers!$I$2:$I$1001,,0)</f>
        <v>Yes</v>
      </c>
    </row>
    <row r="675" spans="1:16" x14ac:dyDescent="0.2">
      <c r="A675" s="2" t="s">
        <v>4291</v>
      </c>
      <c r="B675" s="3">
        <v>44118</v>
      </c>
      <c r="C675" s="2" t="s">
        <v>4292</v>
      </c>
      <c r="D675" t="s">
        <v>6141</v>
      </c>
      <c r="E675" s="2">
        <v>6</v>
      </c>
      <c r="F675" s="2" t="str">
        <f>_xlfn.XLOOKUP(Data_orders!C675,Data_customers!$A$1:$A$1001,Data_customers!$B$1:$B$1001,,0)</f>
        <v>Hazel Saill</v>
      </c>
      <c r="G675" s="2" t="str">
        <f>IF(_xlfn.XLOOKUP(C675,Data_customers!$A$1:$A$1001,Data_customers!$C$1:$C$1001,,0)=0,"",_xlfn.XLOOKUP(C675,Data_customers!$A$1:$A$1001,Data_customers!$C$1:$C$1001,,0))</f>
        <v>hsaillip@odnoklassniki.ru</v>
      </c>
      <c r="H675" s="2" t="str">
        <f>_xlfn.XLOOKUP(C675,Data_customers!$A$1:$A$1001,Data_customers!$G$1:$G$1001,"",0)</f>
        <v>United States</v>
      </c>
      <c r="I675" t="str">
        <f>INDEX(Data_products!$A$1:$G$49, MATCH(Data_orders!$D675,Data_products!$A$1:$A$49,0), MATCH(Data_orders!I$1,Data_products!$A$1:$G$1,0))</f>
        <v>Exc</v>
      </c>
      <c r="J675" t="str">
        <f>INDEX(Data_products!$A$1:$G$49, MATCH(Data_orders!$D675,Data_products!$A$1:$A$49,0), MATCH(Data_orders!J$1,Data_products!$A$1:$G$1,0))</f>
        <v>M</v>
      </c>
      <c r="K675" s="4">
        <f>INDEX(Data_products!$A$1:$G$49, MATCH(Data_orders!$D675,Data_products!$A$1:$A$49,0), MATCH(Data_orders!K$1,Data_products!$A$1:$G$1,0))</f>
        <v>1</v>
      </c>
      <c r="L675">
        <f>INDEX(Data_products!$A$1:$G$49, MATCH(Data_orders!$D675,Data_products!$A$1:$A$49,0), MATCH(Data_orders!L$1,Data_products!$A$1:$G$1,0))</f>
        <v>13.75</v>
      </c>
      <c r="M675">
        <f t="shared" si="20"/>
        <v>82.5</v>
      </c>
      <c r="N675" t="str" cm="1">
        <f t="array" ref="N675">_xlfn.IFS(I675 = "Rob", "Robusta", I675 = "Exc", "Excelsa", I675 = "Ara", "Arabica", I675 = "Lib", "Liberica")</f>
        <v>Excelsa</v>
      </c>
      <c r="O675" t="str">
        <f t="shared" si="21"/>
        <v>Medium</v>
      </c>
      <c r="P675" t="str">
        <f>_xlfn.XLOOKUP(Table1[[#This Row],[Customer ID]],Data_customers!$A$2:$A$1001,Data_customers!$I$2:$I$1001,,0)</f>
        <v>Yes</v>
      </c>
    </row>
    <row r="676" spans="1:16" x14ac:dyDescent="0.2">
      <c r="A676" s="2" t="s">
        <v>4297</v>
      </c>
      <c r="B676" s="3">
        <v>44543</v>
      </c>
      <c r="C676" s="2" t="s">
        <v>4298</v>
      </c>
      <c r="D676" t="s">
        <v>6182</v>
      </c>
      <c r="E676" s="2">
        <v>6</v>
      </c>
      <c r="F676" s="2" t="str">
        <f>_xlfn.XLOOKUP(Data_orders!C676,Data_customers!$A$1:$A$1001,Data_customers!$B$1:$B$1001,,0)</f>
        <v>Hermann Larvor</v>
      </c>
      <c r="G676" s="2" t="str">
        <f>IF(_xlfn.XLOOKUP(C676,Data_customers!$A$1:$A$1001,Data_customers!$C$1:$C$1001,,0)=0,"",_xlfn.XLOOKUP(C676,Data_customers!$A$1:$A$1001,Data_customers!$C$1:$C$1001,,0))</f>
        <v>hlarvoriq@last.fm</v>
      </c>
      <c r="H676" s="2" t="str">
        <f>_xlfn.XLOOKUP(C676,Data_customers!$A$1:$A$1001,Data_customers!$G$1:$G$1001,"",0)</f>
        <v>United States</v>
      </c>
      <c r="I676" t="str">
        <f>INDEX(Data_products!$A$1:$G$49, MATCH(Data_orders!$D676,Data_products!$A$1:$A$49,0), MATCH(Data_orders!I$1,Data_products!$A$1:$G$1,0))</f>
        <v>Ara</v>
      </c>
      <c r="J676" t="str">
        <f>INDEX(Data_products!$A$1:$G$49, MATCH(Data_orders!$D676,Data_products!$A$1:$A$49,0), MATCH(Data_orders!J$1,Data_products!$A$1:$G$1,0))</f>
        <v>L</v>
      </c>
      <c r="K676" s="4">
        <f>INDEX(Data_products!$A$1:$G$49, MATCH(Data_orders!$D676,Data_products!$A$1:$A$49,0), MATCH(Data_orders!K$1,Data_products!$A$1:$G$1,0))</f>
        <v>2.5</v>
      </c>
      <c r="L676">
        <f>INDEX(Data_products!$A$1:$G$49, MATCH(Data_orders!$D676,Data_products!$A$1:$A$49,0), MATCH(Data_orders!L$1,Data_products!$A$1:$G$1,0))</f>
        <v>29.784999999999997</v>
      </c>
      <c r="M676">
        <f t="shared" si="20"/>
        <v>178.70999999999998</v>
      </c>
      <c r="N676" t="str" cm="1">
        <f t="array" ref="N676">_xlfn.IFS(I676 = "Rob", "Robusta", I676 = "Exc", "Excelsa", I676 = "Ara", "Arabica", I676 = "Lib", "Liberica")</f>
        <v>Arabica</v>
      </c>
      <c r="O676" t="str">
        <f t="shared" si="21"/>
        <v>Light</v>
      </c>
      <c r="P676" t="str">
        <f>_xlfn.XLOOKUP(Table1[[#This Row],[Customer ID]],Data_customers!$A$2:$A$1001,Data_customers!$I$2:$I$1001,,0)</f>
        <v>Yes</v>
      </c>
    </row>
    <row r="677" spans="1:16" x14ac:dyDescent="0.2">
      <c r="A677" s="2" t="s">
        <v>4303</v>
      </c>
      <c r="B677" s="3">
        <v>44263</v>
      </c>
      <c r="C677" s="2" t="s">
        <v>4304</v>
      </c>
      <c r="D677" t="s">
        <v>6165</v>
      </c>
      <c r="E677" s="2">
        <v>4</v>
      </c>
      <c r="F677" s="2" t="str">
        <f>_xlfn.XLOOKUP(Data_orders!C677,Data_customers!$A$1:$A$1001,Data_customers!$B$1:$B$1001,,0)</f>
        <v>Terri Lyford</v>
      </c>
      <c r="G677" s="2" t="str">
        <f>IF(_xlfn.XLOOKUP(C677,Data_customers!$A$1:$A$1001,Data_customers!$C$1:$C$1001,,0)=0,"",_xlfn.XLOOKUP(C677,Data_customers!$A$1:$A$1001,Data_customers!$C$1:$C$1001,,0))</f>
        <v/>
      </c>
      <c r="H677" s="2" t="str">
        <f>_xlfn.XLOOKUP(C677,Data_customers!$A$1:$A$1001,Data_customers!$G$1:$G$1001,"",0)</f>
        <v>United States</v>
      </c>
      <c r="I677" t="str">
        <f>INDEX(Data_products!$A$1:$G$49, MATCH(Data_orders!$D677,Data_products!$A$1:$A$49,0), MATCH(Data_orders!I$1,Data_products!$A$1:$G$1,0))</f>
        <v>Lib</v>
      </c>
      <c r="J677" t="str">
        <f>INDEX(Data_products!$A$1:$G$49, MATCH(Data_orders!$D677,Data_products!$A$1:$A$49,0), MATCH(Data_orders!J$1,Data_products!$A$1:$G$1,0))</f>
        <v>D</v>
      </c>
      <c r="K677" s="4">
        <f>INDEX(Data_products!$A$1:$G$49, MATCH(Data_orders!$D677,Data_products!$A$1:$A$49,0), MATCH(Data_orders!K$1,Data_products!$A$1:$G$1,0))</f>
        <v>2.5</v>
      </c>
      <c r="L677">
        <f>INDEX(Data_products!$A$1:$G$49, MATCH(Data_orders!$D677,Data_products!$A$1:$A$49,0), MATCH(Data_orders!L$1,Data_products!$A$1:$G$1,0))</f>
        <v>29.784999999999997</v>
      </c>
      <c r="M677">
        <f t="shared" si="20"/>
        <v>119.13999999999999</v>
      </c>
      <c r="N677" t="str" cm="1">
        <f t="array" ref="N677">_xlfn.IFS(I677 = "Rob", "Robusta", I677 = "Exc", "Excelsa", I677 = "Ara", "Arabica", I677 = "Lib", "Liberica")</f>
        <v>Liberica</v>
      </c>
      <c r="O677" t="str">
        <f t="shared" si="21"/>
        <v>Dark</v>
      </c>
      <c r="P677" t="str">
        <f>_xlfn.XLOOKUP(Table1[[#This Row],[Customer ID]],Data_customers!$A$2:$A$1001,Data_customers!$I$2:$I$1001,,0)</f>
        <v>Yes</v>
      </c>
    </row>
    <row r="678" spans="1:16" x14ac:dyDescent="0.2">
      <c r="A678" s="2" t="s">
        <v>4308</v>
      </c>
      <c r="B678" s="3">
        <v>44217</v>
      </c>
      <c r="C678" s="2" t="s">
        <v>4309</v>
      </c>
      <c r="D678" t="s">
        <v>6161</v>
      </c>
      <c r="E678" s="2">
        <v>5</v>
      </c>
      <c r="F678" s="2" t="str">
        <f>_xlfn.XLOOKUP(Data_orders!C678,Data_customers!$A$1:$A$1001,Data_customers!$B$1:$B$1001,,0)</f>
        <v>Gabey Cogan</v>
      </c>
      <c r="G678" s="2" t="str">
        <f>IF(_xlfn.XLOOKUP(C678,Data_customers!$A$1:$A$1001,Data_customers!$C$1:$C$1001,,0)=0,"",_xlfn.XLOOKUP(C678,Data_customers!$A$1:$A$1001,Data_customers!$C$1:$C$1001,,0))</f>
        <v/>
      </c>
      <c r="H678" s="2" t="str">
        <f>_xlfn.XLOOKUP(C678,Data_customers!$A$1:$A$1001,Data_customers!$G$1:$G$1001,"",0)</f>
        <v>United States</v>
      </c>
      <c r="I678" t="str">
        <f>INDEX(Data_products!$A$1:$G$49, MATCH(Data_orders!$D678,Data_products!$A$1:$A$49,0), MATCH(Data_orders!I$1,Data_products!$A$1:$G$1,0))</f>
        <v>Lib</v>
      </c>
      <c r="J678" t="str">
        <f>INDEX(Data_products!$A$1:$G$49, MATCH(Data_orders!$D678,Data_products!$A$1:$A$49,0), MATCH(Data_orders!J$1,Data_products!$A$1:$G$1,0))</f>
        <v>L</v>
      </c>
      <c r="K678" s="4">
        <f>INDEX(Data_products!$A$1:$G$49, MATCH(Data_orders!$D678,Data_products!$A$1:$A$49,0), MATCH(Data_orders!K$1,Data_products!$A$1:$G$1,0))</f>
        <v>0.5</v>
      </c>
      <c r="L678">
        <f>INDEX(Data_products!$A$1:$G$49, MATCH(Data_orders!$D678,Data_products!$A$1:$A$49,0), MATCH(Data_orders!L$1,Data_products!$A$1:$G$1,0))</f>
        <v>9.51</v>
      </c>
      <c r="M678">
        <f t="shared" si="20"/>
        <v>47.55</v>
      </c>
      <c r="N678" t="str" cm="1">
        <f t="array" ref="N678">_xlfn.IFS(I678 = "Rob", "Robusta", I678 = "Exc", "Excelsa", I678 = "Ara", "Arabica", I678 = "Lib", "Liberica")</f>
        <v>Liberica</v>
      </c>
      <c r="O678" t="str">
        <f t="shared" si="21"/>
        <v>Light</v>
      </c>
      <c r="P678" t="str">
        <f>_xlfn.XLOOKUP(Table1[[#This Row],[Customer ID]],Data_customers!$A$2:$A$1001,Data_customers!$I$2:$I$1001,,0)</f>
        <v>No</v>
      </c>
    </row>
    <row r="679" spans="1:16" x14ac:dyDescent="0.2">
      <c r="A679" s="2" t="s">
        <v>4313</v>
      </c>
      <c r="B679" s="3">
        <v>44206</v>
      </c>
      <c r="C679" s="2" t="s">
        <v>4314</v>
      </c>
      <c r="D679" t="s">
        <v>6160</v>
      </c>
      <c r="E679" s="2">
        <v>5</v>
      </c>
      <c r="F679" s="2" t="str">
        <f>_xlfn.XLOOKUP(Data_orders!C679,Data_customers!$A$1:$A$1001,Data_customers!$B$1:$B$1001,,0)</f>
        <v>Charin Penwarden</v>
      </c>
      <c r="G679" s="2" t="str">
        <f>IF(_xlfn.XLOOKUP(C679,Data_customers!$A$1:$A$1001,Data_customers!$C$1:$C$1001,,0)=0,"",_xlfn.XLOOKUP(C679,Data_customers!$A$1:$A$1001,Data_customers!$C$1:$C$1001,,0))</f>
        <v>cpenwardenit@mlb.com</v>
      </c>
      <c r="H679" s="2" t="str">
        <f>_xlfn.XLOOKUP(C679,Data_customers!$A$1:$A$1001,Data_customers!$G$1:$G$1001,"",0)</f>
        <v>Ireland</v>
      </c>
      <c r="I679" t="str">
        <f>INDEX(Data_products!$A$1:$G$49, MATCH(Data_orders!$D679,Data_products!$A$1:$A$49,0), MATCH(Data_orders!I$1,Data_products!$A$1:$G$1,0))</f>
        <v>Lib</v>
      </c>
      <c r="J679" t="str">
        <f>INDEX(Data_products!$A$1:$G$49, MATCH(Data_orders!$D679,Data_products!$A$1:$A$49,0), MATCH(Data_orders!J$1,Data_products!$A$1:$G$1,0))</f>
        <v>M</v>
      </c>
      <c r="K679" s="4">
        <f>INDEX(Data_products!$A$1:$G$49, MATCH(Data_orders!$D679,Data_products!$A$1:$A$49,0), MATCH(Data_orders!K$1,Data_products!$A$1:$G$1,0))</f>
        <v>0.5</v>
      </c>
      <c r="L679">
        <f>INDEX(Data_products!$A$1:$G$49, MATCH(Data_orders!$D679,Data_products!$A$1:$A$49,0), MATCH(Data_orders!L$1,Data_products!$A$1:$G$1,0))</f>
        <v>8.73</v>
      </c>
      <c r="M679">
        <f t="shared" si="20"/>
        <v>43.650000000000006</v>
      </c>
      <c r="N679" t="str" cm="1">
        <f t="array" ref="N679">_xlfn.IFS(I679 = "Rob", "Robusta", I679 = "Exc", "Excelsa", I679 = "Ara", "Arabica", I679 = "Lib", "Liberica")</f>
        <v>Liberica</v>
      </c>
      <c r="O679" t="str">
        <f t="shared" si="21"/>
        <v>Medium</v>
      </c>
      <c r="P679" t="str">
        <f>_xlfn.XLOOKUP(Table1[[#This Row],[Customer ID]],Data_customers!$A$2:$A$1001,Data_customers!$I$2:$I$1001,,0)</f>
        <v>No</v>
      </c>
    </row>
    <row r="680" spans="1:16" x14ac:dyDescent="0.2">
      <c r="A680" s="2" t="s">
        <v>4319</v>
      </c>
      <c r="B680" s="3">
        <v>44281</v>
      </c>
      <c r="C680" s="2" t="s">
        <v>4320</v>
      </c>
      <c r="D680" t="s">
        <v>6182</v>
      </c>
      <c r="E680" s="2">
        <v>6</v>
      </c>
      <c r="F680" s="2" t="str">
        <f>_xlfn.XLOOKUP(Data_orders!C680,Data_customers!$A$1:$A$1001,Data_customers!$B$1:$B$1001,,0)</f>
        <v>Milty Middis</v>
      </c>
      <c r="G680" s="2" t="str">
        <f>IF(_xlfn.XLOOKUP(C680,Data_customers!$A$1:$A$1001,Data_customers!$C$1:$C$1001,,0)=0,"",_xlfn.XLOOKUP(C680,Data_customers!$A$1:$A$1001,Data_customers!$C$1:$C$1001,,0))</f>
        <v>mmiddisiu@dmoz.org</v>
      </c>
      <c r="H680" s="2" t="str">
        <f>_xlfn.XLOOKUP(C680,Data_customers!$A$1:$A$1001,Data_customers!$G$1:$G$1001,"",0)</f>
        <v>United States</v>
      </c>
      <c r="I680" t="str">
        <f>INDEX(Data_products!$A$1:$G$49, MATCH(Data_orders!$D680,Data_products!$A$1:$A$49,0), MATCH(Data_orders!I$1,Data_products!$A$1:$G$1,0))</f>
        <v>Ara</v>
      </c>
      <c r="J680" t="str">
        <f>INDEX(Data_products!$A$1:$G$49, MATCH(Data_orders!$D680,Data_products!$A$1:$A$49,0), MATCH(Data_orders!J$1,Data_products!$A$1:$G$1,0))</f>
        <v>L</v>
      </c>
      <c r="K680" s="4">
        <f>INDEX(Data_products!$A$1:$G$49, MATCH(Data_orders!$D680,Data_products!$A$1:$A$49,0), MATCH(Data_orders!K$1,Data_products!$A$1:$G$1,0))</f>
        <v>2.5</v>
      </c>
      <c r="L680">
        <f>INDEX(Data_products!$A$1:$G$49, MATCH(Data_orders!$D680,Data_products!$A$1:$A$49,0), MATCH(Data_orders!L$1,Data_products!$A$1:$G$1,0))</f>
        <v>29.784999999999997</v>
      </c>
      <c r="M680">
        <f t="shared" si="20"/>
        <v>178.70999999999998</v>
      </c>
      <c r="N680" t="str" cm="1">
        <f t="array" ref="N680">_xlfn.IFS(I680 = "Rob", "Robusta", I680 = "Exc", "Excelsa", I680 = "Ara", "Arabica", I680 = "Lib", "Liberica")</f>
        <v>Arabica</v>
      </c>
      <c r="O680" t="str">
        <f t="shared" si="21"/>
        <v>Light</v>
      </c>
      <c r="P680" t="str">
        <f>_xlfn.XLOOKUP(Table1[[#This Row],[Customer ID]],Data_customers!$A$2:$A$1001,Data_customers!$I$2:$I$1001,,0)</f>
        <v>Yes</v>
      </c>
    </row>
    <row r="681" spans="1:16" x14ac:dyDescent="0.2">
      <c r="A681" s="2" t="s">
        <v>4325</v>
      </c>
      <c r="B681" s="3">
        <v>44645</v>
      </c>
      <c r="C681" s="2" t="s">
        <v>4326</v>
      </c>
      <c r="D681" t="s">
        <v>6142</v>
      </c>
      <c r="E681" s="2">
        <v>1</v>
      </c>
      <c r="F681" s="2" t="str">
        <f>_xlfn.XLOOKUP(Data_orders!C681,Data_customers!$A$1:$A$1001,Data_customers!$B$1:$B$1001,,0)</f>
        <v>Adrianne Vairow</v>
      </c>
      <c r="G681" s="2" t="str">
        <f>IF(_xlfn.XLOOKUP(C681,Data_customers!$A$1:$A$1001,Data_customers!$C$1:$C$1001,,0)=0,"",_xlfn.XLOOKUP(C681,Data_customers!$A$1:$A$1001,Data_customers!$C$1:$C$1001,,0))</f>
        <v>avairowiv@studiopress.com</v>
      </c>
      <c r="H681" s="2" t="str">
        <f>_xlfn.XLOOKUP(C681,Data_customers!$A$1:$A$1001,Data_customers!$G$1:$G$1001,"",0)</f>
        <v>United Kingdom</v>
      </c>
      <c r="I681" t="str">
        <f>INDEX(Data_products!$A$1:$G$49, MATCH(Data_orders!$D681,Data_products!$A$1:$A$49,0), MATCH(Data_orders!I$1,Data_products!$A$1:$G$1,0))</f>
        <v>Rob</v>
      </c>
      <c r="J681" t="str">
        <f>INDEX(Data_products!$A$1:$G$49, MATCH(Data_orders!$D681,Data_products!$A$1:$A$49,0), MATCH(Data_orders!J$1,Data_products!$A$1:$G$1,0))</f>
        <v>L</v>
      </c>
      <c r="K681" s="4">
        <f>INDEX(Data_products!$A$1:$G$49, MATCH(Data_orders!$D681,Data_products!$A$1:$A$49,0), MATCH(Data_orders!K$1,Data_products!$A$1:$G$1,0))</f>
        <v>2.5</v>
      </c>
      <c r="L681">
        <f>INDEX(Data_products!$A$1:$G$49, MATCH(Data_orders!$D681,Data_products!$A$1:$A$49,0), MATCH(Data_orders!L$1,Data_products!$A$1:$G$1,0))</f>
        <v>27.484999999999996</v>
      </c>
      <c r="M681">
        <f t="shared" si="20"/>
        <v>27.484999999999996</v>
      </c>
      <c r="N681" t="str" cm="1">
        <f t="array" ref="N681">_xlfn.IFS(I681 = "Rob", "Robusta", I681 = "Exc", "Excelsa", I681 = "Ara", "Arabica", I681 = "Lib", "Liberica")</f>
        <v>Robusta</v>
      </c>
      <c r="O681" t="str">
        <f t="shared" si="21"/>
        <v>Light</v>
      </c>
      <c r="P681" t="str">
        <f>_xlfn.XLOOKUP(Table1[[#This Row],[Customer ID]],Data_customers!$A$2:$A$1001,Data_customers!$I$2:$I$1001,,0)</f>
        <v>No</v>
      </c>
    </row>
    <row r="682" spans="1:16" x14ac:dyDescent="0.2">
      <c r="A682" s="2" t="s">
        <v>4331</v>
      </c>
      <c r="B682" s="3">
        <v>44399</v>
      </c>
      <c r="C682" s="2" t="s">
        <v>4332</v>
      </c>
      <c r="D682" t="s">
        <v>6155</v>
      </c>
      <c r="E682" s="2">
        <v>5</v>
      </c>
      <c r="F682" s="2" t="str">
        <f>_xlfn.XLOOKUP(Data_orders!C682,Data_customers!$A$1:$A$1001,Data_customers!$B$1:$B$1001,,0)</f>
        <v>Anjanette Goldie</v>
      </c>
      <c r="G682" s="2" t="str">
        <f>IF(_xlfn.XLOOKUP(C682,Data_customers!$A$1:$A$1001,Data_customers!$C$1:$C$1001,,0)=0,"",_xlfn.XLOOKUP(C682,Data_customers!$A$1:$A$1001,Data_customers!$C$1:$C$1001,,0))</f>
        <v>agoldieiw@goo.gl</v>
      </c>
      <c r="H682" s="2" t="str">
        <f>_xlfn.XLOOKUP(C682,Data_customers!$A$1:$A$1001,Data_customers!$G$1:$G$1001,"",0)</f>
        <v>United States</v>
      </c>
      <c r="I682" t="str">
        <f>INDEX(Data_products!$A$1:$G$49, MATCH(Data_orders!$D682,Data_products!$A$1:$A$49,0), MATCH(Data_orders!I$1,Data_products!$A$1:$G$1,0))</f>
        <v>Ara</v>
      </c>
      <c r="J682" t="str">
        <f>INDEX(Data_products!$A$1:$G$49, MATCH(Data_orders!$D682,Data_products!$A$1:$A$49,0), MATCH(Data_orders!J$1,Data_products!$A$1:$G$1,0))</f>
        <v>M</v>
      </c>
      <c r="K682" s="4">
        <f>INDEX(Data_products!$A$1:$G$49, MATCH(Data_orders!$D682,Data_products!$A$1:$A$49,0), MATCH(Data_orders!K$1,Data_products!$A$1:$G$1,0))</f>
        <v>1</v>
      </c>
      <c r="L682">
        <f>INDEX(Data_products!$A$1:$G$49, MATCH(Data_orders!$D682,Data_products!$A$1:$A$49,0), MATCH(Data_orders!L$1,Data_products!$A$1:$G$1,0))</f>
        <v>11.25</v>
      </c>
      <c r="M682">
        <f t="shared" si="20"/>
        <v>56.25</v>
      </c>
      <c r="N682" t="str" cm="1">
        <f t="array" ref="N682">_xlfn.IFS(I682 = "Rob", "Robusta", I682 = "Exc", "Excelsa", I682 = "Ara", "Arabica", I682 = "Lib", "Liberica")</f>
        <v>Arabica</v>
      </c>
      <c r="O682" t="str">
        <f t="shared" si="21"/>
        <v>Medium</v>
      </c>
      <c r="P682" t="str">
        <f>_xlfn.XLOOKUP(Table1[[#This Row],[Customer ID]],Data_customers!$A$2:$A$1001,Data_customers!$I$2:$I$1001,,0)</f>
        <v>No</v>
      </c>
    </row>
    <row r="683" spans="1:16" x14ac:dyDescent="0.2">
      <c r="A683" s="2" t="s">
        <v>4336</v>
      </c>
      <c r="B683" s="3">
        <v>44080</v>
      </c>
      <c r="C683" s="2" t="s">
        <v>4337</v>
      </c>
      <c r="D683" t="s">
        <v>6145</v>
      </c>
      <c r="E683" s="2">
        <v>2</v>
      </c>
      <c r="F683" s="2" t="str">
        <f>_xlfn.XLOOKUP(Data_orders!C683,Data_customers!$A$1:$A$1001,Data_customers!$B$1:$B$1001,,0)</f>
        <v>Nicky Ayris</v>
      </c>
      <c r="G683" s="2" t="str">
        <f>IF(_xlfn.XLOOKUP(C683,Data_customers!$A$1:$A$1001,Data_customers!$C$1:$C$1001,,0)=0,"",_xlfn.XLOOKUP(C683,Data_customers!$A$1:$A$1001,Data_customers!$C$1:$C$1001,,0))</f>
        <v>nayrisix@t-online.de</v>
      </c>
      <c r="H683" s="2" t="str">
        <f>_xlfn.XLOOKUP(C683,Data_customers!$A$1:$A$1001,Data_customers!$G$1:$G$1001,"",0)</f>
        <v>United Kingdom</v>
      </c>
      <c r="I683" t="str">
        <f>INDEX(Data_products!$A$1:$G$49, MATCH(Data_orders!$D683,Data_products!$A$1:$A$49,0), MATCH(Data_orders!I$1,Data_products!$A$1:$G$1,0))</f>
        <v>Lib</v>
      </c>
      <c r="J683" t="str">
        <f>INDEX(Data_products!$A$1:$G$49, MATCH(Data_orders!$D683,Data_products!$A$1:$A$49,0), MATCH(Data_orders!J$1,Data_products!$A$1:$G$1,0))</f>
        <v>L</v>
      </c>
      <c r="K683" s="4">
        <f>INDEX(Data_products!$A$1:$G$49, MATCH(Data_orders!$D683,Data_products!$A$1:$A$49,0), MATCH(Data_orders!K$1,Data_products!$A$1:$G$1,0))</f>
        <v>0.2</v>
      </c>
      <c r="L683">
        <f>INDEX(Data_products!$A$1:$G$49, MATCH(Data_orders!$D683,Data_products!$A$1:$A$49,0), MATCH(Data_orders!L$1,Data_products!$A$1:$G$1,0))</f>
        <v>4.7549999999999999</v>
      </c>
      <c r="M683">
        <f t="shared" si="20"/>
        <v>9.51</v>
      </c>
      <c r="N683" t="str" cm="1">
        <f t="array" ref="N683">_xlfn.IFS(I683 = "Rob", "Robusta", I683 = "Exc", "Excelsa", I683 = "Ara", "Arabica", I683 = "Lib", "Liberica")</f>
        <v>Liberica</v>
      </c>
      <c r="O683" t="str">
        <f t="shared" si="21"/>
        <v>Light</v>
      </c>
      <c r="P683" t="str">
        <f>_xlfn.XLOOKUP(Table1[[#This Row],[Customer ID]],Data_customers!$A$2:$A$1001,Data_customers!$I$2:$I$1001,,0)</f>
        <v>Yes</v>
      </c>
    </row>
    <row r="684" spans="1:16" x14ac:dyDescent="0.2">
      <c r="A684" s="2" t="s">
        <v>4342</v>
      </c>
      <c r="B684" s="3">
        <v>43827</v>
      </c>
      <c r="C684" s="2" t="s">
        <v>4343</v>
      </c>
      <c r="D684" t="s">
        <v>6156</v>
      </c>
      <c r="E684" s="2">
        <v>2</v>
      </c>
      <c r="F684" s="2" t="str">
        <f>_xlfn.XLOOKUP(Data_orders!C684,Data_customers!$A$1:$A$1001,Data_customers!$B$1:$B$1001,,0)</f>
        <v>Laryssa Benediktovich</v>
      </c>
      <c r="G684" s="2" t="str">
        <f>IF(_xlfn.XLOOKUP(C684,Data_customers!$A$1:$A$1001,Data_customers!$C$1:$C$1001,,0)=0,"",_xlfn.XLOOKUP(C684,Data_customers!$A$1:$A$1001,Data_customers!$C$1:$C$1001,,0))</f>
        <v>lbenediktovichiy@wunderground.com</v>
      </c>
      <c r="H684" s="2" t="str">
        <f>_xlfn.XLOOKUP(C684,Data_customers!$A$1:$A$1001,Data_customers!$G$1:$G$1001,"",0)</f>
        <v>United States</v>
      </c>
      <c r="I684" t="str">
        <f>INDEX(Data_products!$A$1:$G$49, MATCH(Data_orders!$D684,Data_products!$A$1:$A$49,0), MATCH(Data_orders!I$1,Data_products!$A$1:$G$1,0))</f>
        <v>Exc</v>
      </c>
      <c r="J684" t="str">
        <f>INDEX(Data_products!$A$1:$G$49, MATCH(Data_orders!$D684,Data_products!$A$1:$A$49,0), MATCH(Data_orders!J$1,Data_products!$A$1:$G$1,0))</f>
        <v>M</v>
      </c>
      <c r="K684" s="4">
        <f>INDEX(Data_products!$A$1:$G$49, MATCH(Data_orders!$D684,Data_products!$A$1:$A$49,0), MATCH(Data_orders!K$1,Data_products!$A$1:$G$1,0))</f>
        <v>0.2</v>
      </c>
      <c r="L684">
        <f>INDEX(Data_products!$A$1:$G$49, MATCH(Data_orders!$D684,Data_products!$A$1:$A$49,0), MATCH(Data_orders!L$1,Data_products!$A$1:$G$1,0))</f>
        <v>4.125</v>
      </c>
      <c r="M684">
        <f t="shared" si="20"/>
        <v>8.25</v>
      </c>
      <c r="N684" t="str" cm="1">
        <f t="array" ref="N684">_xlfn.IFS(I684 = "Rob", "Robusta", I684 = "Exc", "Excelsa", I684 = "Ara", "Arabica", I684 = "Lib", "Liberica")</f>
        <v>Excelsa</v>
      </c>
      <c r="O684" t="str">
        <f t="shared" si="21"/>
        <v>Medium</v>
      </c>
      <c r="P684" t="str">
        <f>_xlfn.XLOOKUP(Table1[[#This Row],[Customer ID]],Data_customers!$A$2:$A$1001,Data_customers!$I$2:$I$1001,,0)</f>
        <v>Yes</v>
      </c>
    </row>
    <row r="685" spans="1:16" x14ac:dyDescent="0.2">
      <c r="A685" s="2" t="s">
        <v>4348</v>
      </c>
      <c r="B685" s="3">
        <v>43941</v>
      </c>
      <c r="C685" s="2" t="s">
        <v>4349</v>
      </c>
      <c r="D685" t="s">
        <v>6169</v>
      </c>
      <c r="E685" s="2">
        <v>6</v>
      </c>
      <c r="F685" s="2" t="str">
        <f>_xlfn.XLOOKUP(Data_orders!C685,Data_customers!$A$1:$A$1001,Data_customers!$B$1:$B$1001,,0)</f>
        <v>Theo Jacobovitz</v>
      </c>
      <c r="G685" s="2" t="str">
        <f>IF(_xlfn.XLOOKUP(C685,Data_customers!$A$1:$A$1001,Data_customers!$C$1:$C$1001,,0)=0,"",_xlfn.XLOOKUP(C685,Data_customers!$A$1:$A$1001,Data_customers!$C$1:$C$1001,,0))</f>
        <v>tjacobovitziz@cbc.ca</v>
      </c>
      <c r="H685" s="2" t="str">
        <f>_xlfn.XLOOKUP(C685,Data_customers!$A$1:$A$1001,Data_customers!$G$1:$G$1001,"",0)</f>
        <v>United States</v>
      </c>
      <c r="I685" t="str">
        <f>INDEX(Data_products!$A$1:$G$49, MATCH(Data_orders!$D685,Data_products!$A$1:$A$49,0), MATCH(Data_orders!I$1,Data_products!$A$1:$G$1,0))</f>
        <v>Lib</v>
      </c>
      <c r="J685" t="str">
        <f>INDEX(Data_products!$A$1:$G$49, MATCH(Data_orders!$D685,Data_products!$A$1:$A$49,0), MATCH(Data_orders!J$1,Data_products!$A$1:$G$1,0))</f>
        <v>D</v>
      </c>
      <c r="K685" s="4">
        <f>INDEX(Data_products!$A$1:$G$49, MATCH(Data_orders!$D685,Data_products!$A$1:$A$49,0), MATCH(Data_orders!K$1,Data_products!$A$1:$G$1,0))</f>
        <v>0.5</v>
      </c>
      <c r="L685">
        <f>INDEX(Data_products!$A$1:$G$49, MATCH(Data_orders!$D685,Data_products!$A$1:$A$49,0), MATCH(Data_orders!L$1,Data_products!$A$1:$G$1,0))</f>
        <v>7.77</v>
      </c>
      <c r="M685">
        <f t="shared" si="20"/>
        <v>46.62</v>
      </c>
      <c r="N685" t="str" cm="1">
        <f t="array" ref="N685">_xlfn.IFS(I685 = "Rob", "Robusta", I685 = "Exc", "Excelsa", I685 = "Ara", "Arabica", I685 = "Lib", "Liberica")</f>
        <v>Liberica</v>
      </c>
      <c r="O685" t="str">
        <f t="shared" si="21"/>
        <v>Dark</v>
      </c>
      <c r="P685" t="str">
        <f>_xlfn.XLOOKUP(Table1[[#This Row],[Customer ID]],Data_customers!$A$2:$A$1001,Data_customers!$I$2:$I$1001,,0)</f>
        <v>No</v>
      </c>
    </row>
    <row r="686" spans="1:16" x14ac:dyDescent="0.2">
      <c r="A686" s="2" t="s">
        <v>4354</v>
      </c>
      <c r="B686" s="3">
        <v>43517</v>
      </c>
      <c r="C686" s="2" t="s">
        <v>4355</v>
      </c>
      <c r="D686" t="s">
        <v>6179</v>
      </c>
      <c r="E686" s="2">
        <v>6</v>
      </c>
      <c r="F686" s="2" t="str">
        <f>_xlfn.XLOOKUP(Data_orders!C686,Data_customers!$A$1:$A$1001,Data_customers!$B$1:$B$1001,,0)</f>
        <v>Becca Ableson</v>
      </c>
      <c r="G686" s="2" t="str">
        <f>IF(_xlfn.XLOOKUP(C686,Data_customers!$A$1:$A$1001,Data_customers!$C$1:$C$1001,,0)=0,"",_xlfn.XLOOKUP(C686,Data_customers!$A$1:$A$1001,Data_customers!$C$1:$C$1001,,0))</f>
        <v/>
      </c>
      <c r="H686" s="2" t="str">
        <f>_xlfn.XLOOKUP(C686,Data_customers!$A$1:$A$1001,Data_customers!$G$1:$G$1001,"",0)</f>
        <v>United States</v>
      </c>
      <c r="I686" t="str">
        <f>INDEX(Data_products!$A$1:$G$49, MATCH(Data_orders!$D686,Data_products!$A$1:$A$49,0), MATCH(Data_orders!I$1,Data_products!$A$1:$G$1,0))</f>
        <v>Rob</v>
      </c>
      <c r="J686" t="str">
        <f>INDEX(Data_products!$A$1:$G$49, MATCH(Data_orders!$D686,Data_products!$A$1:$A$49,0), MATCH(Data_orders!J$1,Data_products!$A$1:$G$1,0))</f>
        <v>L</v>
      </c>
      <c r="K686" s="4">
        <f>INDEX(Data_products!$A$1:$G$49, MATCH(Data_orders!$D686,Data_products!$A$1:$A$49,0), MATCH(Data_orders!K$1,Data_products!$A$1:$G$1,0))</f>
        <v>1</v>
      </c>
      <c r="L686">
        <f>INDEX(Data_products!$A$1:$G$49, MATCH(Data_orders!$D686,Data_products!$A$1:$A$49,0), MATCH(Data_orders!L$1,Data_products!$A$1:$G$1,0))</f>
        <v>11.95</v>
      </c>
      <c r="M686">
        <f t="shared" si="20"/>
        <v>71.699999999999989</v>
      </c>
      <c r="N686" t="str" cm="1">
        <f t="array" ref="N686">_xlfn.IFS(I686 = "Rob", "Robusta", I686 = "Exc", "Excelsa", I686 = "Ara", "Arabica", I686 = "Lib", "Liberica")</f>
        <v>Robusta</v>
      </c>
      <c r="O686" t="str">
        <f t="shared" si="21"/>
        <v>Light</v>
      </c>
      <c r="P686" t="str">
        <f>_xlfn.XLOOKUP(Table1[[#This Row],[Customer ID]],Data_customers!$A$2:$A$1001,Data_customers!$I$2:$I$1001,,0)</f>
        <v>No</v>
      </c>
    </row>
    <row r="687" spans="1:16" x14ac:dyDescent="0.2">
      <c r="A687" s="2" t="s">
        <v>4359</v>
      </c>
      <c r="B687" s="3">
        <v>44637</v>
      </c>
      <c r="C687" s="2" t="s">
        <v>4360</v>
      </c>
      <c r="D687" t="s">
        <v>6164</v>
      </c>
      <c r="E687" s="2">
        <v>2</v>
      </c>
      <c r="F687" s="2" t="str">
        <f>_xlfn.XLOOKUP(Data_orders!C687,Data_customers!$A$1:$A$1001,Data_customers!$B$1:$B$1001,,0)</f>
        <v>Jeno Druitt</v>
      </c>
      <c r="G687" s="2" t="str">
        <f>IF(_xlfn.XLOOKUP(C687,Data_customers!$A$1:$A$1001,Data_customers!$C$1:$C$1001,,0)=0,"",_xlfn.XLOOKUP(C687,Data_customers!$A$1:$A$1001,Data_customers!$C$1:$C$1001,,0))</f>
        <v>jdruittj1@feedburner.com</v>
      </c>
      <c r="H687" s="2" t="str">
        <f>_xlfn.XLOOKUP(C687,Data_customers!$A$1:$A$1001,Data_customers!$G$1:$G$1001,"",0)</f>
        <v>United States</v>
      </c>
      <c r="I687" t="str">
        <f>INDEX(Data_products!$A$1:$G$49, MATCH(Data_orders!$D687,Data_products!$A$1:$A$49,0), MATCH(Data_orders!I$1,Data_products!$A$1:$G$1,0))</f>
        <v>Lib</v>
      </c>
      <c r="J687" t="str">
        <f>INDEX(Data_products!$A$1:$G$49, MATCH(Data_orders!$D687,Data_products!$A$1:$A$49,0), MATCH(Data_orders!J$1,Data_products!$A$1:$G$1,0))</f>
        <v>L</v>
      </c>
      <c r="K687" s="4">
        <f>INDEX(Data_products!$A$1:$G$49, MATCH(Data_orders!$D687,Data_products!$A$1:$A$49,0), MATCH(Data_orders!K$1,Data_products!$A$1:$G$1,0))</f>
        <v>2.5</v>
      </c>
      <c r="L687">
        <f>INDEX(Data_products!$A$1:$G$49, MATCH(Data_orders!$D687,Data_products!$A$1:$A$49,0), MATCH(Data_orders!L$1,Data_products!$A$1:$G$1,0))</f>
        <v>36.454999999999998</v>
      </c>
      <c r="M687">
        <f t="shared" si="20"/>
        <v>72.91</v>
      </c>
      <c r="N687" t="str" cm="1">
        <f t="array" ref="N687">_xlfn.IFS(I687 = "Rob", "Robusta", I687 = "Exc", "Excelsa", I687 = "Ara", "Arabica", I687 = "Lib", "Liberica")</f>
        <v>Liberica</v>
      </c>
      <c r="O687" t="str">
        <f t="shared" si="21"/>
        <v>Light</v>
      </c>
      <c r="P687" t="str">
        <f>_xlfn.XLOOKUP(Table1[[#This Row],[Customer ID]],Data_customers!$A$2:$A$1001,Data_customers!$I$2:$I$1001,,0)</f>
        <v>Yes</v>
      </c>
    </row>
    <row r="688" spans="1:16" x14ac:dyDescent="0.2">
      <c r="A688" s="2" t="s">
        <v>4365</v>
      </c>
      <c r="B688" s="3">
        <v>44330</v>
      </c>
      <c r="C688" s="2" t="s">
        <v>4366</v>
      </c>
      <c r="D688" t="s">
        <v>6163</v>
      </c>
      <c r="E688" s="2">
        <v>3</v>
      </c>
      <c r="F688" s="2" t="str">
        <f>_xlfn.XLOOKUP(Data_orders!C688,Data_customers!$A$1:$A$1001,Data_customers!$B$1:$B$1001,,0)</f>
        <v>Deonne Shortall</v>
      </c>
      <c r="G688" s="2" t="str">
        <f>IF(_xlfn.XLOOKUP(C688,Data_customers!$A$1:$A$1001,Data_customers!$C$1:$C$1001,,0)=0,"",_xlfn.XLOOKUP(C688,Data_customers!$A$1:$A$1001,Data_customers!$C$1:$C$1001,,0))</f>
        <v>dshortallj2@wikipedia.org</v>
      </c>
      <c r="H688" s="2" t="str">
        <f>_xlfn.XLOOKUP(C688,Data_customers!$A$1:$A$1001,Data_customers!$G$1:$G$1001,"",0)</f>
        <v>United States</v>
      </c>
      <c r="I688" t="str">
        <f>INDEX(Data_products!$A$1:$G$49, MATCH(Data_orders!$D688,Data_products!$A$1:$A$49,0), MATCH(Data_orders!I$1,Data_products!$A$1:$G$1,0))</f>
        <v>Rob</v>
      </c>
      <c r="J688" t="str">
        <f>INDEX(Data_products!$A$1:$G$49, MATCH(Data_orders!$D688,Data_products!$A$1:$A$49,0), MATCH(Data_orders!J$1,Data_products!$A$1:$G$1,0))</f>
        <v>D</v>
      </c>
      <c r="K688" s="4">
        <f>INDEX(Data_products!$A$1:$G$49, MATCH(Data_orders!$D688,Data_products!$A$1:$A$49,0), MATCH(Data_orders!K$1,Data_products!$A$1:$G$1,0))</f>
        <v>0.2</v>
      </c>
      <c r="L688">
        <f>INDEX(Data_products!$A$1:$G$49, MATCH(Data_orders!$D688,Data_products!$A$1:$A$49,0), MATCH(Data_orders!L$1,Data_products!$A$1:$G$1,0))</f>
        <v>2.6849999999999996</v>
      </c>
      <c r="M688">
        <f t="shared" si="20"/>
        <v>8.0549999999999997</v>
      </c>
      <c r="N688" t="str" cm="1">
        <f t="array" ref="N688">_xlfn.IFS(I688 = "Rob", "Robusta", I688 = "Exc", "Excelsa", I688 = "Ara", "Arabica", I688 = "Lib", "Liberica")</f>
        <v>Robusta</v>
      </c>
      <c r="O688" t="str">
        <f t="shared" si="21"/>
        <v>Dark</v>
      </c>
      <c r="P688" t="str">
        <f>_xlfn.XLOOKUP(Table1[[#This Row],[Customer ID]],Data_customers!$A$2:$A$1001,Data_customers!$I$2:$I$1001,,0)</f>
        <v>Yes</v>
      </c>
    </row>
    <row r="689" spans="1:16" x14ac:dyDescent="0.2">
      <c r="A689" s="2" t="s">
        <v>4371</v>
      </c>
      <c r="B689" s="3">
        <v>43471</v>
      </c>
      <c r="C689" s="2" t="s">
        <v>4372</v>
      </c>
      <c r="D689" t="s">
        <v>6139</v>
      </c>
      <c r="E689" s="2">
        <v>2</v>
      </c>
      <c r="F689" s="2" t="str">
        <f>_xlfn.XLOOKUP(Data_orders!C689,Data_customers!$A$1:$A$1001,Data_customers!$B$1:$B$1001,,0)</f>
        <v>Wilton Cottier</v>
      </c>
      <c r="G689" s="2" t="str">
        <f>IF(_xlfn.XLOOKUP(C689,Data_customers!$A$1:$A$1001,Data_customers!$C$1:$C$1001,,0)=0,"",_xlfn.XLOOKUP(C689,Data_customers!$A$1:$A$1001,Data_customers!$C$1:$C$1001,,0))</f>
        <v>wcottierj3@cafepress.com</v>
      </c>
      <c r="H689" s="2" t="str">
        <f>_xlfn.XLOOKUP(C689,Data_customers!$A$1:$A$1001,Data_customers!$G$1:$G$1001,"",0)</f>
        <v>United States</v>
      </c>
      <c r="I689" t="str">
        <f>INDEX(Data_products!$A$1:$G$49, MATCH(Data_orders!$D689,Data_products!$A$1:$A$49,0), MATCH(Data_orders!I$1,Data_products!$A$1:$G$1,0))</f>
        <v>Exc</v>
      </c>
      <c r="J689" t="str">
        <f>INDEX(Data_products!$A$1:$G$49, MATCH(Data_orders!$D689,Data_products!$A$1:$A$49,0), MATCH(Data_orders!J$1,Data_products!$A$1:$G$1,0))</f>
        <v>M</v>
      </c>
      <c r="K689" s="4">
        <f>INDEX(Data_products!$A$1:$G$49, MATCH(Data_orders!$D689,Data_products!$A$1:$A$49,0), MATCH(Data_orders!K$1,Data_products!$A$1:$G$1,0))</f>
        <v>0.5</v>
      </c>
      <c r="L689">
        <f>INDEX(Data_products!$A$1:$G$49, MATCH(Data_orders!$D689,Data_products!$A$1:$A$49,0), MATCH(Data_orders!L$1,Data_products!$A$1:$G$1,0))</f>
        <v>8.25</v>
      </c>
      <c r="M689">
        <f t="shared" si="20"/>
        <v>16.5</v>
      </c>
      <c r="N689" t="str" cm="1">
        <f t="array" ref="N689">_xlfn.IFS(I689 = "Rob", "Robusta", I689 = "Exc", "Excelsa", I689 = "Ara", "Arabica", I689 = "Lib", "Liberica")</f>
        <v>Excelsa</v>
      </c>
      <c r="O689" t="str">
        <f t="shared" si="21"/>
        <v>Medium</v>
      </c>
      <c r="P689" t="str">
        <f>_xlfn.XLOOKUP(Table1[[#This Row],[Customer ID]],Data_customers!$A$2:$A$1001,Data_customers!$I$2:$I$1001,,0)</f>
        <v>No</v>
      </c>
    </row>
    <row r="690" spans="1:16" x14ac:dyDescent="0.2">
      <c r="A690" s="2" t="s">
        <v>4377</v>
      </c>
      <c r="B690" s="3">
        <v>43579</v>
      </c>
      <c r="C690" s="2" t="s">
        <v>4378</v>
      </c>
      <c r="D690" t="s">
        <v>6140</v>
      </c>
      <c r="E690" s="2">
        <v>5</v>
      </c>
      <c r="F690" s="2" t="str">
        <f>_xlfn.XLOOKUP(Data_orders!C690,Data_customers!$A$1:$A$1001,Data_customers!$B$1:$B$1001,,0)</f>
        <v>Kevan Grinsted</v>
      </c>
      <c r="G690" s="2" t="str">
        <f>IF(_xlfn.XLOOKUP(C690,Data_customers!$A$1:$A$1001,Data_customers!$C$1:$C$1001,,0)=0,"",_xlfn.XLOOKUP(C690,Data_customers!$A$1:$A$1001,Data_customers!$C$1:$C$1001,,0))</f>
        <v>kgrinstedj4@google.com.br</v>
      </c>
      <c r="H690" s="2" t="str">
        <f>_xlfn.XLOOKUP(C690,Data_customers!$A$1:$A$1001,Data_customers!$G$1:$G$1001,"",0)</f>
        <v>Ireland</v>
      </c>
      <c r="I690" t="str">
        <f>INDEX(Data_products!$A$1:$G$49, MATCH(Data_orders!$D690,Data_products!$A$1:$A$49,0), MATCH(Data_orders!I$1,Data_products!$A$1:$G$1,0))</f>
        <v>Ara</v>
      </c>
      <c r="J690" t="str">
        <f>INDEX(Data_products!$A$1:$G$49, MATCH(Data_orders!$D690,Data_products!$A$1:$A$49,0), MATCH(Data_orders!J$1,Data_products!$A$1:$G$1,0))</f>
        <v>L</v>
      </c>
      <c r="K690" s="4">
        <f>INDEX(Data_products!$A$1:$G$49, MATCH(Data_orders!$D690,Data_products!$A$1:$A$49,0), MATCH(Data_orders!K$1,Data_products!$A$1:$G$1,0))</f>
        <v>1</v>
      </c>
      <c r="L690">
        <f>INDEX(Data_products!$A$1:$G$49, MATCH(Data_orders!$D690,Data_products!$A$1:$A$49,0), MATCH(Data_orders!L$1,Data_products!$A$1:$G$1,0))</f>
        <v>12.95</v>
      </c>
      <c r="M690">
        <f t="shared" si="20"/>
        <v>64.75</v>
      </c>
      <c r="N690" t="str" cm="1">
        <f t="array" ref="N690">_xlfn.IFS(I690 = "Rob", "Robusta", I690 = "Exc", "Excelsa", I690 = "Ara", "Arabica", I690 = "Lib", "Liberica")</f>
        <v>Arabica</v>
      </c>
      <c r="O690" t="str">
        <f t="shared" si="21"/>
        <v>Light</v>
      </c>
      <c r="P690" t="str">
        <f>_xlfn.XLOOKUP(Table1[[#This Row],[Customer ID]],Data_customers!$A$2:$A$1001,Data_customers!$I$2:$I$1001,,0)</f>
        <v>No</v>
      </c>
    </row>
    <row r="691" spans="1:16" x14ac:dyDescent="0.2">
      <c r="A691" s="2" t="s">
        <v>4383</v>
      </c>
      <c r="B691" s="3">
        <v>44346</v>
      </c>
      <c r="C691" s="2" t="s">
        <v>4384</v>
      </c>
      <c r="D691" t="s">
        <v>6157</v>
      </c>
      <c r="E691" s="2">
        <v>5</v>
      </c>
      <c r="F691" s="2" t="str">
        <f>_xlfn.XLOOKUP(Data_orders!C691,Data_customers!$A$1:$A$1001,Data_customers!$B$1:$B$1001,,0)</f>
        <v>Dionne Skyner</v>
      </c>
      <c r="G691" s="2" t="str">
        <f>IF(_xlfn.XLOOKUP(C691,Data_customers!$A$1:$A$1001,Data_customers!$C$1:$C$1001,,0)=0,"",_xlfn.XLOOKUP(C691,Data_customers!$A$1:$A$1001,Data_customers!$C$1:$C$1001,,0))</f>
        <v>dskynerj5@hubpages.com</v>
      </c>
      <c r="H691" s="2" t="str">
        <f>_xlfn.XLOOKUP(C691,Data_customers!$A$1:$A$1001,Data_customers!$G$1:$G$1001,"",0)</f>
        <v>United States</v>
      </c>
      <c r="I691" t="str">
        <f>INDEX(Data_products!$A$1:$G$49, MATCH(Data_orders!$D691,Data_products!$A$1:$A$49,0), MATCH(Data_orders!I$1,Data_products!$A$1:$G$1,0))</f>
        <v>Ara</v>
      </c>
      <c r="J691" t="str">
        <f>INDEX(Data_products!$A$1:$G$49, MATCH(Data_orders!$D691,Data_products!$A$1:$A$49,0), MATCH(Data_orders!J$1,Data_products!$A$1:$G$1,0))</f>
        <v>M</v>
      </c>
      <c r="K691" s="4">
        <f>INDEX(Data_products!$A$1:$G$49, MATCH(Data_orders!$D691,Data_products!$A$1:$A$49,0), MATCH(Data_orders!K$1,Data_products!$A$1:$G$1,0))</f>
        <v>0.5</v>
      </c>
      <c r="L691">
        <f>INDEX(Data_products!$A$1:$G$49, MATCH(Data_orders!$D691,Data_products!$A$1:$A$49,0), MATCH(Data_orders!L$1,Data_products!$A$1:$G$1,0))</f>
        <v>6.75</v>
      </c>
      <c r="M691">
        <f t="shared" si="20"/>
        <v>33.75</v>
      </c>
      <c r="N691" t="str" cm="1">
        <f t="array" ref="N691">_xlfn.IFS(I691 = "Rob", "Robusta", I691 = "Exc", "Excelsa", I691 = "Ara", "Arabica", I691 = "Lib", "Liberica")</f>
        <v>Arabica</v>
      </c>
      <c r="O691" t="str">
        <f t="shared" si="21"/>
        <v>Medium</v>
      </c>
      <c r="P691" t="str">
        <f>_xlfn.XLOOKUP(Table1[[#This Row],[Customer ID]],Data_customers!$A$2:$A$1001,Data_customers!$I$2:$I$1001,,0)</f>
        <v>No</v>
      </c>
    </row>
    <row r="692" spans="1:16" x14ac:dyDescent="0.2">
      <c r="A692" s="2" t="s">
        <v>4389</v>
      </c>
      <c r="B692" s="3">
        <v>44754</v>
      </c>
      <c r="C692" s="2" t="s">
        <v>4390</v>
      </c>
      <c r="D692" t="s">
        <v>6165</v>
      </c>
      <c r="E692" s="2">
        <v>6</v>
      </c>
      <c r="F692" s="2" t="str">
        <f>_xlfn.XLOOKUP(Data_orders!C692,Data_customers!$A$1:$A$1001,Data_customers!$B$1:$B$1001,,0)</f>
        <v>Francesco Dressel</v>
      </c>
      <c r="G692" s="2" t="str">
        <f>IF(_xlfn.XLOOKUP(C692,Data_customers!$A$1:$A$1001,Data_customers!$C$1:$C$1001,,0)=0,"",_xlfn.XLOOKUP(C692,Data_customers!$A$1:$A$1001,Data_customers!$C$1:$C$1001,,0))</f>
        <v/>
      </c>
      <c r="H692" s="2" t="str">
        <f>_xlfn.XLOOKUP(C692,Data_customers!$A$1:$A$1001,Data_customers!$G$1:$G$1001,"",0)</f>
        <v>United States</v>
      </c>
      <c r="I692" t="str">
        <f>INDEX(Data_products!$A$1:$G$49, MATCH(Data_orders!$D692,Data_products!$A$1:$A$49,0), MATCH(Data_orders!I$1,Data_products!$A$1:$G$1,0))</f>
        <v>Lib</v>
      </c>
      <c r="J692" t="str">
        <f>INDEX(Data_products!$A$1:$G$49, MATCH(Data_orders!$D692,Data_products!$A$1:$A$49,0), MATCH(Data_orders!J$1,Data_products!$A$1:$G$1,0))</f>
        <v>D</v>
      </c>
      <c r="K692" s="4">
        <f>INDEX(Data_products!$A$1:$G$49, MATCH(Data_orders!$D692,Data_products!$A$1:$A$49,0), MATCH(Data_orders!K$1,Data_products!$A$1:$G$1,0))</f>
        <v>2.5</v>
      </c>
      <c r="L692">
        <f>INDEX(Data_products!$A$1:$G$49, MATCH(Data_orders!$D692,Data_products!$A$1:$A$49,0), MATCH(Data_orders!L$1,Data_products!$A$1:$G$1,0))</f>
        <v>29.784999999999997</v>
      </c>
      <c r="M692">
        <f t="shared" si="20"/>
        <v>178.70999999999998</v>
      </c>
      <c r="N692" t="str" cm="1">
        <f t="array" ref="N692">_xlfn.IFS(I692 = "Rob", "Robusta", I692 = "Exc", "Excelsa", I692 = "Ara", "Arabica", I692 = "Lib", "Liberica")</f>
        <v>Liberica</v>
      </c>
      <c r="O692" t="str">
        <f t="shared" si="21"/>
        <v>Dark</v>
      </c>
      <c r="P692" t="str">
        <f>_xlfn.XLOOKUP(Table1[[#This Row],[Customer ID]],Data_customers!$A$2:$A$1001,Data_customers!$I$2:$I$1001,,0)</f>
        <v>No</v>
      </c>
    </row>
    <row r="693" spans="1:16" x14ac:dyDescent="0.2">
      <c r="A693" s="2" t="s">
        <v>4393</v>
      </c>
      <c r="B693" s="3">
        <v>44227</v>
      </c>
      <c r="C693" s="2" t="s">
        <v>4434</v>
      </c>
      <c r="D693" t="s">
        <v>6155</v>
      </c>
      <c r="E693" s="2">
        <v>2</v>
      </c>
      <c r="F693" s="2" t="str">
        <f>_xlfn.XLOOKUP(Data_orders!C693,Data_customers!$A$1:$A$1001,Data_customers!$B$1:$B$1001,,0)</f>
        <v>Jimmy Dymoke</v>
      </c>
      <c r="G693" s="2" t="str">
        <f>IF(_xlfn.XLOOKUP(C693,Data_customers!$A$1:$A$1001,Data_customers!$C$1:$C$1001,,0)=0,"",_xlfn.XLOOKUP(C693,Data_customers!$A$1:$A$1001,Data_customers!$C$1:$C$1001,,0))</f>
        <v>jdymokeje@prnewswire.com</v>
      </c>
      <c r="H693" s="2" t="str">
        <f>_xlfn.XLOOKUP(C693,Data_customers!$A$1:$A$1001,Data_customers!$G$1:$G$1001,"",0)</f>
        <v>Ireland</v>
      </c>
      <c r="I693" t="str">
        <f>INDEX(Data_products!$A$1:$G$49, MATCH(Data_orders!$D693,Data_products!$A$1:$A$49,0), MATCH(Data_orders!I$1,Data_products!$A$1:$G$1,0))</f>
        <v>Ara</v>
      </c>
      <c r="J693" t="str">
        <f>INDEX(Data_products!$A$1:$G$49, MATCH(Data_orders!$D693,Data_products!$A$1:$A$49,0), MATCH(Data_orders!J$1,Data_products!$A$1:$G$1,0))</f>
        <v>M</v>
      </c>
      <c r="K693" s="4">
        <f>INDEX(Data_products!$A$1:$G$49, MATCH(Data_orders!$D693,Data_products!$A$1:$A$49,0), MATCH(Data_orders!K$1,Data_products!$A$1:$G$1,0))</f>
        <v>1</v>
      </c>
      <c r="L693">
        <f>INDEX(Data_products!$A$1:$G$49, MATCH(Data_orders!$D693,Data_products!$A$1:$A$49,0), MATCH(Data_orders!L$1,Data_products!$A$1:$G$1,0))</f>
        <v>11.25</v>
      </c>
      <c r="M693">
        <f t="shared" si="20"/>
        <v>22.5</v>
      </c>
      <c r="N693" t="str" cm="1">
        <f t="array" ref="N693">_xlfn.IFS(I693 = "Rob", "Robusta", I693 = "Exc", "Excelsa", I693 = "Ara", "Arabica", I693 = "Lib", "Liberica")</f>
        <v>Arabica</v>
      </c>
      <c r="O693" t="str">
        <f t="shared" si="21"/>
        <v>Medium</v>
      </c>
      <c r="P693" t="str">
        <f>_xlfn.XLOOKUP(Table1[[#This Row],[Customer ID]],Data_customers!$A$2:$A$1001,Data_customers!$I$2:$I$1001,,0)</f>
        <v>No</v>
      </c>
    </row>
    <row r="694" spans="1:16" x14ac:dyDescent="0.2">
      <c r="A694" s="2" t="s">
        <v>4399</v>
      </c>
      <c r="B694" s="3">
        <v>43720</v>
      </c>
      <c r="C694" s="2" t="s">
        <v>4400</v>
      </c>
      <c r="D694" t="s">
        <v>6143</v>
      </c>
      <c r="E694" s="2">
        <v>1</v>
      </c>
      <c r="F694" s="2" t="str">
        <f>_xlfn.XLOOKUP(Data_orders!C694,Data_customers!$A$1:$A$1001,Data_customers!$B$1:$B$1001,,0)</f>
        <v>Ambrosio Weinmann</v>
      </c>
      <c r="G694" s="2" t="str">
        <f>IF(_xlfn.XLOOKUP(C694,Data_customers!$A$1:$A$1001,Data_customers!$C$1:$C$1001,,0)=0,"",_xlfn.XLOOKUP(C694,Data_customers!$A$1:$A$1001,Data_customers!$C$1:$C$1001,,0))</f>
        <v>aweinmannj8@shinystat.com</v>
      </c>
      <c r="H694" s="2" t="str">
        <f>_xlfn.XLOOKUP(C694,Data_customers!$A$1:$A$1001,Data_customers!$G$1:$G$1001,"",0)</f>
        <v>United States</v>
      </c>
      <c r="I694" t="str">
        <f>INDEX(Data_products!$A$1:$G$49, MATCH(Data_orders!$D694,Data_products!$A$1:$A$49,0), MATCH(Data_orders!I$1,Data_products!$A$1:$G$1,0))</f>
        <v>Lib</v>
      </c>
      <c r="J694" t="str">
        <f>INDEX(Data_products!$A$1:$G$49, MATCH(Data_orders!$D694,Data_products!$A$1:$A$49,0), MATCH(Data_orders!J$1,Data_products!$A$1:$G$1,0))</f>
        <v>D</v>
      </c>
      <c r="K694" s="4">
        <f>INDEX(Data_products!$A$1:$G$49, MATCH(Data_orders!$D694,Data_products!$A$1:$A$49,0), MATCH(Data_orders!K$1,Data_products!$A$1:$G$1,0))</f>
        <v>1</v>
      </c>
      <c r="L694">
        <f>INDEX(Data_products!$A$1:$G$49, MATCH(Data_orders!$D694,Data_products!$A$1:$A$49,0), MATCH(Data_orders!L$1,Data_products!$A$1:$G$1,0))</f>
        <v>12.95</v>
      </c>
      <c r="M694">
        <f t="shared" si="20"/>
        <v>12.95</v>
      </c>
      <c r="N694" t="str" cm="1">
        <f t="array" ref="N694">_xlfn.IFS(I694 = "Rob", "Robusta", I694 = "Exc", "Excelsa", I694 = "Ara", "Arabica", I694 = "Lib", "Liberica")</f>
        <v>Liberica</v>
      </c>
      <c r="O694" t="str">
        <f t="shared" si="21"/>
        <v>Dark</v>
      </c>
      <c r="P694" t="str">
        <f>_xlfn.XLOOKUP(Table1[[#This Row],[Customer ID]],Data_customers!$A$2:$A$1001,Data_customers!$I$2:$I$1001,,0)</f>
        <v>No</v>
      </c>
    </row>
    <row r="695" spans="1:16" x14ac:dyDescent="0.2">
      <c r="A695" s="2" t="s">
        <v>4405</v>
      </c>
      <c r="B695" s="3">
        <v>44012</v>
      </c>
      <c r="C695" s="2" t="s">
        <v>4406</v>
      </c>
      <c r="D695" t="s">
        <v>6175</v>
      </c>
      <c r="E695" s="2">
        <v>2</v>
      </c>
      <c r="F695" s="2" t="str">
        <f>_xlfn.XLOOKUP(Data_orders!C695,Data_customers!$A$1:$A$1001,Data_customers!$B$1:$B$1001,,0)</f>
        <v>Elden Andriessen</v>
      </c>
      <c r="G695" s="2" t="str">
        <f>IF(_xlfn.XLOOKUP(C695,Data_customers!$A$1:$A$1001,Data_customers!$C$1:$C$1001,,0)=0,"",_xlfn.XLOOKUP(C695,Data_customers!$A$1:$A$1001,Data_customers!$C$1:$C$1001,,0))</f>
        <v>eandriessenj9@europa.eu</v>
      </c>
      <c r="H695" s="2" t="str">
        <f>_xlfn.XLOOKUP(C695,Data_customers!$A$1:$A$1001,Data_customers!$G$1:$G$1001,"",0)</f>
        <v>United States</v>
      </c>
      <c r="I695" t="str">
        <f>INDEX(Data_products!$A$1:$G$49, MATCH(Data_orders!$D695,Data_products!$A$1:$A$49,0), MATCH(Data_orders!I$1,Data_products!$A$1:$G$1,0))</f>
        <v>Ara</v>
      </c>
      <c r="J695" t="str">
        <f>INDEX(Data_products!$A$1:$G$49, MATCH(Data_orders!$D695,Data_products!$A$1:$A$49,0), MATCH(Data_orders!J$1,Data_products!$A$1:$G$1,0))</f>
        <v>M</v>
      </c>
      <c r="K695" s="4">
        <f>INDEX(Data_products!$A$1:$G$49, MATCH(Data_orders!$D695,Data_products!$A$1:$A$49,0), MATCH(Data_orders!K$1,Data_products!$A$1:$G$1,0))</f>
        <v>2.5</v>
      </c>
      <c r="L695">
        <f>INDEX(Data_products!$A$1:$G$49, MATCH(Data_orders!$D695,Data_products!$A$1:$A$49,0), MATCH(Data_orders!L$1,Data_products!$A$1:$G$1,0))</f>
        <v>25.874999999999996</v>
      </c>
      <c r="M695">
        <f t="shared" si="20"/>
        <v>51.749999999999993</v>
      </c>
      <c r="N695" t="str" cm="1">
        <f t="array" ref="N695">_xlfn.IFS(I695 = "Rob", "Robusta", I695 = "Exc", "Excelsa", I695 = "Ara", "Arabica", I695 = "Lib", "Liberica")</f>
        <v>Arabica</v>
      </c>
      <c r="O695" t="str">
        <f t="shared" si="21"/>
        <v>Medium</v>
      </c>
      <c r="P695" t="str">
        <f>_xlfn.XLOOKUP(Table1[[#This Row],[Customer ID]],Data_customers!$A$2:$A$1001,Data_customers!$I$2:$I$1001,,0)</f>
        <v>Yes</v>
      </c>
    </row>
    <row r="696" spans="1:16" x14ac:dyDescent="0.2">
      <c r="A696" s="2" t="s">
        <v>4411</v>
      </c>
      <c r="B696" s="3">
        <v>43915</v>
      </c>
      <c r="C696" s="2" t="s">
        <v>4412</v>
      </c>
      <c r="D696" t="s">
        <v>6144</v>
      </c>
      <c r="E696" s="2">
        <v>5</v>
      </c>
      <c r="F696" s="2" t="str">
        <f>_xlfn.XLOOKUP(Data_orders!C696,Data_customers!$A$1:$A$1001,Data_customers!$B$1:$B$1001,,0)</f>
        <v>Roxie Deaconson</v>
      </c>
      <c r="G696" s="2" t="str">
        <f>IF(_xlfn.XLOOKUP(C696,Data_customers!$A$1:$A$1001,Data_customers!$C$1:$C$1001,,0)=0,"",_xlfn.XLOOKUP(C696,Data_customers!$A$1:$A$1001,Data_customers!$C$1:$C$1001,,0))</f>
        <v>rdeaconsonja@archive.org</v>
      </c>
      <c r="H696" s="2" t="str">
        <f>_xlfn.XLOOKUP(C696,Data_customers!$A$1:$A$1001,Data_customers!$G$1:$G$1001,"",0)</f>
        <v>United States</v>
      </c>
      <c r="I696" t="str">
        <f>INDEX(Data_products!$A$1:$G$49, MATCH(Data_orders!$D696,Data_products!$A$1:$A$49,0), MATCH(Data_orders!I$1,Data_products!$A$1:$G$1,0))</f>
        <v>Exc</v>
      </c>
      <c r="J696" t="str">
        <f>INDEX(Data_products!$A$1:$G$49, MATCH(Data_orders!$D696,Data_products!$A$1:$A$49,0), MATCH(Data_orders!J$1,Data_products!$A$1:$G$1,0))</f>
        <v>D</v>
      </c>
      <c r="K696" s="4">
        <f>INDEX(Data_products!$A$1:$G$49, MATCH(Data_orders!$D696,Data_products!$A$1:$A$49,0), MATCH(Data_orders!K$1,Data_products!$A$1:$G$1,0))</f>
        <v>0.5</v>
      </c>
      <c r="L696">
        <f>INDEX(Data_products!$A$1:$G$49, MATCH(Data_orders!$D696,Data_products!$A$1:$A$49,0), MATCH(Data_orders!L$1,Data_products!$A$1:$G$1,0))</f>
        <v>7.29</v>
      </c>
      <c r="M696">
        <f t="shared" si="20"/>
        <v>36.450000000000003</v>
      </c>
      <c r="N696" t="str" cm="1">
        <f t="array" ref="N696">_xlfn.IFS(I696 = "Rob", "Robusta", I696 = "Exc", "Excelsa", I696 = "Ara", "Arabica", I696 = "Lib", "Liberica")</f>
        <v>Excelsa</v>
      </c>
      <c r="O696" t="str">
        <f t="shared" si="21"/>
        <v>Dark</v>
      </c>
      <c r="P696" t="str">
        <f>_xlfn.XLOOKUP(Table1[[#This Row],[Customer ID]],Data_customers!$A$2:$A$1001,Data_customers!$I$2:$I$1001,,0)</f>
        <v>No</v>
      </c>
    </row>
    <row r="697" spans="1:16" x14ac:dyDescent="0.2">
      <c r="A697" s="2" t="s">
        <v>4417</v>
      </c>
      <c r="B697" s="3">
        <v>44300</v>
      </c>
      <c r="C697" s="2" t="s">
        <v>4418</v>
      </c>
      <c r="D697" t="s">
        <v>6164</v>
      </c>
      <c r="E697" s="2">
        <v>5</v>
      </c>
      <c r="F697" s="2" t="str">
        <f>_xlfn.XLOOKUP(Data_orders!C697,Data_customers!$A$1:$A$1001,Data_customers!$B$1:$B$1001,,0)</f>
        <v>Davida Caro</v>
      </c>
      <c r="G697" s="2" t="str">
        <f>IF(_xlfn.XLOOKUP(C697,Data_customers!$A$1:$A$1001,Data_customers!$C$1:$C$1001,,0)=0,"",_xlfn.XLOOKUP(C697,Data_customers!$A$1:$A$1001,Data_customers!$C$1:$C$1001,,0))</f>
        <v>dcarojb@twitter.com</v>
      </c>
      <c r="H697" s="2" t="str">
        <f>_xlfn.XLOOKUP(C697,Data_customers!$A$1:$A$1001,Data_customers!$G$1:$G$1001,"",0)</f>
        <v>United States</v>
      </c>
      <c r="I697" t="str">
        <f>INDEX(Data_products!$A$1:$G$49, MATCH(Data_orders!$D697,Data_products!$A$1:$A$49,0), MATCH(Data_orders!I$1,Data_products!$A$1:$G$1,0))</f>
        <v>Lib</v>
      </c>
      <c r="J697" t="str">
        <f>INDEX(Data_products!$A$1:$G$49, MATCH(Data_orders!$D697,Data_products!$A$1:$A$49,0), MATCH(Data_orders!J$1,Data_products!$A$1:$G$1,0))</f>
        <v>L</v>
      </c>
      <c r="K697" s="4">
        <f>INDEX(Data_products!$A$1:$G$49, MATCH(Data_orders!$D697,Data_products!$A$1:$A$49,0), MATCH(Data_orders!K$1,Data_products!$A$1:$G$1,0))</f>
        <v>2.5</v>
      </c>
      <c r="L697">
        <f>INDEX(Data_products!$A$1:$G$49, MATCH(Data_orders!$D697,Data_products!$A$1:$A$49,0), MATCH(Data_orders!L$1,Data_products!$A$1:$G$1,0))</f>
        <v>36.454999999999998</v>
      </c>
      <c r="M697">
        <f t="shared" si="20"/>
        <v>182.27499999999998</v>
      </c>
      <c r="N697" t="str" cm="1">
        <f t="array" ref="N697">_xlfn.IFS(I697 = "Rob", "Robusta", I697 = "Exc", "Excelsa", I697 = "Ara", "Arabica", I697 = "Lib", "Liberica")</f>
        <v>Liberica</v>
      </c>
      <c r="O697" t="str">
        <f t="shared" si="21"/>
        <v>Light</v>
      </c>
      <c r="P697" t="str">
        <f>_xlfn.XLOOKUP(Table1[[#This Row],[Customer ID]],Data_customers!$A$2:$A$1001,Data_customers!$I$2:$I$1001,,0)</f>
        <v>Yes</v>
      </c>
    </row>
    <row r="698" spans="1:16" x14ac:dyDescent="0.2">
      <c r="A698" s="2" t="s">
        <v>4423</v>
      </c>
      <c r="B698" s="3">
        <v>43693</v>
      </c>
      <c r="C698" s="2" t="s">
        <v>4424</v>
      </c>
      <c r="D698" t="s">
        <v>6169</v>
      </c>
      <c r="E698" s="2">
        <v>4</v>
      </c>
      <c r="F698" s="2" t="str">
        <f>_xlfn.XLOOKUP(Data_orders!C698,Data_customers!$A$1:$A$1001,Data_customers!$B$1:$B$1001,,0)</f>
        <v>Johna Bluck</v>
      </c>
      <c r="G698" s="2" t="str">
        <f>IF(_xlfn.XLOOKUP(C698,Data_customers!$A$1:$A$1001,Data_customers!$C$1:$C$1001,,0)=0,"",_xlfn.XLOOKUP(C698,Data_customers!$A$1:$A$1001,Data_customers!$C$1:$C$1001,,0))</f>
        <v>jbluckjc@imageshack.us</v>
      </c>
      <c r="H698" s="2" t="str">
        <f>_xlfn.XLOOKUP(C698,Data_customers!$A$1:$A$1001,Data_customers!$G$1:$G$1001,"",0)</f>
        <v>United States</v>
      </c>
      <c r="I698" t="str">
        <f>INDEX(Data_products!$A$1:$G$49, MATCH(Data_orders!$D698,Data_products!$A$1:$A$49,0), MATCH(Data_orders!I$1,Data_products!$A$1:$G$1,0))</f>
        <v>Lib</v>
      </c>
      <c r="J698" t="str">
        <f>INDEX(Data_products!$A$1:$G$49, MATCH(Data_orders!$D698,Data_products!$A$1:$A$49,0), MATCH(Data_orders!J$1,Data_products!$A$1:$G$1,0))</f>
        <v>D</v>
      </c>
      <c r="K698" s="4">
        <f>INDEX(Data_products!$A$1:$G$49, MATCH(Data_orders!$D698,Data_products!$A$1:$A$49,0), MATCH(Data_orders!K$1,Data_products!$A$1:$G$1,0))</f>
        <v>0.5</v>
      </c>
      <c r="L698">
        <f>INDEX(Data_products!$A$1:$G$49, MATCH(Data_orders!$D698,Data_products!$A$1:$A$49,0), MATCH(Data_orders!L$1,Data_products!$A$1:$G$1,0))</f>
        <v>7.77</v>
      </c>
      <c r="M698">
        <f t="shared" si="20"/>
        <v>31.08</v>
      </c>
      <c r="N698" t="str" cm="1">
        <f t="array" ref="N698">_xlfn.IFS(I698 = "Rob", "Robusta", I698 = "Exc", "Excelsa", I698 = "Ara", "Arabica", I698 = "Lib", "Liberica")</f>
        <v>Liberica</v>
      </c>
      <c r="O698" t="str">
        <f t="shared" si="21"/>
        <v>Dark</v>
      </c>
      <c r="P698" t="str">
        <f>_xlfn.XLOOKUP(Table1[[#This Row],[Customer ID]],Data_customers!$A$2:$A$1001,Data_customers!$I$2:$I$1001,,0)</f>
        <v>No</v>
      </c>
    </row>
    <row r="699" spans="1:16" x14ac:dyDescent="0.2">
      <c r="A699" s="2" t="s">
        <v>4429</v>
      </c>
      <c r="B699" s="3">
        <v>44547</v>
      </c>
      <c r="C699" s="2" t="s">
        <v>4430</v>
      </c>
      <c r="D699" t="s">
        <v>6157</v>
      </c>
      <c r="E699" s="2">
        <v>3</v>
      </c>
      <c r="F699" s="2" t="str">
        <f>_xlfn.XLOOKUP(Data_orders!C699,Data_customers!$A$1:$A$1001,Data_customers!$B$1:$B$1001,,0)</f>
        <v>Myrle Dearden</v>
      </c>
      <c r="G699" s="2" t="str">
        <f>IF(_xlfn.XLOOKUP(C699,Data_customers!$A$1:$A$1001,Data_customers!$C$1:$C$1001,,0)=0,"",_xlfn.XLOOKUP(C699,Data_customers!$A$1:$A$1001,Data_customers!$C$1:$C$1001,,0))</f>
        <v/>
      </c>
      <c r="H699" s="2" t="str">
        <f>_xlfn.XLOOKUP(C699,Data_customers!$A$1:$A$1001,Data_customers!$G$1:$G$1001,"",0)</f>
        <v>Ireland</v>
      </c>
      <c r="I699" t="str">
        <f>INDEX(Data_products!$A$1:$G$49, MATCH(Data_orders!$D699,Data_products!$A$1:$A$49,0), MATCH(Data_orders!I$1,Data_products!$A$1:$G$1,0))</f>
        <v>Ara</v>
      </c>
      <c r="J699" t="str">
        <f>INDEX(Data_products!$A$1:$G$49, MATCH(Data_orders!$D699,Data_products!$A$1:$A$49,0), MATCH(Data_orders!J$1,Data_products!$A$1:$G$1,0))</f>
        <v>M</v>
      </c>
      <c r="K699" s="4">
        <f>INDEX(Data_products!$A$1:$G$49, MATCH(Data_orders!$D699,Data_products!$A$1:$A$49,0), MATCH(Data_orders!K$1,Data_products!$A$1:$G$1,0))</f>
        <v>0.5</v>
      </c>
      <c r="L699">
        <f>INDEX(Data_products!$A$1:$G$49, MATCH(Data_orders!$D699,Data_products!$A$1:$A$49,0), MATCH(Data_orders!L$1,Data_products!$A$1:$G$1,0))</f>
        <v>6.75</v>
      </c>
      <c r="M699">
        <f t="shared" si="20"/>
        <v>20.25</v>
      </c>
      <c r="N699" t="str" cm="1">
        <f t="array" ref="N699">_xlfn.IFS(I699 = "Rob", "Robusta", I699 = "Exc", "Excelsa", I699 = "Ara", "Arabica", I699 = "Lib", "Liberica")</f>
        <v>Arabica</v>
      </c>
      <c r="O699" t="str">
        <f t="shared" si="21"/>
        <v>Medium</v>
      </c>
      <c r="P699" t="str">
        <f>_xlfn.XLOOKUP(Table1[[#This Row],[Customer ID]],Data_customers!$A$2:$A$1001,Data_customers!$I$2:$I$1001,,0)</f>
        <v>No</v>
      </c>
    </row>
    <row r="700" spans="1:16" x14ac:dyDescent="0.2">
      <c r="A700" s="2" t="s">
        <v>4433</v>
      </c>
      <c r="B700" s="3">
        <v>43830</v>
      </c>
      <c r="C700" s="2" t="s">
        <v>4434</v>
      </c>
      <c r="D700" t="s">
        <v>6143</v>
      </c>
      <c r="E700" s="2">
        <v>2</v>
      </c>
      <c r="F700" s="2" t="str">
        <f>_xlfn.XLOOKUP(Data_orders!C700,Data_customers!$A$1:$A$1001,Data_customers!$B$1:$B$1001,,0)</f>
        <v>Jimmy Dymoke</v>
      </c>
      <c r="G700" s="2" t="str">
        <f>IF(_xlfn.XLOOKUP(C700,Data_customers!$A$1:$A$1001,Data_customers!$C$1:$C$1001,,0)=0,"",_xlfn.XLOOKUP(C700,Data_customers!$A$1:$A$1001,Data_customers!$C$1:$C$1001,,0))</f>
        <v>jdymokeje@prnewswire.com</v>
      </c>
      <c r="H700" s="2" t="str">
        <f>_xlfn.XLOOKUP(C700,Data_customers!$A$1:$A$1001,Data_customers!$G$1:$G$1001,"",0)</f>
        <v>Ireland</v>
      </c>
      <c r="I700" t="str">
        <f>INDEX(Data_products!$A$1:$G$49, MATCH(Data_orders!$D700,Data_products!$A$1:$A$49,0), MATCH(Data_orders!I$1,Data_products!$A$1:$G$1,0))</f>
        <v>Lib</v>
      </c>
      <c r="J700" t="str">
        <f>INDEX(Data_products!$A$1:$G$49, MATCH(Data_orders!$D700,Data_products!$A$1:$A$49,0), MATCH(Data_orders!J$1,Data_products!$A$1:$G$1,0))</f>
        <v>D</v>
      </c>
      <c r="K700" s="4">
        <f>INDEX(Data_products!$A$1:$G$49, MATCH(Data_orders!$D700,Data_products!$A$1:$A$49,0), MATCH(Data_orders!K$1,Data_products!$A$1:$G$1,0))</f>
        <v>1</v>
      </c>
      <c r="L700">
        <f>INDEX(Data_products!$A$1:$G$49, MATCH(Data_orders!$D700,Data_products!$A$1:$A$49,0), MATCH(Data_orders!L$1,Data_products!$A$1:$G$1,0))</f>
        <v>12.95</v>
      </c>
      <c r="M700">
        <f t="shared" si="20"/>
        <v>25.9</v>
      </c>
      <c r="N700" t="str" cm="1">
        <f t="array" ref="N700">_xlfn.IFS(I700 = "Rob", "Robusta", I700 = "Exc", "Excelsa", I700 = "Ara", "Arabica", I700 = "Lib", "Liberica")</f>
        <v>Liberica</v>
      </c>
      <c r="O700" t="str">
        <f t="shared" si="21"/>
        <v>Dark</v>
      </c>
      <c r="P700" t="str">
        <f>_xlfn.XLOOKUP(Table1[[#This Row],[Customer ID]],Data_customers!$A$2:$A$1001,Data_customers!$I$2:$I$1001,,0)</f>
        <v>No</v>
      </c>
    </row>
    <row r="701" spans="1:16" x14ac:dyDescent="0.2">
      <c r="A701" s="2" t="s">
        <v>4439</v>
      </c>
      <c r="B701" s="3">
        <v>44298</v>
      </c>
      <c r="C701" s="2" t="s">
        <v>4440</v>
      </c>
      <c r="D701" t="s">
        <v>6158</v>
      </c>
      <c r="E701" s="2">
        <v>4</v>
      </c>
      <c r="F701" s="2" t="str">
        <f>_xlfn.XLOOKUP(Data_orders!C701,Data_customers!$A$1:$A$1001,Data_customers!$B$1:$B$1001,,0)</f>
        <v>Orland Tadman</v>
      </c>
      <c r="G701" s="2" t="str">
        <f>IF(_xlfn.XLOOKUP(C701,Data_customers!$A$1:$A$1001,Data_customers!$C$1:$C$1001,,0)=0,"",_xlfn.XLOOKUP(C701,Data_customers!$A$1:$A$1001,Data_customers!$C$1:$C$1001,,0))</f>
        <v>otadmanjf@ft.com</v>
      </c>
      <c r="H701" s="2" t="str">
        <f>_xlfn.XLOOKUP(C701,Data_customers!$A$1:$A$1001,Data_customers!$G$1:$G$1001,"",0)</f>
        <v>United States</v>
      </c>
      <c r="I701" t="str">
        <f>INDEX(Data_products!$A$1:$G$49, MATCH(Data_orders!$D701,Data_products!$A$1:$A$49,0), MATCH(Data_orders!I$1,Data_products!$A$1:$G$1,0))</f>
        <v>Ara</v>
      </c>
      <c r="J701" t="str">
        <f>INDEX(Data_products!$A$1:$G$49, MATCH(Data_orders!$D701,Data_products!$A$1:$A$49,0), MATCH(Data_orders!J$1,Data_products!$A$1:$G$1,0))</f>
        <v>D</v>
      </c>
      <c r="K701" s="4">
        <f>INDEX(Data_products!$A$1:$G$49, MATCH(Data_orders!$D701,Data_products!$A$1:$A$49,0), MATCH(Data_orders!K$1,Data_products!$A$1:$G$1,0))</f>
        <v>0.5</v>
      </c>
      <c r="L701">
        <f>INDEX(Data_products!$A$1:$G$49, MATCH(Data_orders!$D701,Data_products!$A$1:$A$49,0), MATCH(Data_orders!L$1,Data_products!$A$1:$G$1,0))</f>
        <v>5.97</v>
      </c>
      <c r="M701">
        <f t="shared" si="20"/>
        <v>23.88</v>
      </c>
      <c r="N701" t="str" cm="1">
        <f t="array" ref="N701">_xlfn.IFS(I701 = "Rob", "Robusta", I701 = "Exc", "Excelsa", I701 = "Ara", "Arabica", I701 = "Lib", "Liberica")</f>
        <v>Arabica</v>
      </c>
      <c r="O701" t="str">
        <f t="shared" si="21"/>
        <v>Dark</v>
      </c>
      <c r="P701" t="str">
        <f>_xlfn.XLOOKUP(Table1[[#This Row],[Customer ID]],Data_customers!$A$2:$A$1001,Data_customers!$I$2:$I$1001,,0)</f>
        <v>Yes</v>
      </c>
    </row>
    <row r="702" spans="1:16" x14ac:dyDescent="0.2">
      <c r="A702" s="2" t="s">
        <v>4445</v>
      </c>
      <c r="B702" s="3">
        <v>43736</v>
      </c>
      <c r="C702" s="2" t="s">
        <v>4446</v>
      </c>
      <c r="D702" t="s">
        <v>6161</v>
      </c>
      <c r="E702" s="2">
        <v>2</v>
      </c>
      <c r="F702" s="2" t="str">
        <f>_xlfn.XLOOKUP(Data_orders!C702,Data_customers!$A$1:$A$1001,Data_customers!$B$1:$B$1001,,0)</f>
        <v>Barrett Gudde</v>
      </c>
      <c r="G702" s="2" t="str">
        <f>IF(_xlfn.XLOOKUP(C702,Data_customers!$A$1:$A$1001,Data_customers!$C$1:$C$1001,,0)=0,"",_xlfn.XLOOKUP(C702,Data_customers!$A$1:$A$1001,Data_customers!$C$1:$C$1001,,0))</f>
        <v>bguddejg@dailymotion.com</v>
      </c>
      <c r="H702" s="2" t="str">
        <f>_xlfn.XLOOKUP(C702,Data_customers!$A$1:$A$1001,Data_customers!$G$1:$G$1001,"",0)</f>
        <v>United States</v>
      </c>
      <c r="I702" t="str">
        <f>INDEX(Data_products!$A$1:$G$49, MATCH(Data_orders!$D702,Data_products!$A$1:$A$49,0), MATCH(Data_orders!I$1,Data_products!$A$1:$G$1,0))</f>
        <v>Lib</v>
      </c>
      <c r="J702" t="str">
        <f>INDEX(Data_products!$A$1:$G$49, MATCH(Data_orders!$D702,Data_products!$A$1:$A$49,0), MATCH(Data_orders!J$1,Data_products!$A$1:$G$1,0))</f>
        <v>L</v>
      </c>
      <c r="K702" s="4">
        <f>INDEX(Data_products!$A$1:$G$49, MATCH(Data_orders!$D702,Data_products!$A$1:$A$49,0), MATCH(Data_orders!K$1,Data_products!$A$1:$G$1,0))</f>
        <v>0.5</v>
      </c>
      <c r="L702">
        <f>INDEX(Data_products!$A$1:$G$49, MATCH(Data_orders!$D702,Data_products!$A$1:$A$49,0), MATCH(Data_orders!L$1,Data_products!$A$1:$G$1,0))</f>
        <v>9.51</v>
      </c>
      <c r="M702">
        <f t="shared" si="20"/>
        <v>19.02</v>
      </c>
      <c r="N702" t="str" cm="1">
        <f t="array" ref="N702">_xlfn.IFS(I702 = "Rob", "Robusta", I702 = "Exc", "Excelsa", I702 = "Ara", "Arabica", I702 = "Lib", "Liberica")</f>
        <v>Liberica</v>
      </c>
      <c r="O702" t="str">
        <f t="shared" si="21"/>
        <v>Light</v>
      </c>
      <c r="P702" t="str">
        <f>_xlfn.XLOOKUP(Table1[[#This Row],[Customer ID]],Data_customers!$A$2:$A$1001,Data_customers!$I$2:$I$1001,,0)</f>
        <v>No</v>
      </c>
    </row>
    <row r="703" spans="1:16" x14ac:dyDescent="0.2">
      <c r="A703" s="2" t="s">
        <v>4450</v>
      </c>
      <c r="B703" s="3">
        <v>44727</v>
      </c>
      <c r="C703" s="2" t="s">
        <v>4451</v>
      </c>
      <c r="D703" t="s">
        <v>6158</v>
      </c>
      <c r="E703" s="2">
        <v>5</v>
      </c>
      <c r="F703" s="2" t="str">
        <f>_xlfn.XLOOKUP(Data_orders!C703,Data_customers!$A$1:$A$1001,Data_customers!$B$1:$B$1001,,0)</f>
        <v>Nathan Sictornes</v>
      </c>
      <c r="G703" s="2" t="str">
        <f>IF(_xlfn.XLOOKUP(C703,Data_customers!$A$1:$A$1001,Data_customers!$C$1:$C$1001,,0)=0,"",_xlfn.XLOOKUP(C703,Data_customers!$A$1:$A$1001,Data_customers!$C$1:$C$1001,,0))</f>
        <v>nsictornesjh@buzzfeed.com</v>
      </c>
      <c r="H703" s="2" t="str">
        <f>_xlfn.XLOOKUP(C703,Data_customers!$A$1:$A$1001,Data_customers!$G$1:$G$1001,"",0)</f>
        <v>Ireland</v>
      </c>
      <c r="I703" t="str">
        <f>INDEX(Data_products!$A$1:$G$49, MATCH(Data_orders!$D703,Data_products!$A$1:$A$49,0), MATCH(Data_orders!I$1,Data_products!$A$1:$G$1,0))</f>
        <v>Ara</v>
      </c>
      <c r="J703" t="str">
        <f>INDEX(Data_products!$A$1:$G$49, MATCH(Data_orders!$D703,Data_products!$A$1:$A$49,0), MATCH(Data_orders!J$1,Data_products!$A$1:$G$1,0))</f>
        <v>D</v>
      </c>
      <c r="K703" s="4">
        <f>INDEX(Data_products!$A$1:$G$49, MATCH(Data_orders!$D703,Data_products!$A$1:$A$49,0), MATCH(Data_orders!K$1,Data_products!$A$1:$G$1,0))</f>
        <v>0.5</v>
      </c>
      <c r="L703">
        <f>INDEX(Data_products!$A$1:$G$49, MATCH(Data_orders!$D703,Data_products!$A$1:$A$49,0), MATCH(Data_orders!L$1,Data_products!$A$1:$G$1,0))</f>
        <v>5.97</v>
      </c>
      <c r="M703">
        <f t="shared" si="20"/>
        <v>29.849999999999998</v>
      </c>
      <c r="N703" t="str" cm="1">
        <f t="array" ref="N703">_xlfn.IFS(I703 = "Rob", "Robusta", I703 = "Exc", "Excelsa", I703 = "Ara", "Arabica", I703 = "Lib", "Liberica")</f>
        <v>Arabica</v>
      </c>
      <c r="O703" t="str">
        <f t="shared" si="21"/>
        <v>Dark</v>
      </c>
      <c r="P703" t="str">
        <f>_xlfn.XLOOKUP(Table1[[#This Row],[Customer ID]],Data_customers!$A$2:$A$1001,Data_customers!$I$2:$I$1001,,0)</f>
        <v>Yes</v>
      </c>
    </row>
    <row r="704" spans="1:16" x14ac:dyDescent="0.2">
      <c r="A704" s="2" t="s">
        <v>4456</v>
      </c>
      <c r="B704" s="3">
        <v>43661</v>
      </c>
      <c r="C704" s="2" t="s">
        <v>4457</v>
      </c>
      <c r="D704" t="s">
        <v>6180</v>
      </c>
      <c r="E704" s="2">
        <v>1</v>
      </c>
      <c r="F704" s="2" t="str">
        <f>_xlfn.XLOOKUP(Data_orders!C704,Data_customers!$A$1:$A$1001,Data_customers!$B$1:$B$1001,,0)</f>
        <v>Vivyan Dunning</v>
      </c>
      <c r="G704" s="2" t="str">
        <f>IF(_xlfn.XLOOKUP(C704,Data_customers!$A$1:$A$1001,Data_customers!$C$1:$C$1001,,0)=0,"",_xlfn.XLOOKUP(C704,Data_customers!$A$1:$A$1001,Data_customers!$C$1:$C$1001,,0))</f>
        <v>vdunningji@independent.co.uk</v>
      </c>
      <c r="H704" s="2" t="str">
        <f>_xlfn.XLOOKUP(C704,Data_customers!$A$1:$A$1001,Data_customers!$G$1:$G$1001,"",0)</f>
        <v>United States</v>
      </c>
      <c r="I704" t="str">
        <f>INDEX(Data_products!$A$1:$G$49, MATCH(Data_orders!$D704,Data_products!$A$1:$A$49,0), MATCH(Data_orders!I$1,Data_products!$A$1:$G$1,0))</f>
        <v>Ara</v>
      </c>
      <c r="J704" t="str">
        <f>INDEX(Data_products!$A$1:$G$49, MATCH(Data_orders!$D704,Data_products!$A$1:$A$49,0), MATCH(Data_orders!J$1,Data_products!$A$1:$G$1,0))</f>
        <v>L</v>
      </c>
      <c r="K704" s="4">
        <f>INDEX(Data_products!$A$1:$G$49, MATCH(Data_orders!$D704,Data_products!$A$1:$A$49,0), MATCH(Data_orders!K$1,Data_products!$A$1:$G$1,0))</f>
        <v>0.5</v>
      </c>
      <c r="L704">
        <f>INDEX(Data_products!$A$1:$G$49, MATCH(Data_orders!$D704,Data_products!$A$1:$A$49,0), MATCH(Data_orders!L$1,Data_products!$A$1:$G$1,0))</f>
        <v>7.77</v>
      </c>
      <c r="M704">
        <f t="shared" si="20"/>
        <v>7.77</v>
      </c>
      <c r="N704" t="str" cm="1">
        <f t="array" ref="N704">_xlfn.IFS(I704 = "Rob", "Robusta", I704 = "Exc", "Excelsa", I704 = "Ara", "Arabica", I704 = "Lib", "Liberica")</f>
        <v>Arabica</v>
      </c>
      <c r="O704" t="str">
        <f t="shared" si="21"/>
        <v>Light</v>
      </c>
      <c r="P704" t="str">
        <f>_xlfn.XLOOKUP(Table1[[#This Row],[Customer ID]],Data_customers!$A$2:$A$1001,Data_customers!$I$2:$I$1001,,0)</f>
        <v>Yes</v>
      </c>
    </row>
    <row r="705" spans="1:16" x14ac:dyDescent="0.2">
      <c r="A705" s="2" t="s">
        <v>4461</v>
      </c>
      <c r="B705" s="3">
        <v>43506</v>
      </c>
      <c r="C705" s="2" t="s">
        <v>4462</v>
      </c>
      <c r="D705" t="s">
        <v>6165</v>
      </c>
      <c r="E705" s="2">
        <v>4</v>
      </c>
      <c r="F705" s="2" t="str">
        <f>_xlfn.XLOOKUP(Data_orders!C705,Data_customers!$A$1:$A$1001,Data_customers!$B$1:$B$1001,,0)</f>
        <v>Doralin Baison</v>
      </c>
      <c r="G705" s="2" t="str">
        <f>IF(_xlfn.XLOOKUP(C705,Data_customers!$A$1:$A$1001,Data_customers!$C$1:$C$1001,,0)=0,"",_xlfn.XLOOKUP(C705,Data_customers!$A$1:$A$1001,Data_customers!$C$1:$C$1001,,0))</f>
        <v/>
      </c>
      <c r="H705" s="2" t="str">
        <f>_xlfn.XLOOKUP(C705,Data_customers!$A$1:$A$1001,Data_customers!$G$1:$G$1001,"",0)</f>
        <v>Ireland</v>
      </c>
      <c r="I705" t="str">
        <f>INDEX(Data_products!$A$1:$G$49, MATCH(Data_orders!$D705,Data_products!$A$1:$A$49,0), MATCH(Data_orders!I$1,Data_products!$A$1:$G$1,0))</f>
        <v>Lib</v>
      </c>
      <c r="J705" t="str">
        <f>INDEX(Data_products!$A$1:$G$49, MATCH(Data_orders!$D705,Data_products!$A$1:$A$49,0), MATCH(Data_orders!J$1,Data_products!$A$1:$G$1,0))</f>
        <v>D</v>
      </c>
      <c r="K705" s="4">
        <f>INDEX(Data_products!$A$1:$G$49, MATCH(Data_orders!$D705,Data_products!$A$1:$A$49,0), MATCH(Data_orders!K$1,Data_products!$A$1:$G$1,0))</f>
        <v>2.5</v>
      </c>
      <c r="L705">
        <f>INDEX(Data_products!$A$1:$G$49, MATCH(Data_orders!$D705,Data_products!$A$1:$A$49,0), MATCH(Data_orders!L$1,Data_products!$A$1:$G$1,0))</f>
        <v>29.784999999999997</v>
      </c>
      <c r="M705">
        <f t="shared" si="20"/>
        <v>119.13999999999999</v>
      </c>
      <c r="N705" t="str" cm="1">
        <f t="array" ref="N705">_xlfn.IFS(I705 = "Rob", "Robusta", I705 = "Exc", "Excelsa", I705 = "Ara", "Arabica", I705 = "Lib", "Liberica")</f>
        <v>Liberica</v>
      </c>
      <c r="O705" t="str">
        <f t="shared" si="21"/>
        <v>Dark</v>
      </c>
      <c r="P705" t="str">
        <f>_xlfn.XLOOKUP(Table1[[#This Row],[Customer ID]],Data_customers!$A$2:$A$1001,Data_customers!$I$2:$I$1001,,0)</f>
        <v>Yes</v>
      </c>
    </row>
    <row r="706" spans="1:16" x14ac:dyDescent="0.2">
      <c r="A706" s="2" t="s">
        <v>4466</v>
      </c>
      <c r="B706" s="3">
        <v>44716</v>
      </c>
      <c r="C706" s="2" t="s">
        <v>4467</v>
      </c>
      <c r="D706" t="s">
        <v>6153</v>
      </c>
      <c r="E706" s="2">
        <v>6</v>
      </c>
      <c r="F706" s="2" t="str">
        <f>_xlfn.XLOOKUP(Data_orders!C706,Data_customers!$A$1:$A$1001,Data_customers!$B$1:$B$1001,,0)</f>
        <v>Josefina Ferens</v>
      </c>
      <c r="G706" s="2" t="str">
        <f>IF(_xlfn.XLOOKUP(C706,Data_customers!$A$1:$A$1001,Data_customers!$C$1:$C$1001,,0)=0,"",_xlfn.XLOOKUP(C706,Data_customers!$A$1:$A$1001,Data_customers!$C$1:$C$1001,,0))</f>
        <v/>
      </c>
      <c r="H706" s="2" t="str">
        <f>_xlfn.XLOOKUP(C706,Data_customers!$A$1:$A$1001,Data_customers!$G$1:$G$1001,"",0)</f>
        <v>United States</v>
      </c>
      <c r="I706" t="str">
        <f>INDEX(Data_products!$A$1:$G$49, MATCH(Data_orders!$D706,Data_products!$A$1:$A$49,0), MATCH(Data_orders!I$1,Data_products!$A$1:$G$1,0))</f>
        <v>Exc</v>
      </c>
      <c r="J706" t="str">
        <f>INDEX(Data_products!$A$1:$G$49, MATCH(Data_orders!$D706,Data_products!$A$1:$A$49,0), MATCH(Data_orders!J$1,Data_products!$A$1:$G$1,0))</f>
        <v>D</v>
      </c>
      <c r="K706" s="4">
        <f>INDEX(Data_products!$A$1:$G$49, MATCH(Data_orders!$D706,Data_products!$A$1:$A$49,0), MATCH(Data_orders!K$1,Data_products!$A$1:$G$1,0))</f>
        <v>0.2</v>
      </c>
      <c r="L706">
        <f>INDEX(Data_products!$A$1:$G$49, MATCH(Data_orders!$D706,Data_products!$A$1:$A$49,0), MATCH(Data_orders!L$1,Data_products!$A$1:$G$1,0))</f>
        <v>3.645</v>
      </c>
      <c r="M706">
        <f t="shared" si="20"/>
        <v>21.87</v>
      </c>
      <c r="N706" t="str" cm="1">
        <f t="array" ref="N706">_xlfn.IFS(I706 = "Rob", "Robusta", I706 = "Exc", "Excelsa", I706 = "Ara", "Arabica", I706 = "Lib", "Liberica")</f>
        <v>Excelsa</v>
      </c>
      <c r="O706" t="str">
        <f t="shared" si="21"/>
        <v>Dark</v>
      </c>
      <c r="P706" t="str">
        <f>_xlfn.XLOOKUP(Table1[[#This Row],[Customer ID]],Data_customers!$A$2:$A$1001,Data_customers!$I$2:$I$1001,,0)</f>
        <v>Yes</v>
      </c>
    </row>
    <row r="707" spans="1:16" x14ac:dyDescent="0.2">
      <c r="A707" s="2" t="s">
        <v>4471</v>
      </c>
      <c r="B707" s="3">
        <v>44114</v>
      </c>
      <c r="C707" s="2" t="s">
        <v>4472</v>
      </c>
      <c r="D707" t="s">
        <v>6176</v>
      </c>
      <c r="E707" s="2">
        <v>2</v>
      </c>
      <c r="F707" s="2" t="str">
        <f>_xlfn.XLOOKUP(Data_orders!C707,Data_customers!$A$1:$A$1001,Data_customers!$B$1:$B$1001,,0)</f>
        <v>Shelley Gehring</v>
      </c>
      <c r="G707" s="2" t="str">
        <f>IF(_xlfn.XLOOKUP(C707,Data_customers!$A$1:$A$1001,Data_customers!$C$1:$C$1001,,0)=0,"",_xlfn.XLOOKUP(C707,Data_customers!$A$1:$A$1001,Data_customers!$C$1:$C$1001,,0))</f>
        <v>sgehringjl@gnu.org</v>
      </c>
      <c r="H707" s="2" t="str">
        <f>_xlfn.XLOOKUP(C707,Data_customers!$A$1:$A$1001,Data_customers!$G$1:$G$1001,"",0)</f>
        <v>United States</v>
      </c>
      <c r="I707" t="str">
        <f>INDEX(Data_products!$A$1:$G$49, MATCH(Data_orders!$D707,Data_products!$A$1:$A$49,0), MATCH(Data_orders!I$1,Data_products!$A$1:$G$1,0))</f>
        <v>Exc</v>
      </c>
      <c r="J707" t="str">
        <f>INDEX(Data_products!$A$1:$G$49, MATCH(Data_orders!$D707,Data_products!$A$1:$A$49,0), MATCH(Data_orders!J$1,Data_products!$A$1:$G$1,0))</f>
        <v>L</v>
      </c>
      <c r="K707" s="4">
        <f>INDEX(Data_products!$A$1:$G$49, MATCH(Data_orders!$D707,Data_products!$A$1:$A$49,0), MATCH(Data_orders!K$1,Data_products!$A$1:$G$1,0))</f>
        <v>0.5</v>
      </c>
      <c r="L707">
        <f>INDEX(Data_products!$A$1:$G$49, MATCH(Data_orders!$D707,Data_products!$A$1:$A$49,0), MATCH(Data_orders!L$1,Data_products!$A$1:$G$1,0))</f>
        <v>8.91</v>
      </c>
      <c r="M707">
        <f t="shared" ref="M707:M770" si="22">L707*E707</f>
        <v>17.82</v>
      </c>
      <c r="N707" t="str" cm="1">
        <f t="array" ref="N707">_xlfn.IFS(I707 = "Rob", "Robusta", I707 = "Exc", "Excelsa", I707 = "Ara", "Arabica", I707 = "Lib", "Liberica")</f>
        <v>Excelsa</v>
      </c>
      <c r="O707" t="str">
        <f t="shared" ref="O707:O770" si="23">IF(J707 = "M", "Medium", IF(J707 =  "L", "Light", IF(J707 = "D", "Dark", "")))</f>
        <v>Light</v>
      </c>
      <c r="P707" t="str">
        <f>_xlfn.XLOOKUP(Table1[[#This Row],[Customer ID]],Data_customers!$A$2:$A$1001,Data_customers!$I$2:$I$1001,,0)</f>
        <v>No</v>
      </c>
    </row>
    <row r="708" spans="1:16" x14ac:dyDescent="0.2">
      <c r="A708" s="2" t="s">
        <v>4477</v>
      </c>
      <c r="B708" s="3">
        <v>44353</v>
      </c>
      <c r="C708" s="2" t="s">
        <v>4478</v>
      </c>
      <c r="D708" t="s">
        <v>6156</v>
      </c>
      <c r="E708" s="2">
        <v>3</v>
      </c>
      <c r="F708" s="2" t="str">
        <f>_xlfn.XLOOKUP(Data_orders!C708,Data_customers!$A$1:$A$1001,Data_customers!$B$1:$B$1001,,0)</f>
        <v>Barrie Fallowes</v>
      </c>
      <c r="G708" s="2" t="str">
        <f>IF(_xlfn.XLOOKUP(C708,Data_customers!$A$1:$A$1001,Data_customers!$C$1:$C$1001,,0)=0,"",_xlfn.XLOOKUP(C708,Data_customers!$A$1:$A$1001,Data_customers!$C$1:$C$1001,,0))</f>
        <v>bfallowesjm@purevolume.com</v>
      </c>
      <c r="H708" s="2" t="str">
        <f>_xlfn.XLOOKUP(C708,Data_customers!$A$1:$A$1001,Data_customers!$G$1:$G$1001,"",0)</f>
        <v>United States</v>
      </c>
      <c r="I708" t="str">
        <f>INDEX(Data_products!$A$1:$G$49, MATCH(Data_orders!$D708,Data_products!$A$1:$A$49,0), MATCH(Data_orders!I$1,Data_products!$A$1:$G$1,0))</f>
        <v>Exc</v>
      </c>
      <c r="J708" t="str">
        <f>INDEX(Data_products!$A$1:$G$49, MATCH(Data_orders!$D708,Data_products!$A$1:$A$49,0), MATCH(Data_orders!J$1,Data_products!$A$1:$G$1,0))</f>
        <v>M</v>
      </c>
      <c r="K708" s="4">
        <f>INDEX(Data_products!$A$1:$G$49, MATCH(Data_orders!$D708,Data_products!$A$1:$A$49,0), MATCH(Data_orders!K$1,Data_products!$A$1:$G$1,0))</f>
        <v>0.2</v>
      </c>
      <c r="L708">
        <f>INDEX(Data_products!$A$1:$G$49, MATCH(Data_orders!$D708,Data_products!$A$1:$A$49,0), MATCH(Data_orders!L$1,Data_products!$A$1:$G$1,0))</f>
        <v>4.125</v>
      </c>
      <c r="M708">
        <f t="shared" si="22"/>
        <v>12.375</v>
      </c>
      <c r="N708" t="str" cm="1">
        <f t="array" ref="N708">_xlfn.IFS(I708 = "Rob", "Robusta", I708 = "Exc", "Excelsa", I708 = "Ara", "Arabica", I708 = "Lib", "Liberica")</f>
        <v>Excelsa</v>
      </c>
      <c r="O708" t="str">
        <f t="shared" si="23"/>
        <v>Medium</v>
      </c>
      <c r="P708" t="str">
        <f>_xlfn.XLOOKUP(Table1[[#This Row],[Customer ID]],Data_customers!$A$2:$A$1001,Data_customers!$I$2:$I$1001,,0)</f>
        <v>No</v>
      </c>
    </row>
    <row r="709" spans="1:16" x14ac:dyDescent="0.2">
      <c r="A709" s="2" t="s">
        <v>4483</v>
      </c>
      <c r="B709" s="3">
        <v>43540</v>
      </c>
      <c r="C709" s="2" t="s">
        <v>4484</v>
      </c>
      <c r="D709" t="s">
        <v>6143</v>
      </c>
      <c r="E709" s="2">
        <v>2</v>
      </c>
      <c r="F709" s="2" t="str">
        <f>_xlfn.XLOOKUP(Data_orders!C709,Data_customers!$A$1:$A$1001,Data_customers!$B$1:$B$1001,,0)</f>
        <v>Nicolas Aiton</v>
      </c>
      <c r="G709" s="2" t="str">
        <f>IF(_xlfn.XLOOKUP(C709,Data_customers!$A$1:$A$1001,Data_customers!$C$1:$C$1001,,0)=0,"",_xlfn.XLOOKUP(C709,Data_customers!$A$1:$A$1001,Data_customers!$C$1:$C$1001,,0))</f>
        <v/>
      </c>
      <c r="H709" s="2" t="str">
        <f>_xlfn.XLOOKUP(C709,Data_customers!$A$1:$A$1001,Data_customers!$G$1:$G$1001,"",0)</f>
        <v>Ireland</v>
      </c>
      <c r="I709" t="str">
        <f>INDEX(Data_products!$A$1:$G$49, MATCH(Data_orders!$D709,Data_products!$A$1:$A$49,0), MATCH(Data_orders!I$1,Data_products!$A$1:$G$1,0))</f>
        <v>Lib</v>
      </c>
      <c r="J709" t="str">
        <f>INDEX(Data_products!$A$1:$G$49, MATCH(Data_orders!$D709,Data_products!$A$1:$A$49,0), MATCH(Data_orders!J$1,Data_products!$A$1:$G$1,0))</f>
        <v>D</v>
      </c>
      <c r="K709" s="4">
        <f>INDEX(Data_products!$A$1:$G$49, MATCH(Data_orders!$D709,Data_products!$A$1:$A$49,0), MATCH(Data_orders!K$1,Data_products!$A$1:$G$1,0))</f>
        <v>1</v>
      </c>
      <c r="L709">
        <f>INDEX(Data_products!$A$1:$G$49, MATCH(Data_orders!$D709,Data_products!$A$1:$A$49,0), MATCH(Data_orders!L$1,Data_products!$A$1:$G$1,0))</f>
        <v>12.95</v>
      </c>
      <c r="M709">
        <f t="shared" si="22"/>
        <v>25.9</v>
      </c>
      <c r="N709" t="str" cm="1">
        <f t="array" ref="N709">_xlfn.IFS(I709 = "Rob", "Robusta", I709 = "Exc", "Excelsa", I709 = "Ara", "Arabica", I709 = "Lib", "Liberica")</f>
        <v>Liberica</v>
      </c>
      <c r="O709" t="str">
        <f t="shared" si="23"/>
        <v>Dark</v>
      </c>
      <c r="P709" t="str">
        <f>_xlfn.XLOOKUP(Table1[[#This Row],[Customer ID]],Data_customers!$A$2:$A$1001,Data_customers!$I$2:$I$1001,,0)</f>
        <v>No</v>
      </c>
    </row>
    <row r="710" spans="1:16" x14ac:dyDescent="0.2">
      <c r="A710" s="2" t="s">
        <v>4488</v>
      </c>
      <c r="B710" s="3">
        <v>43804</v>
      </c>
      <c r="C710" s="2" t="s">
        <v>4489</v>
      </c>
      <c r="D710" t="s">
        <v>6157</v>
      </c>
      <c r="E710" s="2">
        <v>2</v>
      </c>
      <c r="F710" s="2" t="str">
        <f>_xlfn.XLOOKUP(Data_orders!C710,Data_customers!$A$1:$A$1001,Data_customers!$B$1:$B$1001,,0)</f>
        <v>Shelli De Banke</v>
      </c>
      <c r="G710" s="2" t="str">
        <f>IF(_xlfn.XLOOKUP(C710,Data_customers!$A$1:$A$1001,Data_customers!$C$1:$C$1001,,0)=0,"",_xlfn.XLOOKUP(C710,Data_customers!$A$1:$A$1001,Data_customers!$C$1:$C$1001,,0))</f>
        <v>sdejo@newsvine.com</v>
      </c>
      <c r="H710" s="2" t="str">
        <f>_xlfn.XLOOKUP(C710,Data_customers!$A$1:$A$1001,Data_customers!$G$1:$G$1001,"",0)</f>
        <v>United States</v>
      </c>
      <c r="I710" t="str">
        <f>INDEX(Data_products!$A$1:$G$49, MATCH(Data_orders!$D710,Data_products!$A$1:$A$49,0), MATCH(Data_orders!I$1,Data_products!$A$1:$G$1,0))</f>
        <v>Ara</v>
      </c>
      <c r="J710" t="str">
        <f>INDEX(Data_products!$A$1:$G$49, MATCH(Data_orders!$D710,Data_products!$A$1:$A$49,0), MATCH(Data_orders!J$1,Data_products!$A$1:$G$1,0))</f>
        <v>M</v>
      </c>
      <c r="K710" s="4">
        <f>INDEX(Data_products!$A$1:$G$49, MATCH(Data_orders!$D710,Data_products!$A$1:$A$49,0), MATCH(Data_orders!K$1,Data_products!$A$1:$G$1,0))</f>
        <v>0.5</v>
      </c>
      <c r="L710">
        <f>INDEX(Data_products!$A$1:$G$49, MATCH(Data_orders!$D710,Data_products!$A$1:$A$49,0), MATCH(Data_orders!L$1,Data_products!$A$1:$G$1,0))</f>
        <v>6.75</v>
      </c>
      <c r="M710">
        <f t="shared" si="22"/>
        <v>13.5</v>
      </c>
      <c r="N710" t="str" cm="1">
        <f t="array" ref="N710">_xlfn.IFS(I710 = "Rob", "Robusta", I710 = "Exc", "Excelsa", I710 = "Ara", "Arabica", I710 = "Lib", "Liberica")</f>
        <v>Arabica</v>
      </c>
      <c r="O710" t="str">
        <f t="shared" si="23"/>
        <v>Medium</v>
      </c>
      <c r="P710" t="str">
        <f>_xlfn.XLOOKUP(Table1[[#This Row],[Customer ID]],Data_customers!$A$2:$A$1001,Data_customers!$I$2:$I$1001,,0)</f>
        <v>Yes</v>
      </c>
    </row>
    <row r="711" spans="1:16" x14ac:dyDescent="0.2">
      <c r="A711" s="2" t="s">
        <v>4494</v>
      </c>
      <c r="B711" s="3">
        <v>43485</v>
      </c>
      <c r="C711" s="2" t="s">
        <v>4495</v>
      </c>
      <c r="D711" t="s">
        <v>6176</v>
      </c>
      <c r="E711" s="2">
        <v>2</v>
      </c>
      <c r="F711" s="2" t="str">
        <f>_xlfn.XLOOKUP(Data_orders!C711,Data_customers!$A$1:$A$1001,Data_customers!$B$1:$B$1001,,0)</f>
        <v>Lyell Murch</v>
      </c>
      <c r="G711" s="2" t="str">
        <f>IF(_xlfn.XLOOKUP(C711,Data_customers!$A$1:$A$1001,Data_customers!$C$1:$C$1001,,0)=0,"",_xlfn.XLOOKUP(C711,Data_customers!$A$1:$A$1001,Data_customers!$C$1:$C$1001,,0))</f>
        <v/>
      </c>
      <c r="H711" s="2" t="str">
        <f>_xlfn.XLOOKUP(C711,Data_customers!$A$1:$A$1001,Data_customers!$G$1:$G$1001,"",0)</f>
        <v>United States</v>
      </c>
      <c r="I711" t="str">
        <f>INDEX(Data_products!$A$1:$G$49, MATCH(Data_orders!$D711,Data_products!$A$1:$A$49,0), MATCH(Data_orders!I$1,Data_products!$A$1:$G$1,0))</f>
        <v>Exc</v>
      </c>
      <c r="J711" t="str">
        <f>INDEX(Data_products!$A$1:$G$49, MATCH(Data_orders!$D711,Data_products!$A$1:$A$49,0), MATCH(Data_orders!J$1,Data_products!$A$1:$G$1,0))</f>
        <v>L</v>
      </c>
      <c r="K711" s="4">
        <f>INDEX(Data_products!$A$1:$G$49, MATCH(Data_orders!$D711,Data_products!$A$1:$A$49,0), MATCH(Data_orders!K$1,Data_products!$A$1:$G$1,0))</f>
        <v>0.5</v>
      </c>
      <c r="L711">
        <f>INDEX(Data_products!$A$1:$G$49, MATCH(Data_orders!$D711,Data_products!$A$1:$A$49,0), MATCH(Data_orders!L$1,Data_products!$A$1:$G$1,0))</f>
        <v>8.91</v>
      </c>
      <c r="M711">
        <f t="shared" si="22"/>
        <v>17.82</v>
      </c>
      <c r="N711" t="str" cm="1">
        <f t="array" ref="N711">_xlfn.IFS(I711 = "Rob", "Robusta", I711 = "Exc", "Excelsa", I711 = "Ara", "Arabica", I711 = "Lib", "Liberica")</f>
        <v>Excelsa</v>
      </c>
      <c r="O711" t="str">
        <f t="shared" si="23"/>
        <v>Light</v>
      </c>
      <c r="P711" t="str">
        <f>_xlfn.XLOOKUP(Table1[[#This Row],[Customer ID]],Data_customers!$A$2:$A$1001,Data_customers!$I$2:$I$1001,,0)</f>
        <v>Yes</v>
      </c>
    </row>
    <row r="712" spans="1:16" x14ac:dyDescent="0.2">
      <c r="A712" s="2" t="s">
        <v>4499</v>
      </c>
      <c r="B712" s="3">
        <v>44655</v>
      </c>
      <c r="C712" s="2" t="s">
        <v>4500</v>
      </c>
      <c r="D712" t="s">
        <v>6139</v>
      </c>
      <c r="E712" s="2">
        <v>3</v>
      </c>
      <c r="F712" s="2" t="str">
        <f>_xlfn.XLOOKUP(Data_orders!C712,Data_customers!$A$1:$A$1001,Data_customers!$B$1:$B$1001,,0)</f>
        <v>Stearne Count</v>
      </c>
      <c r="G712" s="2" t="str">
        <f>IF(_xlfn.XLOOKUP(C712,Data_customers!$A$1:$A$1001,Data_customers!$C$1:$C$1001,,0)=0,"",_xlfn.XLOOKUP(C712,Data_customers!$A$1:$A$1001,Data_customers!$C$1:$C$1001,,0))</f>
        <v>scountjq@nba.com</v>
      </c>
      <c r="H712" s="2" t="str">
        <f>_xlfn.XLOOKUP(C712,Data_customers!$A$1:$A$1001,Data_customers!$G$1:$G$1001,"",0)</f>
        <v>United States</v>
      </c>
      <c r="I712" t="str">
        <f>INDEX(Data_products!$A$1:$G$49, MATCH(Data_orders!$D712,Data_products!$A$1:$A$49,0), MATCH(Data_orders!I$1,Data_products!$A$1:$G$1,0))</f>
        <v>Exc</v>
      </c>
      <c r="J712" t="str">
        <f>INDEX(Data_products!$A$1:$G$49, MATCH(Data_orders!$D712,Data_products!$A$1:$A$49,0), MATCH(Data_orders!J$1,Data_products!$A$1:$G$1,0))</f>
        <v>M</v>
      </c>
      <c r="K712" s="4">
        <f>INDEX(Data_products!$A$1:$G$49, MATCH(Data_orders!$D712,Data_products!$A$1:$A$49,0), MATCH(Data_orders!K$1,Data_products!$A$1:$G$1,0))</f>
        <v>0.5</v>
      </c>
      <c r="L712">
        <f>INDEX(Data_products!$A$1:$G$49, MATCH(Data_orders!$D712,Data_products!$A$1:$A$49,0), MATCH(Data_orders!L$1,Data_products!$A$1:$G$1,0))</f>
        <v>8.25</v>
      </c>
      <c r="M712">
        <f t="shared" si="22"/>
        <v>24.75</v>
      </c>
      <c r="N712" t="str" cm="1">
        <f t="array" ref="N712">_xlfn.IFS(I712 = "Rob", "Robusta", I712 = "Exc", "Excelsa", I712 = "Ara", "Arabica", I712 = "Lib", "Liberica")</f>
        <v>Excelsa</v>
      </c>
      <c r="O712" t="str">
        <f t="shared" si="23"/>
        <v>Medium</v>
      </c>
      <c r="P712" t="str">
        <f>_xlfn.XLOOKUP(Table1[[#This Row],[Customer ID]],Data_customers!$A$2:$A$1001,Data_customers!$I$2:$I$1001,,0)</f>
        <v>No</v>
      </c>
    </row>
    <row r="713" spans="1:16" x14ac:dyDescent="0.2">
      <c r="A713" s="2" t="s">
        <v>4505</v>
      </c>
      <c r="B713" s="3">
        <v>44600</v>
      </c>
      <c r="C713" s="2" t="s">
        <v>4506</v>
      </c>
      <c r="D713" t="s">
        <v>6174</v>
      </c>
      <c r="E713" s="2">
        <v>6</v>
      </c>
      <c r="F713" s="2" t="str">
        <f>_xlfn.XLOOKUP(Data_orders!C713,Data_customers!$A$1:$A$1001,Data_customers!$B$1:$B$1001,,0)</f>
        <v>Selia Ragles</v>
      </c>
      <c r="G713" s="2" t="str">
        <f>IF(_xlfn.XLOOKUP(C713,Data_customers!$A$1:$A$1001,Data_customers!$C$1:$C$1001,,0)=0,"",_xlfn.XLOOKUP(C713,Data_customers!$A$1:$A$1001,Data_customers!$C$1:$C$1001,,0))</f>
        <v>sraglesjr@blogtalkradio.com</v>
      </c>
      <c r="H713" s="2" t="str">
        <f>_xlfn.XLOOKUP(C713,Data_customers!$A$1:$A$1001,Data_customers!$G$1:$G$1001,"",0)</f>
        <v>United States</v>
      </c>
      <c r="I713" t="str">
        <f>INDEX(Data_products!$A$1:$G$49, MATCH(Data_orders!$D713,Data_products!$A$1:$A$49,0), MATCH(Data_orders!I$1,Data_products!$A$1:$G$1,0))</f>
        <v>Rob</v>
      </c>
      <c r="J713" t="str">
        <f>INDEX(Data_products!$A$1:$G$49, MATCH(Data_orders!$D713,Data_products!$A$1:$A$49,0), MATCH(Data_orders!J$1,Data_products!$A$1:$G$1,0))</f>
        <v>M</v>
      </c>
      <c r="K713" s="4">
        <f>INDEX(Data_products!$A$1:$G$49, MATCH(Data_orders!$D713,Data_products!$A$1:$A$49,0), MATCH(Data_orders!K$1,Data_products!$A$1:$G$1,0))</f>
        <v>0.2</v>
      </c>
      <c r="L713">
        <f>INDEX(Data_products!$A$1:$G$49, MATCH(Data_orders!$D713,Data_products!$A$1:$A$49,0), MATCH(Data_orders!L$1,Data_products!$A$1:$G$1,0))</f>
        <v>2.9849999999999999</v>
      </c>
      <c r="M713">
        <f t="shared" si="22"/>
        <v>17.91</v>
      </c>
      <c r="N713" t="str" cm="1">
        <f t="array" ref="N713">_xlfn.IFS(I713 = "Rob", "Robusta", I713 = "Exc", "Excelsa", I713 = "Ara", "Arabica", I713 = "Lib", "Liberica")</f>
        <v>Robusta</v>
      </c>
      <c r="O713" t="str">
        <f t="shared" si="23"/>
        <v>Medium</v>
      </c>
      <c r="P713" t="str">
        <f>_xlfn.XLOOKUP(Table1[[#This Row],[Customer ID]],Data_customers!$A$2:$A$1001,Data_customers!$I$2:$I$1001,,0)</f>
        <v>No</v>
      </c>
    </row>
    <row r="714" spans="1:16" x14ac:dyDescent="0.2">
      <c r="A714" s="2" t="s">
        <v>4512</v>
      </c>
      <c r="B714" s="3">
        <v>43646</v>
      </c>
      <c r="C714" s="2" t="s">
        <v>4513</v>
      </c>
      <c r="D714" t="s">
        <v>6139</v>
      </c>
      <c r="E714" s="2">
        <v>2</v>
      </c>
      <c r="F714" s="2" t="str">
        <f>_xlfn.XLOOKUP(Data_orders!C714,Data_customers!$A$1:$A$1001,Data_customers!$B$1:$B$1001,,0)</f>
        <v>Silas Deehan</v>
      </c>
      <c r="G714" s="2" t="str">
        <f>IF(_xlfn.XLOOKUP(C714,Data_customers!$A$1:$A$1001,Data_customers!$C$1:$C$1001,,0)=0,"",_xlfn.XLOOKUP(C714,Data_customers!$A$1:$A$1001,Data_customers!$C$1:$C$1001,,0))</f>
        <v/>
      </c>
      <c r="H714" s="2" t="str">
        <f>_xlfn.XLOOKUP(C714,Data_customers!$A$1:$A$1001,Data_customers!$G$1:$G$1001,"",0)</f>
        <v>United Kingdom</v>
      </c>
      <c r="I714" t="str">
        <f>INDEX(Data_products!$A$1:$G$49, MATCH(Data_orders!$D714,Data_products!$A$1:$A$49,0), MATCH(Data_orders!I$1,Data_products!$A$1:$G$1,0))</f>
        <v>Exc</v>
      </c>
      <c r="J714" t="str">
        <f>INDEX(Data_products!$A$1:$G$49, MATCH(Data_orders!$D714,Data_products!$A$1:$A$49,0), MATCH(Data_orders!J$1,Data_products!$A$1:$G$1,0))</f>
        <v>M</v>
      </c>
      <c r="K714" s="4">
        <f>INDEX(Data_products!$A$1:$G$49, MATCH(Data_orders!$D714,Data_products!$A$1:$A$49,0), MATCH(Data_orders!K$1,Data_products!$A$1:$G$1,0))</f>
        <v>0.5</v>
      </c>
      <c r="L714">
        <f>INDEX(Data_products!$A$1:$G$49, MATCH(Data_orders!$D714,Data_products!$A$1:$A$49,0), MATCH(Data_orders!L$1,Data_products!$A$1:$G$1,0))</f>
        <v>8.25</v>
      </c>
      <c r="M714">
        <f t="shared" si="22"/>
        <v>16.5</v>
      </c>
      <c r="N714" t="str" cm="1">
        <f t="array" ref="N714">_xlfn.IFS(I714 = "Rob", "Robusta", I714 = "Exc", "Excelsa", I714 = "Ara", "Arabica", I714 = "Lib", "Liberica")</f>
        <v>Excelsa</v>
      </c>
      <c r="O714" t="str">
        <f t="shared" si="23"/>
        <v>Medium</v>
      </c>
      <c r="P714" t="str">
        <f>_xlfn.XLOOKUP(Table1[[#This Row],[Customer ID]],Data_customers!$A$2:$A$1001,Data_customers!$I$2:$I$1001,,0)</f>
        <v>No</v>
      </c>
    </row>
    <row r="715" spans="1:16" x14ac:dyDescent="0.2">
      <c r="A715" s="2" t="s">
        <v>4516</v>
      </c>
      <c r="B715" s="3">
        <v>43960</v>
      </c>
      <c r="C715" s="2" t="s">
        <v>4517</v>
      </c>
      <c r="D715" t="s">
        <v>6174</v>
      </c>
      <c r="E715" s="2">
        <v>1</v>
      </c>
      <c r="F715" s="2" t="str">
        <f>_xlfn.XLOOKUP(Data_orders!C715,Data_customers!$A$1:$A$1001,Data_customers!$B$1:$B$1001,,0)</f>
        <v>Sacha Bruun</v>
      </c>
      <c r="G715" s="2" t="str">
        <f>IF(_xlfn.XLOOKUP(C715,Data_customers!$A$1:$A$1001,Data_customers!$C$1:$C$1001,,0)=0,"",_xlfn.XLOOKUP(C715,Data_customers!$A$1:$A$1001,Data_customers!$C$1:$C$1001,,0))</f>
        <v>sbruunjt@blogtalkradio.com</v>
      </c>
      <c r="H715" s="2" t="str">
        <f>_xlfn.XLOOKUP(C715,Data_customers!$A$1:$A$1001,Data_customers!$G$1:$G$1001,"",0)</f>
        <v>United States</v>
      </c>
      <c r="I715" t="str">
        <f>INDEX(Data_products!$A$1:$G$49, MATCH(Data_orders!$D715,Data_products!$A$1:$A$49,0), MATCH(Data_orders!I$1,Data_products!$A$1:$G$1,0))</f>
        <v>Rob</v>
      </c>
      <c r="J715" t="str">
        <f>INDEX(Data_products!$A$1:$G$49, MATCH(Data_orders!$D715,Data_products!$A$1:$A$49,0), MATCH(Data_orders!J$1,Data_products!$A$1:$G$1,0))</f>
        <v>M</v>
      </c>
      <c r="K715" s="4">
        <f>INDEX(Data_products!$A$1:$G$49, MATCH(Data_orders!$D715,Data_products!$A$1:$A$49,0), MATCH(Data_orders!K$1,Data_products!$A$1:$G$1,0))</f>
        <v>0.2</v>
      </c>
      <c r="L715">
        <f>INDEX(Data_products!$A$1:$G$49, MATCH(Data_orders!$D715,Data_products!$A$1:$A$49,0), MATCH(Data_orders!L$1,Data_products!$A$1:$G$1,0))</f>
        <v>2.9849999999999999</v>
      </c>
      <c r="M715">
        <f t="shared" si="22"/>
        <v>2.9849999999999999</v>
      </c>
      <c r="N715" t="str" cm="1">
        <f t="array" ref="N715">_xlfn.IFS(I715 = "Rob", "Robusta", I715 = "Exc", "Excelsa", I715 = "Ara", "Arabica", I715 = "Lib", "Liberica")</f>
        <v>Robusta</v>
      </c>
      <c r="O715" t="str">
        <f t="shared" si="23"/>
        <v>Medium</v>
      </c>
      <c r="P715" t="str">
        <f>_xlfn.XLOOKUP(Table1[[#This Row],[Customer ID]],Data_customers!$A$2:$A$1001,Data_customers!$I$2:$I$1001,,0)</f>
        <v>No</v>
      </c>
    </row>
    <row r="716" spans="1:16" x14ac:dyDescent="0.2">
      <c r="A716" s="2" t="s">
        <v>4522</v>
      </c>
      <c r="B716" s="3">
        <v>44358</v>
      </c>
      <c r="C716" s="2" t="s">
        <v>4523</v>
      </c>
      <c r="D716" t="s">
        <v>6153</v>
      </c>
      <c r="E716" s="2">
        <v>4</v>
      </c>
      <c r="F716" s="2" t="str">
        <f>_xlfn.XLOOKUP(Data_orders!C716,Data_customers!$A$1:$A$1001,Data_customers!$B$1:$B$1001,,0)</f>
        <v>Alon Pllu</v>
      </c>
      <c r="G716" s="2" t="str">
        <f>IF(_xlfn.XLOOKUP(C716,Data_customers!$A$1:$A$1001,Data_customers!$C$1:$C$1001,,0)=0,"",_xlfn.XLOOKUP(C716,Data_customers!$A$1:$A$1001,Data_customers!$C$1:$C$1001,,0))</f>
        <v>aplluju@dagondesign.com</v>
      </c>
      <c r="H716" s="2" t="str">
        <f>_xlfn.XLOOKUP(C716,Data_customers!$A$1:$A$1001,Data_customers!$G$1:$G$1001,"",0)</f>
        <v>Ireland</v>
      </c>
      <c r="I716" t="str">
        <f>INDEX(Data_products!$A$1:$G$49, MATCH(Data_orders!$D716,Data_products!$A$1:$A$49,0), MATCH(Data_orders!I$1,Data_products!$A$1:$G$1,0))</f>
        <v>Exc</v>
      </c>
      <c r="J716" t="str">
        <f>INDEX(Data_products!$A$1:$G$49, MATCH(Data_orders!$D716,Data_products!$A$1:$A$49,0), MATCH(Data_orders!J$1,Data_products!$A$1:$G$1,0))</f>
        <v>D</v>
      </c>
      <c r="K716" s="4">
        <f>INDEX(Data_products!$A$1:$G$49, MATCH(Data_orders!$D716,Data_products!$A$1:$A$49,0), MATCH(Data_orders!K$1,Data_products!$A$1:$G$1,0))</f>
        <v>0.2</v>
      </c>
      <c r="L716">
        <f>INDEX(Data_products!$A$1:$G$49, MATCH(Data_orders!$D716,Data_products!$A$1:$A$49,0), MATCH(Data_orders!L$1,Data_products!$A$1:$G$1,0))</f>
        <v>3.645</v>
      </c>
      <c r="M716">
        <f t="shared" si="22"/>
        <v>14.58</v>
      </c>
      <c r="N716" t="str" cm="1">
        <f t="array" ref="N716">_xlfn.IFS(I716 = "Rob", "Robusta", I716 = "Exc", "Excelsa", I716 = "Ara", "Arabica", I716 = "Lib", "Liberica")</f>
        <v>Excelsa</v>
      </c>
      <c r="O716" t="str">
        <f t="shared" si="23"/>
        <v>Dark</v>
      </c>
      <c r="P716" t="str">
        <f>_xlfn.XLOOKUP(Table1[[#This Row],[Customer ID]],Data_customers!$A$2:$A$1001,Data_customers!$I$2:$I$1001,,0)</f>
        <v>Yes</v>
      </c>
    </row>
    <row r="717" spans="1:16" x14ac:dyDescent="0.2">
      <c r="A717" s="2" t="s">
        <v>4528</v>
      </c>
      <c r="B717" s="3">
        <v>44504</v>
      </c>
      <c r="C717" s="2" t="s">
        <v>4529</v>
      </c>
      <c r="D717" t="s">
        <v>6171</v>
      </c>
      <c r="E717" s="2">
        <v>6</v>
      </c>
      <c r="F717" s="2" t="str">
        <f>_xlfn.XLOOKUP(Data_orders!C717,Data_customers!$A$1:$A$1001,Data_customers!$B$1:$B$1001,,0)</f>
        <v>Gilberto Cornier</v>
      </c>
      <c r="G717" s="2" t="str">
        <f>IF(_xlfn.XLOOKUP(C717,Data_customers!$A$1:$A$1001,Data_customers!$C$1:$C$1001,,0)=0,"",_xlfn.XLOOKUP(C717,Data_customers!$A$1:$A$1001,Data_customers!$C$1:$C$1001,,0))</f>
        <v>gcornierjv@techcrunch.com</v>
      </c>
      <c r="H717" s="2" t="str">
        <f>_xlfn.XLOOKUP(C717,Data_customers!$A$1:$A$1001,Data_customers!$G$1:$G$1001,"",0)</f>
        <v>United States</v>
      </c>
      <c r="I717" t="str">
        <f>INDEX(Data_products!$A$1:$G$49, MATCH(Data_orders!$D717,Data_products!$A$1:$A$49,0), MATCH(Data_orders!I$1,Data_products!$A$1:$G$1,0))</f>
        <v>Exc</v>
      </c>
      <c r="J717" t="str">
        <f>INDEX(Data_products!$A$1:$G$49, MATCH(Data_orders!$D717,Data_products!$A$1:$A$49,0), MATCH(Data_orders!J$1,Data_products!$A$1:$G$1,0))</f>
        <v>L</v>
      </c>
      <c r="K717" s="4">
        <f>INDEX(Data_products!$A$1:$G$49, MATCH(Data_orders!$D717,Data_products!$A$1:$A$49,0), MATCH(Data_orders!K$1,Data_products!$A$1:$G$1,0))</f>
        <v>1</v>
      </c>
      <c r="L717">
        <f>INDEX(Data_products!$A$1:$G$49, MATCH(Data_orders!$D717,Data_products!$A$1:$A$49,0), MATCH(Data_orders!L$1,Data_products!$A$1:$G$1,0))</f>
        <v>14.85</v>
      </c>
      <c r="M717">
        <f t="shared" si="22"/>
        <v>89.1</v>
      </c>
      <c r="N717" t="str" cm="1">
        <f t="array" ref="N717">_xlfn.IFS(I717 = "Rob", "Robusta", I717 = "Exc", "Excelsa", I717 = "Ara", "Arabica", I717 = "Lib", "Liberica")</f>
        <v>Excelsa</v>
      </c>
      <c r="O717" t="str">
        <f t="shared" si="23"/>
        <v>Light</v>
      </c>
      <c r="P717" t="str">
        <f>_xlfn.XLOOKUP(Table1[[#This Row],[Customer ID]],Data_customers!$A$2:$A$1001,Data_customers!$I$2:$I$1001,,0)</f>
        <v>No</v>
      </c>
    </row>
    <row r="718" spans="1:16" x14ac:dyDescent="0.2">
      <c r="A718" s="2" t="s">
        <v>4533</v>
      </c>
      <c r="B718" s="3">
        <v>44612</v>
      </c>
      <c r="C718" s="2" t="s">
        <v>4434</v>
      </c>
      <c r="D718" t="s">
        <v>6179</v>
      </c>
      <c r="E718" s="2">
        <v>3</v>
      </c>
      <c r="F718" s="2" t="str">
        <f>_xlfn.XLOOKUP(Data_orders!C718,Data_customers!$A$1:$A$1001,Data_customers!$B$1:$B$1001,,0)</f>
        <v>Jimmy Dymoke</v>
      </c>
      <c r="G718" s="2" t="str">
        <f>IF(_xlfn.XLOOKUP(C718,Data_customers!$A$1:$A$1001,Data_customers!$C$1:$C$1001,,0)=0,"",_xlfn.XLOOKUP(C718,Data_customers!$A$1:$A$1001,Data_customers!$C$1:$C$1001,,0))</f>
        <v>jdymokeje@prnewswire.com</v>
      </c>
      <c r="H718" s="2" t="str">
        <f>_xlfn.XLOOKUP(C718,Data_customers!$A$1:$A$1001,Data_customers!$G$1:$G$1001,"",0)</f>
        <v>Ireland</v>
      </c>
      <c r="I718" t="str">
        <f>INDEX(Data_products!$A$1:$G$49, MATCH(Data_orders!$D718,Data_products!$A$1:$A$49,0), MATCH(Data_orders!I$1,Data_products!$A$1:$G$1,0))</f>
        <v>Rob</v>
      </c>
      <c r="J718" t="str">
        <f>INDEX(Data_products!$A$1:$G$49, MATCH(Data_orders!$D718,Data_products!$A$1:$A$49,0), MATCH(Data_orders!J$1,Data_products!$A$1:$G$1,0))</f>
        <v>L</v>
      </c>
      <c r="K718" s="4">
        <f>INDEX(Data_products!$A$1:$G$49, MATCH(Data_orders!$D718,Data_products!$A$1:$A$49,0), MATCH(Data_orders!K$1,Data_products!$A$1:$G$1,0))</f>
        <v>1</v>
      </c>
      <c r="L718">
        <f>INDEX(Data_products!$A$1:$G$49, MATCH(Data_orders!$D718,Data_products!$A$1:$A$49,0), MATCH(Data_orders!L$1,Data_products!$A$1:$G$1,0))</f>
        <v>11.95</v>
      </c>
      <c r="M718">
        <f t="shared" si="22"/>
        <v>35.849999999999994</v>
      </c>
      <c r="N718" t="str" cm="1">
        <f t="array" ref="N718">_xlfn.IFS(I718 = "Rob", "Robusta", I718 = "Exc", "Excelsa", I718 = "Ara", "Arabica", I718 = "Lib", "Liberica")</f>
        <v>Robusta</v>
      </c>
      <c r="O718" t="str">
        <f t="shared" si="23"/>
        <v>Light</v>
      </c>
      <c r="P718" t="str">
        <f>_xlfn.XLOOKUP(Table1[[#This Row],[Customer ID]],Data_customers!$A$2:$A$1001,Data_customers!$I$2:$I$1001,,0)</f>
        <v>No</v>
      </c>
    </row>
    <row r="719" spans="1:16" x14ac:dyDescent="0.2">
      <c r="A719" s="2" t="s">
        <v>4539</v>
      </c>
      <c r="B719" s="3">
        <v>43649</v>
      </c>
      <c r="C719" s="2" t="s">
        <v>4540</v>
      </c>
      <c r="D719" t="s">
        <v>6168</v>
      </c>
      <c r="E719" s="2">
        <v>3</v>
      </c>
      <c r="F719" s="2" t="str">
        <f>_xlfn.XLOOKUP(Data_orders!C719,Data_customers!$A$1:$A$1001,Data_customers!$B$1:$B$1001,,0)</f>
        <v>Willabella Harvison</v>
      </c>
      <c r="G719" s="2" t="str">
        <f>IF(_xlfn.XLOOKUP(C719,Data_customers!$A$1:$A$1001,Data_customers!$C$1:$C$1001,,0)=0,"",_xlfn.XLOOKUP(C719,Data_customers!$A$1:$A$1001,Data_customers!$C$1:$C$1001,,0))</f>
        <v>wharvisonjx@gizmodo.com</v>
      </c>
      <c r="H719" s="2" t="str">
        <f>_xlfn.XLOOKUP(C719,Data_customers!$A$1:$A$1001,Data_customers!$G$1:$G$1001,"",0)</f>
        <v>United States</v>
      </c>
      <c r="I719" t="str">
        <f>INDEX(Data_products!$A$1:$G$49, MATCH(Data_orders!$D719,Data_products!$A$1:$A$49,0), MATCH(Data_orders!I$1,Data_products!$A$1:$G$1,0))</f>
        <v>Ara</v>
      </c>
      <c r="J719" t="str">
        <f>INDEX(Data_products!$A$1:$G$49, MATCH(Data_orders!$D719,Data_products!$A$1:$A$49,0), MATCH(Data_orders!J$1,Data_products!$A$1:$G$1,0))</f>
        <v>D</v>
      </c>
      <c r="K719" s="4">
        <f>INDEX(Data_products!$A$1:$G$49, MATCH(Data_orders!$D719,Data_products!$A$1:$A$49,0), MATCH(Data_orders!K$1,Data_products!$A$1:$G$1,0))</f>
        <v>2.5</v>
      </c>
      <c r="L719">
        <f>INDEX(Data_products!$A$1:$G$49, MATCH(Data_orders!$D719,Data_products!$A$1:$A$49,0), MATCH(Data_orders!L$1,Data_products!$A$1:$G$1,0))</f>
        <v>22.884999999999998</v>
      </c>
      <c r="M719">
        <f t="shared" si="22"/>
        <v>68.655000000000001</v>
      </c>
      <c r="N719" t="str" cm="1">
        <f t="array" ref="N719">_xlfn.IFS(I719 = "Rob", "Robusta", I719 = "Exc", "Excelsa", I719 = "Ara", "Arabica", I719 = "Lib", "Liberica")</f>
        <v>Arabica</v>
      </c>
      <c r="O719" t="str">
        <f t="shared" si="23"/>
        <v>Dark</v>
      </c>
      <c r="P719" t="str">
        <f>_xlfn.XLOOKUP(Table1[[#This Row],[Customer ID]],Data_customers!$A$2:$A$1001,Data_customers!$I$2:$I$1001,,0)</f>
        <v>No</v>
      </c>
    </row>
    <row r="720" spans="1:16" x14ac:dyDescent="0.2">
      <c r="A720" s="2" t="s">
        <v>4545</v>
      </c>
      <c r="B720" s="3">
        <v>44348</v>
      </c>
      <c r="C720" s="2" t="s">
        <v>4546</v>
      </c>
      <c r="D720" t="s">
        <v>6143</v>
      </c>
      <c r="E720" s="2">
        <v>3</v>
      </c>
      <c r="F720" s="2" t="str">
        <f>_xlfn.XLOOKUP(Data_orders!C720,Data_customers!$A$1:$A$1001,Data_customers!$B$1:$B$1001,,0)</f>
        <v>Darice Heaford</v>
      </c>
      <c r="G720" s="2" t="str">
        <f>IF(_xlfn.XLOOKUP(C720,Data_customers!$A$1:$A$1001,Data_customers!$C$1:$C$1001,,0)=0,"",_xlfn.XLOOKUP(C720,Data_customers!$A$1:$A$1001,Data_customers!$C$1:$C$1001,,0))</f>
        <v>dheafordjy@twitpic.com</v>
      </c>
      <c r="H720" s="2" t="str">
        <f>_xlfn.XLOOKUP(C720,Data_customers!$A$1:$A$1001,Data_customers!$G$1:$G$1001,"",0)</f>
        <v>United States</v>
      </c>
      <c r="I720" t="str">
        <f>INDEX(Data_products!$A$1:$G$49, MATCH(Data_orders!$D720,Data_products!$A$1:$A$49,0), MATCH(Data_orders!I$1,Data_products!$A$1:$G$1,0))</f>
        <v>Lib</v>
      </c>
      <c r="J720" t="str">
        <f>INDEX(Data_products!$A$1:$G$49, MATCH(Data_orders!$D720,Data_products!$A$1:$A$49,0), MATCH(Data_orders!J$1,Data_products!$A$1:$G$1,0))</f>
        <v>D</v>
      </c>
      <c r="K720" s="4">
        <f>INDEX(Data_products!$A$1:$G$49, MATCH(Data_orders!$D720,Data_products!$A$1:$A$49,0), MATCH(Data_orders!K$1,Data_products!$A$1:$G$1,0))</f>
        <v>1</v>
      </c>
      <c r="L720">
        <f>INDEX(Data_products!$A$1:$G$49, MATCH(Data_orders!$D720,Data_products!$A$1:$A$49,0), MATCH(Data_orders!L$1,Data_products!$A$1:$G$1,0))</f>
        <v>12.95</v>
      </c>
      <c r="M720">
        <f t="shared" si="22"/>
        <v>38.849999999999994</v>
      </c>
      <c r="N720" t="str" cm="1">
        <f t="array" ref="N720">_xlfn.IFS(I720 = "Rob", "Robusta", I720 = "Exc", "Excelsa", I720 = "Ara", "Arabica", I720 = "Lib", "Liberica")</f>
        <v>Liberica</v>
      </c>
      <c r="O720" t="str">
        <f t="shared" si="23"/>
        <v>Dark</v>
      </c>
      <c r="P720" t="str">
        <f>_xlfn.XLOOKUP(Table1[[#This Row],[Customer ID]],Data_customers!$A$2:$A$1001,Data_customers!$I$2:$I$1001,,0)</f>
        <v>No</v>
      </c>
    </row>
    <row r="721" spans="1:16" x14ac:dyDescent="0.2">
      <c r="A721" s="2" t="s">
        <v>4551</v>
      </c>
      <c r="B721" s="3">
        <v>44150</v>
      </c>
      <c r="C721" s="2" t="s">
        <v>4552</v>
      </c>
      <c r="D721" t="s">
        <v>6170</v>
      </c>
      <c r="E721" s="2">
        <v>5</v>
      </c>
      <c r="F721" s="2" t="str">
        <f>_xlfn.XLOOKUP(Data_orders!C721,Data_customers!$A$1:$A$1001,Data_customers!$B$1:$B$1001,,0)</f>
        <v>Granger Fantham</v>
      </c>
      <c r="G721" s="2" t="str">
        <f>IF(_xlfn.XLOOKUP(C721,Data_customers!$A$1:$A$1001,Data_customers!$C$1:$C$1001,,0)=0,"",_xlfn.XLOOKUP(C721,Data_customers!$A$1:$A$1001,Data_customers!$C$1:$C$1001,,0))</f>
        <v>gfanthamjz@hexun.com</v>
      </c>
      <c r="H721" s="2" t="str">
        <f>_xlfn.XLOOKUP(C721,Data_customers!$A$1:$A$1001,Data_customers!$G$1:$G$1001,"",0)</f>
        <v>United States</v>
      </c>
      <c r="I721" t="str">
        <f>INDEX(Data_products!$A$1:$G$49, MATCH(Data_orders!$D721,Data_products!$A$1:$A$49,0), MATCH(Data_orders!I$1,Data_products!$A$1:$G$1,0))</f>
        <v>Lib</v>
      </c>
      <c r="J721" t="str">
        <f>INDEX(Data_products!$A$1:$G$49, MATCH(Data_orders!$D721,Data_products!$A$1:$A$49,0), MATCH(Data_orders!J$1,Data_products!$A$1:$G$1,0))</f>
        <v>L</v>
      </c>
      <c r="K721" s="4">
        <f>INDEX(Data_products!$A$1:$G$49, MATCH(Data_orders!$D721,Data_products!$A$1:$A$49,0), MATCH(Data_orders!K$1,Data_products!$A$1:$G$1,0))</f>
        <v>1</v>
      </c>
      <c r="L721">
        <f>INDEX(Data_products!$A$1:$G$49, MATCH(Data_orders!$D721,Data_products!$A$1:$A$49,0), MATCH(Data_orders!L$1,Data_products!$A$1:$G$1,0))</f>
        <v>15.85</v>
      </c>
      <c r="M721">
        <f t="shared" si="22"/>
        <v>79.25</v>
      </c>
      <c r="N721" t="str" cm="1">
        <f t="array" ref="N721">_xlfn.IFS(I721 = "Rob", "Robusta", I721 = "Exc", "Excelsa", I721 = "Ara", "Arabica", I721 = "Lib", "Liberica")</f>
        <v>Liberica</v>
      </c>
      <c r="O721" t="str">
        <f t="shared" si="23"/>
        <v>Light</v>
      </c>
      <c r="P721" t="str">
        <f>_xlfn.XLOOKUP(Table1[[#This Row],[Customer ID]],Data_customers!$A$2:$A$1001,Data_customers!$I$2:$I$1001,,0)</f>
        <v>Yes</v>
      </c>
    </row>
    <row r="722" spans="1:16" x14ac:dyDescent="0.2">
      <c r="A722" s="2" t="s">
        <v>4557</v>
      </c>
      <c r="B722" s="3">
        <v>44215</v>
      </c>
      <c r="C722" s="2" t="s">
        <v>4558</v>
      </c>
      <c r="D722" t="s">
        <v>6144</v>
      </c>
      <c r="E722" s="2">
        <v>5</v>
      </c>
      <c r="F722" s="2" t="str">
        <f>_xlfn.XLOOKUP(Data_orders!C722,Data_customers!$A$1:$A$1001,Data_customers!$B$1:$B$1001,,0)</f>
        <v>Reynolds Crookshanks</v>
      </c>
      <c r="G722" s="2" t="str">
        <f>IF(_xlfn.XLOOKUP(C722,Data_customers!$A$1:$A$1001,Data_customers!$C$1:$C$1001,,0)=0,"",_xlfn.XLOOKUP(C722,Data_customers!$A$1:$A$1001,Data_customers!$C$1:$C$1001,,0))</f>
        <v>rcrookshanksk0@unc.edu</v>
      </c>
      <c r="H722" s="2" t="str">
        <f>_xlfn.XLOOKUP(C722,Data_customers!$A$1:$A$1001,Data_customers!$G$1:$G$1001,"",0)</f>
        <v>United States</v>
      </c>
      <c r="I722" t="str">
        <f>INDEX(Data_products!$A$1:$G$49, MATCH(Data_orders!$D722,Data_products!$A$1:$A$49,0), MATCH(Data_orders!I$1,Data_products!$A$1:$G$1,0))</f>
        <v>Exc</v>
      </c>
      <c r="J722" t="str">
        <f>INDEX(Data_products!$A$1:$G$49, MATCH(Data_orders!$D722,Data_products!$A$1:$A$49,0), MATCH(Data_orders!J$1,Data_products!$A$1:$G$1,0))</f>
        <v>D</v>
      </c>
      <c r="K722" s="4">
        <f>INDEX(Data_products!$A$1:$G$49, MATCH(Data_orders!$D722,Data_products!$A$1:$A$49,0), MATCH(Data_orders!K$1,Data_products!$A$1:$G$1,0))</f>
        <v>0.5</v>
      </c>
      <c r="L722">
        <f>INDEX(Data_products!$A$1:$G$49, MATCH(Data_orders!$D722,Data_products!$A$1:$A$49,0), MATCH(Data_orders!L$1,Data_products!$A$1:$G$1,0))</f>
        <v>7.29</v>
      </c>
      <c r="M722">
        <f t="shared" si="22"/>
        <v>36.450000000000003</v>
      </c>
      <c r="N722" t="str" cm="1">
        <f t="array" ref="N722">_xlfn.IFS(I722 = "Rob", "Robusta", I722 = "Exc", "Excelsa", I722 = "Ara", "Arabica", I722 = "Lib", "Liberica")</f>
        <v>Excelsa</v>
      </c>
      <c r="O722" t="str">
        <f t="shared" si="23"/>
        <v>Dark</v>
      </c>
      <c r="P722" t="str">
        <f>_xlfn.XLOOKUP(Table1[[#This Row],[Customer ID]],Data_customers!$A$2:$A$1001,Data_customers!$I$2:$I$1001,,0)</f>
        <v>Yes</v>
      </c>
    </row>
    <row r="723" spans="1:16" x14ac:dyDescent="0.2">
      <c r="A723" s="2" t="s">
        <v>4563</v>
      </c>
      <c r="B723" s="3">
        <v>44479</v>
      </c>
      <c r="C723" s="2" t="s">
        <v>4564</v>
      </c>
      <c r="D723" t="s">
        <v>6174</v>
      </c>
      <c r="E723" s="2">
        <v>3</v>
      </c>
      <c r="F723" s="2" t="str">
        <f>_xlfn.XLOOKUP(Data_orders!C723,Data_customers!$A$1:$A$1001,Data_customers!$B$1:$B$1001,,0)</f>
        <v>Niels Leake</v>
      </c>
      <c r="G723" s="2" t="str">
        <f>IF(_xlfn.XLOOKUP(C723,Data_customers!$A$1:$A$1001,Data_customers!$C$1:$C$1001,,0)=0,"",_xlfn.XLOOKUP(C723,Data_customers!$A$1:$A$1001,Data_customers!$C$1:$C$1001,,0))</f>
        <v>nleakek1@cmu.edu</v>
      </c>
      <c r="H723" s="2" t="str">
        <f>_xlfn.XLOOKUP(C723,Data_customers!$A$1:$A$1001,Data_customers!$G$1:$G$1001,"",0)</f>
        <v>United States</v>
      </c>
      <c r="I723" t="str">
        <f>INDEX(Data_products!$A$1:$G$49, MATCH(Data_orders!$D723,Data_products!$A$1:$A$49,0), MATCH(Data_orders!I$1,Data_products!$A$1:$G$1,0))</f>
        <v>Rob</v>
      </c>
      <c r="J723" t="str">
        <f>INDEX(Data_products!$A$1:$G$49, MATCH(Data_orders!$D723,Data_products!$A$1:$A$49,0), MATCH(Data_orders!J$1,Data_products!$A$1:$G$1,0))</f>
        <v>M</v>
      </c>
      <c r="K723" s="4">
        <f>INDEX(Data_products!$A$1:$G$49, MATCH(Data_orders!$D723,Data_products!$A$1:$A$49,0), MATCH(Data_orders!K$1,Data_products!$A$1:$G$1,0))</f>
        <v>0.2</v>
      </c>
      <c r="L723">
        <f>INDEX(Data_products!$A$1:$G$49, MATCH(Data_orders!$D723,Data_products!$A$1:$A$49,0), MATCH(Data_orders!L$1,Data_products!$A$1:$G$1,0))</f>
        <v>2.9849999999999999</v>
      </c>
      <c r="M723">
        <f t="shared" si="22"/>
        <v>8.9550000000000001</v>
      </c>
      <c r="N723" t="str" cm="1">
        <f t="array" ref="N723">_xlfn.IFS(I723 = "Rob", "Robusta", I723 = "Exc", "Excelsa", I723 = "Ara", "Arabica", I723 = "Lib", "Liberica")</f>
        <v>Robusta</v>
      </c>
      <c r="O723" t="str">
        <f t="shared" si="23"/>
        <v>Medium</v>
      </c>
      <c r="P723" t="str">
        <f>_xlfn.XLOOKUP(Table1[[#This Row],[Customer ID]],Data_customers!$A$2:$A$1001,Data_customers!$I$2:$I$1001,,0)</f>
        <v>Yes</v>
      </c>
    </row>
    <row r="724" spans="1:16" x14ac:dyDescent="0.2">
      <c r="A724" s="2" t="s">
        <v>4569</v>
      </c>
      <c r="B724" s="3">
        <v>44620</v>
      </c>
      <c r="C724" s="2" t="s">
        <v>4570</v>
      </c>
      <c r="D724" t="s">
        <v>6183</v>
      </c>
      <c r="E724" s="2">
        <v>2</v>
      </c>
      <c r="F724" s="2" t="str">
        <f>_xlfn.XLOOKUP(Data_orders!C724,Data_customers!$A$1:$A$1001,Data_customers!$B$1:$B$1001,,0)</f>
        <v>Hetti Measures</v>
      </c>
      <c r="G724" s="2" t="str">
        <f>IF(_xlfn.XLOOKUP(C724,Data_customers!$A$1:$A$1001,Data_customers!$C$1:$C$1001,,0)=0,"",_xlfn.XLOOKUP(C724,Data_customers!$A$1:$A$1001,Data_customers!$C$1:$C$1001,,0))</f>
        <v/>
      </c>
      <c r="H724" s="2" t="str">
        <f>_xlfn.XLOOKUP(C724,Data_customers!$A$1:$A$1001,Data_customers!$G$1:$G$1001,"",0)</f>
        <v>United States</v>
      </c>
      <c r="I724" t="str">
        <f>INDEX(Data_products!$A$1:$G$49, MATCH(Data_orders!$D724,Data_products!$A$1:$A$49,0), MATCH(Data_orders!I$1,Data_products!$A$1:$G$1,0))</f>
        <v>Exc</v>
      </c>
      <c r="J724" t="str">
        <f>INDEX(Data_products!$A$1:$G$49, MATCH(Data_orders!$D724,Data_products!$A$1:$A$49,0), MATCH(Data_orders!J$1,Data_products!$A$1:$G$1,0))</f>
        <v>D</v>
      </c>
      <c r="K724" s="4">
        <f>INDEX(Data_products!$A$1:$G$49, MATCH(Data_orders!$D724,Data_products!$A$1:$A$49,0), MATCH(Data_orders!K$1,Data_products!$A$1:$G$1,0))</f>
        <v>1</v>
      </c>
      <c r="L724">
        <f>INDEX(Data_products!$A$1:$G$49, MATCH(Data_orders!$D724,Data_products!$A$1:$A$49,0), MATCH(Data_orders!L$1,Data_products!$A$1:$G$1,0))</f>
        <v>12.15</v>
      </c>
      <c r="M724">
        <f t="shared" si="22"/>
        <v>24.3</v>
      </c>
      <c r="N724" t="str" cm="1">
        <f t="array" ref="N724">_xlfn.IFS(I724 = "Rob", "Robusta", I724 = "Exc", "Excelsa", I724 = "Ara", "Arabica", I724 = "Lib", "Liberica")</f>
        <v>Excelsa</v>
      </c>
      <c r="O724" t="str">
        <f t="shared" si="23"/>
        <v>Dark</v>
      </c>
      <c r="P724" t="str">
        <f>_xlfn.XLOOKUP(Table1[[#This Row],[Customer ID]],Data_customers!$A$2:$A$1001,Data_customers!$I$2:$I$1001,,0)</f>
        <v>No</v>
      </c>
    </row>
    <row r="725" spans="1:16" x14ac:dyDescent="0.2">
      <c r="A725" s="2" t="s">
        <v>4574</v>
      </c>
      <c r="B725" s="3">
        <v>44470</v>
      </c>
      <c r="C725" s="2" t="s">
        <v>4575</v>
      </c>
      <c r="D725" t="s">
        <v>6166</v>
      </c>
      <c r="E725" s="2">
        <v>2</v>
      </c>
      <c r="F725" s="2" t="str">
        <f>_xlfn.XLOOKUP(Data_orders!C725,Data_customers!$A$1:$A$1001,Data_customers!$B$1:$B$1001,,0)</f>
        <v>Gay Eilhersen</v>
      </c>
      <c r="G725" s="2" t="str">
        <f>IF(_xlfn.XLOOKUP(C725,Data_customers!$A$1:$A$1001,Data_customers!$C$1:$C$1001,,0)=0,"",_xlfn.XLOOKUP(C725,Data_customers!$A$1:$A$1001,Data_customers!$C$1:$C$1001,,0))</f>
        <v>geilhersenk3@networksolutions.com</v>
      </c>
      <c r="H725" s="2" t="str">
        <f>_xlfn.XLOOKUP(C725,Data_customers!$A$1:$A$1001,Data_customers!$G$1:$G$1001,"",0)</f>
        <v>United States</v>
      </c>
      <c r="I725" t="str">
        <f>INDEX(Data_products!$A$1:$G$49, MATCH(Data_orders!$D725,Data_products!$A$1:$A$49,0), MATCH(Data_orders!I$1,Data_products!$A$1:$G$1,0))</f>
        <v>Exc</v>
      </c>
      <c r="J725" t="str">
        <f>INDEX(Data_products!$A$1:$G$49, MATCH(Data_orders!$D725,Data_products!$A$1:$A$49,0), MATCH(Data_orders!J$1,Data_products!$A$1:$G$1,0))</f>
        <v>M</v>
      </c>
      <c r="K725" s="4">
        <f>INDEX(Data_products!$A$1:$G$49, MATCH(Data_orders!$D725,Data_products!$A$1:$A$49,0), MATCH(Data_orders!K$1,Data_products!$A$1:$G$1,0))</f>
        <v>2.5</v>
      </c>
      <c r="L725">
        <f>INDEX(Data_products!$A$1:$G$49, MATCH(Data_orders!$D725,Data_products!$A$1:$A$49,0), MATCH(Data_orders!L$1,Data_products!$A$1:$G$1,0))</f>
        <v>31.624999999999996</v>
      </c>
      <c r="M725">
        <f t="shared" si="22"/>
        <v>63.249999999999993</v>
      </c>
      <c r="N725" t="str" cm="1">
        <f t="array" ref="N725">_xlfn.IFS(I725 = "Rob", "Robusta", I725 = "Exc", "Excelsa", I725 = "Ara", "Arabica", I725 = "Lib", "Liberica")</f>
        <v>Excelsa</v>
      </c>
      <c r="O725" t="str">
        <f t="shared" si="23"/>
        <v>Medium</v>
      </c>
      <c r="P725" t="str">
        <f>_xlfn.XLOOKUP(Table1[[#This Row],[Customer ID]],Data_customers!$A$2:$A$1001,Data_customers!$I$2:$I$1001,,0)</f>
        <v>No</v>
      </c>
    </row>
    <row r="726" spans="1:16" x14ac:dyDescent="0.2">
      <c r="A726" s="2" t="s">
        <v>4580</v>
      </c>
      <c r="B726" s="3">
        <v>44076</v>
      </c>
      <c r="C726" s="2" t="s">
        <v>4581</v>
      </c>
      <c r="D726" t="s">
        <v>6152</v>
      </c>
      <c r="E726" s="2">
        <v>2</v>
      </c>
      <c r="F726" s="2" t="str">
        <f>_xlfn.XLOOKUP(Data_orders!C726,Data_customers!$A$1:$A$1001,Data_customers!$B$1:$B$1001,,0)</f>
        <v>Nico Hubert</v>
      </c>
      <c r="G726" s="2" t="str">
        <f>IF(_xlfn.XLOOKUP(C726,Data_customers!$A$1:$A$1001,Data_customers!$C$1:$C$1001,,0)=0,"",_xlfn.XLOOKUP(C726,Data_customers!$A$1:$A$1001,Data_customers!$C$1:$C$1001,,0))</f>
        <v/>
      </c>
      <c r="H726" s="2" t="str">
        <f>_xlfn.XLOOKUP(C726,Data_customers!$A$1:$A$1001,Data_customers!$G$1:$G$1001,"",0)</f>
        <v>United States</v>
      </c>
      <c r="I726" t="str">
        <f>INDEX(Data_products!$A$1:$G$49, MATCH(Data_orders!$D726,Data_products!$A$1:$A$49,0), MATCH(Data_orders!I$1,Data_products!$A$1:$G$1,0))</f>
        <v>Ara</v>
      </c>
      <c r="J726" t="str">
        <f>INDEX(Data_products!$A$1:$G$49, MATCH(Data_orders!$D726,Data_products!$A$1:$A$49,0), MATCH(Data_orders!J$1,Data_products!$A$1:$G$1,0))</f>
        <v>M</v>
      </c>
      <c r="K726" s="4">
        <f>INDEX(Data_products!$A$1:$G$49, MATCH(Data_orders!$D726,Data_products!$A$1:$A$49,0), MATCH(Data_orders!K$1,Data_products!$A$1:$G$1,0))</f>
        <v>0.2</v>
      </c>
      <c r="L726">
        <f>INDEX(Data_products!$A$1:$G$49, MATCH(Data_orders!$D726,Data_products!$A$1:$A$49,0), MATCH(Data_orders!L$1,Data_products!$A$1:$G$1,0))</f>
        <v>3.375</v>
      </c>
      <c r="M726">
        <f t="shared" si="22"/>
        <v>6.75</v>
      </c>
      <c r="N726" t="str" cm="1">
        <f t="array" ref="N726">_xlfn.IFS(I726 = "Rob", "Robusta", I726 = "Exc", "Excelsa", I726 = "Ara", "Arabica", I726 = "Lib", "Liberica")</f>
        <v>Arabica</v>
      </c>
      <c r="O726" t="str">
        <f t="shared" si="23"/>
        <v>Medium</v>
      </c>
      <c r="P726" t="str">
        <f>_xlfn.XLOOKUP(Table1[[#This Row],[Customer ID]],Data_customers!$A$2:$A$1001,Data_customers!$I$2:$I$1001,,0)</f>
        <v>Yes</v>
      </c>
    </row>
    <row r="727" spans="1:16" x14ac:dyDescent="0.2">
      <c r="A727" s="2" t="s">
        <v>4585</v>
      </c>
      <c r="B727" s="3">
        <v>44043</v>
      </c>
      <c r="C727" s="2" t="s">
        <v>4586</v>
      </c>
      <c r="D727" t="s">
        <v>6167</v>
      </c>
      <c r="E727" s="2">
        <v>6</v>
      </c>
      <c r="F727" s="2" t="str">
        <f>_xlfn.XLOOKUP(Data_orders!C727,Data_customers!$A$1:$A$1001,Data_customers!$B$1:$B$1001,,0)</f>
        <v>Cristina Aleixo</v>
      </c>
      <c r="G727" s="2" t="str">
        <f>IF(_xlfn.XLOOKUP(C727,Data_customers!$A$1:$A$1001,Data_customers!$C$1:$C$1001,,0)=0,"",_xlfn.XLOOKUP(C727,Data_customers!$A$1:$A$1001,Data_customers!$C$1:$C$1001,,0))</f>
        <v>caleixok5@globo.com</v>
      </c>
      <c r="H727" s="2" t="str">
        <f>_xlfn.XLOOKUP(C727,Data_customers!$A$1:$A$1001,Data_customers!$G$1:$G$1001,"",0)</f>
        <v>United States</v>
      </c>
      <c r="I727" t="str">
        <f>INDEX(Data_products!$A$1:$G$49, MATCH(Data_orders!$D727,Data_products!$A$1:$A$49,0), MATCH(Data_orders!I$1,Data_products!$A$1:$G$1,0))</f>
        <v>Ara</v>
      </c>
      <c r="J727" t="str">
        <f>INDEX(Data_products!$A$1:$G$49, MATCH(Data_orders!$D727,Data_products!$A$1:$A$49,0), MATCH(Data_orders!J$1,Data_products!$A$1:$G$1,0))</f>
        <v>L</v>
      </c>
      <c r="K727" s="4">
        <f>INDEX(Data_products!$A$1:$G$49, MATCH(Data_orders!$D727,Data_products!$A$1:$A$49,0), MATCH(Data_orders!K$1,Data_products!$A$1:$G$1,0))</f>
        <v>0.2</v>
      </c>
      <c r="L727">
        <f>INDEX(Data_products!$A$1:$G$49, MATCH(Data_orders!$D727,Data_products!$A$1:$A$49,0), MATCH(Data_orders!L$1,Data_products!$A$1:$G$1,0))</f>
        <v>3.8849999999999998</v>
      </c>
      <c r="M727">
        <f t="shared" si="22"/>
        <v>23.31</v>
      </c>
      <c r="N727" t="str" cm="1">
        <f t="array" ref="N727">_xlfn.IFS(I727 = "Rob", "Robusta", I727 = "Exc", "Excelsa", I727 = "Ara", "Arabica", I727 = "Lib", "Liberica")</f>
        <v>Arabica</v>
      </c>
      <c r="O727" t="str">
        <f t="shared" si="23"/>
        <v>Light</v>
      </c>
      <c r="P727" t="str">
        <f>_xlfn.XLOOKUP(Table1[[#This Row],[Customer ID]],Data_customers!$A$2:$A$1001,Data_customers!$I$2:$I$1001,,0)</f>
        <v>No</v>
      </c>
    </row>
    <row r="728" spans="1:16" x14ac:dyDescent="0.2">
      <c r="A728" s="2" t="s">
        <v>4591</v>
      </c>
      <c r="B728" s="3">
        <v>44571</v>
      </c>
      <c r="C728" s="2" t="s">
        <v>4592</v>
      </c>
      <c r="D728" t="s">
        <v>6164</v>
      </c>
      <c r="E728" s="2">
        <v>4</v>
      </c>
      <c r="F728" s="2" t="str">
        <f>_xlfn.XLOOKUP(Data_orders!C728,Data_customers!$A$1:$A$1001,Data_customers!$B$1:$B$1001,,0)</f>
        <v>Derrek Allpress</v>
      </c>
      <c r="G728" s="2" t="str">
        <f>IF(_xlfn.XLOOKUP(C728,Data_customers!$A$1:$A$1001,Data_customers!$C$1:$C$1001,,0)=0,"",_xlfn.XLOOKUP(C728,Data_customers!$A$1:$A$1001,Data_customers!$C$1:$C$1001,,0))</f>
        <v/>
      </c>
      <c r="H728" s="2" t="str">
        <f>_xlfn.XLOOKUP(C728,Data_customers!$A$1:$A$1001,Data_customers!$G$1:$G$1001,"",0)</f>
        <v>United States</v>
      </c>
      <c r="I728" t="str">
        <f>INDEX(Data_products!$A$1:$G$49, MATCH(Data_orders!$D728,Data_products!$A$1:$A$49,0), MATCH(Data_orders!I$1,Data_products!$A$1:$G$1,0))</f>
        <v>Lib</v>
      </c>
      <c r="J728" t="str">
        <f>INDEX(Data_products!$A$1:$G$49, MATCH(Data_orders!$D728,Data_products!$A$1:$A$49,0), MATCH(Data_orders!J$1,Data_products!$A$1:$G$1,0))</f>
        <v>L</v>
      </c>
      <c r="K728" s="4">
        <f>INDEX(Data_products!$A$1:$G$49, MATCH(Data_orders!$D728,Data_products!$A$1:$A$49,0), MATCH(Data_orders!K$1,Data_products!$A$1:$G$1,0))</f>
        <v>2.5</v>
      </c>
      <c r="L728">
        <f>INDEX(Data_products!$A$1:$G$49, MATCH(Data_orders!$D728,Data_products!$A$1:$A$49,0), MATCH(Data_orders!L$1,Data_products!$A$1:$G$1,0))</f>
        <v>36.454999999999998</v>
      </c>
      <c r="M728">
        <f t="shared" si="22"/>
        <v>145.82</v>
      </c>
      <c r="N728" t="str" cm="1">
        <f t="array" ref="N728">_xlfn.IFS(I728 = "Rob", "Robusta", I728 = "Exc", "Excelsa", I728 = "Ara", "Arabica", I728 = "Lib", "Liberica")</f>
        <v>Liberica</v>
      </c>
      <c r="O728" t="str">
        <f t="shared" si="23"/>
        <v>Light</v>
      </c>
      <c r="P728" t="str">
        <f>_xlfn.XLOOKUP(Table1[[#This Row],[Customer ID]],Data_customers!$A$2:$A$1001,Data_customers!$I$2:$I$1001,,0)</f>
        <v>No</v>
      </c>
    </row>
    <row r="729" spans="1:16" x14ac:dyDescent="0.2">
      <c r="A729" s="2" t="s">
        <v>4596</v>
      </c>
      <c r="B729" s="3">
        <v>44264</v>
      </c>
      <c r="C729" s="2" t="s">
        <v>4597</v>
      </c>
      <c r="D729" t="s">
        <v>6146</v>
      </c>
      <c r="E729" s="2">
        <v>5</v>
      </c>
      <c r="F729" s="2" t="str">
        <f>_xlfn.XLOOKUP(Data_orders!C729,Data_customers!$A$1:$A$1001,Data_customers!$B$1:$B$1001,,0)</f>
        <v>Rikki Tomkowicz</v>
      </c>
      <c r="G729" s="2" t="str">
        <f>IF(_xlfn.XLOOKUP(C729,Data_customers!$A$1:$A$1001,Data_customers!$C$1:$C$1001,,0)=0,"",_xlfn.XLOOKUP(C729,Data_customers!$A$1:$A$1001,Data_customers!$C$1:$C$1001,,0))</f>
        <v>rtomkowiczk7@bravesites.com</v>
      </c>
      <c r="H729" s="2" t="str">
        <f>_xlfn.XLOOKUP(C729,Data_customers!$A$1:$A$1001,Data_customers!$G$1:$G$1001,"",0)</f>
        <v>Ireland</v>
      </c>
      <c r="I729" t="str">
        <f>INDEX(Data_products!$A$1:$G$49, MATCH(Data_orders!$D729,Data_products!$A$1:$A$49,0), MATCH(Data_orders!I$1,Data_products!$A$1:$G$1,0))</f>
        <v>Rob</v>
      </c>
      <c r="J729" t="str">
        <f>INDEX(Data_products!$A$1:$G$49, MATCH(Data_orders!$D729,Data_products!$A$1:$A$49,0), MATCH(Data_orders!J$1,Data_products!$A$1:$G$1,0))</f>
        <v>M</v>
      </c>
      <c r="K729" s="4">
        <f>INDEX(Data_products!$A$1:$G$49, MATCH(Data_orders!$D729,Data_products!$A$1:$A$49,0), MATCH(Data_orders!K$1,Data_products!$A$1:$G$1,0))</f>
        <v>0.5</v>
      </c>
      <c r="L729">
        <f>INDEX(Data_products!$A$1:$G$49, MATCH(Data_orders!$D729,Data_products!$A$1:$A$49,0), MATCH(Data_orders!L$1,Data_products!$A$1:$G$1,0))</f>
        <v>5.97</v>
      </c>
      <c r="M729">
        <f t="shared" si="22"/>
        <v>29.849999999999998</v>
      </c>
      <c r="N729" t="str" cm="1">
        <f t="array" ref="N729">_xlfn.IFS(I729 = "Rob", "Robusta", I729 = "Exc", "Excelsa", I729 = "Ara", "Arabica", I729 = "Lib", "Liberica")</f>
        <v>Robusta</v>
      </c>
      <c r="O729" t="str">
        <f t="shared" si="23"/>
        <v>Medium</v>
      </c>
      <c r="P729" t="str">
        <f>_xlfn.XLOOKUP(Table1[[#This Row],[Customer ID]],Data_customers!$A$2:$A$1001,Data_customers!$I$2:$I$1001,,0)</f>
        <v>Yes</v>
      </c>
    </row>
    <row r="730" spans="1:16" x14ac:dyDescent="0.2">
      <c r="A730" s="2" t="s">
        <v>4602</v>
      </c>
      <c r="B730" s="3">
        <v>44155</v>
      </c>
      <c r="C730" s="2" t="s">
        <v>4603</v>
      </c>
      <c r="D730" t="s">
        <v>6144</v>
      </c>
      <c r="E730" s="2">
        <v>3</v>
      </c>
      <c r="F730" s="2" t="str">
        <f>_xlfn.XLOOKUP(Data_orders!C730,Data_customers!$A$1:$A$1001,Data_customers!$B$1:$B$1001,,0)</f>
        <v>Rochette Huscroft</v>
      </c>
      <c r="G730" s="2" t="str">
        <f>IF(_xlfn.XLOOKUP(C730,Data_customers!$A$1:$A$1001,Data_customers!$C$1:$C$1001,,0)=0,"",_xlfn.XLOOKUP(C730,Data_customers!$A$1:$A$1001,Data_customers!$C$1:$C$1001,,0))</f>
        <v>rhuscroftk8@jimdo.com</v>
      </c>
      <c r="H730" s="2" t="str">
        <f>_xlfn.XLOOKUP(C730,Data_customers!$A$1:$A$1001,Data_customers!$G$1:$G$1001,"",0)</f>
        <v>United States</v>
      </c>
      <c r="I730" t="str">
        <f>INDEX(Data_products!$A$1:$G$49, MATCH(Data_orders!$D730,Data_products!$A$1:$A$49,0), MATCH(Data_orders!I$1,Data_products!$A$1:$G$1,0))</f>
        <v>Exc</v>
      </c>
      <c r="J730" t="str">
        <f>INDEX(Data_products!$A$1:$G$49, MATCH(Data_orders!$D730,Data_products!$A$1:$A$49,0), MATCH(Data_orders!J$1,Data_products!$A$1:$G$1,0))</f>
        <v>D</v>
      </c>
      <c r="K730" s="4">
        <f>INDEX(Data_products!$A$1:$G$49, MATCH(Data_orders!$D730,Data_products!$A$1:$A$49,0), MATCH(Data_orders!K$1,Data_products!$A$1:$G$1,0))</f>
        <v>0.5</v>
      </c>
      <c r="L730">
        <f>INDEX(Data_products!$A$1:$G$49, MATCH(Data_orders!$D730,Data_products!$A$1:$A$49,0), MATCH(Data_orders!L$1,Data_products!$A$1:$G$1,0))</f>
        <v>7.29</v>
      </c>
      <c r="M730">
        <f t="shared" si="22"/>
        <v>21.87</v>
      </c>
      <c r="N730" t="str" cm="1">
        <f t="array" ref="N730">_xlfn.IFS(I730 = "Rob", "Robusta", I730 = "Exc", "Excelsa", I730 = "Ara", "Arabica", I730 = "Lib", "Liberica")</f>
        <v>Excelsa</v>
      </c>
      <c r="O730" t="str">
        <f t="shared" si="23"/>
        <v>Dark</v>
      </c>
      <c r="P730" t="str">
        <f>_xlfn.XLOOKUP(Table1[[#This Row],[Customer ID]],Data_customers!$A$2:$A$1001,Data_customers!$I$2:$I$1001,,0)</f>
        <v>Yes</v>
      </c>
    </row>
    <row r="731" spans="1:16" x14ac:dyDescent="0.2">
      <c r="A731" s="2" t="s">
        <v>4608</v>
      </c>
      <c r="B731" s="3">
        <v>44634</v>
      </c>
      <c r="C731" s="2" t="s">
        <v>4609</v>
      </c>
      <c r="D731" t="s">
        <v>6159</v>
      </c>
      <c r="E731" s="2">
        <v>1</v>
      </c>
      <c r="F731" s="2" t="str">
        <f>_xlfn.XLOOKUP(Data_orders!C731,Data_customers!$A$1:$A$1001,Data_customers!$B$1:$B$1001,,0)</f>
        <v>Selle Scurrer</v>
      </c>
      <c r="G731" s="2" t="str">
        <f>IF(_xlfn.XLOOKUP(C731,Data_customers!$A$1:$A$1001,Data_customers!$C$1:$C$1001,,0)=0,"",_xlfn.XLOOKUP(C731,Data_customers!$A$1:$A$1001,Data_customers!$C$1:$C$1001,,0))</f>
        <v>sscurrerk9@flavors.me</v>
      </c>
      <c r="H731" s="2" t="str">
        <f>_xlfn.XLOOKUP(C731,Data_customers!$A$1:$A$1001,Data_customers!$G$1:$G$1001,"",0)</f>
        <v>United Kingdom</v>
      </c>
      <c r="I731" t="str">
        <f>INDEX(Data_products!$A$1:$G$49, MATCH(Data_orders!$D731,Data_products!$A$1:$A$49,0), MATCH(Data_orders!I$1,Data_products!$A$1:$G$1,0))</f>
        <v>Lib</v>
      </c>
      <c r="J731" t="str">
        <f>INDEX(Data_products!$A$1:$G$49, MATCH(Data_orders!$D731,Data_products!$A$1:$A$49,0), MATCH(Data_orders!J$1,Data_products!$A$1:$G$1,0))</f>
        <v>M</v>
      </c>
      <c r="K731" s="4">
        <f>INDEX(Data_products!$A$1:$G$49, MATCH(Data_orders!$D731,Data_products!$A$1:$A$49,0), MATCH(Data_orders!K$1,Data_products!$A$1:$G$1,0))</f>
        <v>0.2</v>
      </c>
      <c r="L731">
        <f>INDEX(Data_products!$A$1:$G$49, MATCH(Data_orders!$D731,Data_products!$A$1:$A$49,0), MATCH(Data_orders!L$1,Data_products!$A$1:$G$1,0))</f>
        <v>4.3650000000000002</v>
      </c>
      <c r="M731">
        <f t="shared" si="22"/>
        <v>4.3650000000000002</v>
      </c>
      <c r="N731" t="str" cm="1">
        <f t="array" ref="N731">_xlfn.IFS(I731 = "Rob", "Robusta", I731 = "Exc", "Excelsa", I731 = "Ara", "Arabica", I731 = "Lib", "Liberica")</f>
        <v>Liberica</v>
      </c>
      <c r="O731" t="str">
        <f t="shared" si="23"/>
        <v>Medium</v>
      </c>
      <c r="P731" t="str">
        <f>_xlfn.XLOOKUP(Table1[[#This Row],[Customer ID]],Data_customers!$A$2:$A$1001,Data_customers!$I$2:$I$1001,,0)</f>
        <v>No</v>
      </c>
    </row>
    <row r="732" spans="1:16" x14ac:dyDescent="0.2">
      <c r="A732" s="2" t="s">
        <v>4614</v>
      </c>
      <c r="B732" s="3">
        <v>43475</v>
      </c>
      <c r="C732" s="2" t="s">
        <v>4615</v>
      </c>
      <c r="D732" t="s">
        <v>6164</v>
      </c>
      <c r="E732" s="2">
        <v>1</v>
      </c>
      <c r="F732" s="2" t="str">
        <f>_xlfn.XLOOKUP(Data_orders!C732,Data_customers!$A$1:$A$1001,Data_customers!$B$1:$B$1001,,0)</f>
        <v>Andie Rudram</v>
      </c>
      <c r="G732" s="2" t="str">
        <f>IF(_xlfn.XLOOKUP(C732,Data_customers!$A$1:$A$1001,Data_customers!$C$1:$C$1001,,0)=0,"",_xlfn.XLOOKUP(C732,Data_customers!$A$1:$A$1001,Data_customers!$C$1:$C$1001,,0))</f>
        <v>arudramka@prnewswire.com</v>
      </c>
      <c r="H732" s="2" t="str">
        <f>_xlfn.XLOOKUP(C732,Data_customers!$A$1:$A$1001,Data_customers!$G$1:$G$1001,"",0)</f>
        <v>United States</v>
      </c>
      <c r="I732" t="str">
        <f>INDEX(Data_products!$A$1:$G$49, MATCH(Data_orders!$D732,Data_products!$A$1:$A$49,0), MATCH(Data_orders!I$1,Data_products!$A$1:$G$1,0))</f>
        <v>Lib</v>
      </c>
      <c r="J732" t="str">
        <f>INDEX(Data_products!$A$1:$G$49, MATCH(Data_orders!$D732,Data_products!$A$1:$A$49,0), MATCH(Data_orders!J$1,Data_products!$A$1:$G$1,0))</f>
        <v>L</v>
      </c>
      <c r="K732" s="4">
        <f>INDEX(Data_products!$A$1:$G$49, MATCH(Data_orders!$D732,Data_products!$A$1:$A$49,0), MATCH(Data_orders!K$1,Data_products!$A$1:$G$1,0))</f>
        <v>2.5</v>
      </c>
      <c r="L732">
        <f>INDEX(Data_products!$A$1:$G$49, MATCH(Data_orders!$D732,Data_products!$A$1:$A$49,0), MATCH(Data_orders!L$1,Data_products!$A$1:$G$1,0))</f>
        <v>36.454999999999998</v>
      </c>
      <c r="M732">
        <f t="shared" si="22"/>
        <v>36.454999999999998</v>
      </c>
      <c r="N732" t="str" cm="1">
        <f t="array" ref="N732">_xlfn.IFS(I732 = "Rob", "Robusta", I732 = "Exc", "Excelsa", I732 = "Ara", "Arabica", I732 = "Lib", "Liberica")</f>
        <v>Liberica</v>
      </c>
      <c r="O732" t="str">
        <f t="shared" si="23"/>
        <v>Light</v>
      </c>
      <c r="P732" t="str">
        <f>_xlfn.XLOOKUP(Table1[[#This Row],[Customer ID]],Data_customers!$A$2:$A$1001,Data_customers!$I$2:$I$1001,,0)</f>
        <v>No</v>
      </c>
    </row>
    <row r="733" spans="1:16" x14ac:dyDescent="0.2">
      <c r="A733" s="2" t="s">
        <v>4620</v>
      </c>
      <c r="B733" s="3">
        <v>44222</v>
      </c>
      <c r="C733" s="2" t="s">
        <v>4621</v>
      </c>
      <c r="D733" t="s">
        <v>6150</v>
      </c>
      <c r="E733" s="2">
        <v>4</v>
      </c>
      <c r="F733" s="2" t="str">
        <f>_xlfn.XLOOKUP(Data_orders!C733,Data_customers!$A$1:$A$1001,Data_customers!$B$1:$B$1001,,0)</f>
        <v>Leta Clarricoates</v>
      </c>
      <c r="G733" s="2" t="str">
        <f>IF(_xlfn.XLOOKUP(C733,Data_customers!$A$1:$A$1001,Data_customers!$C$1:$C$1001,,0)=0,"",_xlfn.XLOOKUP(C733,Data_customers!$A$1:$A$1001,Data_customers!$C$1:$C$1001,,0))</f>
        <v/>
      </c>
      <c r="H733" s="2" t="str">
        <f>_xlfn.XLOOKUP(C733,Data_customers!$A$1:$A$1001,Data_customers!$G$1:$G$1001,"",0)</f>
        <v>United States</v>
      </c>
      <c r="I733" t="str">
        <f>INDEX(Data_products!$A$1:$G$49, MATCH(Data_orders!$D733,Data_products!$A$1:$A$49,0), MATCH(Data_orders!I$1,Data_products!$A$1:$G$1,0))</f>
        <v>Lib</v>
      </c>
      <c r="J733" t="str">
        <f>INDEX(Data_products!$A$1:$G$49, MATCH(Data_orders!$D733,Data_products!$A$1:$A$49,0), MATCH(Data_orders!J$1,Data_products!$A$1:$G$1,0))</f>
        <v>D</v>
      </c>
      <c r="K733" s="4">
        <f>INDEX(Data_products!$A$1:$G$49, MATCH(Data_orders!$D733,Data_products!$A$1:$A$49,0), MATCH(Data_orders!K$1,Data_products!$A$1:$G$1,0))</f>
        <v>0.2</v>
      </c>
      <c r="L733">
        <f>INDEX(Data_products!$A$1:$G$49, MATCH(Data_orders!$D733,Data_products!$A$1:$A$49,0), MATCH(Data_orders!L$1,Data_products!$A$1:$G$1,0))</f>
        <v>3.8849999999999998</v>
      </c>
      <c r="M733">
        <f t="shared" si="22"/>
        <v>15.54</v>
      </c>
      <c r="N733" t="str" cm="1">
        <f t="array" ref="N733">_xlfn.IFS(I733 = "Rob", "Robusta", I733 = "Exc", "Excelsa", I733 = "Ara", "Arabica", I733 = "Lib", "Liberica")</f>
        <v>Liberica</v>
      </c>
      <c r="O733" t="str">
        <f t="shared" si="23"/>
        <v>Dark</v>
      </c>
      <c r="P733" t="str">
        <f>_xlfn.XLOOKUP(Table1[[#This Row],[Customer ID]],Data_customers!$A$2:$A$1001,Data_customers!$I$2:$I$1001,,0)</f>
        <v>Yes</v>
      </c>
    </row>
    <row r="734" spans="1:16" x14ac:dyDescent="0.2">
      <c r="A734" s="2" t="s">
        <v>4625</v>
      </c>
      <c r="B734" s="3">
        <v>44312</v>
      </c>
      <c r="C734" s="2" t="s">
        <v>4626</v>
      </c>
      <c r="D734" t="s">
        <v>6184</v>
      </c>
      <c r="E734" s="2">
        <v>2</v>
      </c>
      <c r="F734" s="2" t="str">
        <f>_xlfn.XLOOKUP(Data_orders!C734,Data_customers!$A$1:$A$1001,Data_customers!$B$1:$B$1001,,0)</f>
        <v>Jacquelyn Maha</v>
      </c>
      <c r="G734" s="2" t="str">
        <f>IF(_xlfn.XLOOKUP(C734,Data_customers!$A$1:$A$1001,Data_customers!$C$1:$C$1001,,0)=0,"",_xlfn.XLOOKUP(C734,Data_customers!$A$1:$A$1001,Data_customers!$C$1:$C$1001,,0))</f>
        <v>jmahakc@cyberchimps.com</v>
      </c>
      <c r="H734" s="2" t="str">
        <f>_xlfn.XLOOKUP(C734,Data_customers!$A$1:$A$1001,Data_customers!$G$1:$G$1001,"",0)</f>
        <v>United States</v>
      </c>
      <c r="I734" t="str">
        <f>INDEX(Data_products!$A$1:$G$49, MATCH(Data_orders!$D734,Data_products!$A$1:$A$49,0), MATCH(Data_orders!I$1,Data_products!$A$1:$G$1,0))</f>
        <v>Exc</v>
      </c>
      <c r="J734" t="str">
        <f>INDEX(Data_products!$A$1:$G$49, MATCH(Data_orders!$D734,Data_products!$A$1:$A$49,0), MATCH(Data_orders!J$1,Data_products!$A$1:$G$1,0))</f>
        <v>L</v>
      </c>
      <c r="K734" s="4">
        <f>INDEX(Data_products!$A$1:$G$49, MATCH(Data_orders!$D734,Data_products!$A$1:$A$49,0), MATCH(Data_orders!K$1,Data_products!$A$1:$G$1,0))</f>
        <v>0.2</v>
      </c>
      <c r="L734">
        <f>INDEX(Data_products!$A$1:$G$49, MATCH(Data_orders!$D734,Data_products!$A$1:$A$49,0), MATCH(Data_orders!L$1,Data_products!$A$1:$G$1,0))</f>
        <v>4.4550000000000001</v>
      </c>
      <c r="M734">
        <f t="shared" si="22"/>
        <v>8.91</v>
      </c>
      <c r="N734" t="str" cm="1">
        <f t="array" ref="N734">_xlfn.IFS(I734 = "Rob", "Robusta", I734 = "Exc", "Excelsa", I734 = "Ara", "Arabica", I734 = "Lib", "Liberica")</f>
        <v>Excelsa</v>
      </c>
      <c r="O734" t="str">
        <f t="shared" si="23"/>
        <v>Light</v>
      </c>
      <c r="P734" t="str">
        <f>_xlfn.XLOOKUP(Table1[[#This Row],[Customer ID]],Data_customers!$A$2:$A$1001,Data_customers!$I$2:$I$1001,,0)</f>
        <v>No</v>
      </c>
    </row>
    <row r="735" spans="1:16" x14ac:dyDescent="0.2">
      <c r="A735" s="2" t="s">
        <v>4631</v>
      </c>
      <c r="B735" s="3">
        <v>44565</v>
      </c>
      <c r="C735" s="2" t="s">
        <v>4632</v>
      </c>
      <c r="D735" t="s">
        <v>6181</v>
      </c>
      <c r="E735" s="2">
        <v>3</v>
      </c>
      <c r="F735" s="2" t="str">
        <f>_xlfn.XLOOKUP(Data_orders!C735,Data_customers!$A$1:$A$1001,Data_customers!$B$1:$B$1001,,0)</f>
        <v>Glory Clemon</v>
      </c>
      <c r="G735" s="2" t="str">
        <f>IF(_xlfn.XLOOKUP(C735,Data_customers!$A$1:$A$1001,Data_customers!$C$1:$C$1001,,0)=0,"",_xlfn.XLOOKUP(C735,Data_customers!$A$1:$A$1001,Data_customers!$C$1:$C$1001,,0))</f>
        <v>gclemonkd@networksolutions.com</v>
      </c>
      <c r="H735" s="2" t="str">
        <f>_xlfn.XLOOKUP(C735,Data_customers!$A$1:$A$1001,Data_customers!$G$1:$G$1001,"",0)</f>
        <v>United States</v>
      </c>
      <c r="I735" t="str">
        <f>INDEX(Data_products!$A$1:$G$49, MATCH(Data_orders!$D735,Data_products!$A$1:$A$49,0), MATCH(Data_orders!I$1,Data_products!$A$1:$G$1,0))</f>
        <v>Lib</v>
      </c>
      <c r="J735" t="str">
        <f>INDEX(Data_products!$A$1:$G$49, MATCH(Data_orders!$D735,Data_products!$A$1:$A$49,0), MATCH(Data_orders!J$1,Data_products!$A$1:$G$1,0))</f>
        <v>M</v>
      </c>
      <c r="K735" s="4">
        <f>INDEX(Data_products!$A$1:$G$49, MATCH(Data_orders!$D735,Data_products!$A$1:$A$49,0), MATCH(Data_orders!K$1,Data_products!$A$1:$G$1,0))</f>
        <v>2.5</v>
      </c>
      <c r="L735">
        <f>INDEX(Data_products!$A$1:$G$49, MATCH(Data_orders!$D735,Data_products!$A$1:$A$49,0), MATCH(Data_orders!L$1,Data_products!$A$1:$G$1,0))</f>
        <v>33.464999999999996</v>
      </c>
      <c r="M735">
        <f t="shared" si="22"/>
        <v>100.39499999999998</v>
      </c>
      <c r="N735" t="str" cm="1">
        <f t="array" ref="N735">_xlfn.IFS(I735 = "Rob", "Robusta", I735 = "Exc", "Excelsa", I735 = "Ara", "Arabica", I735 = "Lib", "Liberica")</f>
        <v>Liberica</v>
      </c>
      <c r="O735" t="str">
        <f t="shared" si="23"/>
        <v>Medium</v>
      </c>
      <c r="P735" t="str">
        <f>_xlfn.XLOOKUP(Table1[[#This Row],[Customer ID]],Data_customers!$A$2:$A$1001,Data_customers!$I$2:$I$1001,,0)</f>
        <v>Yes</v>
      </c>
    </row>
    <row r="736" spans="1:16" x14ac:dyDescent="0.2">
      <c r="A736" s="2" t="s">
        <v>4637</v>
      </c>
      <c r="B736" s="3">
        <v>43697</v>
      </c>
      <c r="C736" s="2" t="s">
        <v>4638</v>
      </c>
      <c r="D736" t="s">
        <v>6163</v>
      </c>
      <c r="E736" s="2">
        <v>5</v>
      </c>
      <c r="F736" s="2" t="str">
        <f>_xlfn.XLOOKUP(Data_orders!C736,Data_customers!$A$1:$A$1001,Data_customers!$B$1:$B$1001,,0)</f>
        <v>Alica Kift</v>
      </c>
      <c r="G736" s="2" t="str">
        <f>IF(_xlfn.XLOOKUP(C736,Data_customers!$A$1:$A$1001,Data_customers!$C$1:$C$1001,,0)=0,"",_xlfn.XLOOKUP(C736,Data_customers!$A$1:$A$1001,Data_customers!$C$1:$C$1001,,0))</f>
        <v/>
      </c>
      <c r="H736" s="2" t="str">
        <f>_xlfn.XLOOKUP(C736,Data_customers!$A$1:$A$1001,Data_customers!$G$1:$G$1001,"",0)</f>
        <v>United States</v>
      </c>
      <c r="I736" t="str">
        <f>INDEX(Data_products!$A$1:$G$49, MATCH(Data_orders!$D736,Data_products!$A$1:$A$49,0), MATCH(Data_orders!I$1,Data_products!$A$1:$G$1,0))</f>
        <v>Rob</v>
      </c>
      <c r="J736" t="str">
        <f>INDEX(Data_products!$A$1:$G$49, MATCH(Data_orders!$D736,Data_products!$A$1:$A$49,0), MATCH(Data_orders!J$1,Data_products!$A$1:$G$1,0))</f>
        <v>D</v>
      </c>
      <c r="K736" s="4">
        <f>INDEX(Data_products!$A$1:$G$49, MATCH(Data_orders!$D736,Data_products!$A$1:$A$49,0), MATCH(Data_orders!K$1,Data_products!$A$1:$G$1,0))</f>
        <v>0.2</v>
      </c>
      <c r="L736">
        <f>INDEX(Data_products!$A$1:$G$49, MATCH(Data_orders!$D736,Data_products!$A$1:$A$49,0), MATCH(Data_orders!L$1,Data_products!$A$1:$G$1,0))</f>
        <v>2.6849999999999996</v>
      </c>
      <c r="M736">
        <f t="shared" si="22"/>
        <v>13.424999999999997</v>
      </c>
      <c r="N736" t="str" cm="1">
        <f t="array" ref="N736">_xlfn.IFS(I736 = "Rob", "Robusta", I736 = "Exc", "Excelsa", I736 = "Ara", "Arabica", I736 = "Lib", "Liberica")</f>
        <v>Robusta</v>
      </c>
      <c r="O736" t="str">
        <f t="shared" si="23"/>
        <v>Dark</v>
      </c>
      <c r="P736" t="str">
        <f>_xlfn.XLOOKUP(Table1[[#This Row],[Customer ID]],Data_customers!$A$2:$A$1001,Data_customers!$I$2:$I$1001,,0)</f>
        <v>No</v>
      </c>
    </row>
    <row r="737" spans="1:16" x14ac:dyDescent="0.2">
      <c r="A737" s="2" t="s">
        <v>4642</v>
      </c>
      <c r="B737" s="3">
        <v>44757</v>
      </c>
      <c r="C737" s="2" t="s">
        <v>4643</v>
      </c>
      <c r="D737" t="s">
        <v>6153</v>
      </c>
      <c r="E737" s="2">
        <v>6</v>
      </c>
      <c r="F737" s="2" t="str">
        <f>_xlfn.XLOOKUP(Data_orders!C737,Data_customers!$A$1:$A$1001,Data_customers!$B$1:$B$1001,,0)</f>
        <v>Babb Pollins</v>
      </c>
      <c r="G737" s="2" t="str">
        <f>IF(_xlfn.XLOOKUP(C737,Data_customers!$A$1:$A$1001,Data_customers!$C$1:$C$1001,,0)=0,"",_xlfn.XLOOKUP(C737,Data_customers!$A$1:$A$1001,Data_customers!$C$1:$C$1001,,0))</f>
        <v>bpollinskf@shinystat.com</v>
      </c>
      <c r="H737" s="2" t="str">
        <f>_xlfn.XLOOKUP(C737,Data_customers!$A$1:$A$1001,Data_customers!$G$1:$G$1001,"",0)</f>
        <v>United States</v>
      </c>
      <c r="I737" t="str">
        <f>INDEX(Data_products!$A$1:$G$49, MATCH(Data_orders!$D737,Data_products!$A$1:$A$49,0), MATCH(Data_orders!I$1,Data_products!$A$1:$G$1,0))</f>
        <v>Exc</v>
      </c>
      <c r="J737" t="str">
        <f>INDEX(Data_products!$A$1:$G$49, MATCH(Data_orders!$D737,Data_products!$A$1:$A$49,0), MATCH(Data_orders!J$1,Data_products!$A$1:$G$1,0))</f>
        <v>D</v>
      </c>
      <c r="K737" s="4">
        <f>INDEX(Data_products!$A$1:$G$49, MATCH(Data_orders!$D737,Data_products!$A$1:$A$49,0), MATCH(Data_orders!K$1,Data_products!$A$1:$G$1,0))</f>
        <v>0.2</v>
      </c>
      <c r="L737">
        <f>INDEX(Data_products!$A$1:$G$49, MATCH(Data_orders!$D737,Data_products!$A$1:$A$49,0), MATCH(Data_orders!L$1,Data_products!$A$1:$G$1,0))</f>
        <v>3.645</v>
      </c>
      <c r="M737">
        <f t="shared" si="22"/>
        <v>21.87</v>
      </c>
      <c r="N737" t="str" cm="1">
        <f t="array" ref="N737">_xlfn.IFS(I737 = "Rob", "Robusta", I737 = "Exc", "Excelsa", I737 = "Ara", "Arabica", I737 = "Lib", "Liberica")</f>
        <v>Excelsa</v>
      </c>
      <c r="O737" t="str">
        <f t="shared" si="23"/>
        <v>Dark</v>
      </c>
      <c r="P737" t="str">
        <f>_xlfn.XLOOKUP(Table1[[#This Row],[Customer ID]],Data_customers!$A$2:$A$1001,Data_customers!$I$2:$I$1001,,0)</f>
        <v>No</v>
      </c>
    </row>
    <row r="738" spans="1:16" x14ac:dyDescent="0.2">
      <c r="A738" s="2" t="s">
        <v>4647</v>
      </c>
      <c r="B738" s="3">
        <v>43508</v>
      </c>
      <c r="C738" s="2" t="s">
        <v>4648</v>
      </c>
      <c r="D738" t="s">
        <v>6143</v>
      </c>
      <c r="E738" s="2">
        <v>2</v>
      </c>
      <c r="F738" s="2" t="str">
        <f>_xlfn.XLOOKUP(Data_orders!C738,Data_customers!$A$1:$A$1001,Data_customers!$B$1:$B$1001,,0)</f>
        <v>Jarret Toye</v>
      </c>
      <c r="G738" s="2" t="str">
        <f>IF(_xlfn.XLOOKUP(C738,Data_customers!$A$1:$A$1001,Data_customers!$C$1:$C$1001,,0)=0,"",_xlfn.XLOOKUP(C738,Data_customers!$A$1:$A$1001,Data_customers!$C$1:$C$1001,,0))</f>
        <v>jtoyekg@pinterest.com</v>
      </c>
      <c r="H738" s="2" t="str">
        <f>_xlfn.XLOOKUP(C738,Data_customers!$A$1:$A$1001,Data_customers!$G$1:$G$1001,"",0)</f>
        <v>Ireland</v>
      </c>
      <c r="I738" t="str">
        <f>INDEX(Data_products!$A$1:$G$49, MATCH(Data_orders!$D738,Data_products!$A$1:$A$49,0), MATCH(Data_orders!I$1,Data_products!$A$1:$G$1,0))</f>
        <v>Lib</v>
      </c>
      <c r="J738" t="str">
        <f>INDEX(Data_products!$A$1:$G$49, MATCH(Data_orders!$D738,Data_products!$A$1:$A$49,0), MATCH(Data_orders!J$1,Data_products!$A$1:$G$1,0))</f>
        <v>D</v>
      </c>
      <c r="K738" s="4">
        <f>INDEX(Data_products!$A$1:$G$49, MATCH(Data_orders!$D738,Data_products!$A$1:$A$49,0), MATCH(Data_orders!K$1,Data_products!$A$1:$G$1,0))</f>
        <v>1</v>
      </c>
      <c r="L738">
        <f>INDEX(Data_products!$A$1:$G$49, MATCH(Data_orders!$D738,Data_products!$A$1:$A$49,0), MATCH(Data_orders!L$1,Data_products!$A$1:$G$1,0))</f>
        <v>12.95</v>
      </c>
      <c r="M738">
        <f t="shared" si="22"/>
        <v>25.9</v>
      </c>
      <c r="N738" t="str" cm="1">
        <f t="array" ref="N738">_xlfn.IFS(I738 = "Rob", "Robusta", I738 = "Exc", "Excelsa", I738 = "Ara", "Arabica", I738 = "Lib", "Liberica")</f>
        <v>Liberica</v>
      </c>
      <c r="O738" t="str">
        <f t="shared" si="23"/>
        <v>Dark</v>
      </c>
      <c r="P738" t="str">
        <f>_xlfn.XLOOKUP(Table1[[#This Row],[Customer ID]],Data_customers!$A$2:$A$1001,Data_customers!$I$2:$I$1001,,0)</f>
        <v>Yes</v>
      </c>
    </row>
    <row r="739" spans="1:16" x14ac:dyDescent="0.2">
      <c r="A739" s="2" t="s">
        <v>4653</v>
      </c>
      <c r="B739" s="3">
        <v>44447</v>
      </c>
      <c r="C739" s="2" t="s">
        <v>4654</v>
      </c>
      <c r="D739" t="s">
        <v>6155</v>
      </c>
      <c r="E739" s="2">
        <v>5</v>
      </c>
      <c r="F739" s="2" t="str">
        <f>_xlfn.XLOOKUP(Data_orders!C739,Data_customers!$A$1:$A$1001,Data_customers!$B$1:$B$1001,,0)</f>
        <v>Carlie Linskill</v>
      </c>
      <c r="G739" s="2" t="str">
        <f>IF(_xlfn.XLOOKUP(C739,Data_customers!$A$1:$A$1001,Data_customers!$C$1:$C$1001,,0)=0,"",_xlfn.XLOOKUP(C739,Data_customers!$A$1:$A$1001,Data_customers!$C$1:$C$1001,,0))</f>
        <v>clinskillkh@sphinn.com</v>
      </c>
      <c r="H739" s="2" t="str">
        <f>_xlfn.XLOOKUP(C739,Data_customers!$A$1:$A$1001,Data_customers!$G$1:$G$1001,"",0)</f>
        <v>United States</v>
      </c>
      <c r="I739" t="str">
        <f>INDEX(Data_products!$A$1:$G$49, MATCH(Data_orders!$D739,Data_products!$A$1:$A$49,0), MATCH(Data_orders!I$1,Data_products!$A$1:$G$1,0))</f>
        <v>Ara</v>
      </c>
      <c r="J739" t="str">
        <f>INDEX(Data_products!$A$1:$G$49, MATCH(Data_orders!$D739,Data_products!$A$1:$A$49,0), MATCH(Data_orders!J$1,Data_products!$A$1:$G$1,0))</f>
        <v>M</v>
      </c>
      <c r="K739" s="4">
        <f>INDEX(Data_products!$A$1:$G$49, MATCH(Data_orders!$D739,Data_products!$A$1:$A$49,0), MATCH(Data_orders!K$1,Data_products!$A$1:$G$1,0))</f>
        <v>1</v>
      </c>
      <c r="L739">
        <f>INDEX(Data_products!$A$1:$G$49, MATCH(Data_orders!$D739,Data_products!$A$1:$A$49,0), MATCH(Data_orders!L$1,Data_products!$A$1:$G$1,0))</f>
        <v>11.25</v>
      </c>
      <c r="M739">
        <f t="shared" si="22"/>
        <v>56.25</v>
      </c>
      <c r="N739" t="str" cm="1">
        <f t="array" ref="N739">_xlfn.IFS(I739 = "Rob", "Robusta", I739 = "Exc", "Excelsa", I739 = "Ara", "Arabica", I739 = "Lib", "Liberica")</f>
        <v>Arabica</v>
      </c>
      <c r="O739" t="str">
        <f t="shared" si="23"/>
        <v>Medium</v>
      </c>
      <c r="P739" t="str">
        <f>_xlfn.XLOOKUP(Table1[[#This Row],[Customer ID]],Data_customers!$A$2:$A$1001,Data_customers!$I$2:$I$1001,,0)</f>
        <v>No</v>
      </c>
    </row>
    <row r="740" spans="1:16" x14ac:dyDescent="0.2">
      <c r="A740" s="2" t="s">
        <v>4659</v>
      </c>
      <c r="B740" s="3">
        <v>43812</v>
      </c>
      <c r="C740" s="2" t="s">
        <v>4660</v>
      </c>
      <c r="D740" t="s">
        <v>6178</v>
      </c>
      <c r="E740" s="2">
        <v>3</v>
      </c>
      <c r="F740" s="2" t="str">
        <f>_xlfn.XLOOKUP(Data_orders!C740,Data_customers!$A$1:$A$1001,Data_customers!$B$1:$B$1001,,0)</f>
        <v>Natal Vigrass</v>
      </c>
      <c r="G740" s="2" t="str">
        <f>IF(_xlfn.XLOOKUP(C740,Data_customers!$A$1:$A$1001,Data_customers!$C$1:$C$1001,,0)=0,"",_xlfn.XLOOKUP(C740,Data_customers!$A$1:$A$1001,Data_customers!$C$1:$C$1001,,0))</f>
        <v>nvigrasski@ezinearticles.com</v>
      </c>
      <c r="H740" s="2" t="str">
        <f>_xlfn.XLOOKUP(C740,Data_customers!$A$1:$A$1001,Data_customers!$G$1:$G$1001,"",0)</f>
        <v>United Kingdom</v>
      </c>
      <c r="I740" t="str">
        <f>INDEX(Data_products!$A$1:$G$49, MATCH(Data_orders!$D740,Data_products!$A$1:$A$49,0), MATCH(Data_orders!I$1,Data_products!$A$1:$G$1,0))</f>
        <v>Rob</v>
      </c>
      <c r="J740" t="str">
        <f>INDEX(Data_products!$A$1:$G$49, MATCH(Data_orders!$D740,Data_products!$A$1:$A$49,0), MATCH(Data_orders!J$1,Data_products!$A$1:$G$1,0))</f>
        <v>L</v>
      </c>
      <c r="K740" s="4">
        <f>INDEX(Data_products!$A$1:$G$49, MATCH(Data_orders!$D740,Data_products!$A$1:$A$49,0), MATCH(Data_orders!K$1,Data_products!$A$1:$G$1,0))</f>
        <v>0.2</v>
      </c>
      <c r="L740">
        <f>INDEX(Data_products!$A$1:$G$49, MATCH(Data_orders!$D740,Data_products!$A$1:$A$49,0), MATCH(Data_orders!L$1,Data_products!$A$1:$G$1,0))</f>
        <v>3.5849999999999995</v>
      </c>
      <c r="M740">
        <f t="shared" si="22"/>
        <v>10.754999999999999</v>
      </c>
      <c r="N740" t="str" cm="1">
        <f t="array" ref="N740">_xlfn.IFS(I740 = "Rob", "Robusta", I740 = "Exc", "Excelsa", I740 = "Ara", "Arabica", I740 = "Lib", "Liberica")</f>
        <v>Robusta</v>
      </c>
      <c r="O740" t="str">
        <f t="shared" si="23"/>
        <v>Light</v>
      </c>
      <c r="P740" t="str">
        <f>_xlfn.XLOOKUP(Table1[[#This Row],[Customer ID]],Data_customers!$A$2:$A$1001,Data_customers!$I$2:$I$1001,,0)</f>
        <v>No</v>
      </c>
    </row>
    <row r="741" spans="1:16" x14ac:dyDescent="0.2">
      <c r="A741" s="2" t="s">
        <v>4665</v>
      </c>
      <c r="B741" s="3">
        <v>44433</v>
      </c>
      <c r="C741" s="2" t="s">
        <v>4434</v>
      </c>
      <c r="D741" t="s">
        <v>6153</v>
      </c>
      <c r="E741" s="2">
        <v>5</v>
      </c>
      <c r="F741" s="2" t="str">
        <f>_xlfn.XLOOKUP(Data_orders!C741,Data_customers!$A$1:$A$1001,Data_customers!$B$1:$B$1001,,0)</f>
        <v>Jimmy Dymoke</v>
      </c>
      <c r="G741" s="2" t="str">
        <f>IF(_xlfn.XLOOKUP(C741,Data_customers!$A$1:$A$1001,Data_customers!$C$1:$C$1001,,0)=0,"",_xlfn.XLOOKUP(C741,Data_customers!$A$1:$A$1001,Data_customers!$C$1:$C$1001,,0))</f>
        <v>jdymokeje@prnewswire.com</v>
      </c>
      <c r="H741" s="2" t="str">
        <f>_xlfn.XLOOKUP(C741,Data_customers!$A$1:$A$1001,Data_customers!$G$1:$G$1001,"",0)</f>
        <v>Ireland</v>
      </c>
      <c r="I741" t="str">
        <f>INDEX(Data_products!$A$1:$G$49, MATCH(Data_orders!$D741,Data_products!$A$1:$A$49,0), MATCH(Data_orders!I$1,Data_products!$A$1:$G$1,0))</f>
        <v>Exc</v>
      </c>
      <c r="J741" t="str">
        <f>INDEX(Data_products!$A$1:$G$49, MATCH(Data_orders!$D741,Data_products!$A$1:$A$49,0), MATCH(Data_orders!J$1,Data_products!$A$1:$G$1,0))</f>
        <v>D</v>
      </c>
      <c r="K741" s="4">
        <f>INDEX(Data_products!$A$1:$G$49, MATCH(Data_orders!$D741,Data_products!$A$1:$A$49,0), MATCH(Data_orders!K$1,Data_products!$A$1:$G$1,0))</f>
        <v>0.2</v>
      </c>
      <c r="L741">
        <f>INDEX(Data_products!$A$1:$G$49, MATCH(Data_orders!$D741,Data_products!$A$1:$A$49,0), MATCH(Data_orders!L$1,Data_products!$A$1:$G$1,0))</f>
        <v>3.645</v>
      </c>
      <c r="M741">
        <f t="shared" si="22"/>
        <v>18.225000000000001</v>
      </c>
      <c r="N741" t="str" cm="1">
        <f t="array" ref="N741">_xlfn.IFS(I741 = "Rob", "Robusta", I741 = "Exc", "Excelsa", I741 = "Ara", "Arabica", I741 = "Lib", "Liberica")</f>
        <v>Excelsa</v>
      </c>
      <c r="O741" t="str">
        <f t="shared" si="23"/>
        <v>Dark</v>
      </c>
      <c r="P741" t="str">
        <f>_xlfn.XLOOKUP(Table1[[#This Row],[Customer ID]],Data_customers!$A$2:$A$1001,Data_customers!$I$2:$I$1001,,0)</f>
        <v>No</v>
      </c>
    </row>
    <row r="742" spans="1:16" x14ac:dyDescent="0.2">
      <c r="A742" s="2" t="s">
        <v>4670</v>
      </c>
      <c r="B742" s="3">
        <v>44643</v>
      </c>
      <c r="C742" s="2" t="s">
        <v>4671</v>
      </c>
      <c r="D742" t="s">
        <v>6173</v>
      </c>
      <c r="E742" s="2">
        <v>4</v>
      </c>
      <c r="F742" s="2" t="str">
        <f>_xlfn.XLOOKUP(Data_orders!C742,Data_customers!$A$1:$A$1001,Data_customers!$B$1:$B$1001,,0)</f>
        <v>Kandace Cragell</v>
      </c>
      <c r="G742" s="2" t="str">
        <f>IF(_xlfn.XLOOKUP(C742,Data_customers!$A$1:$A$1001,Data_customers!$C$1:$C$1001,,0)=0,"",_xlfn.XLOOKUP(C742,Data_customers!$A$1:$A$1001,Data_customers!$C$1:$C$1001,,0))</f>
        <v>kcragellkk@google.com</v>
      </c>
      <c r="H742" s="2" t="str">
        <f>_xlfn.XLOOKUP(C742,Data_customers!$A$1:$A$1001,Data_customers!$G$1:$G$1001,"",0)</f>
        <v>Ireland</v>
      </c>
      <c r="I742" t="str">
        <f>INDEX(Data_products!$A$1:$G$49, MATCH(Data_orders!$D742,Data_products!$A$1:$A$49,0), MATCH(Data_orders!I$1,Data_products!$A$1:$G$1,0))</f>
        <v>Rob</v>
      </c>
      <c r="J742" t="str">
        <f>INDEX(Data_products!$A$1:$G$49, MATCH(Data_orders!$D742,Data_products!$A$1:$A$49,0), MATCH(Data_orders!J$1,Data_products!$A$1:$G$1,0))</f>
        <v>L</v>
      </c>
      <c r="K742" s="4">
        <f>INDEX(Data_products!$A$1:$G$49, MATCH(Data_orders!$D742,Data_products!$A$1:$A$49,0), MATCH(Data_orders!K$1,Data_products!$A$1:$G$1,0))</f>
        <v>0.5</v>
      </c>
      <c r="L742">
        <f>INDEX(Data_products!$A$1:$G$49, MATCH(Data_orders!$D742,Data_products!$A$1:$A$49,0), MATCH(Data_orders!L$1,Data_products!$A$1:$G$1,0))</f>
        <v>7.169999999999999</v>
      </c>
      <c r="M742">
        <f t="shared" si="22"/>
        <v>28.679999999999996</v>
      </c>
      <c r="N742" t="str" cm="1">
        <f t="array" ref="N742">_xlfn.IFS(I742 = "Rob", "Robusta", I742 = "Exc", "Excelsa", I742 = "Ara", "Arabica", I742 = "Lib", "Liberica")</f>
        <v>Robusta</v>
      </c>
      <c r="O742" t="str">
        <f t="shared" si="23"/>
        <v>Light</v>
      </c>
      <c r="P742" t="str">
        <f>_xlfn.XLOOKUP(Table1[[#This Row],[Customer ID]],Data_customers!$A$2:$A$1001,Data_customers!$I$2:$I$1001,,0)</f>
        <v>No</v>
      </c>
    </row>
    <row r="743" spans="1:16" x14ac:dyDescent="0.2">
      <c r="A743" s="2" t="s">
        <v>4676</v>
      </c>
      <c r="B743" s="3">
        <v>43566</v>
      </c>
      <c r="C743" s="2" t="s">
        <v>4677</v>
      </c>
      <c r="D743" t="s">
        <v>6159</v>
      </c>
      <c r="E743" s="2">
        <v>2</v>
      </c>
      <c r="F743" s="2" t="str">
        <f>_xlfn.XLOOKUP(Data_orders!C743,Data_customers!$A$1:$A$1001,Data_customers!$B$1:$B$1001,,0)</f>
        <v>Lyon Ibert</v>
      </c>
      <c r="G743" s="2" t="str">
        <f>IF(_xlfn.XLOOKUP(C743,Data_customers!$A$1:$A$1001,Data_customers!$C$1:$C$1001,,0)=0,"",_xlfn.XLOOKUP(C743,Data_customers!$A$1:$A$1001,Data_customers!$C$1:$C$1001,,0))</f>
        <v>libertkl@huffingtonpost.com</v>
      </c>
      <c r="H743" s="2" t="str">
        <f>_xlfn.XLOOKUP(C743,Data_customers!$A$1:$A$1001,Data_customers!$G$1:$G$1001,"",0)</f>
        <v>United States</v>
      </c>
      <c r="I743" t="str">
        <f>INDEX(Data_products!$A$1:$G$49, MATCH(Data_orders!$D743,Data_products!$A$1:$A$49,0), MATCH(Data_orders!I$1,Data_products!$A$1:$G$1,0))</f>
        <v>Lib</v>
      </c>
      <c r="J743" t="str">
        <f>INDEX(Data_products!$A$1:$G$49, MATCH(Data_orders!$D743,Data_products!$A$1:$A$49,0), MATCH(Data_orders!J$1,Data_products!$A$1:$G$1,0))</f>
        <v>M</v>
      </c>
      <c r="K743" s="4">
        <f>INDEX(Data_products!$A$1:$G$49, MATCH(Data_orders!$D743,Data_products!$A$1:$A$49,0), MATCH(Data_orders!K$1,Data_products!$A$1:$G$1,0))</f>
        <v>0.2</v>
      </c>
      <c r="L743">
        <f>INDEX(Data_products!$A$1:$G$49, MATCH(Data_orders!$D743,Data_products!$A$1:$A$49,0), MATCH(Data_orders!L$1,Data_products!$A$1:$G$1,0))</f>
        <v>4.3650000000000002</v>
      </c>
      <c r="M743">
        <f t="shared" si="22"/>
        <v>8.73</v>
      </c>
      <c r="N743" t="str" cm="1">
        <f t="array" ref="N743">_xlfn.IFS(I743 = "Rob", "Robusta", I743 = "Exc", "Excelsa", I743 = "Ara", "Arabica", I743 = "Lib", "Liberica")</f>
        <v>Liberica</v>
      </c>
      <c r="O743" t="str">
        <f t="shared" si="23"/>
        <v>Medium</v>
      </c>
      <c r="P743" t="str">
        <f>_xlfn.XLOOKUP(Table1[[#This Row],[Customer ID]],Data_customers!$A$2:$A$1001,Data_customers!$I$2:$I$1001,,0)</f>
        <v>No</v>
      </c>
    </row>
    <row r="744" spans="1:16" x14ac:dyDescent="0.2">
      <c r="A744" s="2" t="s">
        <v>4682</v>
      </c>
      <c r="B744" s="3">
        <v>44133</v>
      </c>
      <c r="C744" s="2" t="s">
        <v>4683</v>
      </c>
      <c r="D744" t="s">
        <v>6162</v>
      </c>
      <c r="E744" s="2">
        <v>4</v>
      </c>
      <c r="F744" s="2" t="str">
        <f>_xlfn.XLOOKUP(Data_orders!C744,Data_customers!$A$1:$A$1001,Data_customers!$B$1:$B$1001,,0)</f>
        <v>Reese Lidgey</v>
      </c>
      <c r="G744" s="2" t="str">
        <f>IF(_xlfn.XLOOKUP(C744,Data_customers!$A$1:$A$1001,Data_customers!$C$1:$C$1001,,0)=0,"",_xlfn.XLOOKUP(C744,Data_customers!$A$1:$A$1001,Data_customers!$C$1:$C$1001,,0))</f>
        <v>rlidgeykm@vimeo.com</v>
      </c>
      <c r="H744" s="2" t="str">
        <f>_xlfn.XLOOKUP(C744,Data_customers!$A$1:$A$1001,Data_customers!$G$1:$G$1001,"",0)</f>
        <v>United States</v>
      </c>
      <c r="I744" t="str">
        <f>INDEX(Data_products!$A$1:$G$49, MATCH(Data_orders!$D744,Data_products!$A$1:$A$49,0), MATCH(Data_orders!I$1,Data_products!$A$1:$G$1,0))</f>
        <v>Lib</v>
      </c>
      <c r="J744" t="str">
        <f>INDEX(Data_products!$A$1:$G$49, MATCH(Data_orders!$D744,Data_products!$A$1:$A$49,0), MATCH(Data_orders!J$1,Data_products!$A$1:$G$1,0))</f>
        <v>M</v>
      </c>
      <c r="K744" s="4">
        <f>INDEX(Data_products!$A$1:$G$49, MATCH(Data_orders!$D744,Data_products!$A$1:$A$49,0), MATCH(Data_orders!K$1,Data_products!$A$1:$G$1,0))</f>
        <v>1</v>
      </c>
      <c r="L744">
        <f>INDEX(Data_products!$A$1:$G$49, MATCH(Data_orders!$D744,Data_products!$A$1:$A$49,0), MATCH(Data_orders!L$1,Data_products!$A$1:$G$1,0))</f>
        <v>14.55</v>
      </c>
      <c r="M744">
        <f t="shared" si="22"/>
        <v>58.2</v>
      </c>
      <c r="N744" t="str" cm="1">
        <f t="array" ref="N744">_xlfn.IFS(I744 = "Rob", "Robusta", I744 = "Exc", "Excelsa", I744 = "Ara", "Arabica", I744 = "Lib", "Liberica")</f>
        <v>Liberica</v>
      </c>
      <c r="O744" t="str">
        <f t="shared" si="23"/>
        <v>Medium</v>
      </c>
      <c r="P744" t="str">
        <f>_xlfn.XLOOKUP(Table1[[#This Row],[Customer ID]],Data_customers!$A$2:$A$1001,Data_customers!$I$2:$I$1001,,0)</f>
        <v>No</v>
      </c>
    </row>
    <row r="745" spans="1:16" x14ac:dyDescent="0.2">
      <c r="A745" s="2" t="s">
        <v>4688</v>
      </c>
      <c r="B745" s="3">
        <v>44042</v>
      </c>
      <c r="C745" s="2" t="s">
        <v>4689</v>
      </c>
      <c r="D745" t="s">
        <v>6158</v>
      </c>
      <c r="E745" s="2">
        <v>3</v>
      </c>
      <c r="F745" s="2" t="str">
        <f>_xlfn.XLOOKUP(Data_orders!C745,Data_customers!$A$1:$A$1001,Data_customers!$B$1:$B$1001,,0)</f>
        <v>Tersina Castagne</v>
      </c>
      <c r="G745" s="2" t="str">
        <f>IF(_xlfn.XLOOKUP(C745,Data_customers!$A$1:$A$1001,Data_customers!$C$1:$C$1001,,0)=0,"",_xlfn.XLOOKUP(C745,Data_customers!$A$1:$A$1001,Data_customers!$C$1:$C$1001,,0))</f>
        <v>tcastagnekn@wikia.com</v>
      </c>
      <c r="H745" s="2" t="str">
        <f>_xlfn.XLOOKUP(C745,Data_customers!$A$1:$A$1001,Data_customers!$G$1:$G$1001,"",0)</f>
        <v>United States</v>
      </c>
      <c r="I745" t="str">
        <f>INDEX(Data_products!$A$1:$G$49, MATCH(Data_orders!$D745,Data_products!$A$1:$A$49,0), MATCH(Data_orders!I$1,Data_products!$A$1:$G$1,0))</f>
        <v>Ara</v>
      </c>
      <c r="J745" t="str">
        <f>INDEX(Data_products!$A$1:$G$49, MATCH(Data_orders!$D745,Data_products!$A$1:$A$49,0), MATCH(Data_orders!J$1,Data_products!$A$1:$G$1,0))</f>
        <v>D</v>
      </c>
      <c r="K745" s="4">
        <f>INDEX(Data_products!$A$1:$G$49, MATCH(Data_orders!$D745,Data_products!$A$1:$A$49,0), MATCH(Data_orders!K$1,Data_products!$A$1:$G$1,0))</f>
        <v>0.5</v>
      </c>
      <c r="L745">
        <f>INDEX(Data_products!$A$1:$G$49, MATCH(Data_orders!$D745,Data_products!$A$1:$A$49,0), MATCH(Data_orders!L$1,Data_products!$A$1:$G$1,0))</f>
        <v>5.97</v>
      </c>
      <c r="M745">
        <f t="shared" si="22"/>
        <v>17.91</v>
      </c>
      <c r="N745" t="str" cm="1">
        <f t="array" ref="N745">_xlfn.IFS(I745 = "Rob", "Robusta", I745 = "Exc", "Excelsa", I745 = "Ara", "Arabica", I745 = "Lib", "Liberica")</f>
        <v>Arabica</v>
      </c>
      <c r="O745" t="str">
        <f t="shared" si="23"/>
        <v>Dark</v>
      </c>
      <c r="P745" t="str">
        <f>_xlfn.XLOOKUP(Table1[[#This Row],[Customer ID]],Data_customers!$A$2:$A$1001,Data_customers!$I$2:$I$1001,,0)</f>
        <v>No</v>
      </c>
    </row>
    <row r="746" spans="1:16" x14ac:dyDescent="0.2">
      <c r="A746" s="2" t="s">
        <v>4694</v>
      </c>
      <c r="B746" s="3">
        <v>43539</v>
      </c>
      <c r="C746" s="2" t="s">
        <v>4695</v>
      </c>
      <c r="D746" t="s">
        <v>6174</v>
      </c>
      <c r="E746" s="2">
        <v>6</v>
      </c>
      <c r="F746" s="2" t="str">
        <f>_xlfn.XLOOKUP(Data_orders!C746,Data_customers!$A$1:$A$1001,Data_customers!$B$1:$B$1001,,0)</f>
        <v>Samuele Klaaassen</v>
      </c>
      <c r="G746" s="2" t="str">
        <f>IF(_xlfn.XLOOKUP(C746,Data_customers!$A$1:$A$1001,Data_customers!$C$1:$C$1001,,0)=0,"",_xlfn.XLOOKUP(C746,Data_customers!$A$1:$A$1001,Data_customers!$C$1:$C$1001,,0))</f>
        <v/>
      </c>
      <c r="H746" s="2" t="str">
        <f>_xlfn.XLOOKUP(C746,Data_customers!$A$1:$A$1001,Data_customers!$G$1:$G$1001,"",0)</f>
        <v>United States</v>
      </c>
      <c r="I746" t="str">
        <f>INDEX(Data_products!$A$1:$G$49, MATCH(Data_orders!$D746,Data_products!$A$1:$A$49,0), MATCH(Data_orders!I$1,Data_products!$A$1:$G$1,0))</f>
        <v>Rob</v>
      </c>
      <c r="J746" t="str">
        <f>INDEX(Data_products!$A$1:$G$49, MATCH(Data_orders!$D746,Data_products!$A$1:$A$49,0), MATCH(Data_orders!J$1,Data_products!$A$1:$G$1,0))</f>
        <v>M</v>
      </c>
      <c r="K746" s="4">
        <f>INDEX(Data_products!$A$1:$G$49, MATCH(Data_orders!$D746,Data_products!$A$1:$A$49,0), MATCH(Data_orders!K$1,Data_products!$A$1:$G$1,0))</f>
        <v>0.2</v>
      </c>
      <c r="L746">
        <f>INDEX(Data_products!$A$1:$G$49, MATCH(Data_orders!$D746,Data_products!$A$1:$A$49,0), MATCH(Data_orders!L$1,Data_products!$A$1:$G$1,0))</f>
        <v>2.9849999999999999</v>
      </c>
      <c r="M746">
        <f t="shared" si="22"/>
        <v>17.91</v>
      </c>
      <c r="N746" t="str" cm="1">
        <f t="array" ref="N746">_xlfn.IFS(I746 = "Rob", "Robusta", I746 = "Exc", "Excelsa", I746 = "Ara", "Arabica", I746 = "Lib", "Liberica")</f>
        <v>Robusta</v>
      </c>
      <c r="O746" t="str">
        <f t="shared" si="23"/>
        <v>Medium</v>
      </c>
      <c r="P746" t="str">
        <f>_xlfn.XLOOKUP(Table1[[#This Row],[Customer ID]],Data_customers!$A$2:$A$1001,Data_customers!$I$2:$I$1001,,0)</f>
        <v>Yes</v>
      </c>
    </row>
    <row r="747" spans="1:16" x14ac:dyDescent="0.2">
      <c r="A747" s="2" t="s">
        <v>4699</v>
      </c>
      <c r="B747" s="3">
        <v>44557</v>
      </c>
      <c r="C747" s="2" t="s">
        <v>4700</v>
      </c>
      <c r="D747" t="s">
        <v>6144</v>
      </c>
      <c r="E747" s="2">
        <v>2</v>
      </c>
      <c r="F747" s="2" t="str">
        <f>_xlfn.XLOOKUP(Data_orders!C747,Data_customers!$A$1:$A$1001,Data_customers!$B$1:$B$1001,,0)</f>
        <v>Jordana Halden</v>
      </c>
      <c r="G747" s="2" t="str">
        <f>IF(_xlfn.XLOOKUP(C747,Data_customers!$A$1:$A$1001,Data_customers!$C$1:$C$1001,,0)=0,"",_xlfn.XLOOKUP(C747,Data_customers!$A$1:$A$1001,Data_customers!$C$1:$C$1001,,0))</f>
        <v>jhaldenkp@comcast.net</v>
      </c>
      <c r="H747" s="2" t="str">
        <f>_xlfn.XLOOKUP(C747,Data_customers!$A$1:$A$1001,Data_customers!$G$1:$G$1001,"",0)</f>
        <v>Ireland</v>
      </c>
      <c r="I747" t="str">
        <f>INDEX(Data_products!$A$1:$G$49, MATCH(Data_orders!$D747,Data_products!$A$1:$A$49,0), MATCH(Data_orders!I$1,Data_products!$A$1:$G$1,0))</f>
        <v>Exc</v>
      </c>
      <c r="J747" t="str">
        <f>INDEX(Data_products!$A$1:$G$49, MATCH(Data_orders!$D747,Data_products!$A$1:$A$49,0), MATCH(Data_orders!J$1,Data_products!$A$1:$G$1,0))</f>
        <v>D</v>
      </c>
      <c r="K747" s="4">
        <f>INDEX(Data_products!$A$1:$G$49, MATCH(Data_orders!$D747,Data_products!$A$1:$A$49,0), MATCH(Data_orders!K$1,Data_products!$A$1:$G$1,0))</f>
        <v>0.5</v>
      </c>
      <c r="L747">
        <f>INDEX(Data_products!$A$1:$G$49, MATCH(Data_orders!$D747,Data_products!$A$1:$A$49,0), MATCH(Data_orders!L$1,Data_products!$A$1:$G$1,0))</f>
        <v>7.29</v>
      </c>
      <c r="M747">
        <f t="shared" si="22"/>
        <v>14.58</v>
      </c>
      <c r="N747" t="str" cm="1">
        <f t="array" ref="N747">_xlfn.IFS(I747 = "Rob", "Robusta", I747 = "Exc", "Excelsa", I747 = "Ara", "Arabica", I747 = "Lib", "Liberica")</f>
        <v>Excelsa</v>
      </c>
      <c r="O747" t="str">
        <f t="shared" si="23"/>
        <v>Dark</v>
      </c>
      <c r="P747" t="str">
        <f>_xlfn.XLOOKUP(Table1[[#This Row],[Customer ID]],Data_customers!$A$2:$A$1001,Data_customers!$I$2:$I$1001,,0)</f>
        <v>No</v>
      </c>
    </row>
    <row r="748" spans="1:16" x14ac:dyDescent="0.2">
      <c r="A748" s="2" t="s">
        <v>4705</v>
      </c>
      <c r="B748" s="3">
        <v>43741</v>
      </c>
      <c r="C748" s="2" t="s">
        <v>4706</v>
      </c>
      <c r="D748" t="s">
        <v>6155</v>
      </c>
      <c r="E748" s="2">
        <v>3</v>
      </c>
      <c r="F748" s="2" t="str">
        <f>_xlfn.XLOOKUP(Data_orders!C748,Data_customers!$A$1:$A$1001,Data_customers!$B$1:$B$1001,,0)</f>
        <v>Hussein Olliff</v>
      </c>
      <c r="G748" s="2" t="str">
        <f>IF(_xlfn.XLOOKUP(C748,Data_customers!$A$1:$A$1001,Data_customers!$C$1:$C$1001,,0)=0,"",_xlfn.XLOOKUP(C748,Data_customers!$A$1:$A$1001,Data_customers!$C$1:$C$1001,,0))</f>
        <v>holliffkq@sciencedirect.com</v>
      </c>
      <c r="H748" s="2" t="str">
        <f>_xlfn.XLOOKUP(C748,Data_customers!$A$1:$A$1001,Data_customers!$G$1:$G$1001,"",0)</f>
        <v>Ireland</v>
      </c>
      <c r="I748" t="str">
        <f>INDEX(Data_products!$A$1:$G$49, MATCH(Data_orders!$D748,Data_products!$A$1:$A$49,0), MATCH(Data_orders!I$1,Data_products!$A$1:$G$1,0))</f>
        <v>Ara</v>
      </c>
      <c r="J748" t="str">
        <f>INDEX(Data_products!$A$1:$G$49, MATCH(Data_orders!$D748,Data_products!$A$1:$A$49,0), MATCH(Data_orders!J$1,Data_products!$A$1:$G$1,0))</f>
        <v>M</v>
      </c>
      <c r="K748" s="4">
        <f>INDEX(Data_products!$A$1:$G$49, MATCH(Data_orders!$D748,Data_products!$A$1:$A$49,0), MATCH(Data_orders!K$1,Data_products!$A$1:$G$1,0))</f>
        <v>1</v>
      </c>
      <c r="L748">
        <f>INDEX(Data_products!$A$1:$G$49, MATCH(Data_orders!$D748,Data_products!$A$1:$A$49,0), MATCH(Data_orders!L$1,Data_products!$A$1:$G$1,0))</f>
        <v>11.25</v>
      </c>
      <c r="M748">
        <f t="shared" si="22"/>
        <v>33.75</v>
      </c>
      <c r="N748" t="str" cm="1">
        <f t="array" ref="N748">_xlfn.IFS(I748 = "Rob", "Robusta", I748 = "Exc", "Excelsa", I748 = "Ara", "Arabica", I748 = "Lib", "Liberica")</f>
        <v>Arabica</v>
      </c>
      <c r="O748" t="str">
        <f t="shared" si="23"/>
        <v>Medium</v>
      </c>
      <c r="P748" t="str">
        <f>_xlfn.XLOOKUP(Table1[[#This Row],[Customer ID]],Data_customers!$A$2:$A$1001,Data_customers!$I$2:$I$1001,,0)</f>
        <v>No</v>
      </c>
    </row>
    <row r="749" spans="1:16" x14ac:dyDescent="0.2">
      <c r="A749" s="2" t="s">
        <v>4711</v>
      </c>
      <c r="B749" s="3">
        <v>43501</v>
      </c>
      <c r="C749" s="2" t="s">
        <v>4712</v>
      </c>
      <c r="D749" t="s">
        <v>6160</v>
      </c>
      <c r="E749" s="2">
        <v>4</v>
      </c>
      <c r="F749" s="2" t="str">
        <f>_xlfn.XLOOKUP(Data_orders!C749,Data_customers!$A$1:$A$1001,Data_customers!$B$1:$B$1001,,0)</f>
        <v>Teddi Quadri</v>
      </c>
      <c r="G749" s="2" t="str">
        <f>IF(_xlfn.XLOOKUP(C749,Data_customers!$A$1:$A$1001,Data_customers!$C$1:$C$1001,,0)=0,"",_xlfn.XLOOKUP(C749,Data_customers!$A$1:$A$1001,Data_customers!$C$1:$C$1001,,0))</f>
        <v>tquadrikr@opensource.org</v>
      </c>
      <c r="H749" s="2" t="str">
        <f>_xlfn.XLOOKUP(C749,Data_customers!$A$1:$A$1001,Data_customers!$G$1:$G$1001,"",0)</f>
        <v>Ireland</v>
      </c>
      <c r="I749" t="str">
        <f>INDEX(Data_products!$A$1:$G$49, MATCH(Data_orders!$D749,Data_products!$A$1:$A$49,0), MATCH(Data_orders!I$1,Data_products!$A$1:$G$1,0))</f>
        <v>Lib</v>
      </c>
      <c r="J749" t="str">
        <f>INDEX(Data_products!$A$1:$G$49, MATCH(Data_orders!$D749,Data_products!$A$1:$A$49,0), MATCH(Data_orders!J$1,Data_products!$A$1:$G$1,0))</f>
        <v>M</v>
      </c>
      <c r="K749" s="4">
        <f>INDEX(Data_products!$A$1:$G$49, MATCH(Data_orders!$D749,Data_products!$A$1:$A$49,0), MATCH(Data_orders!K$1,Data_products!$A$1:$G$1,0))</f>
        <v>0.5</v>
      </c>
      <c r="L749">
        <f>INDEX(Data_products!$A$1:$G$49, MATCH(Data_orders!$D749,Data_products!$A$1:$A$49,0), MATCH(Data_orders!L$1,Data_products!$A$1:$G$1,0))</f>
        <v>8.73</v>
      </c>
      <c r="M749">
        <f t="shared" si="22"/>
        <v>34.92</v>
      </c>
      <c r="N749" t="str" cm="1">
        <f t="array" ref="N749">_xlfn.IFS(I749 = "Rob", "Robusta", I749 = "Exc", "Excelsa", I749 = "Ara", "Arabica", I749 = "Lib", "Liberica")</f>
        <v>Liberica</v>
      </c>
      <c r="O749" t="str">
        <f t="shared" si="23"/>
        <v>Medium</v>
      </c>
      <c r="P749" t="str">
        <f>_xlfn.XLOOKUP(Table1[[#This Row],[Customer ID]],Data_customers!$A$2:$A$1001,Data_customers!$I$2:$I$1001,,0)</f>
        <v>Yes</v>
      </c>
    </row>
    <row r="750" spans="1:16" x14ac:dyDescent="0.2">
      <c r="A750" s="2" t="s">
        <v>4717</v>
      </c>
      <c r="B750" s="3">
        <v>44074</v>
      </c>
      <c r="C750" s="2" t="s">
        <v>4718</v>
      </c>
      <c r="D750" t="s">
        <v>6144</v>
      </c>
      <c r="E750" s="2">
        <v>2</v>
      </c>
      <c r="F750" s="2" t="str">
        <f>_xlfn.XLOOKUP(Data_orders!C750,Data_customers!$A$1:$A$1001,Data_customers!$B$1:$B$1001,,0)</f>
        <v>Felita Eshmade</v>
      </c>
      <c r="G750" s="2" t="str">
        <f>IF(_xlfn.XLOOKUP(C750,Data_customers!$A$1:$A$1001,Data_customers!$C$1:$C$1001,,0)=0,"",_xlfn.XLOOKUP(C750,Data_customers!$A$1:$A$1001,Data_customers!$C$1:$C$1001,,0))</f>
        <v>feshmadeks@umn.edu</v>
      </c>
      <c r="H750" s="2" t="str">
        <f>_xlfn.XLOOKUP(C750,Data_customers!$A$1:$A$1001,Data_customers!$G$1:$G$1001,"",0)</f>
        <v>United States</v>
      </c>
      <c r="I750" t="str">
        <f>INDEX(Data_products!$A$1:$G$49, MATCH(Data_orders!$D750,Data_products!$A$1:$A$49,0), MATCH(Data_orders!I$1,Data_products!$A$1:$G$1,0))</f>
        <v>Exc</v>
      </c>
      <c r="J750" t="str">
        <f>INDEX(Data_products!$A$1:$G$49, MATCH(Data_orders!$D750,Data_products!$A$1:$A$49,0), MATCH(Data_orders!J$1,Data_products!$A$1:$G$1,0))</f>
        <v>D</v>
      </c>
      <c r="K750" s="4">
        <f>INDEX(Data_products!$A$1:$G$49, MATCH(Data_orders!$D750,Data_products!$A$1:$A$49,0), MATCH(Data_orders!K$1,Data_products!$A$1:$G$1,0))</f>
        <v>0.5</v>
      </c>
      <c r="L750">
        <f>INDEX(Data_products!$A$1:$G$49, MATCH(Data_orders!$D750,Data_products!$A$1:$A$49,0), MATCH(Data_orders!L$1,Data_products!$A$1:$G$1,0))</f>
        <v>7.29</v>
      </c>
      <c r="M750">
        <f t="shared" si="22"/>
        <v>14.58</v>
      </c>
      <c r="N750" t="str" cm="1">
        <f t="array" ref="N750">_xlfn.IFS(I750 = "Rob", "Robusta", I750 = "Exc", "Excelsa", I750 = "Ara", "Arabica", I750 = "Lib", "Liberica")</f>
        <v>Excelsa</v>
      </c>
      <c r="O750" t="str">
        <f t="shared" si="23"/>
        <v>Dark</v>
      </c>
      <c r="P750" t="str">
        <f>_xlfn.XLOOKUP(Table1[[#This Row],[Customer ID]],Data_customers!$A$2:$A$1001,Data_customers!$I$2:$I$1001,,0)</f>
        <v>No</v>
      </c>
    </row>
    <row r="751" spans="1:16" x14ac:dyDescent="0.2">
      <c r="A751" s="2" t="s">
        <v>4723</v>
      </c>
      <c r="B751" s="3">
        <v>44209</v>
      </c>
      <c r="C751" s="2" t="s">
        <v>4724</v>
      </c>
      <c r="D751" t="s">
        <v>6163</v>
      </c>
      <c r="E751" s="2">
        <v>2</v>
      </c>
      <c r="F751" s="2" t="str">
        <f>_xlfn.XLOOKUP(Data_orders!C751,Data_customers!$A$1:$A$1001,Data_customers!$B$1:$B$1001,,0)</f>
        <v>Melodie OIlier</v>
      </c>
      <c r="G751" s="2" t="str">
        <f>IF(_xlfn.XLOOKUP(C751,Data_customers!$A$1:$A$1001,Data_customers!$C$1:$C$1001,,0)=0,"",_xlfn.XLOOKUP(C751,Data_customers!$A$1:$A$1001,Data_customers!$C$1:$C$1001,,0))</f>
        <v>moilierkt@paginegialle.it</v>
      </c>
      <c r="H751" s="2" t="str">
        <f>_xlfn.XLOOKUP(C751,Data_customers!$A$1:$A$1001,Data_customers!$G$1:$G$1001,"",0)</f>
        <v>Ireland</v>
      </c>
      <c r="I751" t="str">
        <f>INDEX(Data_products!$A$1:$G$49, MATCH(Data_orders!$D751,Data_products!$A$1:$A$49,0), MATCH(Data_orders!I$1,Data_products!$A$1:$G$1,0))</f>
        <v>Rob</v>
      </c>
      <c r="J751" t="str">
        <f>INDEX(Data_products!$A$1:$G$49, MATCH(Data_orders!$D751,Data_products!$A$1:$A$49,0), MATCH(Data_orders!J$1,Data_products!$A$1:$G$1,0))</f>
        <v>D</v>
      </c>
      <c r="K751" s="4">
        <f>INDEX(Data_products!$A$1:$G$49, MATCH(Data_orders!$D751,Data_products!$A$1:$A$49,0), MATCH(Data_orders!K$1,Data_products!$A$1:$G$1,0))</f>
        <v>0.2</v>
      </c>
      <c r="L751">
        <f>INDEX(Data_products!$A$1:$G$49, MATCH(Data_orders!$D751,Data_products!$A$1:$A$49,0), MATCH(Data_orders!L$1,Data_products!$A$1:$G$1,0))</f>
        <v>2.6849999999999996</v>
      </c>
      <c r="M751">
        <f t="shared" si="22"/>
        <v>5.3699999999999992</v>
      </c>
      <c r="N751" t="str" cm="1">
        <f t="array" ref="N751">_xlfn.IFS(I751 = "Rob", "Robusta", I751 = "Exc", "Excelsa", I751 = "Ara", "Arabica", I751 = "Lib", "Liberica")</f>
        <v>Robusta</v>
      </c>
      <c r="O751" t="str">
        <f t="shared" si="23"/>
        <v>Dark</v>
      </c>
      <c r="P751" t="str">
        <f>_xlfn.XLOOKUP(Table1[[#This Row],[Customer ID]],Data_customers!$A$2:$A$1001,Data_customers!$I$2:$I$1001,,0)</f>
        <v>Yes</v>
      </c>
    </row>
    <row r="752" spans="1:16" x14ac:dyDescent="0.2">
      <c r="A752" s="2" t="s">
        <v>4730</v>
      </c>
      <c r="B752" s="3">
        <v>44277</v>
      </c>
      <c r="C752" s="2" t="s">
        <v>4731</v>
      </c>
      <c r="D752" t="s">
        <v>6146</v>
      </c>
      <c r="E752" s="2">
        <v>1</v>
      </c>
      <c r="F752" s="2" t="str">
        <f>_xlfn.XLOOKUP(Data_orders!C752,Data_customers!$A$1:$A$1001,Data_customers!$B$1:$B$1001,,0)</f>
        <v>Hazel Iacopini</v>
      </c>
      <c r="G752" s="2" t="str">
        <f>IF(_xlfn.XLOOKUP(C752,Data_customers!$A$1:$A$1001,Data_customers!$C$1:$C$1001,,0)=0,"",_xlfn.XLOOKUP(C752,Data_customers!$A$1:$A$1001,Data_customers!$C$1:$C$1001,,0))</f>
        <v/>
      </c>
      <c r="H752" s="2" t="str">
        <f>_xlfn.XLOOKUP(C752,Data_customers!$A$1:$A$1001,Data_customers!$G$1:$G$1001,"",0)</f>
        <v>United States</v>
      </c>
      <c r="I752" t="str">
        <f>INDEX(Data_products!$A$1:$G$49, MATCH(Data_orders!$D752,Data_products!$A$1:$A$49,0), MATCH(Data_orders!I$1,Data_products!$A$1:$G$1,0))</f>
        <v>Rob</v>
      </c>
      <c r="J752" t="str">
        <f>INDEX(Data_products!$A$1:$G$49, MATCH(Data_orders!$D752,Data_products!$A$1:$A$49,0), MATCH(Data_orders!J$1,Data_products!$A$1:$G$1,0))</f>
        <v>M</v>
      </c>
      <c r="K752" s="4">
        <f>INDEX(Data_products!$A$1:$G$49, MATCH(Data_orders!$D752,Data_products!$A$1:$A$49,0), MATCH(Data_orders!K$1,Data_products!$A$1:$G$1,0))</f>
        <v>0.5</v>
      </c>
      <c r="L752">
        <f>INDEX(Data_products!$A$1:$G$49, MATCH(Data_orders!$D752,Data_products!$A$1:$A$49,0), MATCH(Data_orders!L$1,Data_products!$A$1:$G$1,0))</f>
        <v>5.97</v>
      </c>
      <c r="M752">
        <f t="shared" si="22"/>
        <v>5.97</v>
      </c>
      <c r="N752" t="str" cm="1">
        <f t="array" ref="N752">_xlfn.IFS(I752 = "Rob", "Robusta", I752 = "Exc", "Excelsa", I752 = "Ara", "Arabica", I752 = "Lib", "Liberica")</f>
        <v>Robusta</v>
      </c>
      <c r="O752" t="str">
        <f t="shared" si="23"/>
        <v>Medium</v>
      </c>
      <c r="P752" t="str">
        <f>_xlfn.XLOOKUP(Table1[[#This Row],[Customer ID]],Data_customers!$A$2:$A$1001,Data_customers!$I$2:$I$1001,,0)</f>
        <v>Yes</v>
      </c>
    </row>
    <row r="753" spans="1:16" x14ac:dyDescent="0.2">
      <c r="A753" s="2" t="s">
        <v>4735</v>
      </c>
      <c r="B753" s="3">
        <v>43847</v>
      </c>
      <c r="C753" s="2" t="s">
        <v>4736</v>
      </c>
      <c r="D753" t="s">
        <v>6161</v>
      </c>
      <c r="E753" s="2">
        <v>2</v>
      </c>
      <c r="F753" s="2" t="str">
        <f>_xlfn.XLOOKUP(Data_orders!C753,Data_customers!$A$1:$A$1001,Data_customers!$B$1:$B$1001,,0)</f>
        <v>Vinny Shoebotham</v>
      </c>
      <c r="G753" s="2" t="str">
        <f>IF(_xlfn.XLOOKUP(C753,Data_customers!$A$1:$A$1001,Data_customers!$C$1:$C$1001,,0)=0,"",_xlfn.XLOOKUP(C753,Data_customers!$A$1:$A$1001,Data_customers!$C$1:$C$1001,,0))</f>
        <v>vshoebothamkv@redcross.org</v>
      </c>
      <c r="H753" s="2" t="str">
        <f>_xlfn.XLOOKUP(C753,Data_customers!$A$1:$A$1001,Data_customers!$G$1:$G$1001,"",0)</f>
        <v>United States</v>
      </c>
      <c r="I753" t="str">
        <f>INDEX(Data_products!$A$1:$G$49, MATCH(Data_orders!$D753,Data_products!$A$1:$A$49,0), MATCH(Data_orders!I$1,Data_products!$A$1:$G$1,0))</f>
        <v>Lib</v>
      </c>
      <c r="J753" t="str">
        <f>INDEX(Data_products!$A$1:$G$49, MATCH(Data_orders!$D753,Data_products!$A$1:$A$49,0), MATCH(Data_orders!J$1,Data_products!$A$1:$G$1,0))</f>
        <v>L</v>
      </c>
      <c r="K753" s="4">
        <f>INDEX(Data_products!$A$1:$G$49, MATCH(Data_orders!$D753,Data_products!$A$1:$A$49,0), MATCH(Data_orders!K$1,Data_products!$A$1:$G$1,0))</f>
        <v>0.5</v>
      </c>
      <c r="L753">
        <f>INDEX(Data_products!$A$1:$G$49, MATCH(Data_orders!$D753,Data_products!$A$1:$A$49,0), MATCH(Data_orders!L$1,Data_products!$A$1:$G$1,0))</f>
        <v>9.51</v>
      </c>
      <c r="M753">
        <f t="shared" si="22"/>
        <v>19.02</v>
      </c>
      <c r="N753" t="str" cm="1">
        <f t="array" ref="N753">_xlfn.IFS(I753 = "Rob", "Robusta", I753 = "Exc", "Excelsa", I753 = "Ara", "Arabica", I753 = "Lib", "Liberica")</f>
        <v>Liberica</v>
      </c>
      <c r="O753" t="str">
        <f t="shared" si="23"/>
        <v>Light</v>
      </c>
      <c r="P753" t="str">
        <f>_xlfn.XLOOKUP(Table1[[#This Row],[Customer ID]],Data_customers!$A$2:$A$1001,Data_customers!$I$2:$I$1001,,0)</f>
        <v>No</v>
      </c>
    </row>
    <row r="754" spans="1:16" x14ac:dyDescent="0.2">
      <c r="A754" s="2" t="s">
        <v>4741</v>
      </c>
      <c r="B754" s="3">
        <v>43648</v>
      </c>
      <c r="C754" s="2" t="s">
        <v>4742</v>
      </c>
      <c r="D754" t="s">
        <v>6141</v>
      </c>
      <c r="E754" s="2">
        <v>2</v>
      </c>
      <c r="F754" s="2" t="str">
        <f>_xlfn.XLOOKUP(Data_orders!C754,Data_customers!$A$1:$A$1001,Data_customers!$B$1:$B$1001,,0)</f>
        <v>Bran Sterke</v>
      </c>
      <c r="G754" s="2" t="str">
        <f>IF(_xlfn.XLOOKUP(C754,Data_customers!$A$1:$A$1001,Data_customers!$C$1:$C$1001,,0)=0,"",_xlfn.XLOOKUP(C754,Data_customers!$A$1:$A$1001,Data_customers!$C$1:$C$1001,,0))</f>
        <v>bsterkekw@biblegateway.com</v>
      </c>
      <c r="H754" s="2" t="str">
        <f>_xlfn.XLOOKUP(C754,Data_customers!$A$1:$A$1001,Data_customers!$G$1:$G$1001,"",0)</f>
        <v>United States</v>
      </c>
      <c r="I754" t="str">
        <f>INDEX(Data_products!$A$1:$G$49, MATCH(Data_orders!$D754,Data_products!$A$1:$A$49,0), MATCH(Data_orders!I$1,Data_products!$A$1:$G$1,0))</f>
        <v>Exc</v>
      </c>
      <c r="J754" t="str">
        <f>INDEX(Data_products!$A$1:$G$49, MATCH(Data_orders!$D754,Data_products!$A$1:$A$49,0), MATCH(Data_orders!J$1,Data_products!$A$1:$G$1,0))</f>
        <v>M</v>
      </c>
      <c r="K754" s="4">
        <f>INDEX(Data_products!$A$1:$G$49, MATCH(Data_orders!$D754,Data_products!$A$1:$A$49,0), MATCH(Data_orders!K$1,Data_products!$A$1:$G$1,0))</f>
        <v>1</v>
      </c>
      <c r="L754">
        <f>INDEX(Data_products!$A$1:$G$49, MATCH(Data_orders!$D754,Data_products!$A$1:$A$49,0), MATCH(Data_orders!L$1,Data_products!$A$1:$G$1,0))</f>
        <v>13.75</v>
      </c>
      <c r="M754">
        <f t="shared" si="22"/>
        <v>27.5</v>
      </c>
      <c r="N754" t="str" cm="1">
        <f t="array" ref="N754">_xlfn.IFS(I754 = "Rob", "Robusta", I754 = "Exc", "Excelsa", I754 = "Ara", "Arabica", I754 = "Lib", "Liberica")</f>
        <v>Excelsa</v>
      </c>
      <c r="O754" t="str">
        <f t="shared" si="23"/>
        <v>Medium</v>
      </c>
      <c r="P754" t="str">
        <f>_xlfn.XLOOKUP(Table1[[#This Row],[Customer ID]],Data_customers!$A$2:$A$1001,Data_customers!$I$2:$I$1001,,0)</f>
        <v>Yes</v>
      </c>
    </row>
    <row r="755" spans="1:16" x14ac:dyDescent="0.2">
      <c r="A755" s="2" t="s">
        <v>4747</v>
      </c>
      <c r="B755" s="3">
        <v>44704</v>
      </c>
      <c r="C755" s="2" t="s">
        <v>4748</v>
      </c>
      <c r="D755" t="s">
        <v>6158</v>
      </c>
      <c r="E755" s="2">
        <v>5</v>
      </c>
      <c r="F755" s="2" t="str">
        <f>_xlfn.XLOOKUP(Data_orders!C755,Data_customers!$A$1:$A$1001,Data_customers!$B$1:$B$1001,,0)</f>
        <v>Simone Capon</v>
      </c>
      <c r="G755" s="2" t="str">
        <f>IF(_xlfn.XLOOKUP(C755,Data_customers!$A$1:$A$1001,Data_customers!$C$1:$C$1001,,0)=0,"",_xlfn.XLOOKUP(C755,Data_customers!$A$1:$A$1001,Data_customers!$C$1:$C$1001,,0))</f>
        <v>scaponkx@craigslist.org</v>
      </c>
      <c r="H755" s="2" t="str">
        <f>_xlfn.XLOOKUP(C755,Data_customers!$A$1:$A$1001,Data_customers!$G$1:$G$1001,"",0)</f>
        <v>United States</v>
      </c>
      <c r="I755" t="str">
        <f>INDEX(Data_products!$A$1:$G$49, MATCH(Data_orders!$D755,Data_products!$A$1:$A$49,0), MATCH(Data_orders!I$1,Data_products!$A$1:$G$1,0))</f>
        <v>Ara</v>
      </c>
      <c r="J755" t="str">
        <f>INDEX(Data_products!$A$1:$G$49, MATCH(Data_orders!$D755,Data_products!$A$1:$A$49,0), MATCH(Data_orders!J$1,Data_products!$A$1:$G$1,0))</f>
        <v>D</v>
      </c>
      <c r="K755" s="4">
        <f>INDEX(Data_products!$A$1:$G$49, MATCH(Data_orders!$D755,Data_products!$A$1:$A$49,0), MATCH(Data_orders!K$1,Data_products!$A$1:$G$1,0))</f>
        <v>0.5</v>
      </c>
      <c r="L755">
        <f>INDEX(Data_products!$A$1:$G$49, MATCH(Data_orders!$D755,Data_products!$A$1:$A$49,0), MATCH(Data_orders!L$1,Data_products!$A$1:$G$1,0))</f>
        <v>5.97</v>
      </c>
      <c r="M755">
        <f t="shared" si="22"/>
        <v>29.849999999999998</v>
      </c>
      <c r="N755" t="str" cm="1">
        <f t="array" ref="N755">_xlfn.IFS(I755 = "Rob", "Robusta", I755 = "Exc", "Excelsa", I755 = "Ara", "Arabica", I755 = "Lib", "Liberica")</f>
        <v>Arabica</v>
      </c>
      <c r="O755" t="str">
        <f t="shared" si="23"/>
        <v>Dark</v>
      </c>
      <c r="P755" t="str">
        <f>_xlfn.XLOOKUP(Table1[[#This Row],[Customer ID]],Data_customers!$A$2:$A$1001,Data_customers!$I$2:$I$1001,,0)</f>
        <v>No</v>
      </c>
    </row>
    <row r="756" spans="1:16" x14ac:dyDescent="0.2">
      <c r="A756" s="2" t="s">
        <v>4753</v>
      </c>
      <c r="B756" s="3">
        <v>44726</v>
      </c>
      <c r="C756" s="2" t="s">
        <v>4434</v>
      </c>
      <c r="D756" t="s">
        <v>6154</v>
      </c>
      <c r="E756" s="2">
        <v>6</v>
      </c>
      <c r="F756" s="2" t="str">
        <f>_xlfn.XLOOKUP(Data_orders!C756,Data_customers!$A$1:$A$1001,Data_customers!$B$1:$B$1001,,0)</f>
        <v>Jimmy Dymoke</v>
      </c>
      <c r="G756" s="2" t="str">
        <f>IF(_xlfn.XLOOKUP(C756,Data_customers!$A$1:$A$1001,Data_customers!$C$1:$C$1001,,0)=0,"",_xlfn.XLOOKUP(C756,Data_customers!$A$1:$A$1001,Data_customers!$C$1:$C$1001,,0))</f>
        <v>jdymokeje@prnewswire.com</v>
      </c>
      <c r="H756" s="2" t="str">
        <f>_xlfn.XLOOKUP(C756,Data_customers!$A$1:$A$1001,Data_customers!$G$1:$G$1001,"",0)</f>
        <v>Ireland</v>
      </c>
      <c r="I756" t="str">
        <f>INDEX(Data_products!$A$1:$G$49, MATCH(Data_orders!$D756,Data_products!$A$1:$A$49,0), MATCH(Data_orders!I$1,Data_products!$A$1:$G$1,0))</f>
        <v>Ara</v>
      </c>
      <c r="J756" t="str">
        <f>INDEX(Data_products!$A$1:$G$49, MATCH(Data_orders!$D756,Data_products!$A$1:$A$49,0), MATCH(Data_orders!J$1,Data_products!$A$1:$G$1,0))</f>
        <v>D</v>
      </c>
      <c r="K756" s="4">
        <f>INDEX(Data_products!$A$1:$G$49, MATCH(Data_orders!$D756,Data_products!$A$1:$A$49,0), MATCH(Data_orders!K$1,Data_products!$A$1:$G$1,0))</f>
        <v>0.2</v>
      </c>
      <c r="L756">
        <f>INDEX(Data_products!$A$1:$G$49, MATCH(Data_orders!$D756,Data_products!$A$1:$A$49,0), MATCH(Data_orders!L$1,Data_products!$A$1:$G$1,0))</f>
        <v>2.9849999999999999</v>
      </c>
      <c r="M756">
        <f t="shared" si="22"/>
        <v>17.91</v>
      </c>
      <c r="N756" t="str" cm="1">
        <f t="array" ref="N756">_xlfn.IFS(I756 = "Rob", "Robusta", I756 = "Exc", "Excelsa", I756 = "Ara", "Arabica", I756 = "Lib", "Liberica")</f>
        <v>Arabica</v>
      </c>
      <c r="O756" t="str">
        <f t="shared" si="23"/>
        <v>Dark</v>
      </c>
      <c r="P756" t="str">
        <f>_xlfn.XLOOKUP(Table1[[#This Row],[Customer ID]],Data_customers!$A$2:$A$1001,Data_customers!$I$2:$I$1001,,0)</f>
        <v>No</v>
      </c>
    </row>
    <row r="757" spans="1:16" x14ac:dyDescent="0.2">
      <c r="A757" s="2" t="s">
        <v>4758</v>
      </c>
      <c r="B757" s="3">
        <v>44397</v>
      </c>
      <c r="C757" s="2" t="s">
        <v>4759</v>
      </c>
      <c r="D757" t="s">
        <v>6145</v>
      </c>
      <c r="E757" s="2">
        <v>6</v>
      </c>
      <c r="F757" s="2" t="str">
        <f>_xlfn.XLOOKUP(Data_orders!C757,Data_customers!$A$1:$A$1001,Data_customers!$B$1:$B$1001,,0)</f>
        <v>Foster Constance</v>
      </c>
      <c r="G757" s="2" t="str">
        <f>IF(_xlfn.XLOOKUP(C757,Data_customers!$A$1:$A$1001,Data_customers!$C$1:$C$1001,,0)=0,"",_xlfn.XLOOKUP(C757,Data_customers!$A$1:$A$1001,Data_customers!$C$1:$C$1001,,0))</f>
        <v>fconstancekz@ifeng.com</v>
      </c>
      <c r="H757" s="2" t="str">
        <f>_xlfn.XLOOKUP(C757,Data_customers!$A$1:$A$1001,Data_customers!$G$1:$G$1001,"",0)</f>
        <v>United States</v>
      </c>
      <c r="I757" t="str">
        <f>INDEX(Data_products!$A$1:$G$49, MATCH(Data_orders!$D757,Data_products!$A$1:$A$49,0), MATCH(Data_orders!I$1,Data_products!$A$1:$G$1,0))</f>
        <v>Lib</v>
      </c>
      <c r="J757" t="str">
        <f>INDEX(Data_products!$A$1:$G$49, MATCH(Data_orders!$D757,Data_products!$A$1:$A$49,0), MATCH(Data_orders!J$1,Data_products!$A$1:$G$1,0))</f>
        <v>L</v>
      </c>
      <c r="K757" s="4">
        <f>INDEX(Data_products!$A$1:$G$49, MATCH(Data_orders!$D757,Data_products!$A$1:$A$49,0), MATCH(Data_orders!K$1,Data_products!$A$1:$G$1,0))</f>
        <v>0.2</v>
      </c>
      <c r="L757">
        <f>INDEX(Data_products!$A$1:$G$49, MATCH(Data_orders!$D757,Data_products!$A$1:$A$49,0), MATCH(Data_orders!L$1,Data_products!$A$1:$G$1,0))</f>
        <v>4.7549999999999999</v>
      </c>
      <c r="M757">
        <f t="shared" si="22"/>
        <v>28.53</v>
      </c>
      <c r="N757" t="str" cm="1">
        <f t="array" ref="N757">_xlfn.IFS(I757 = "Rob", "Robusta", I757 = "Exc", "Excelsa", I757 = "Ara", "Arabica", I757 = "Lib", "Liberica")</f>
        <v>Liberica</v>
      </c>
      <c r="O757" t="str">
        <f t="shared" si="23"/>
        <v>Light</v>
      </c>
      <c r="P757" t="str">
        <f>_xlfn.XLOOKUP(Table1[[#This Row],[Customer ID]],Data_customers!$A$2:$A$1001,Data_customers!$I$2:$I$1001,,0)</f>
        <v>No</v>
      </c>
    </row>
    <row r="758" spans="1:16" x14ac:dyDescent="0.2">
      <c r="A758" s="2" t="s">
        <v>4764</v>
      </c>
      <c r="B758" s="3">
        <v>44715</v>
      </c>
      <c r="C758" s="2" t="s">
        <v>4765</v>
      </c>
      <c r="D758" t="s">
        <v>6177</v>
      </c>
      <c r="E758" s="2">
        <v>4</v>
      </c>
      <c r="F758" s="2" t="str">
        <f>_xlfn.XLOOKUP(Data_orders!C758,Data_customers!$A$1:$A$1001,Data_customers!$B$1:$B$1001,,0)</f>
        <v>Fernando Sulman</v>
      </c>
      <c r="G758" s="2" t="str">
        <f>IF(_xlfn.XLOOKUP(C758,Data_customers!$A$1:$A$1001,Data_customers!$C$1:$C$1001,,0)=0,"",_xlfn.XLOOKUP(C758,Data_customers!$A$1:$A$1001,Data_customers!$C$1:$C$1001,,0))</f>
        <v>fsulmanl0@washington.edu</v>
      </c>
      <c r="H758" s="2" t="str">
        <f>_xlfn.XLOOKUP(C758,Data_customers!$A$1:$A$1001,Data_customers!$G$1:$G$1001,"",0)</f>
        <v>United States</v>
      </c>
      <c r="I758" t="str">
        <f>INDEX(Data_products!$A$1:$G$49, MATCH(Data_orders!$D758,Data_products!$A$1:$A$49,0), MATCH(Data_orders!I$1,Data_products!$A$1:$G$1,0))</f>
        <v>Rob</v>
      </c>
      <c r="J758" t="str">
        <f>INDEX(Data_products!$A$1:$G$49, MATCH(Data_orders!$D758,Data_products!$A$1:$A$49,0), MATCH(Data_orders!J$1,Data_products!$A$1:$G$1,0))</f>
        <v>D</v>
      </c>
      <c r="K758" s="4">
        <f>INDEX(Data_products!$A$1:$G$49, MATCH(Data_orders!$D758,Data_products!$A$1:$A$49,0), MATCH(Data_orders!K$1,Data_products!$A$1:$G$1,0))</f>
        <v>1</v>
      </c>
      <c r="L758">
        <f>INDEX(Data_products!$A$1:$G$49, MATCH(Data_orders!$D758,Data_products!$A$1:$A$49,0), MATCH(Data_orders!L$1,Data_products!$A$1:$G$1,0))</f>
        <v>8.9499999999999993</v>
      </c>
      <c r="M758">
        <f t="shared" si="22"/>
        <v>35.799999999999997</v>
      </c>
      <c r="N758" t="str" cm="1">
        <f t="array" ref="N758">_xlfn.IFS(I758 = "Rob", "Robusta", I758 = "Exc", "Excelsa", I758 = "Ara", "Arabica", I758 = "Lib", "Liberica")</f>
        <v>Robusta</v>
      </c>
      <c r="O758" t="str">
        <f t="shared" si="23"/>
        <v>Dark</v>
      </c>
      <c r="P758" t="str">
        <f>_xlfn.XLOOKUP(Table1[[#This Row],[Customer ID]],Data_customers!$A$2:$A$1001,Data_customers!$I$2:$I$1001,,0)</f>
        <v>Yes</v>
      </c>
    </row>
    <row r="759" spans="1:16" x14ac:dyDescent="0.2">
      <c r="A759" s="2" t="s">
        <v>4770</v>
      </c>
      <c r="B759" s="3">
        <v>43977</v>
      </c>
      <c r="C759" s="2" t="s">
        <v>4771</v>
      </c>
      <c r="D759" t="s">
        <v>6158</v>
      </c>
      <c r="E759" s="2">
        <v>3</v>
      </c>
      <c r="F759" s="2" t="str">
        <f>_xlfn.XLOOKUP(Data_orders!C759,Data_customers!$A$1:$A$1001,Data_customers!$B$1:$B$1001,,0)</f>
        <v>Dorotea Hollyman</v>
      </c>
      <c r="G759" s="2" t="str">
        <f>IF(_xlfn.XLOOKUP(C759,Data_customers!$A$1:$A$1001,Data_customers!$C$1:$C$1001,,0)=0,"",_xlfn.XLOOKUP(C759,Data_customers!$A$1:$A$1001,Data_customers!$C$1:$C$1001,,0))</f>
        <v>dhollymanl1@ibm.com</v>
      </c>
      <c r="H759" s="2" t="str">
        <f>_xlfn.XLOOKUP(C759,Data_customers!$A$1:$A$1001,Data_customers!$G$1:$G$1001,"",0)</f>
        <v>United States</v>
      </c>
      <c r="I759" t="str">
        <f>INDEX(Data_products!$A$1:$G$49, MATCH(Data_orders!$D759,Data_products!$A$1:$A$49,0), MATCH(Data_orders!I$1,Data_products!$A$1:$G$1,0))</f>
        <v>Ara</v>
      </c>
      <c r="J759" t="str">
        <f>INDEX(Data_products!$A$1:$G$49, MATCH(Data_orders!$D759,Data_products!$A$1:$A$49,0), MATCH(Data_orders!J$1,Data_products!$A$1:$G$1,0))</f>
        <v>D</v>
      </c>
      <c r="K759" s="4">
        <f>INDEX(Data_products!$A$1:$G$49, MATCH(Data_orders!$D759,Data_products!$A$1:$A$49,0), MATCH(Data_orders!K$1,Data_products!$A$1:$G$1,0))</f>
        <v>0.5</v>
      </c>
      <c r="L759">
        <f>INDEX(Data_products!$A$1:$G$49, MATCH(Data_orders!$D759,Data_products!$A$1:$A$49,0), MATCH(Data_orders!L$1,Data_products!$A$1:$G$1,0))</f>
        <v>5.97</v>
      </c>
      <c r="M759">
        <f t="shared" si="22"/>
        <v>17.91</v>
      </c>
      <c r="N759" t="str" cm="1">
        <f t="array" ref="N759">_xlfn.IFS(I759 = "Rob", "Robusta", I759 = "Exc", "Excelsa", I759 = "Ara", "Arabica", I759 = "Lib", "Liberica")</f>
        <v>Arabica</v>
      </c>
      <c r="O759" t="str">
        <f t="shared" si="23"/>
        <v>Dark</v>
      </c>
      <c r="P759" t="str">
        <f>_xlfn.XLOOKUP(Table1[[#This Row],[Customer ID]],Data_customers!$A$2:$A$1001,Data_customers!$I$2:$I$1001,,0)</f>
        <v>Yes</v>
      </c>
    </row>
    <row r="760" spans="1:16" x14ac:dyDescent="0.2">
      <c r="A760" s="2" t="s">
        <v>4776</v>
      </c>
      <c r="B760" s="3">
        <v>43672</v>
      </c>
      <c r="C760" s="2" t="s">
        <v>4777</v>
      </c>
      <c r="D760" t="s">
        <v>6177</v>
      </c>
      <c r="E760" s="2">
        <v>1</v>
      </c>
      <c r="F760" s="2" t="str">
        <f>_xlfn.XLOOKUP(Data_orders!C760,Data_customers!$A$1:$A$1001,Data_customers!$B$1:$B$1001,,0)</f>
        <v>Lorelei Nardoni</v>
      </c>
      <c r="G760" s="2" t="str">
        <f>IF(_xlfn.XLOOKUP(C760,Data_customers!$A$1:$A$1001,Data_customers!$C$1:$C$1001,,0)=0,"",_xlfn.XLOOKUP(C760,Data_customers!$A$1:$A$1001,Data_customers!$C$1:$C$1001,,0))</f>
        <v>lnardonil2@hao123.com</v>
      </c>
      <c r="H760" s="2" t="str">
        <f>_xlfn.XLOOKUP(C760,Data_customers!$A$1:$A$1001,Data_customers!$G$1:$G$1001,"",0)</f>
        <v>United States</v>
      </c>
      <c r="I760" t="str">
        <f>INDEX(Data_products!$A$1:$G$49, MATCH(Data_orders!$D760,Data_products!$A$1:$A$49,0), MATCH(Data_orders!I$1,Data_products!$A$1:$G$1,0))</f>
        <v>Rob</v>
      </c>
      <c r="J760" t="str">
        <f>INDEX(Data_products!$A$1:$G$49, MATCH(Data_orders!$D760,Data_products!$A$1:$A$49,0), MATCH(Data_orders!J$1,Data_products!$A$1:$G$1,0))</f>
        <v>D</v>
      </c>
      <c r="K760" s="4">
        <f>INDEX(Data_products!$A$1:$G$49, MATCH(Data_orders!$D760,Data_products!$A$1:$A$49,0), MATCH(Data_orders!K$1,Data_products!$A$1:$G$1,0))</f>
        <v>1</v>
      </c>
      <c r="L760">
        <f>INDEX(Data_products!$A$1:$G$49, MATCH(Data_orders!$D760,Data_products!$A$1:$A$49,0), MATCH(Data_orders!L$1,Data_products!$A$1:$G$1,0))</f>
        <v>8.9499999999999993</v>
      </c>
      <c r="M760">
        <f t="shared" si="22"/>
        <v>8.9499999999999993</v>
      </c>
      <c r="N760" t="str" cm="1">
        <f t="array" ref="N760">_xlfn.IFS(I760 = "Rob", "Robusta", I760 = "Exc", "Excelsa", I760 = "Ara", "Arabica", I760 = "Lib", "Liberica")</f>
        <v>Robusta</v>
      </c>
      <c r="O760" t="str">
        <f t="shared" si="23"/>
        <v>Dark</v>
      </c>
      <c r="P760" t="str">
        <f>_xlfn.XLOOKUP(Table1[[#This Row],[Customer ID]],Data_customers!$A$2:$A$1001,Data_customers!$I$2:$I$1001,,0)</f>
        <v>No</v>
      </c>
    </row>
    <row r="761" spans="1:16" x14ac:dyDescent="0.2">
      <c r="A761" s="2" t="s">
        <v>4781</v>
      </c>
      <c r="B761" s="3">
        <v>44126</v>
      </c>
      <c r="C761" s="2" t="s">
        <v>4782</v>
      </c>
      <c r="D761" t="s">
        <v>6165</v>
      </c>
      <c r="E761" s="2">
        <v>1</v>
      </c>
      <c r="F761" s="2" t="str">
        <f>_xlfn.XLOOKUP(Data_orders!C761,Data_customers!$A$1:$A$1001,Data_customers!$B$1:$B$1001,,0)</f>
        <v>Dallas Yarham</v>
      </c>
      <c r="G761" s="2" t="str">
        <f>IF(_xlfn.XLOOKUP(C761,Data_customers!$A$1:$A$1001,Data_customers!$C$1:$C$1001,,0)=0,"",_xlfn.XLOOKUP(C761,Data_customers!$A$1:$A$1001,Data_customers!$C$1:$C$1001,,0))</f>
        <v>dyarhaml3@moonfruit.com</v>
      </c>
      <c r="H761" s="2" t="str">
        <f>_xlfn.XLOOKUP(C761,Data_customers!$A$1:$A$1001,Data_customers!$G$1:$G$1001,"",0)</f>
        <v>United States</v>
      </c>
      <c r="I761" t="str">
        <f>INDEX(Data_products!$A$1:$G$49, MATCH(Data_orders!$D761,Data_products!$A$1:$A$49,0), MATCH(Data_orders!I$1,Data_products!$A$1:$G$1,0))</f>
        <v>Lib</v>
      </c>
      <c r="J761" t="str">
        <f>INDEX(Data_products!$A$1:$G$49, MATCH(Data_orders!$D761,Data_products!$A$1:$A$49,0), MATCH(Data_orders!J$1,Data_products!$A$1:$G$1,0))</f>
        <v>D</v>
      </c>
      <c r="K761" s="4">
        <f>INDEX(Data_products!$A$1:$G$49, MATCH(Data_orders!$D761,Data_products!$A$1:$A$49,0), MATCH(Data_orders!K$1,Data_products!$A$1:$G$1,0))</f>
        <v>2.5</v>
      </c>
      <c r="L761">
        <f>INDEX(Data_products!$A$1:$G$49, MATCH(Data_orders!$D761,Data_products!$A$1:$A$49,0), MATCH(Data_orders!L$1,Data_products!$A$1:$G$1,0))</f>
        <v>29.784999999999997</v>
      </c>
      <c r="M761">
        <f t="shared" si="22"/>
        <v>29.784999999999997</v>
      </c>
      <c r="N761" t="str" cm="1">
        <f t="array" ref="N761">_xlfn.IFS(I761 = "Rob", "Robusta", I761 = "Exc", "Excelsa", I761 = "Ara", "Arabica", I761 = "Lib", "Liberica")</f>
        <v>Liberica</v>
      </c>
      <c r="O761" t="str">
        <f t="shared" si="23"/>
        <v>Dark</v>
      </c>
      <c r="P761" t="str">
        <f>_xlfn.XLOOKUP(Table1[[#This Row],[Customer ID]],Data_customers!$A$2:$A$1001,Data_customers!$I$2:$I$1001,,0)</f>
        <v>Yes</v>
      </c>
    </row>
    <row r="762" spans="1:16" x14ac:dyDescent="0.2">
      <c r="A762" s="2" t="s">
        <v>4787</v>
      </c>
      <c r="B762" s="3">
        <v>44189</v>
      </c>
      <c r="C762" s="2" t="s">
        <v>4788</v>
      </c>
      <c r="D762" t="s">
        <v>6176</v>
      </c>
      <c r="E762" s="2">
        <v>5</v>
      </c>
      <c r="F762" s="2" t="str">
        <f>_xlfn.XLOOKUP(Data_orders!C762,Data_customers!$A$1:$A$1001,Data_customers!$B$1:$B$1001,,0)</f>
        <v>Arlana Ferrea</v>
      </c>
      <c r="G762" s="2" t="str">
        <f>IF(_xlfn.XLOOKUP(C762,Data_customers!$A$1:$A$1001,Data_customers!$C$1:$C$1001,,0)=0,"",_xlfn.XLOOKUP(C762,Data_customers!$A$1:$A$1001,Data_customers!$C$1:$C$1001,,0))</f>
        <v>aferreal4@wikia.com</v>
      </c>
      <c r="H762" s="2" t="str">
        <f>_xlfn.XLOOKUP(C762,Data_customers!$A$1:$A$1001,Data_customers!$G$1:$G$1001,"",0)</f>
        <v>United States</v>
      </c>
      <c r="I762" t="str">
        <f>INDEX(Data_products!$A$1:$G$49, MATCH(Data_orders!$D762,Data_products!$A$1:$A$49,0), MATCH(Data_orders!I$1,Data_products!$A$1:$G$1,0))</f>
        <v>Exc</v>
      </c>
      <c r="J762" t="str">
        <f>INDEX(Data_products!$A$1:$G$49, MATCH(Data_orders!$D762,Data_products!$A$1:$A$49,0), MATCH(Data_orders!J$1,Data_products!$A$1:$G$1,0))</f>
        <v>L</v>
      </c>
      <c r="K762" s="4">
        <f>INDEX(Data_products!$A$1:$G$49, MATCH(Data_orders!$D762,Data_products!$A$1:$A$49,0), MATCH(Data_orders!K$1,Data_products!$A$1:$G$1,0))</f>
        <v>0.5</v>
      </c>
      <c r="L762">
        <f>INDEX(Data_products!$A$1:$G$49, MATCH(Data_orders!$D762,Data_products!$A$1:$A$49,0), MATCH(Data_orders!L$1,Data_products!$A$1:$G$1,0))</f>
        <v>8.91</v>
      </c>
      <c r="M762">
        <f t="shared" si="22"/>
        <v>44.55</v>
      </c>
      <c r="N762" t="str" cm="1">
        <f t="array" ref="N762">_xlfn.IFS(I762 = "Rob", "Robusta", I762 = "Exc", "Excelsa", I762 = "Ara", "Arabica", I762 = "Lib", "Liberica")</f>
        <v>Excelsa</v>
      </c>
      <c r="O762" t="str">
        <f t="shared" si="23"/>
        <v>Light</v>
      </c>
      <c r="P762" t="str">
        <f>_xlfn.XLOOKUP(Table1[[#This Row],[Customer ID]],Data_customers!$A$2:$A$1001,Data_customers!$I$2:$I$1001,,0)</f>
        <v>No</v>
      </c>
    </row>
    <row r="763" spans="1:16" x14ac:dyDescent="0.2">
      <c r="A763" s="2" t="s">
        <v>4792</v>
      </c>
      <c r="B763" s="3">
        <v>43714</v>
      </c>
      <c r="C763" s="2" t="s">
        <v>4793</v>
      </c>
      <c r="D763" t="s">
        <v>6171</v>
      </c>
      <c r="E763" s="2">
        <v>6</v>
      </c>
      <c r="F763" s="2" t="str">
        <f>_xlfn.XLOOKUP(Data_orders!C763,Data_customers!$A$1:$A$1001,Data_customers!$B$1:$B$1001,,0)</f>
        <v>Chuck Kendrick</v>
      </c>
      <c r="G763" s="2" t="str">
        <f>IF(_xlfn.XLOOKUP(C763,Data_customers!$A$1:$A$1001,Data_customers!$C$1:$C$1001,,0)=0,"",_xlfn.XLOOKUP(C763,Data_customers!$A$1:$A$1001,Data_customers!$C$1:$C$1001,,0))</f>
        <v>ckendrickl5@webnode.com</v>
      </c>
      <c r="H763" s="2" t="str">
        <f>_xlfn.XLOOKUP(C763,Data_customers!$A$1:$A$1001,Data_customers!$G$1:$G$1001,"",0)</f>
        <v>United States</v>
      </c>
      <c r="I763" t="str">
        <f>INDEX(Data_products!$A$1:$G$49, MATCH(Data_orders!$D763,Data_products!$A$1:$A$49,0), MATCH(Data_orders!I$1,Data_products!$A$1:$G$1,0))</f>
        <v>Exc</v>
      </c>
      <c r="J763" t="str">
        <f>INDEX(Data_products!$A$1:$G$49, MATCH(Data_orders!$D763,Data_products!$A$1:$A$49,0), MATCH(Data_orders!J$1,Data_products!$A$1:$G$1,0))</f>
        <v>L</v>
      </c>
      <c r="K763" s="4">
        <f>INDEX(Data_products!$A$1:$G$49, MATCH(Data_orders!$D763,Data_products!$A$1:$A$49,0), MATCH(Data_orders!K$1,Data_products!$A$1:$G$1,0))</f>
        <v>1</v>
      </c>
      <c r="L763">
        <f>INDEX(Data_products!$A$1:$G$49, MATCH(Data_orders!$D763,Data_products!$A$1:$A$49,0), MATCH(Data_orders!L$1,Data_products!$A$1:$G$1,0))</f>
        <v>14.85</v>
      </c>
      <c r="M763">
        <f t="shared" si="22"/>
        <v>89.1</v>
      </c>
      <c r="N763" t="str" cm="1">
        <f t="array" ref="N763">_xlfn.IFS(I763 = "Rob", "Robusta", I763 = "Exc", "Excelsa", I763 = "Ara", "Arabica", I763 = "Lib", "Liberica")</f>
        <v>Excelsa</v>
      </c>
      <c r="O763" t="str">
        <f t="shared" si="23"/>
        <v>Light</v>
      </c>
      <c r="P763" t="str">
        <f>_xlfn.XLOOKUP(Table1[[#This Row],[Customer ID]],Data_customers!$A$2:$A$1001,Data_customers!$I$2:$I$1001,,0)</f>
        <v>Yes</v>
      </c>
    </row>
    <row r="764" spans="1:16" x14ac:dyDescent="0.2">
      <c r="A764" s="2" t="s">
        <v>4797</v>
      </c>
      <c r="B764" s="3">
        <v>43563</v>
      </c>
      <c r="C764" s="2" t="s">
        <v>4798</v>
      </c>
      <c r="D764" t="s">
        <v>6160</v>
      </c>
      <c r="E764" s="2">
        <v>5</v>
      </c>
      <c r="F764" s="2" t="str">
        <f>_xlfn.XLOOKUP(Data_orders!C764,Data_customers!$A$1:$A$1001,Data_customers!$B$1:$B$1001,,0)</f>
        <v>Sharona Danilchik</v>
      </c>
      <c r="G764" s="2" t="str">
        <f>IF(_xlfn.XLOOKUP(C764,Data_customers!$A$1:$A$1001,Data_customers!$C$1:$C$1001,,0)=0,"",_xlfn.XLOOKUP(C764,Data_customers!$A$1:$A$1001,Data_customers!$C$1:$C$1001,,0))</f>
        <v>sdanilchikl6@mit.edu</v>
      </c>
      <c r="H764" s="2" t="str">
        <f>_xlfn.XLOOKUP(C764,Data_customers!$A$1:$A$1001,Data_customers!$G$1:$G$1001,"",0)</f>
        <v>United Kingdom</v>
      </c>
      <c r="I764" t="str">
        <f>INDEX(Data_products!$A$1:$G$49, MATCH(Data_orders!$D764,Data_products!$A$1:$A$49,0), MATCH(Data_orders!I$1,Data_products!$A$1:$G$1,0))</f>
        <v>Lib</v>
      </c>
      <c r="J764" t="str">
        <f>INDEX(Data_products!$A$1:$G$49, MATCH(Data_orders!$D764,Data_products!$A$1:$A$49,0), MATCH(Data_orders!J$1,Data_products!$A$1:$G$1,0))</f>
        <v>M</v>
      </c>
      <c r="K764" s="4">
        <f>INDEX(Data_products!$A$1:$G$49, MATCH(Data_orders!$D764,Data_products!$A$1:$A$49,0), MATCH(Data_orders!K$1,Data_products!$A$1:$G$1,0))</f>
        <v>0.5</v>
      </c>
      <c r="L764">
        <f>INDEX(Data_products!$A$1:$G$49, MATCH(Data_orders!$D764,Data_products!$A$1:$A$49,0), MATCH(Data_orders!L$1,Data_products!$A$1:$G$1,0))</f>
        <v>8.73</v>
      </c>
      <c r="M764">
        <f t="shared" si="22"/>
        <v>43.650000000000006</v>
      </c>
      <c r="N764" t="str" cm="1">
        <f t="array" ref="N764">_xlfn.IFS(I764 = "Rob", "Robusta", I764 = "Exc", "Excelsa", I764 = "Ara", "Arabica", I764 = "Lib", "Liberica")</f>
        <v>Liberica</v>
      </c>
      <c r="O764" t="str">
        <f t="shared" si="23"/>
        <v>Medium</v>
      </c>
      <c r="P764" t="str">
        <f>_xlfn.XLOOKUP(Table1[[#This Row],[Customer ID]],Data_customers!$A$2:$A$1001,Data_customers!$I$2:$I$1001,,0)</f>
        <v>No</v>
      </c>
    </row>
    <row r="765" spans="1:16" x14ac:dyDescent="0.2">
      <c r="A765" s="2" t="s">
        <v>4803</v>
      </c>
      <c r="B765" s="3">
        <v>44587</v>
      </c>
      <c r="C765" s="2" t="s">
        <v>4804</v>
      </c>
      <c r="D765" t="s">
        <v>6180</v>
      </c>
      <c r="E765" s="2">
        <v>3</v>
      </c>
      <c r="F765" s="2" t="str">
        <f>_xlfn.XLOOKUP(Data_orders!C765,Data_customers!$A$1:$A$1001,Data_customers!$B$1:$B$1001,,0)</f>
        <v>Sarajane Potter</v>
      </c>
      <c r="G765" s="2" t="str">
        <f>IF(_xlfn.XLOOKUP(C765,Data_customers!$A$1:$A$1001,Data_customers!$C$1:$C$1001,,0)=0,"",_xlfn.XLOOKUP(C765,Data_customers!$A$1:$A$1001,Data_customers!$C$1:$C$1001,,0))</f>
        <v/>
      </c>
      <c r="H765" s="2" t="str">
        <f>_xlfn.XLOOKUP(C765,Data_customers!$A$1:$A$1001,Data_customers!$G$1:$G$1001,"",0)</f>
        <v>United States</v>
      </c>
      <c r="I765" t="str">
        <f>INDEX(Data_products!$A$1:$G$49, MATCH(Data_orders!$D765,Data_products!$A$1:$A$49,0), MATCH(Data_orders!I$1,Data_products!$A$1:$G$1,0))</f>
        <v>Ara</v>
      </c>
      <c r="J765" t="str">
        <f>INDEX(Data_products!$A$1:$G$49, MATCH(Data_orders!$D765,Data_products!$A$1:$A$49,0), MATCH(Data_orders!J$1,Data_products!$A$1:$G$1,0))</f>
        <v>L</v>
      </c>
      <c r="K765" s="4">
        <f>INDEX(Data_products!$A$1:$G$49, MATCH(Data_orders!$D765,Data_products!$A$1:$A$49,0), MATCH(Data_orders!K$1,Data_products!$A$1:$G$1,0))</f>
        <v>0.5</v>
      </c>
      <c r="L765">
        <f>INDEX(Data_products!$A$1:$G$49, MATCH(Data_orders!$D765,Data_products!$A$1:$A$49,0), MATCH(Data_orders!L$1,Data_products!$A$1:$G$1,0))</f>
        <v>7.77</v>
      </c>
      <c r="M765">
        <f t="shared" si="22"/>
        <v>23.31</v>
      </c>
      <c r="N765" t="str" cm="1">
        <f t="array" ref="N765">_xlfn.IFS(I765 = "Rob", "Robusta", I765 = "Exc", "Excelsa", I765 = "Ara", "Arabica", I765 = "Lib", "Liberica")</f>
        <v>Arabica</v>
      </c>
      <c r="O765" t="str">
        <f t="shared" si="23"/>
        <v>Light</v>
      </c>
      <c r="P765" t="str">
        <f>_xlfn.XLOOKUP(Table1[[#This Row],[Customer ID]],Data_customers!$A$2:$A$1001,Data_customers!$I$2:$I$1001,,0)</f>
        <v>No</v>
      </c>
    </row>
    <row r="766" spans="1:16" x14ac:dyDescent="0.2">
      <c r="A766" s="2" t="s">
        <v>4808</v>
      </c>
      <c r="B766" s="3">
        <v>43797</v>
      </c>
      <c r="C766" s="2" t="s">
        <v>4809</v>
      </c>
      <c r="D766" t="s">
        <v>6182</v>
      </c>
      <c r="E766" s="2">
        <v>6</v>
      </c>
      <c r="F766" s="2" t="str">
        <f>_xlfn.XLOOKUP(Data_orders!C766,Data_customers!$A$1:$A$1001,Data_customers!$B$1:$B$1001,,0)</f>
        <v>Bobby Folomkin</v>
      </c>
      <c r="G766" s="2" t="str">
        <f>IF(_xlfn.XLOOKUP(C766,Data_customers!$A$1:$A$1001,Data_customers!$C$1:$C$1001,,0)=0,"",_xlfn.XLOOKUP(C766,Data_customers!$A$1:$A$1001,Data_customers!$C$1:$C$1001,,0))</f>
        <v>bfolomkinl8@yolasite.com</v>
      </c>
      <c r="H766" s="2" t="str">
        <f>_xlfn.XLOOKUP(C766,Data_customers!$A$1:$A$1001,Data_customers!$G$1:$G$1001,"",0)</f>
        <v>United States</v>
      </c>
      <c r="I766" t="str">
        <f>INDEX(Data_products!$A$1:$G$49, MATCH(Data_orders!$D766,Data_products!$A$1:$A$49,0), MATCH(Data_orders!I$1,Data_products!$A$1:$G$1,0))</f>
        <v>Ara</v>
      </c>
      <c r="J766" t="str">
        <f>INDEX(Data_products!$A$1:$G$49, MATCH(Data_orders!$D766,Data_products!$A$1:$A$49,0), MATCH(Data_orders!J$1,Data_products!$A$1:$G$1,0))</f>
        <v>L</v>
      </c>
      <c r="K766" s="4">
        <f>INDEX(Data_products!$A$1:$G$49, MATCH(Data_orders!$D766,Data_products!$A$1:$A$49,0), MATCH(Data_orders!K$1,Data_products!$A$1:$G$1,0))</f>
        <v>2.5</v>
      </c>
      <c r="L766">
        <f>INDEX(Data_products!$A$1:$G$49, MATCH(Data_orders!$D766,Data_products!$A$1:$A$49,0), MATCH(Data_orders!L$1,Data_products!$A$1:$G$1,0))</f>
        <v>29.784999999999997</v>
      </c>
      <c r="M766">
        <f t="shared" si="22"/>
        <v>178.70999999999998</v>
      </c>
      <c r="N766" t="str" cm="1">
        <f t="array" ref="N766">_xlfn.IFS(I766 = "Rob", "Robusta", I766 = "Exc", "Excelsa", I766 = "Ara", "Arabica", I766 = "Lib", "Liberica")</f>
        <v>Arabica</v>
      </c>
      <c r="O766" t="str">
        <f t="shared" si="23"/>
        <v>Light</v>
      </c>
      <c r="P766" t="str">
        <f>_xlfn.XLOOKUP(Table1[[#This Row],[Customer ID]],Data_customers!$A$2:$A$1001,Data_customers!$I$2:$I$1001,,0)</f>
        <v>Yes</v>
      </c>
    </row>
    <row r="767" spans="1:16" x14ac:dyDescent="0.2">
      <c r="A767" s="2" t="s">
        <v>4814</v>
      </c>
      <c r="B767" s="3">
        <v>43667</v>
      </c>
      <c r="C767" s="2" t="s">
        <v>4815</v>
      </c>
      <c r="D767" t="s">
        <v>6138</v>
      </c>
      <c r="E767" s="2">
        <v>6</v>
      </c>
      <c r="F767" s="2" t="str">
        <f>_xlfn.XLOOKUP(Data_orders!C767,Data_customers!$A$1:$A$1001,Data_customers!$B$1:$B$1001,,0)</f>
        <v>Rafferty Pursglove</v>
      </c>
      <c r="G767" s="2" t="str">
        <f>IF(_xlfn.XLOOKUP(C767,Data_customers!$A$1:$A$1001,Data_customers!$C$1:$C$1001,,0)=0,"",_xlfn.XLOOKUP(C767,Data_customers!$A$1:$A$1001,Data_customers!$C$1:$C$1001,,0))</f>
        <v>rpursglovel9@biblegateway.com</v>
      </c>
      <c r="H767" s="2" t="str">
        <f>_xlfn.XLOOKUP(C767,Data_customers!$A$1:$A$1001,Data_customers!$G$1:$G$1001,"",0)</f>
        <v>United States</v>
      </c>
      <c r="I767" t="str">
        <f>INDEX(Data_products!$A$1:$G$49, MATCH(Data_orders!$D767,Data_products!$A$1:$A$49,0), MATCH(Data_orders!I$1,Data_products!$A$1:$G$1,0))</f>
        <v>Rob</v>
      </c>
      <c r="J767" t="str">
        <f>INDEX(Data_products!$A$1:$G$49, MATCH(Data_orders!$D767,Data_products!$A$1:$A$49,0), MATCH(Data_orders!J$1,Data_products!$A$1:$G$1,0))</f>
        <v>M</v>
      </c>
      <c r="K767" s="4">
        <f>INDEX(Data_products!$A$1:$G$49, MATCH(Data_orders!$D767,Data_products!$A$1:$A$49,0), MATCH(Data_orders!K$1,Data_products!$A$1:$G$1,0))</f>
        <v>1</v>
      </c>
      <c r="L767">
        <f>INDEX(Data_products!$A$1:$G$49, MATCH(Data_orders!$D767,Data_products!$A$1:$A$49,0), MATCH(Data_orders!L$1,Data_products!$A$1:$G$1,0))</f>
        <v>9.9499999999999993</v>
      </c>
      <c r="M767">
        <f t="shared" si="22"/>
        <v>59.699999999999996</v>
      </c>
      <c r="N767" t="str" cm="1">
        <f t="array" ref="N767">_xlfn.IFS(I767 = "Rob", "Robusta", I767 = "Exc", "Excelsa", I767 = "Ara", "Arabica", I767 = "Lib", "Liberica")</f>
        <v>Robusta</v>
      </c>
      <c r="O767" t="str">
        <f t="shared" si="23"/>
        <v>Medium</v>
      </c>
      <c r="P767" t="str">
        <f>_xlfn.XLOOKUP(Table1[[#This Row],[Customer ID]],Data_customers!$A$2:$A$1001,Data_customers!$I$2:$I$1001,,0)</f>
        <v>Yes</v>
      </c>
    </row>
    <row r="768" spans="1:16" x14ac:dyDescent="0.2">
      <c r="A768" s="2" t="s">
        <v>4814</v>
      </c>
      <c r="B768" s="3">
        <v>43667</v>
      </c>
      <c r="C768" s="2" t="s">
        <v>4815</v>
      </c>
      <c r="D768" t="s">
        <v>6180</v>
      </c>
      <c r="E768" s="2">
        <v>2</v>
      </c>
      <c r="F768" s="2" t="str">
        <f>_xlfn.XLOOKUP(Data_orders!C768,Data_customers!$A$1:$A$1001,Data_customers!$B$1:$B$1001,,0)</f>
        <v>Rafferty Pursglove</v>
      </c>
      <c r="G768" s="2" t="str">
        <f>IF(_xlfn.XLOOKUP(C768,Data_customers!$A$1:$A$1001,Data_customers!$C$1:$C$1001,,0)=0,"",_xlfn.XLOOKUP(C768,Data_customers!$A$1:$A$1001,Data_customers!$C$1:$C$1001,,0))</f>
        <v>rpursglovel9@biblegateway.com</v>
      </c>
      <c r="H768" s="2" t="str">
        <f>_xlfn.XLOOKUP(C768,Data_customers!$A$1:$A$1001,Data_customers!$G$1:$G$1001,"",0)</f>
        <v>United States</v>
      </c>
      <c r="I768" t="str">
        <f>INDEX(Data_products!$A$1:$G$49, MATCH(Data_orders!$D768,Data_products!$A$1:$A$49,0), MATCH(Data_orders!I$1,Data_products!$A$1:$G$1,0))</f>
        <v>Ara</v>
      </c>
      <c r="J768" t="str">
        <f>INDEX(Data_products!$A$1:$G$49, MATCH(Data_orders!$D768,Data_products!$A$1:$A$49,0), MATCH(Data_orders!J$1,Data_products!$A$1:$G$1,0))</f>
        <v>L</v>
      </c>
      <c r="K768" s="4">
        <f>INDEX(Data_products!$A$1:$G$49, MATCH(Data_orders!$D768,Data_products!$A$1:$A$49,0), MATCH(Data_orders!K$1,Data_products!$A$1:$G$1,0))</f>
        <v>0.5</v>
      </c>
      <c r="L768">
        <f>INDEX(Data_products!$A$1:$G$49, MATCH(Data_orders!$D768,Data_products!$A$1:$A$49,0), MATCH(Data_orders!L$1,Data_products!$A$1:$G$1,0))</f>
        <v>7.77</v>
      </c>
      <c r="M768">
        <f t="shared" si="22"/>
        <v>15.54</v>
      </c>
      <c r="N768" t="str" cm="1">
        <f t="array" ref="N768">_xlfn.IFS(I768 = "Rob", "Robusta", I768 = "Exc", "Excelsa", I768 = "Ara", "Arabica", I768 = "Lib", "Liberica")</f>
        <v>Arabica</v>
      </c>
      <c r="O768" t="str">
        <f t="shared" si="23"/>
        <v>Light</v>
      </c>
      <c r="P768" t="str">
        <f>_xlfn.XLOOKUP(Table1[[#This Row],[Customer ID]],Data_customers!$A$2:$A$1001,Data_customers!$I$2:$I$1001,,0)</f>
        <v>Yes</v>
      </c>
    </row>
    <row r="769" spans="1:16" x14ac:dyDescent="0.2">
      <c r="A769" s="2" t="s">
        <v>4825</v>
      </c>
      <c r="B769" s="3">
        <v>44267</v>
      </c>
      <c r="C769" s="2" t="s">
        <v>4759</v>
      </c>
      <c r="D769" t="s">
        <v>6182</v>
      </c>
      <c r="E769" s="2">
        <v>3</v>
      </c>
      <c r="F769" s="2" t="str">
        <f>_xlfn.XLOOKUP(Data_orders!C769,Data_customers!$A$1:$A$1001,Data_customers!$B$1:$B$1001,,0)</f>
        <v>Foster Constance</v>
      </c>
      <c r="G769" s="2" t="str">
        <f>IF(_xlfn.XLOOKUP(C769,Data_customers!$A$1:$A$1001,Data_customers!$C$1:$C$1001,,0)=0,"",_xlfn.XLOOKUP(C769,Data_customers!$A$1:$A$1001,Data_customers!$C$1:$C$1001,,0))</f>
        <v>fconstancekz@ifeng.com</v>
      </c>
      <c r="H769" s="2" t="str">
        <f>_xlfn.XLOOKUP(C769,Data_customers!$A$1:$A$1001,Data_customers!$G$1:$G$1001,"",0)</f>
        <v>United States</v>
      </c>
      <c r="I769" t="str">
        <f>INDEX(Data_products!$A$1:$G$49, MATCH(Data_orders!$D769,Data_products!$A$1:$A$49,0), MATCH(Data_orders!I$1,Data_products!$A$1:$G$1,0))</f>
        <v>Ara</v>
      </c>
      <c r="J769" t="str">
        <f>INDEX(Data_products!$A$1:$G$49, MATCH(Data_orders!$D769,Data_products!$A$1:$A$49,0), MATCH(Data_orders!J$1,Data_products!$A$1:$G$1,0))</f>
        <v>L</v>
      </c>
      <c r="K769" s="4">
        <f>INDEX(Data_products!$A$1:$G$49, MATCH(Data_orders!$D769,Data_products!$A$1:$A$49,0), MATCH(Data_orders!K$1,Data_products!$A$1:$G$1,0))</f>
        <v>2.5</v>
      </c>
      <c r="L769">
        <f>INDEX(Data_products!$A$1:$G$49, MATCH(Data_orders!$D769,Data_products!$A$1:$A$49,0), MATCH(Data_orders!L$1,Data_products!$A$1:$G$1,0))</f>
        <v>29.784999999999997</v>
      </c>
      <c r="M769">
        <f t="shared" si="22"/>
        <v>89.35499999999999</v>
      </c>
      <c r="N769" t="str" cm="1">
        <f t="array" ref="N769">_xlfn.IFS(I769 = "Rob", "Robusta", I769 = "Exc", "Excelsa", I769 = "Ara", "Arabica", I769 = "Lib", "Liberica")</f>
        <v>Arabica</v>
      </c>
      <c r="O769" t="str">
        <f t="shared" si="23"/>
        <v>Light</v>
      </c>
      <c r="P769" t="str">
        <f>_xlfn.XLOOKUP(Table1[[#This Row],[Customer ID]],Data_customers!$A$2:$A$1001,Data_customers!$I$2:$I$1001,,0)</f>
        <v>No</v>
      </c>
    </row>
    <row r="770" spans="1:16" x14ac:dyDescent="0.2">
      <c r="A770" s="2" t="s">
        <v>4831</v>
      </c>
      <c r="B770" s="3">
        <v>44562</v>
      </c>
      <c r="C770" s="2" t="s">
        <v>4759</v>
      </c>
      <c r="D770" t="s">
        <v>6179</v>
      </c>
      <c r="E770" s="2">
        <v>2</v>
      </c>
      <c r="F770" s="2" t="str">
        <f>_xlfn.XLOOKUP(Data_orders!C770,Data_customers!$A$1:$A$1001,Data_customers!$B$1:$B$1001,,0)</f>
        <v>Foster Constance</v>
      </c>
      <c r="G770" s="2" t="str">
        <f>IF(_xlfn.XLOOKUP(C770,Data_customers!$A$1:$A$1001,Data_customers!$C$1:$C$1001,,0)=0,"",_xlfn.XLOOKUP(C770,Data_customers!$A$1:$A$1001,Data_customers!$C$1:$C$1001,,0))</f>
        <v>fconstancekz@ifeng.com</v>
      </c>
      <c r="H770" s="2" t="str">
        <f>_xlfn.XLOOKUP(C770,Data_customers!$A$1:$A$1001,Data_customers!$G$1:$G$1001,"",0)</f>
        <v>United States</v>
      </c>
      <c r="I770" t="str">
        <f>INDEX(Data_products!$A$1:$G$49, MATCH(Data_orders!$D770,Data_products!$A$1:$A$49,0), MATCH(Data_orders!I$1,Data_products!$A$1:$G$1,0))</f>
        <v>Rob</v>
      </c>
      <c r="J770" t="str">
        <f>INDEX(Data_products!$A$1:$G$49, MATCH(Data_orders!$D770,Data_products!$A$1:$A$49,0), MATCH(Data_orders!J$1,Data_products!$A$1:$G$1,0))</f>
        <v>L</v>
      </c>
      <c r="K770" s="4">
        <f>INDEX(Data_products!$A$1:$G$49, MATCH(Data_orders!$D770,Data_products!$A$1:$A$49,0), MATCH(Data_orders!K$1,Data_products!$A$1:$G$1,0))</f>
        <v>1</v>
      </c>
      <c r="L770">
        <f>INDEX(Data_products!$A$1:$G$49, MATCH(Data_orders!$D770,Data_products!$A$1:$A$49,0), MATCH(Data_orders!L$1,Data_products!$A$1:$G$1,0))</f>
        <v>11.95</v>
      </c>
      <c r="M770">
        <f t="shared" si="22"/>
        <v>23.9</v>
      </c>
      <c r="N770" t="str" cm="1">
        <f t="array" ref="N770">_xlfn.IFS(I770 = "Rob", "Robusta", I770 = "Exc", "Excelsa", I770 = "Ara", "Arabica", I770 = "Lib", "Liberica")</f>
        <v>Robusta</v>
      </c>
      <c r="O770" t="str">
        <f t="shared" si="23"/>
        <v>Light</v>
      </c>
      <c r="P770" t="str">
        <f>_xlfn.XLOOKUP(Table1[[#This Row],[Customer ID]],Data_customers!$A$2:$A$1001,Data_customers!$I$2:$I$1001,,0)</f>
        <v>No</v>
      </c>
    </row>
    <row r="771" spans="1:16" x14ac:dyDescent="0.2">
      <c r="A771" s="2" t="s">
        <v>4836</v>
      </c>
      <c r="B771" s="3">
        <v>43912</v>
      </c>
      <c r="C771" s="2" t="s">
        <v>4837</v>
      </c>
      <c r="D771" t="s">
        <v>6151</v>
      </c>
      <c r="E771" s="2">
        <v>6</v>
      </c>
      <c r="F771" s="2" t="str">
        <f>_xlfn.XLOOKUP(Data_orders!C771,Data_customers!$A$1:$A$1001,Data_customers!$B$1:$B$1001,,0)</f>
        <v>Dalia Eburah</v>
      </c>
      <c r="G771" s="2" t="str">
        <f>IF(_xlfn.XLOOKUP(C771,Data_customers!$A$1:$A$1001,Data_customers!$C$1:$C$1001,,0)=0,"",_xlfn.XLOOKUP(C771,Data_customers!$A$1:$A$1001,Data_customers!$C$1:$C$1001,,0))</f>
        <v>deburahld@google.co.jp</v>
      </c>
      <c r="H771" s="2" t="str">
        <f>_xlfn.XLOOKUP(C771,Data_customers!$A$1:$A$1001,Data_customers!$G$1:$G$1001,"",0)</f>
        <v>United Kingdom</v>
      </c>
      <c r="I771" t="str">
        <f>INDEX(Data_products!$A$1:$G$49, MATCH(Data_orders!$D771,Data_products!$A$1:$A$49,0), MATCH(Data_orders!I$1,Data_products!$A$1:$G$1,0))</f>
        <v>Rob</v>
      </c>
      <c r="J771" t="str">
        <f>INDEX(Data_products!$A$1:$G$49, MATCH(Data_orders!$D771,Data_products!$A$1:$A$49,0), MATCH(Data_orders!J$1,Data_products!$A$1:$G$1,0))</f>
        <v>M</v>
      </c>
      <c r="K771" s="4">
        <f>INDEX(Data_products!$A$1:$G$49, MATCH(Data_orders!$D771,Data_products!$A$1:$A$49,0), MATCH(Data_orders!K$1,Data_products!$A$1:$G$1,0))</f>
        <v>2.5</v>
      </c>
      <c r="L771">
        <f>INDEX(Data_products!$A$1:$G$49, MATCH(Data_orders!$D771,Data_products!$A$1:$A$49,0), MATCH(Data_orders!L$1,Data_products!$A$1:$G$1,0))</f>
        <v>22.884999999999998</v>
      </c>
      <c r="M771">
        <f t="shared" ref="M771:M834" si="24">L771*E771</f>
        <v>137.31</v>
      </c>
      <c r="N771" t="str" cm="1">
        <f t="array" ref="N771">_xlfn.IFS(I771 = "Rob", "Robusta", I771 = "Exc", "Excelsa", I771 = "Ara", "Arabica", I771 = "Lib", "Liberica")</f>
        <v>Robusta</v>
      </c>
      <c r="O771" t="str">
        <f t="shared" ref="O771:O834" si="25">IF(J771 = "M", "Medium", IF(J771 =  "L", "Light", IF(J771 = "D", "Dark", "")))</f>
        <v>Medium</v>
      </c>
      <c r="P771" t="str">
        <f>_xlfn.XLOOKUP(Table1[[#This Row],[Customer ID]],Data_customers!$A$2:$A$1001,Data_customers!$I$2:$I$1001,,0)</f>
        <v>No</v>
      </c>
    </row>
    <row r="772" spans="1:16" x14ac:dyDescent="0.2">
      <c r="A772" s="2" t="s">
        <v>4842</v>
      </c>
      <c r="B772" s="3">
        <v>44092</v>
      </c>
      <c r="C772" s="2" t="s">
        <v>4843</v>
      </c>
      <c r="D772" t="s">
        <v>6147</v>
      </c>
      <c r="E772" s="2">
        <v>1</v>
      </c>
      <c r="F772" s="2" t="str">
        <f>_xlfn.XLOOKUP(Data_orders!C772,Data_customers!$A$1:$A$1001,Data_customers!$B$1:$B$1001,,0)</f>
        <v>Martie Brimilcombe</v>
      </c>
      <c r="G772" s="2" t="str">
        <f>IF(_xlfn.XLOOKUP(C772,Data_customers!$A$1:$A$1001,Data_customers!$C$1:$C$1001,,0)=0,"",_xlfn.XLOOKUP(C772,Data_customers!$A$1:$A$1001,Data_customers!$C$1:$C$1001,,0))</f>
        <v>mbrimilcombele@cnn.com</v>
      </c>
      <c r="H772" s="2" t="str">
        <f>_xlfn.XLOOKUP(C772,Data_customers!$A$1:$A$1001,Data_customers!$G$1:$G$1001,"",0)</f>
        <v>United States</v>
      </c>
      <c r="I772" t="str">
        <f>INDEX(Data_products!$A$1:$G$49, MATCH(Data_orders!$D772,Data_products!$A$1:$A$49,0), MATCH(Data_orders!I$1,Data_products!$A$1:$G$1,0))</f>
        <v>Ara</v>
      </c>
      <c r="J772" t="str">
        <f>INDEX(Data_products!$A$1:$G$49, MATCH(Data_orders!$D772,Data_products!$A$1:$A$49,0), MATCH(Data_orders!J$1,Data_products!$A$1:$G$1,0))</f>
        <v>D</v>
      </c>
      <c r="K772" s="4">
        <f>INDEX(Data_products!$A$1:$G$49, MATCH(Data_orders!$D772,Data_products!$A$1:$A$49,0), MATCH(Data_orders!K$1,Data_products!$A$1:$G$1,0))</f>
        <v>1</v>
      </c>
      <c r="L772">
        <f>INDEX(Data_products!$A$1:$G$49, MATCH(Data_orders!$D772,Data_products!$A$1:$A$49,0), MATCH(Data_orders!L$1,Data_products!$A$1:$G$1,0))</f>
        <v>9.9499999999999993</v>
      </c>
      <c r="M772">
        <f t="shared" si="24"/>
        <v>9.9499999999999993</v>
      </c>
      <c r="N772" t="str" cm="1">
        <f t="array" ref="N772">_xlfn.IFS(I772 = "Rob", "Robusta", I772 = "Exc", "Excelsa", I772 = "Ara", "Arabica", I772 = "Lib", "Liberica")</f>
        <v>Arabica</v>
      </c>
      <c r="O772" t="str">
        <f t="shared" si="25"/>
        <v>Dark</v>
      </c>
      <c r="P772" t="str">
        <f>_xlfn.XLOOKUP(Table1[[#This Row],[Customer ID]],Data_customers!$A$2:$A$1001,Data_customers!$I$2:$I$1001,,0)</f>
        <v>No</v>
      </c>
    </row>
    <row r="773" spans="1:16" x14ac:dyDescent="0.2">
      <c r="A773" s="2" t="s">
        <v>4847</v>
      </c>
      <c r="B773" s="3">
        <v>43468</v>
      </c>
      <c r="C773" s="2" t="s">
        <v>4848</v>
      </c>
      <c r="D773" t="s">
        <v>6173</v>
      </c>
      <c r="E773" s="2">
        <v>3</v>
      </c>
      <c r="F773" s="2" t="str">
        <f>_xlfn.XLOOKUP(Data_orders!C773,Data_customers!$A$1:$A$1001,Data_customers!$B$1:$B$1001,,0)</f>
        <v>Suzanna Bollam</v>
      </c>
      <c r="G773" s="2" t="str">
        <f>IF(_xlfn.XLOOKUP(C773,Data_customers!$A$1:$A$1001,Data_customers!$C$1:$C$1001,,0)=0,"",_xlfn.XLOOKUP(C773,Data_customers!$A$1:$A$1001,Data_customers!$C$1:$C$1001,,0))</f>
        <v>sbollamlf@list-manage.com</v>
      </c>
      <c r="H773" s="2" t="str">
        <f>_xlfn.XLOOKUP(C773,Data_customers!$A$1:$A$1001,Data_customers!$G$1:$G$1001,"",0)</f>
        <v>United States</v>
      </c>
      <c r="I773" t="str">
        <f>INDEX(Data_products!$A$1:$G$49, MATCH(Data_orders!$D773,Data_products!$A$1:$A$49,0), MATCH(Data_orders!I$1,Data_products!$A$1:$G$1,0))</f>
        <v>Rob</v>
      </c>
      <c r="J773" t="str">
        <f>INDEX(Data_products!$A$1:$G$49, MATCH(Data_orders!$D773,Data_products!$A$1:$A$49,0), MATCH(Data_orders!J$1,Data_products!$A$1:$G$1,0))</f>
        <v>L</v>
      </c>
      <c r="K773" s="4">
        <f>INDEX(Data_products!$A$1:$G$49, MATCH(Data_orders!$D773,Data_products!$A$1:$A$49,0), MATCH(Data_orders!K$1,Data_products!$A$1:$G$1,0))</f>
        <v>0.5</v>
      </c>
      <c r="L773">
        <f>INDEX(Data_products!$A$1:$G$49, MATCH(Data_orders!$D773,Data_products!$A$1:$A$49,0), MATCH(Data_orders!L$1,Data_products!$A$1:$G$1,0))</f>
        <v>7.169999999999999</v>
      </c>
      <c r="M773">
        <f t="shared" si="24"/>
        <v>21.509999999999998</v>
      </c>
      <c r="N773" t="str" cm="1">
        <f t="array" ref="N773">_xlfn.IFS(I773 = "Rob", "Robusta", I773 = "Exc", "Excelsa", I773 = "Ara", "Arabica", I773 = "Lib", "Liberica")</f>
        <v>Robusta</v>
      </c>
      <c r="O773" t="str">
        <f t="shared" si="25"/>
        <v>Light</v>
      </c>
      <c r="P773" t="str">
        <f>_xlfn.XLOOKUP(Table1[[#This Row],[Customer ID]],Data_customers!$A$2:$A$1001,Data_customers!$I$2:$I$1001,,0)</f>
        <v>No</v>
      </c>
    </row>
    <row r="774" spans="1:16" x14ac:dyDescent="0.2">
      <c r="A774" s="2" t="s">
        <v>4853</v>
      </c>
      <c r="B774" s="3">
        <v>44468</v>
      </c>
      <c r="C774" s="2" t="s">
        <v>4854</v>
      </c>
      <c r="D774" t="s">
        <v>6141</v>
      </c>
      <c r="E774" s="2">
        <v>6</v>
      </c>
      <c r="F774" s="2" t="str">
        <f>_xlfn.XLOOKUP(Data_orders!C774,Data_customers!$A$1:$A$1001,Data_customers!$B$1:$B$1001,,0)</f>
        <v>Mellisa Mebes</v>
      </c>
      <c r="G774" s="2" t="str">
        <f>IF(_xlfn.XLOOKUP(C774,Data_customers!$A$1:$A$1001,Data_customers!$C$1:$C$1001,,0)=0,"",_xlfn.XLOOKUP(C774,Data_customers!$A$1:$A$1001,Data_customers!$C$1:$C$1001,,0))</f>
        <v/>
      </c>
      <c r="H774" s="2" t="str">
        <f>_xlfn.XLOOKUP(C774,Data_customers!$A$1:$A$1001,Data_customers!$G$1:$G$1001,"",0)</f>
        <v>United States</v>
      </c>
      <c r="I774" t="str">
        <f>INDEX(Data_products!$A$1:$G$49, MATCH(Data_orders!$D774,Data_products!$A$1:$A$49,0), MATCH(Data_orders!I$1,Data_products!$A$1:$G$1,0))</f>
        <v>Exc</v>
      </c>
      <c r="J774" t="str">
        <f>INDEX(Data_products!$A$1:$G$49, MATCH(Data_orders!$D774,Data_products!$A$1:$A$49,0), MATCH(Data_orders!J$1,Data_products!$A$1:$G$1,0))</f>
        <v>M</v>
      </c>
      <c r="K774" s="4">
        <f>INDEX(Data_products!$A$1:$G$49, MATCH(Data_orders!$D774,Data_products!$A$1:$A$49,0), MATCH(Data_orders!K$1,Data_products!$A$1:$G$1,0))</f>
        <v>1</v>
      </c>
      <c r="L774">
        <f>INDEX(Data_products!$A$1:$G$49, MATCH(Data_orders!$D774,Data_products!$A$1:$A$49,0), MATCH(Data_orders!L$1,Data_products!$A$1:$G$1,0))</f>
        <v>13.75</v>
      </c>
      <c r="M774">
        <f t="shared" si="24"/>
        <v>82.5</v>
      </c>
      <c r="N774" t="str" cm="1">
        <f t="array" ref="N774">_xlfn.IFS(I774 = "Rob", "Robusta", I774 = "Exc", "Excelsa", I774 = "Ara", "Arabica", I774 = "Lib", "Liberica")</f>
        <v>Excelsa</v>
      </c>
      <c r="O774" t="str">
        <f t="shared" si="25"/>
        <v>Medium</v>
      </c>
      <c r="P774" t="str">
        <f>_xlfn.XLOOKUP(Table1[[#This Row],[Customer ID]],Data_customers!$A$2:$A$1001,Data_customers!$I$2:$I$1001,,0)</f>
        <v>No</v>
      </c>
    </row>
    <row r="775" spans="1:16" x14ac:dyDescent="0.2">
      <c r="A775" s="2" t="s">
        <v>4858</v>
      </c>
      <c r="B775" s="3">
        <v>44488</v>
      </c>
      <c r="C775" s="2" t="s">
        <v>4859</v>
      </c>
      <c r="D775" t="s">
        <v>6159</v>
      </c>
      <c r="E775" s="2">
        <v>2</v>
      </c>
      <c r="F775" s="2" t="str">
        <f>_xlfn.XLOOKUP(Data_orders!C775,Data_customers!$A$1:$A$1001,Data_customers!$B$1:$B$1001,,0)</f>
        <v>Alva Filipczak</v>
      </c>
      <c r="G775" s="2" t="str">
        <f>IF(_xlfn.XLOOKUP(C775,Data_customers!$A$1:$A$1001,Data_customers!$C$1:$C$1001,,0)=0,"",_xlfn.XLOOKUP(C775,Data_customers!$A$1:$A$1001,Data_customers!$C$1:$C$1001,,0))</f>
        <v>afilipczaklh@ning.com</v>
      </c>
      <c r="H775" s="2" t="str">
        <f>_xlfn.XLOOKUP(C775,Data_customers!$A$1:$A$1001,Data_customers!$G$1:$G$1001,"",0)</f>
        <v>Ireland</v>
      </c>
      <c r="I775" t="str">
        <f>INDEX(Data_products!$A$1:$G$49, MATCH(Data_orders!$D775,Data_products!$A$1:$A$49,0), MATCH(Data_orders!I$1,Data_products!$A$1:$G$1,0))</f>
        <v>Lib</v>
      </c>
      <c r="J775" t="str">
        <f>INDEX(Data_products!$A$1:$G$49, MATCH(Data_orders!$D775,Data_products!$A$1:$A$49,0), MATCH(Data_orders!J$1,Data_products!$A$1:$G$1,0))</f>
        <v>M</v>
      </c>
      <c r="K775" s="4">
        <f>INDEX(Data_products!$A$1:$G$49, MATCH(Data_orders!$D775,Data_products!$A$1:$A$49,0), MATCH(Data_orders!K$1,Data_products!$A$1:$G$1,0))</f>
        <v>0.2</v>
      </c>
      <c r="L775">
        <f>INDEX(Data_products!$A$1:$G$49, MATCH(Data_orders!$D775,Data_products!$A$1:$A$49,0), MATCH(Data_orders!L$1,Data_products!$A$1:$G$1,0))</f>
        <v>4.3650000000000002</v>
      </c>
      <c r="M775">
        <f t="shared" si="24"/>
        <v>8.73</v>
      </c>
      <c r="N775" t="str" cm="1">
        <f t="array" ref="N775">_xlfn.IFS(I775 = "Rob", "Robusta", I775 = "Exc", "Excelsa", I775 = "Ara", "Arabica", I775 = "Lib", "Liberica")</f>
        <v>Liberica</v>
      </c>
      <c r="O775" t="str">
        <f t="shared" si="25"/>
        <v>Medium</v>
      </c>
      <c r="P775" t="str">
        <f>_xlfn.XLOOKUP(Table1[[#This Row],[Customer ID]],Data_customers!$A$2:$A$1001,Data_customers!$I$2:$I$1001,,0)</f>
        <v>No</v>
      </c>
    </row>
    <row r="776" spans="1:16" x14ac:dyDescent="0.2">
      <c r="A776" s="2" t="s">
        <v>4864</v>
      </c>
      <c r="B776" s="3">
        <v>44756</v>
      </c>
      <c r="C776" s="2" t="s">
        <v>4865</v>
      </c>
      <c r="D776" t="s">
        <v>6138</v>
      </c>
      <c r="E776" s="2">
        <v>2</v>
      </c>
      <c r="F776" s="2" t="str">
        <f>_xlfn.XLOOKUP(Data_orders!C776,Data_customers!$A$1:$A$1001,Data_customers!$B$1:$B$1001,,0)</f>
        <v>Dorette Hinemoor</v>
      </c>
      <c r="G776" s="2" t="str">
        <f>IF(_xlfn.XLOOKUP(C776,Data_customers!$A$1:$A$1001,Data_customers!$C$1:$C$1001,,0)=0,"",_xlfn.XLOOKUP(C776,Data_customers!$A$1:$A$1001,Data_customers!$C$1:$C$1001,,0))</f>
        <v/>
      </c>
      <c r="H776" s="2" t="str">
        <f>_xlfn.XLOOKUP(C776,Data_customers!$A$1:$A$1001,Data_customers!$G$1:$G$1001,"",0)</f>
        <v>United States</v>
      </c>
      <c r="I776" t="str">
        <f>INDEX(Data_products!$A$1:$G$49, MATCH(Data_orders!$D776,Data_products!$A$1:$A$49,0), MATCH(Data_orders!I$1,Data_products!$A$1:$G$1,0))</f>
        <v>Rob</v>
      </c>
      <c r="J776" t="str">
        <f>INDEX(Data_products!$A$1:$G$49, MATCH(Data_orders!$D776,Data_products!$A$1:$A$49,0), MATCH(Data_orders!J$1,Data_products!$A$1:$G$1,0))</f>
        <v>M</v>
      </c>
      <c r="K776" s="4">
        <f>INDEX(Data_products!$A$1:$G$49, MATCH(Data_orders!$D776,Data_products!$A$1:$A$49,0), MATCH(Data_orders!K$1,Data_products!$A$1:$G$1,0))</f>
        <v>1</v>
      </c>
      <c r="L776">
        <f>INDEX(Data_products!$A$1:$G$49, MATCH(Data_orders!$D776,Data_products!$A$1:$A$49,0), MATCH(Data_orders!L$1,Data_products!$A$1:$G$1,0))</f>
        <v>9.9499999999999993</v>
      </c>
      <c r="M776">
        <f t="shared" si="24"/>
        <v>19.899999999999999</v>
      </c>
      <c r="N776" t="str" cm="1">
        <f t="array" ref="N776">_xlfn.IFS(I776 = "Rob", "Robusta", I776 = "Exc", "Excelsa", I776 = "Ara", "Arabica", I776 = "Lib", "Liberica")</f>
        <v>Robusta</v>
      </c>
      <c r="O776" t="str">
        <f t="shared" si="25"/>
        <v>Medium</v>
      </c>
      <c r="P776" t="str">
        <f>_xlfn.XLOOKUP(Table1[[#This Row],[Customer ID]],Data_customers!$A$2:$A$1001,Data_customers!$I$2:$I$1001,,0)</f>
        <v>Yes</v>
      </c>
    </row>
    <row r="777" spans="1:16" x14ac:dyDescent="0.2">
      <c r="A777" s="2" t="s">
        <v>4869</v>
      </c>
      <c r="B777" s="3">
        <v>44396</v>
      </c>
      <c r="C777" s="2" t="s">
        <v>4870</v>
      </c>
      <c r="D777" t="s">
        <v>6176</v>
      </c>
      <c r="E777" s="2">
        <v>2</v>
      </c>
      <c r="F777" s="2" t="str">
        <f>_xlfn.XLOOKUP(Data_orders!C777,Data_customers!$A$1:$A$1001,Data_customers!$B$1:$B$1001,,0)</f>
        <v>Rhetta Elnaugh</v>
      </c>
      <c r="G777" s="2" t="str">
        <f>IF(_xlfn.XLOOKUP(C777,Data_customers!$A$1:$A$1001,Data_customers!$C$1:$C$1001,,0)=0,"",_xlfn.XLOOKUP(C777,Data_customers!$A$1:$A$1001,Data_customers!$C$1:$C$1001,,0))</f>
        <v>relnaughlj@comsenz.com</v>
      </c>
      <c r="H777" s="2" t="str">
        <f>_xlfn.XLOOKUP(C777,Data_customers!$A$1:$A$1001,Data_customers!$G$1:$G$1001,"",0)</f>
        <v>United States</v>
      </c>
      <c r="I777" t="str">
        <f>INDEX(Data_products!$A$1:$G$49, MATCH(Data_orders!$D777,Data_products!$A$1:$A$49,0), MATCH(Data_orders!I$1,Data_products!$A$1:$G$1,0))</f>
        <v>Exc</v>
      </c>
      <c r="J777" t="str">
        <f>INDEX(Data_products!$A$1:$G$49, MATCH(Data_orders!$D777,Data_products!$A$1:$A$49,0), MATCH(Data_orders!J$1,Data_products!$A$1:$G$1,0))</f>
        <v>L</v>
      </c>
      <c r="K777" s="4">
        <f>INDEX(Data_products!$A$1:$G$49, MATCH(Data_orders!$D777,Data_products!$A$1:$A$49,0), MATCH(Data_orders!K$1,Data_products!$A$1:$G$1,0))</f>
        <v>0.5</v>
      </c>
      <c r="L777">
        <f>INDEX(Data_products!$A$1:$G$49, MATCH(Data_orders!$D777,Data_products!$A$1:$A$49,0), MATCH(Data_orders!L$1,Data_products!$A$1:$G$1,0))</f>
        <v>8.91</v>
      </c>
      <c r="M777">
        <f t="shared" si="24"/>
        <v>17.82</v>
      </c>
      <c r="N777" t="str" cm="1">
        <f t="array" ref="N777">_xlfn.IFS(I777 = "Rob", "Robusta", I777 = "Exc", "Excelsa", I777 = "Ara", "Arabica", I777 = "Lib", "Liberica")</f>
        <v>Excelsa</v>
      </c>
      <c r="O777" t="str">
        <f t="shared" si="25"/>
        <v>Light</v>
      </c>
      <c r="P777" t="str">
        <f>_xlfn.XLOOKUP(Table1[[#This Row],[Customer ID]],Data_customers!$A$2:$A$1001,Data_customers!$I$2:$I$1001,,0)</f>
        <v>Yes</v>
      </c>
    </row>
    <row r="778" spans="1:16" x14ac:dyDescent="0.2">
      <c r="A778" s="2" t="s">
        <v>4875</v>
      </c>
      <c r="B778" s="3">
        <v>44540</v>
      </c>
      <c r="C778" s="2" t="s">
        <v>4876</v>
      </c>
      <c r="D778" t="s">
        <v>6157</v>
      </c>
      <c r="E778" s="2">
        <v>3</v>
      </c>
      <c r="F778" s="2" t="str">
        <f>_xlfn.XLOOKUP(Data_orders!C778,Data_customers!$A$1:$A$1001,Data_customers!$B$1:$B$1001,,0)</f>
        <v>Jule Deehan</v>
      </c>
      <c r="G778" s="2" t="str">
        <f>IF(_xlfn.XLOOKUP(C778,Data_customers!$A$1:$A$1001,Data_customers!$C$1:$C$1001,,0)=0,"",_xlfn.XLOOKUP(C778,Data_customers!$A$1:$A$1001,Data_customers!$C$1:$C$1001,,0))</f>
        <v>jdeehanlk@about.me</v>
      </c>
      <c r="H778" s="2" t="str">
        <f>_xlfn.XLOOKUP(C778,Data_customers!$A$1:$A$1001,Data_customers!$G$1:$G$1001,"",0)</f>
        <v>United States</v>
      </c>
      <c r="I778" t="str">
        <f>INDEX(Data_products!$A$1:$G$49, MATCH(Data_orders!$D778,Data_products!$A$1:$A$49,0), MATCH(Data_orders!I$1,Data_products!$A$1:$G$1,0))</f>
        <v>Ara</v>
      </c>
      <c r="J778" t="str">
        <f>INDEX(Data_products!$A$1:$G$49, MATCH(Data_orders!$D778,Data_products!$A$1:$A$49,0), MATCH(Data_orders!J$1,Data_products!$A$1:$G$1,0))</f>
        <v>M</v>
      </c>
      <c r="K778" s="4">
        <f>INDEX(Data_products!$A$1:$G$49, MATCH(Data_orders!$D778,Data_products!$A$1:$A$49,0), MATCH(Data_orders!K$1,Data_products!$A$1:$G$1,0))</f>
        <v>0.5</v>
      </c>
      <c r="L778">
        <f>INDEX(Data_products!$A$1:$G$49, MATCH(Data_orders!$D778,Data_products!$A$1:$A$49,0), MATCH(Data_orders!L$1,Data_products!$A$1:$G$1,0))</f>
        <v>6.75</v>
      </c>
      <c r="M778">
        <f t="shared" si="24"/>
        <v>20.25</v>
      </c>
      <c r="N778" t="str" cm="1">
        <f t="array" ref="N778">_xlfn.IFS(I778 = "Rob", "Robusta", I778 = "Exc", "Excelsa", I778 = "Ara", "Arabica", I778 = "Lib", "Liberica")</f>
        <v>Arabica</v>
      </c>
      <c r="O778" t="str">
        <f t="shared" si="25"/>
        <v>Medium</v>
      </c>
      <c r="P778" t="str">
        <f>_xlfn.XLOOKUP(Table1[[#This Row],[Customer ID]],Data_customers!$A$2:$A$1001,Data_customers!$I$2:$I$1001,,0)</f>
        <v>No</v>
      </c>
    </row>
    <row r="779" spans="1:16" x14ac:dyDescent="0.2">
      <c r="A779" s="2" t="s">
        <v>4881</v>
      </c>
      <c r="B779" s="3">
        <v>43541</v>
      </c>
      <c r="C779" s="2" t="s">
        <v>4882</v>
      </c>
      <c r="D779" t="s">
        <v>6182</v>
      </c>
      <c r="E779" s="2">
        <v>2</v>
      </c>
      <c r="F779" s="2" t="str">
        <f>_xlfn.XLOOKUP(Data_orders!C779,Data_customers!$A$1:$A$1001,Data_customers!$B$1:$B$1001,,0)</f>
        <v>Janella Eden</v>
      </c>
      <c r="G779" s="2" t="str">
        <f>IF(_xlfn.XLOOKUP(C779,Data_customers!$A$1:$A$1001,Data_customers!$C$1:$C$1001,,0)=0,"",_xlfn.XLOOKUP(C779,Data_customers!$A$1:$A$1001,Data_customers!$C$1:$C$1001,,0))</f>
        <v>jedenll@e-recht24.de</v>
      </c>
      <c r="H779" s="2" t="str">
        <f>_xlfn.XLOOKUP(C779,Data_customers!$A$1:$A$1001,Data_customers!$G$1:$G$1001,"",0)</f>
        <v>United States</v>
      </c>
      <c r="I779" t="str">
        <f>INDEX(Data_products!$A$1:$G$49, MATCH(Data_orders!$D779,Data_products!$A$1:$A$49,0), MATCH(Data_orders!I$1,Data_products!$A$1:$G$1,0))</f>
        <v>Ara</v>
      </c>
      <c r="J779" t="str">
        <f>INDEX(Data_products!$A$1:$G$49, MATCH(Data_orders!$D779,Data_products!$A$1:$A$49,0), MATCH(Data_orders!J$1,Data_products!$A$1:$G$1,0))</f>
        <v>L</v>
      </c>
      <c r="K779" s="4">
        <f>INDEX(Data_products!$A$1:$G$49, MATCH(Data_orders!$D779,Data_products!$A$1:$A$49,0), MATCH(Data_orders!K$1,Data_products!$A$1:$G$1,0))</f>
        <v>2.5</v>
      </c>
      <c r="L779">
        <f>INDEX(Data_products!$A$1:$G$49, MATCH(Data_orders!$D779,Data_products!$A$1:$A$49,0), MATCH(Data_orders!L$1,Data_products!$A$1:$G$1,0))</f>
        <v>29.784999999999997</v>
      </c>
      <c r="M779">
        <f t="shared" si="24"/>
        <v>59.569999999999993</v>
      </c>
      <c r="N779" t="str" cm="1">
        <f t="array" ref="N779">_xlfn.IFS(I779 = "Rob", "Robusta", I779 = "Exc", "Excelsa", I779 = "Ara", "Arabica", I779 = "Lib", "Liberica")</f>
        <v>Arabica</v>
      </c>
      <c r="O779" t="str">
        <f t="shared" si="25"/>
        <v>Light</v>
      </c>
      <c r="P779" t="str">
        <f>_xlfn.XLOOKUP(Table1[[#This Row],[Customer ID]],Data_customers!$A$2:$A$1001,Data_customers!$I$2:$I$1001,,0)</f>
        <v>No</v>
      </c>
    </row>
    <row r="780" spans="1:16" x14ac:dyDescent="0.2">
      <c r="A780" s="2" t="s">
        <v>4886</v>
      </c>
      <c r="B780" s="3">
        <v>43889</v>
      </c>
      <c r="C780" s="2" t="s">
        <v>4933</v>
      </c>
      <c r="D780" t="s">
        <v>6161</v>
      </c>
      <c r="E780" s="2">
        <v>2</v>
      </c>
      <c r="F780" s="2" t="str">
        <f>_xlfn.XLOOKUP(Data_orders!C780,Data_customers!$A$1:$A$1001,Data_customers!$B$1:$B$1001,,0)</f>
        <v>Cam Jewster</v>
      </c>
      <c r="G780" s="2" t="str">
        <f>IF(_xlfn.XLOOKUP(C780,Data_customers!$A$1:$A$1001,Data_customers!$C$1:$C$1001,,0)=0,"",_xlfn.XLOOKUP(C780,Data_customers!$A$1:$A$1001,Data_customers!$C$1:$C$1001,,0))</f>
        <v>cjewsterlu@moonfruit.com</v>
      </c>
      <c r="H780" s="2" t="str">
        <f>_xlfn.XLOOKUP(C780,Data_customers!$A$1:$A$1001,Data_customers!$G$1:$G$1001,"",0)</f>
        <v>United States</v>
      </c>
      <c r="I780" t="str">
        <f>INDEX(Data_products!$A$1:$G$49, MATCH(Data_orders!$D780,Data_products!$A$1:$A$49,0), MATCH(Data_orders!I$1,Data_products!$A$1:$G$1,0))</f>
        <v>Lib</v>
      </c>
      <c r="J780" t="str">
        <f>INDEX(Data_products!$A$1:$G$49, MATCH(Data_orders!$D780,Data_products!$A$1:$A$49,0), MATCH(Data_orders!J$1,Data_products!$A$1:$G$1,0))</f>
        <v>L</v>
      </c>
      <c r="K780" s="4">
        <f>INDEX(Data_products!$A$1:$G$49, MATCH(Data_orders!$D780,Data_products!$A$1:$A$49,0), MATCH(Data_orders!K$1,Data_products!$A$1:$G$1,0))</f>
        <v>0.5</v>
      </c>
      <c r="L780">
        <f>INDEX(Data_products!$A$1:$G$49, MATCH(Data_orders!$D780,Data_products!$A$1:$A$49,0), MATCH(Data_orders!L$1,Data_products!$A$1:$G$1,0))</f>
        <v>9.51</v>
      </c>
      <c r="M780">
        <f t="shared" si="24"/>
        <v>19.02</v>
      </c>
      <c r="N780" t="str" cm="1">
        <f t="array" ref="N780">_xlfn.IFS(I780 = "Rob", "Robusta", I780 = "Exc", "Excelsa", I780 = "Ara", "Arabica", I780 = "Lib", "Liberica")</f>
        <v>Liberica</v>
      </c>
      <c r="O780" t="str">
        <f t="shared" si="25"/>
        <v>Light</v>
      </c>
      <c r="P780" t="str">
        <f>_xlfn.XLOOKUP(Table1[[#This Row],[Customer ID]],Data_customers!$A$2:$A$1001,Data_customers!$I$2:$I$1001,,0)</f>
        <v>Yes</v>
      </c>
    </row>
    <row r="781" spans="1:16" x14ac:dyDescent="0.2">
      <c r="A781" s="2" t="s">
        <v>4892</v>
      </c>
      <c r="B781" s="3">
        <v>43985</v>
      </c>
      <c r="C781" s="2" t="s">
        <v>4893</v>
      </c>
      <c r="D781" t="s">
        <v>6143</v>
      </c>
      <c r="E781" s="2">
        <v>6</v>
      </c>
      <c r="F781" s="2" t="str">
        <f>_xlfn.XLOOKUP(Data_orders!C781,Data_customers!$A$1:$A$1001,Data_customers!$B$1:$B$1001,,0)</f>
        <v>Ugo Southerden</v>
      </c>
      <c r="G781" s="2" t="str">
        <f>IF(_xlfn.XLOOKUP(C781,Data_customers!$A$1:$A$1001,Data_customers!$C$1:$C$1001,,0)=0,"",_xlfn.XLOOKUP(C781,Data_customers!$A$1:$A$1001,Data_customers!$C$1:$C$1001,,0))</f>
        <v>usoutherdenln@hao123.com</v>
      </c>
      <c r="H781" s="2" t="str">
        <f>_xlfn.XLOOKUP(C781,Data_customers!$A$1:$A$1001,Data_customers!$G$1:$G$1001,"",0)</f>
        <v>United States</v>
      </c>
      <c r="I781" t="str">
        <f>INDEX(Data_products!$A$1:$G$49, MATCH(Data_orders!$D781,Data_products!$A$1:$A$49,0), MATCH(Data_orders!I$1,Data_products!$A$1:$G$1,0))</f>
        <v>Lib</v>
      </c>
      <c r="J781" t="str">
        <f>INDEX(Data_products!$A$1:$G$49, MATCH(Data_orders!$D781,Data_products!$A$1:$A$49,0), MATCH(Data_orders!J$1,Data_products!$A$1:$G$1,0))</f>
        <v>D</v>
      </c>
      <c r="K781" s="4">
        <f>INDEX(Data_products!$A$1:$G$49, MATCH(Data_orders!$D781,Data_products!$A$1:$A$49,0), MATCH(Data_orders!K$1,Data_products!$A$1:$G$1,0))</f>
        <v>1</v>
      </c>
      <c r="L781">
        <f>INDEX(Data_products!$A$1:$G$49, MATCH(Data_orders!$D781,Data_products!$A$1:$A$49,0), MATCH(Data_orders!L$1,Data_products!$A$1:$G$1,0))</f>
        <v>12.95</v>
      </c>
      <c r="M781">
        <f t="shared" si="24"/>
        <v>77.699999999999989</v>
      </c>
      <c r="N781" t="str" cm="1">
        <f t="array" ref="N781">_xlfn.IFS(I781 = "Rob", "Robusta", I781 = "Exc", "Excelsa", I781 = "Ara", "Arabica", I781 = "Lib", "Liberica")</f>
        <v>Liberica</v>
      </c>
      <c r="O781" t="str">
        <f t="shared" si="25"/>
        <v>Dark</v>
      </c>
      <c r="P781" t="str">
        <f>_xlfn.XLOOKUP(Table1[[#This Row],[Customer ID]],Data_customers!$A$2:$A$1001,Data_customers!$I$2:$I$1001,,0)</f>
        <v>Yes</v>
      </c>
    </row>
    <row r="782" spans="1:16" x14ac:dyDescent="0.2">
      <c r="A782" s="2" t="s">
        <v>4898</v>
      </c>
      <c r="B782" s="3">
        <v>43883</v>
      </c>
      <c r="C782" s="2" t="s">
        <v>4899</v>
      </c>
      <c r="D782" t="s">
        <v>6141</v>
      </c>
      <c r="E782" s="2">
        <v>3</v>
      </c>
      <c r="F782" s="2" t="str">
        <f>_xlfn.XLOOKUP(Data_orders!C782,Data_customers!$A$1:$A$1001,Data_customers!$B$1:$B$1001,,0)</f>
        <v>Verne Dunkerley</v>
      </c>
      <c r="G782" s="2" t="str">
        <f>IF(_xlfn.XLOOKUP(C782,Data_customers!$A$1:$A$1001,Data_customers!$C$1:$C$1001,,0)=0,"",_xlfn.XLOOKUP(C782,Data_customers!$A$1:$A$1001,Data_customers!$C$1:$C$1001,,0))</f>
        <v/>
      </c>
      <c r="H782" s="2" t="str">
        <f>_xlfn.XLOOKUP(C782,Data_customers!$A$1:$A$1001,Data_customers!$G$1:$G$1001,"",0)</f>
        <v>United States</v>
      </c>
      <c r="I782" t="str">
        <f>INDEX(Data_products!$A$1:$G$49, MATCH(Data_orders!$D782,Data_products!$A$1:$A$49,0), MATCH(Data_orders!I$1,Data_products!$A$1:$G$1,0))</f>
        <v>Exc</v>
      </c>
      <c r="J782" t="str">
        <f>INDEX(Data_products!$A$1:$G$49, MATCH(Data_orders!$D782,Data_products!$A$1:$A$49,0), MATCH(Data_orders!J$1,Data_products!$A$1:$G$1,0))</f>
        <v>M</v>
      </c>
      <c r="K782" s="4">
        <f>INDEX(Data_products!$A$1:$G$49, MATCH(Data_orders!$D782,Data_products!$A$1:$A$49,0), MATCH(Data_orders!K$1,Data_products!$A$1:$G$1,0))</f>
        <v>1</v>
      </c>
      <c r="L782">
        <f>INDEX(Data_products!$A$1:$G$49, MATCH(Data_orders!$D782,Data_products!$A$1:$A$49,0), MATCH(Data_orders!L$1,Data_products!$A$1:$G$1,0))</f>
        <v>13.75</v>
      </c>
      <c r="M782">
        <f t="shared" si="24"/>
        <v>41.25</v>
      </c>
      <c r="N782" t="str" cm="1">
        <f t="array" ref="N782">_xlfn.IFS(I782 = "Rob", "Robusta", I782 = "Exc", "Excelsa", I782 = "Ara", "Arabica", I782 = "Lib", "Liberica")</f>
        <v>Excelsa</v>
      </c>
      <c r="O782" t="str">
        <f t="shared" si="25"/>
        <v>Medium</v>
      </c>
      <c r="P782" t="str">
        <f>_xlfn.XLOOKUP(Table1[[#This Row],[Customer ID]],Data_customers!$A$2:$A$1001,Data_customers!$I$2:$I$1001,,0)</f>
        <v>No</v>
      </c>
    </row>
    <row r="783" spans="1:16" x14ac:dyDescent="0.2">
      <c r="A783" s="2" t="s">
        <v>4903</v>
      </c>
      <c r="B783" s="3">
        <v>43778</v>
      </c>
      <c r="C783" s="2" t="s">
        <v>4904</v>
      </c>
      <c r="D783" t="s">
        <v>6164</v>
      </c>
      <c r="E783" s="2">
        <v>4</v>
      </c>
      <c r="F783" s="2" t="str">
        <f>_xlfn.XLOOKUP(Data_orders!C783,Data_customers!$A$1:$A$1001,Data_customers!$B$1:$B$1001,,0)</f>
        <v>Lacee Burtenshaw</v>
      </c>
      <c r="G783" s="2" t="str">
        <f>IF(_xlfn.XLOOKUP(C783,Data_customers!$A$1:$A$1001,Data_customers!$C$1:$C$1001,,0)=0,"",_xlfn.XLOOKUP(C783,Data_customers!$A$1:$A$1001,Data_customers!$C$1:$C$1001,,0))</f>
        <v>lburtenshawlp@shinystat.com</v>
      </c>
      <c r="H783" s="2" t="str">
        <f>_xlfn.XLOOKUP(C783,Data_customers!$A$1:$A$1001,Data_customers!$G$1:$G$1001,"",0)</f>
        <v>United States</v>
      </c>
      <c r="I783" t="str">
        <f>INDEX(Data_products!$A$1:$G$49, MATCH(Data_orders!$D783,Data_products!$A$1:$A$49,0), MATCH(Data_orders!I$1,Data_products!$A$1:$G$1,0))</f>
        <v>Lib</v>
      </c>
      <c r="J783" t="str">
        <f>INDEX(Data_products!$A$1:$G$49, MATCH(Data_orders!$D783,Data_products!$A$1:$A$49,0), MATCH(Data_orders!J$1,Data_products!$A$1:$G$1,0))</f>
        <v>L</v>
      </c>
      <c r="K783" s="4">
        <f>INDEX(Data_products!$A$1:$G$49, MATCH(Data_orders!$D783,Data_products!$A$1:$A$49,0), MATCH(Data_orders!K$1,Data_products!$A$1:$G$1,0))</f>
        <v>2.5</v>
      </c>
      <c r="L783">
        <f>INDEX(Data_products!$A$1:$G$49, MATCH(Data_orders!$D783,Data_products!$A$1:$A$49,0), MATCH(Data_orders!L$1,Data_products!$A$1:$G$1,0))</f>
        <v>36.454999999999998</v>
      </c>
      <c r="M783">
        <f t="shared" si="24"/>
        <v>145.82</v>
      </c>
      <c r="N783" t="str" cm="1">
        <f t="array" ref="N783">_xlfn.IFS(I783 = "Rob", "Robusta", I783 = "Exc", "Excelsa", I783 = "Ara", "Arabica", I783 = "Lib", "Liberica")</f>
        <v>Liberica</v>
      </c>
      <c r="O783" t="str">
        <f t="shared" si="25"/>
        <v>Light</v>
      </c>
      <c r="P783" t="str">
        <f>_xlfn.XLOOKUP(Table1[[#This Row],[Customer ID]],Data_customers!$A$2:$A$1001,Data_customers!$I$2:$I$1001,,0)</f>
        <v>No</v>
      </c>
    </row>
    <row r="784" spans="1:16" x14ac:dyDescent="0.2">
      <c r="A784" s="2" t="s">
        <v>4909</v>
      </c>
      <c r="B784" s="3">
        <v>43897</v>
      </c>
      <c r="C784" s="2" t="s">
        <v>4910</v>
      </c>
      <c r="D784" t="s">
        <v>6184</v>
      </c>
      <c r="E784" s="2">
        <v>6</v>
      </c>
      <c r="F784" s="2" t="str">
        <f>_xlfn.XLOOKUP(Data_orders!C784,Data_customers!$A$1:$A$1001,Data_customers!$B$1:$B$1001,,0)</f>
        <v>Adorne Gregoratti</v>
      </c>
      <c r="G784" s="2" t="str">
        <f>IF(_xlfn.XLOOKUP(C784,Data_customers!$A$1:$A$1001,Data_customers!$C$1:$C$1001,,0)=0,"",_xlfn.XLOOKUP(C784,Data_customers!$A$1:$A$1001,Data_customers!$C$1:$C$1001,,0))</f>
        <v>agregorattilq@vistaprint.com</v>
      </c>
      <c r="H784" s="2" t="str">
        <f>_xlfn.XLOOKUP(C784,Data_customers!$A$1:$A$1001,Data_customers!$G$1:$G$1001,"",0)</f>
        <v>Ireland</v>
      </c>
      <c r="I784" t="str">
        <f>INDEX(Data_products!$A$1:$G$49, MATCH(Data_orders!$D784,Data_products!$A$1:$A$49,0), MATCH(Data_orders!I$1,Data_products!$A$1:$G$1,0))</f>
        <v>Exc</v>
      </c>
      <c r="J784" t="str">
        <f>INDEX(Data_products!$A$1:$G$49, MATCH(Data_orders!$D784,Data_products!$A$1:$A$49,0), MATCH(Data_orders!J$1,Data_products!$A$1:$G$1,0))</f>
        <v>L</v>
      </c>
      <c r="K784" s="4">
        <f>INDEX(Data_products!$A$1:$G$49, MATCH(Data_orders!$D784,Data_products!$A$1:$A$49,0), MATCH(Data_orders!K$1,Data_products!$A$1:$G$1,0))</f>
        <v>0.2</v>
      </c>
      <c r="L784">
        <f>INDEX(Data_products!$A$1:$G$49, MATCH(Data_orders!$D784,Data_products!$A$1:$A$49,0), MATCH(Data_orders!L$1,Data_products!$A$1:$G$1,0))</f>
        <v>4.4550000000000001</v>
      </c>
      <c r="M784">
        <f t="shared" si="24"/>
        <v>26.73</v>
      </c>
      <c r="N784" t="str" cm="1">
        <f t="array" ref="N784">_xlfn.IFS(I784 = "Rob", "Robusta", I784 = "Exc", "Excelsa", I784 = "Ara", "Arabica", I784 = "Lib", "Liberica")</f>
        <v>Excelsa</v>
      </c>
      <c r="O784" t="str">
        <f t="shared" si="25"/>
        <v>Light</v>
      </c>
      <c r="P784" t="str">
        <f>_xlfn.XLOOKUP(Table1[[#This Row],[Customer ID]],Data_customers!$A$2:$A$1001,Data_customers!$I$2:$I$1001,,0)</f>
        <v>No</v>
      </c>
    </row>
    <row r="785" spans="1:16" x14ac:dyDescent="0.2">
      <c r="A785" s="2" t="s">
        <v>4915</v>
      </c>
      <c r="B785" s="3">
        <v>44312</v>
      </c>
      <c r="C785" s="2" t="s">
        <v>4916</v>
      </c>
      <c r="D785" t="s">
        <v>6160</v>
      </c>
      <c r="E785" s="2">
        <v>5</v>
      </c>
      <c r="F785" s="2" t="str">
        <f>_xlfn.XLOOKUP(Data_orders!C785,Data_customers!$A$1:$A$1001,Data_customers!$B$1:$B$1001,,0)</f>
        <v>Chris Croster</v>
      </c>
      <c r="G785" s="2" t="str">
        <f>IF(_xlfn.XLOOKUP(C785,Data_customers!$A$1:$A$1001,Data_customers!$C$1:$C$1001,,0)=0,"",_xlfn.XLOOKUP(C785,Data_customers!$A$1:$A$1001,Data_customers!$C$1:$C$1001,,0))</f>
        <v>ccrosterlr@gov.uk</v>
      </c>
      <c r="H785" s="2" t="str">
        <f>_xlfn.XLOOKUP(C785,Data_customers!$A$1:$A$1001,Data_customers!$G$1:$G$1001,"",0)</f>
        <v>United States</v>
      </c>
      <c r="I785" t="str">
        <f>INDEX(Data_products!$A$1:$G$49, MATCH(Data_orders!$D785,Data_products!$A$1:$A$49,0), MATCH(Data_orders!I$1,Data_products!$A$1:$G$1,0))</f>
        <v>Lib</v>
      </c>
      <c r="J785" t="str">
        <f>INDEX(Data_products!$A$1:$G$49, MATCH(Data_orders!$D785,Data_products!$A$1:$A$49,0), MATCH(Data_orders!J$1,Data_products!$A$1:$G$1,0))</f>
        <v>M</v>
      </c>
      <c r="K785" s="4">
        <f>INDEX(Data_products!$A$1:$G$49, MATCH(Data_orders!$D785,Data_products!$A$1:$A$49,0), MATCH(Data_orders!K$1,Data_products!$A$1:$G$1,0))</f>
        <v>0.5</v>
      </c>
      <c r="L785">
        <f>INDEX(Data_products!$A$1:$G$49, MATCH(Data_orders!$D785,Data_products!$A$1:$A$49,0), MATCH(Data_orders!L$1,Data_products!$A$1:$G$1,0))</f>
        <v>8.73</v>
      </c>
      <c r="M785">
        <f t="shared" si="24"/>
        <v>43.650000000000006</v>
      </c>
      <c r="N785" t="str" cm="1">
        <f t="array" ref="N785">_xlfn.IFS(I785 = "Rob", "Robusta", I785 = "Exc", "Excelsa", I785 = "Ara", "Arabica", I785 = "Lib", "Liberica")</f>
        <v>Liberica</v>
      </c>
      <c r="O785" t="str">
        <f t="shared" si="25"/>
        <v>Medium</v>
      </c>
      <c r="P785" t="str">
        <f>_xlfn.XLOOKUP(Table1[[#This Row],[Customer ID]],Data_customers!$A$2:$A$1001,Data_customers!$I$2:$I$1001,,0)</f>
        <v>Yes</v>
      </c>
    </row>
    <row r="786" spans="1:16" x14ac:dyDescent="0.2">
      <c r="A786" s="2" t="s">
        <v>4921</v>
      </c>
      <c r="B786" s="3">
        <v>44511</v>
      </c>
      <c r="C786" s="2" t="s">
        <v>4922</v>
      </c>
      <c r="D786" t="s">
        <v>6170</v>
      </c>
      <c r="E786" s="2">
        <v>2</v>
      </c>
      <c r="F786" s="2" t="str">
        <f>_xlfn.XLOOKUP(Data_orders!C786,Data_customers!$A$1:$A$1001,Data_customers!$B$1:$B$1001,,0)</f>
        <v>Graeme Whitehead</v>
      </c>
      <c r="G786" s="2" t="str">
        <f>IF(_xlfn.XLOOKUP(C786,Data_customers!$A$1:$A$1001,Data_customers!$C$1:$C$1001,,0)=0,"",_xlfn.XLOOKUP(C786,Data_customers!$A$1:$A$1001,Data_customers!$C$1:$C$1001,,0))</f>
        <v>gwhiteheadls@hp.com</v>
      </c>
      <c r="H786" s="2" t="str">
        <f>_xlfn.XLOOKUP(C786,Data_customers!$A$1:$A$1001,Data_customers!$G$1:$G$1001,"",0)</f>
        <v>United States</v>
      </c>
      <c r="I786" t="str">
        <f>INDEX(Data_products!$A$1:$G$49, MATCH(Data_orders!$D786,Data_products!$A$1:$A$49,0), MATCH(Data_orders!I$1,Data_products!$A$1:$G$1,0))</f>
        <v>Lib</v>
      </c>
      <c r="J786" t="str">
        <f>INDEX(Data_products!$A$1:$G$49, MATCH(Data_orders!$D786,Data_products!$A$1:$A$49,0), MATCH(Data_orders!J$1,Data_products!$A$1:$G$1,0))</f>
        <v>L</v>
      </c>
      <c r="K786" s="4">
        <f>INDEX(Data_products!$A$1:$G$49, MATCH(Data_orders!$D786,Data_products!$A$1:$A$49,0), MATCH(Data_orders!K$1,Data_products!$A$1:$G$1,0))</f>
        <v>1</v>
      </c>
      <c r="L786">
        <f>INDEX(Data_products!$A$1:$G$49, MATCH(Data_orders!$D786,Data_products!$A$1:$A$49,0), MATCH(Data_orders!L$1,Data_products!$A$1:$G$1,0))</f>
        <v>15.85</v>
      </c>
      <c r="M786">
        <f t="shared" si="24"/>
        <v>31.7</v>
      </c>
      <c r="N786" t="str" cm="1">
        <f t="array" ref="N786">_xlfn.IFS(I786 = "Rob", "Robusta", I786 = "Exc", "Excelsa", I786 = "Ara", "Arabica", I786 = "Lib", "Liberica")</f>
        <v>Liberica</v>
      </c>
      <c r="O786" t="str">
        <f t="shared" si="25"/>
        <v>Light</v>
      </c>
      <c r="P786" t="str">
        <f>_xlfn.XLOOKUP(Table1[[#This Row],[Customer ID]],Data_customers!$A$2:$A$1001,Data_customers!$I$2:$I$1001,,0)</f>
        <v>No</v>
      </c>
    </row>
    <row r="787" spans="1:16" x14ac:dyDescent="0.2">
      <c r="A787" s="2" t="s">
        <v>4926</v>
      </c>
      <c r="B787" s="3">
        <v>44362</v>
      </c>
      <c r="C787" s="2" t="s">
        <v>4927</v>
      </c>
      <c r="D787" t="s">
        <v>6168</v>
      </c>
      <c r="E787" s="2">
        <v>1</v>
      </c>
      <c r="F787" s="2" t="str">
        <f>_xlfn.XLOOKUP(Data_orders!C787,Data_customers!$A$1:$A$1001,Data_customers!$B$1:$B$1001,,0)</f>
        <v>Haslett Jodrelle</v>
      </c>
      <c r="G787" s="2" t="str">
        <f>IF(_xlfn.XLOOKUP(C787,Data_customers!$A$1:$A$1001,Data_customers!$C$1:$C$1001,,0)=0,"",_xlfn.XLOOKUP(C787,Data_customers!$A$1:$A$1001,Data_customers!$C$1:$C$1001,,0))</f>
        <v>hjodrellelt@samsung.com</v>
      </c>
      <c r="H787" s="2" t="str">
        <f>_xlfn.XLOOKUP(C787,Data_customers!$A$1:$A$1001,Data_customers!$G$1:$G$1001,"",0)</f>
        <v>United States</v>
      </c>
      <c r="I787" t="str">
        <f>INDEX(Data_products!$A$1:$G$49, MATCH(Data_orders!$D787,Data_products!$A$1:$A$49,0), MATCH(Data_orders!I$1,Data_products!$A$1:$G$1,0))</f>
        <v>Ara</v>
      </c>
      <c r="J787" t="str">
        <f>INDEX(Data_products!$A$1:$G$49, MATCH(Data_orders!$D787,Data_products!$A$1:$A$49,0), MATCH(Data_orders!J$1,Data_products!$A$1:$G$1,0))</f>
        <v>D</v>
      </c>
      <c r="K787" s="4">
        <f>INDEX(Data_products!$A$1:$G$49, MATCH(Data_orders!$D787,Data_products!$A$1:$A$49,0), MATCH(Data_orders!K$1,Data_products!$A$1:$G$1,0))</f>
        <v>2.5</v>
      </c>
      <c r="L787">
        <f>INDEX(Data_products!$A$1:$G$49, MATCH(Data_orders!$D787,Data_products!$A$1:$A$49,0), MATCH(Data_orders!L$1,Data_products!$A$1:$G$1,0))</f>
        <v>22.884999999999998</v>
      </c>
      <c r="M787">
        <f t="shared" si="24"/>
        <v>22.884999999999998</v>
      </c>
      <c r="N787" t="str" cm="1">
        <f t="array" ref="N787">_xlfn.IFS(I787 = "Rob", "Robusta", I787 = "Exc", "Excelsa", I787 = "Ara", "Arabica", I787 = "Lib", "Liberica")</f>
        <v>Arabica</v>
      </c>
      <c r="O787" t="str">
        <f t="shared" si="25"/>
        <v>Dark</v>
      </c>
      <c r="P787" t="str">
        <f>_xlfn.XLOOKUP(Table1[[#This Row],[Customer ID]],Data_customers!$A$2:$A$1001,Data_customers!$I$2:$I$1001,,0)</f>
        <v>No</v>
      </c>
    </row>
    <row r="788" spans="1:16" x14ac:dyDescent="0.2">
      <c r="A788" s="2" t="s">
        <v>4932</v>
      </c>
      <c r="B788" s="3">
        <v>43888</v>
      </c>
      <c r="C788" s="2" t="s">
        <v>4933</v>
      </c>
      <c r="D788" t="s">
        <v>6185</v>
      </c>
      <c r="E788" s="2">
        <v>1</v>
      </c>
      <c r="F788" s="2" t="str">
        <f>_xlfn.XLOOKUP(Data_orders!C788,Data_customers!$A$1:$A$1001,Data_customers!$B$1:$B$1001,,0)</f>
        <v>Cam Jewster</v>
      </c>
      <c r="G788" s="2" t="str">
        <f>IF(_xlfn.XLOOKUP(C788,Data_customers!$A$1:$A$1001,Data_customers!$C$1:$C$1001,,0)=0,"",_xlfn.XLOOKUP(C788,Data_customers!$A$1:$A$1001,Data_customers!$C$1:$C$1001,,0))</f>
        <v>cjewsterlu@moonfruit.com</v>
      </c>
      <c r="H788" s="2" t="str">
        <f>_xlfn.XLOOKUP(C788,Data_customers!$A$1:$A$1001,Data_customers!$G$1:$G$1001,"",0)</f>
        <v>United States</v>
      </c>
      <c r="I788" t="str">
        <f>INDEX(Data_products!$A$1:$G$49, MATCH(Data_orders!$D788,Data_products!$A$1:$A$49,0), MATCH(Data_orders!I$1,Data_products!$A$1:$G$1,0))</f>
        <v>Exc</v>
      </c>
      <c r="J788" t="str">
        <f>INDEX(Data_products!$A$1:$G$49, MATCH(Data_orders!$D788,Data_products!$A$1:$A$49,0), MATCH(Data_orders!J$1,Data_products!$A$1:$G$1,0))</f>
        <v>D</v>
      </c>
      <c r="K788" s="4">
        <f>INDEX(Data_products!$A$1:$G$49, MATCH(Data_orders!$D788,Data_products!$A$1:$A$49,0), MATCH(Data_orders!K$1,Data_products!$A$1:$G$1,0))</f>
        <v>2.5</v>
      </c>
      <c r="L788">
        <f>INDEX(Data_products!$A$1:$G$49, MATCH(Data_orders!$D788,Data_products!$A$1:$A$49,0), MATCH(Data_orders!L$1,Data_products!$A$1:$G$1,0))</f>
        <v>27.945</v>
      </c>
      <c r="M788">
        <f t="shared" si="24"/>
        <v>27.945</v>
      </c>
      <c r="N788" t="str" cm="1">
        <f t="array" ref="N788">_xlfn.IFS(I788 = "Rob", "Robusta", I788 = "Exc", "Excelsa", I788 = "Ara", "Arabica", I788 = "Lib", "Liberica")</f>
        <v>Excelsa</v>
      </c>
      <c r="O788" t="str">
        <f t="shared" si="25"/>
        <v>Dark</v>
      </c>
      <c r="P788" t="str">
        <f>_xlfn.XLOOKUP(Table1[[#This Row],[Customer ID]],Data_customers!$A$2:$A$1001,Data_customers!$I$2:$I$1001,,0)</f>
        <v>Yes</v>
      </c>
    </row>
    <row r="789" spans="1:16" x14ac:dyDescent="0.2">
      <c r="A789" s="2" t="s">
        <v>4938</v>
      </c>
      <c r="B789" s="3">
        <v>44305</v>
      </c>
      <c r="C789" s="2" t="s">
        <v>4939</v>
      </c>
      <c r="D789" t="s">
        <v>6141</v>
      </c>
      <c r="E789" s="2">
        <v>6</v>
      </c>
      <c r="F789" s="2" t="str">
        <f>_xlfn.XLOOKUP(Data_orders!C789,Data_customers!$A$1:$A$1001,Data_customers!$B$1:$B$1001,,0)</f>
        <v>Beryl Osborn</v>
      </c>
      <c r="G789" s="2" t="str">
        <f>IF(_xlfn.XLOOKUP(C789,Data_customers!$A$1:$A$1001,Data_customers!$C$1:$C$1001,,0)=0,"",_xlfn.XLOOKUP(C789,Data_customers!$A$1:$A$1001,Data_customers!$C$1:$C$1001,,0))</f>
        <v/>
      </c>
      <c r="H789" s="2" t="str">
        <f>_xlfn.XLOOKUP(C789,Data_customers!$A$1:$A$1001,Data_customers!$G$1:$G$1001,"",0)</f>
        <v>United States</v>
      </c>
      <c r="I789" t="str">
        <f>INDEX(Data_products!$A$1:$G$49, MATCH(Data_orders!$D789,Data_products!$A$1:$A$49,0), MATCH(Data_orders!I$1,Data_products!$A$1:$G$1,0))</f>
        <v>Exc</v>
      </c>
      <c r="J789" t="str">
        <f>INDEX(Data_products!$A$1:$G$49, MATCH(Data_orders!$D789,Data_products!$A$1:$A$49,0), MATCH(Data_orders!J$1,Data_products!$A$1:$G$1,0))</f>
        <v>M</v>
      </c>
      <c r="K789" s="4">
        <f>INDEX(Data_products!$A$1:$G$49, MATCH(Data_orders!$D789,Data_products!$A$1:$A$49,0), MATCH(Data_orders!K$1,Data_products!$A$1:$G$1,0))</f>
        <v>1</v>
      </c>
      <c r="L789">
        <f>INDEX(Data_products!$A$1:$G$49, MATCH(Data_orders!$D789,Data_products!$A$1:$A$49,0), MATCH(Data_orders!L$1,Data_products!$A$1:$G$1,0))</f>
        <v>13.75</v>
      </c>
      <c r="M789">
        <f t="shared" si="24"/>
        <v>82.5</v>
      </c>
      <c r="N789" t="str" cm="1">
        <f t="array" ref="N789">_xlfn.IFS(I789 = "Rob", "Robusta", I789 = "Exc", "Excelsa", I789 = "Ara", "Arabica", I789 = "Lib", "Liberica")</f>
        <v>Excelsa</v>
      </c>
      <c r="O789" t="str">
        <f t="shared" si="25"/>
        <v>Medium</v>
      </c>
      <c r="P789" t="str">
        <f>_xlfn.XLOOKUP(Table1[[#This Row],[Customer ID]],Data_customers!$A$2:$A$1001,Data_customers!$I$2:$I$1001,,0)</f>
        <v>Yes</v>
      </c>
    </row>
    <row r="790" spans="1:16" x14ac:dyDescent="0.2">
      <c r="A790" s="2" t="s">
        <v>4943</v>
      </c>
      <c r="B790" s="3">
        <v>44771</v>
      </c>
      <c r="C790" s="2" t="s">
        <v>4944</v>
      </c>
      <c r="D790" t="s">
        <v>6151</v>
      </c>
      <c r="E790" s="2">
        <v>2</v>
      </c>
      <c r="F790" s="2" t="str">
        <f>_xlfn.XLOOKUP(Data_orders!C790,Data_customers!$A$1:$A$1001,Data_customers!$B$1:$B$1001,,0)</f>
        <v>Kaela Nottram</v>
      </c>
      <c r="G790" s="2" t="str">
        <f>IF(_xlfn.XLOOKUP(C790,Data_customers!$A$1:$A$1001,Data_customers!$C$1:$C$1001,,0)=0,"",_xlfn.XLOOKUP(C790,Data_customers!$A$1:$A$1001,Data_customers!$C$1:$C$1001,,0))</f>
        <v>knottramlw@odnoklassniki.ru</v>
      </c>
      <c r="H790" s="2" t="str">
        <f>_xlfn.XLOOKUP(C790,Data_customers!$A$1:$A$1001,Data_customers!$G$1:$G$1001,"",0)</f>
        <v>Ireland</v>
      </c>
      <c r="I790" t="str">
        <f>INDEX(Data_products!$A$1:$G$49, MATCH(Data_orders!$D790,Data_products!$A$1:$A$49,0), MATCH(Data_orders!I$1,Data_products!$A$1:$G$1,0))</f>
        <v>Rob</v>
      </c>
      <c r="J790" t="str">
        <f>INDEX(Data_products!$A$1:$G$49, MATCH(Data_orders!$D790,Data_products!$A$1:$A$49,0), MATCH(Data_orders!J$1,Data_products!$A$1:$G$1,0))</f>
        <v>M</v>
      </c>
      <c r="K790" s="4">
        <f>INDEX(Data_products!$A$1:$G$49, MATCH(Data_orders!$D790,Data_products!$A$1:$A$49,0), MATCH(Data_orders!K$1,Data_products!$A$1:$G$1,0))</f>
        <v>2.5</v>
      </c>
      <c r="L790">
        <f>INDEX(Data_products!$A$1:$G$49, MATCH(Data_orders!$D790,Data_products!$A$1:$A$49,0), MATCH(Data_orders!L$1,Data_products!$A$1:$G$1,0))</f>
        <v>22.884999999999998</v>
      </c>
      <c r="M790">
        <f t="shared" si="24"/>
        <v>45.769999999999996</v>
      </c>
      <c r="N790" t="str" cm="1">
        <f t="array" ref="N790">_xlfn.IFS(I790 = "Rob", "Robusta", I790 = "Exc", "Excelsa", I790 = "Ara", "Arabica", I790 = "Lib", "Liberica")</f>
        <v>Robusta</v>
      </c>
      <c r="O790" t="str">
        <f t="shared" si="25"/>
        <v>Medium</v>
      </c>
      <c r="P790" t="str">
        <f>_xlfn.XLOOKUP(Table1[[#This Row],[Customer ID]],Data_customers!$A$2:$A$1001,Data_customers!$I$2:$I$1001,,0)</f>
        <v>Yes</v>
      </c>
    </row>
    <row r="791" spans="1:16" x14ac:dyDescent="0.2">
      <c r="A791" s="2" t="s">
        <v>4949</v>
      </c>
      <c r="B791" s="3">
        <v>43485</v>
      </c>
      <c r="C791" s="2" t="s">
        <v>4950</v>
      </c>
      <c r="D791" t="s">
        <v>6140</v>
      </c>
      <c r="E791" s="2">
        <v>6</v>
      </c>
      <c r="F791" s="2" t="str">
        <f>_xlfn.XLOOKUP(Data_orders!C791,Data_customers!$A$1:$A$1001,Data_customers!$B$1:$B$1001,,0)</f>
        <v>Nobe Buney</v>
      </c>
      <c r="G791" s="2" t="str">
        <f>IF(_xlfn.XLOOKUP(C791,Data_customers!$A$1:$A$1001,Data_customers!$C$1:$C$1001,,0)=0,"",_xlfn.XLOOKUP(C791,Data_customers!$A$1:$A$1001,Data_customers!$C$1:$C$1001,,0))</f>
        <v>nbuneylx@jugem.jp</v>
      </c>
      <c r="H791" s="2" t="str">
        <f>_xlfn.XLOOKUP(C791,Data_customers!$A$1:$A$1001,Data_customers!$G$1:$G$1001,"",0)</f>
        <v>United States</v>
      </c>
      <c r="I791" t="str">
        <f>INDEX(Data_products!$A$1:$G$49, MATCH(Data_orders!$D791,Data_products!$A$1:$A$49,0), MATCH(Data_orders!I$1,Data_products!$A$1:$G$1,0))</f>
        <v>Ara</v>
      </c>
      <c r="J791" t="str">
        <f>INDEX(Data_products!$A$1:$G$49, MATCH(Data_orders!$D791,Data_products!$A$1:$A$49,0), MATCH(Data_orders!J$1,Data_products!$A$1:$G$1,0))</f>
        <v>L</v>
      </c>
      <c r="K791" s="4">
        <f>INDEX(Data_products!$A$1:$G$49, MATCH(Data_orders!$D791,Data_products!$A$1:$A$49,0), MATCH(Data_orders!K$1,Data_products!$A$1:$G$1,0))</f>
        <v>1</v>
      </c>
      <c r="L791">
        <f>INDEX(Data_products!$A$1:$G$49, MATCH(Data_orders!$D791,Data_products!$A$1:$A$49,0), MATCH(Data_orders!L$1,Data_products!$A$1:$G$1,0))</f>
        <v>12.95</v>
      </c>
      <c r="M791">
        <f t="shared" si="24"/>
        <v>77.699999999999989</v>
      </c>
      <c r="N791" t="str" cm="1">
        <f t="array" ref="N791">_xlfn.IFS(I791 = "Rob", "Robusta", I791 = "Exc", "Excelsa", I791 = "Ara", "Arabica", I791 = "Lib", "Liberica")</f>
        <v>Arabica</v>
      </c>
      <c r="O791" t="str">
        <f t="shared" si="25"/>
        <v>Light</v>
      </c>
      <c r="P791" t="str">
        <f>_xlfn.XLOOKUP(Table1[[#This Row],[Customer ID]],Data_customers!$A$2:$A$1001,Data_customers!$I$2:$I$1001,,0)</f>
        <v>No</v>
      </c>
    </row>
    <row r="792" spans="1:16" x14ac:dyDescent="0.2">
      <c r="A792" s="2" t="s">
        <v>4955</v>
      </c>
      <c r="B792" s="3">
        <v>44613</v>
      </c>
      <c r="C792" s="2" t="s">
        <v>4956</v>
      </c>
      <c r="D792" t="s">
        <v>6180</v>
      </c>
      <c r="E792" s="2">
        <v>3</v>
      </c>
      <c r="F792" s="2" t="str">
        <f>_xlfn.XLOOKUP(Data_orders!C792,Data_customers!$A$1:$A$1001,Data_customers!$B$1:$B$1001,,0)</f>
        <v>Silvan McShea</v>
      </c>
      <c r="G792" s="2" t="str">
        <f>IF(_xlfn.XLOOKUP(C792,Data_customers!$A$1:$A$1001,Data_customers!$C$1:$C$1001,,0)=0,"",_xlfn.XLOOKUP(C792,Data_customers!$A$1:$A$1001,Data_customers!$C$1:$C$1001,,0))</f>
        <v>smcshealy@photobucket.com</v>
      </c>
      <c r="H792" s="2" t="str">
        <f>_xlfn.XLOOKUP(C792,Data_customers!$A$1:$A$1001,Data_customers!$G$1:$G$1001,"",0)</f>
        <v>United States</v>
      </c>
      <c r="I792" t="str">
        <f>INDEX(Data_products!$A$1:$G$49, MATCH(Data_orders!$D792,Data_products!$A$1:$A$49,0), MATCH(Data_orders!I$1,Data_products!$A$1:$G$1,0))</f>
        <v>Ara</v>
      </c>
      <c r="J792" t="str">
        <f>INDEX(Data_products!$A$1:$G$49, MATCH(Data_orders!$D792,Data_products!$A$1:$A$49,0), MATCH(Data_orders!J$1,Data_products!$A$1:$G$1,0))</f>
        <v>L</v>
      </c>
      <c r="K792" s="4">
        <f>INDEX(Data_products!$A$1:$G$49, MATCH(Data_orders!$D792,Data_products!$A$1:$A$49,0), MATCH(Data_orders!K$1,Data_products!$A$1:$G$1,0))</f>
        <v>0.5</v>
      </c>
      <c r="L792">
        <f>INDEX(Data_products!$A$1:$G$49, MATCH(Data_orders!$D792,Data_products!$A$1:$A$49,0), MATCH(Data_orders!L$1,Data_products!$A$1:$G$1,0))</f>
        <v>7.77</v>
      </c>
      <c r="M792">
        <f t="shared" si="24"/>
        <v>23.31</v>
      </c>
      <c r="N792" t="str" cm="1">
        <f t="array" ref="N792">_xlfn.IFS(I792 = "Rob", "Robusta", I792 = "Exc", "Excelsa", I792 = "Ara", "Arabica", I792 = "Lib", "Liberica")</f>
        <v>Arabica</v>
      </c>
      <c r="O792" t="str">
        <f t="shared" si="25"/>
        <v>Light</v>
      </c>
      <c r="P792" t="str">
        <f>_xlfn.XLOOKUP(Table1[[#This Row],[Customer ID]],Data_customers!$A$2:$A$1001,Data_customers!$I$2:$I$1001,,0)</f>
        <v>No</v>
      </c>
    </row>
    <row r="793" spans="1:16" x14ac:dyDescent="0.2">
      <c r="A793" s="2" t="s">
        <v>4961</v>
      </c>
      <c r="B793" s="3">
        <v>43954</v>
      </c>
      <c r="C793" s="2" t="s">
        <v>4962</v>
      </c>
      <c r="D793" t="s">
        <v>6145</v>
      </c>
      <c r="E793" s="2">
        <v>5</v>
      </c>
      <c r="F793" s="2" t="str">
        <f>_xlfn.XLOOKUP(Data_orders!C793,Data_customers!$A$1:$A$1001,Data_customers!$B$1:$B$1001,,0)</f>
        <v>Karylin Huddart</v>
      </c>
      <c r="G793" s="2" t="str">
        <f>IF(_xlfn.XLOOKUP(C793,Data_customers!$A$1:$A$1001,Data_customers!$C$1:$C$1001,,0)=0,"",_xlfn.XLOOKUP(C793,Data_customers!$A$1:$A$1001,Data_customers!$C$1:$C$1001,,0))</f>
        <v>khuddartlz@about.com</v>
      </c>
      <c r="H793" s="2" t="str">
        <f>_xlfn.XLOOKUP(C793,Data_customers!$A$1:$A$1001,Data_customers!$G$1:$G$1001,"",0)</f>
        <v>United States</v>
      </c>
      <c r="I793" t="str">
        <f>INDEX(Data_products!$A$1:$G$49, MATCH(Data_orders!$D793,Data_products!$A$1:$A$49,0), MATCH(Data_orders!I$1,Data_products!$A$1:$G$1,0))</f>
        <v>Lib</v>
      </c>
      <c r="J793" t="str">
        <f>INDEX(Data_products!$A$1:$G$49, MATCH(Data_orders!$D793,Data_products!$A$1:$A$49,0), MATCH(Data_orders!J$1,Data_products!$A$1:$G$1,0))</f>
        <v>L</v>
      </c>
      <c r="K793" s="4">
        <f>INDEX(Data_products!$A$1:$G$49, MATCH(Data_orders!$D793,Data_products!$A$1:$A$49,0), MATCH(Data_orders!K$1,Data_products!$A$1:$G$1,0))</f>
        <v>0.2</v>
      </c>
      <c r="L793">
        <f>INDEX(Data_products!$A$1:$G$49, MATCH(Data_orders!$D793,Data_products!$A$1:$A$49,0), MATCH(Data_orders!L$1,Data_products!$A$1:$G$1,0))</f>
        <v>4.7549999999999999</v>
      </c>
      <c r="M793">
        <f t="shared" si="24"/>
        <v>23.774999999999999</v>
      </c>
      <c r="N793" t="str" cm="1">
        <f t="array" ref="N793">_xlfn.IFS(I793 = "Rob", "Robusta", I793 = "Exc", "Excelsa", I793 = "Ara", "Arabica", I793 = "Lib", "Liberica")</f>
        <v>Liberica</v>
      </c>
      <c r="O793" t="str">
        <f t="shared" si="25"/>
        <v>Light</v>
      </c>
      <c r="P793" t="str">
        <f>_xlfn.XLOOKUP(Table1[[#This Row],[Customer ID]],Data_customers!$A$2:$A$1001,Data_customers!$I$2:$I$1001,,0)</f>
        <v>Yes</v>
      </c>
    </row>
    <row r="794" spans="1:16" x14ac:dyDescent="0.2">
      <c r="A794" s="2" t="s">
        <v>4967</v>
      </c>
      <c r="B794" s="3">
        <v>43545</v>
      </c>
      <c r="C794" s="2" t="s">
        <v>4968</v>
      </c>
      <c r="D794" t="s">
        <v>6160</v>
      </c>
      <c r="E794" s="2">
        <v>6</v>
      </c>
      <c r="F794" s="2" t="str">
        <f>_xlfn.XLOOKUP(Data_orders!C794,Data_customers!$A$1:$A$1001,Data_customers!$B$1:$B$1001,,0)</f>
        <v>Jereme Gippes</v>
      </c>
      <c r="G794" s="2" t="str">
        <f>IF(_xlfn.XLOOKUP(C794,Data_customers!$A$1:$A$1001,Data_customers!$C$1:$C$1001,,0)=0,"",_xlfn.XLOOKUP(C794,Data_customers!$A$1:$A$1001,Data_customers!$C$1:$C$1001,,0))</f>
        <v>jgippesm0@cloudflare.com</v>
      </c>
      <c r="H794" s="2" t="str">
        <f>_xlfn.XLOOKUP(C794,Data_customers!$A$1:$A$1001,Data_customers!$G$1:$G$1001,"",0)</f>
        <v>United Kingdom</v>
      </c>
      <c r="I794" t="str">
        <f>INDEX(Data_products!$A$1:$G$49, MATCH(Data_orders!$D794,Data_products!$A$1:$A$49,0), MATCH(Data_orders!I$1,Data_products!$A$1:$G$1,0))</f>
        <v>Lib</v>
      </c>
      <c r="J794" t="str">
        <f>INDEX(Data_products!$A$1:$G$49, MATCH(Data_orders!$D794,Data_products!$A$1:$A$49,0), MATCH(Data_orders!J$1,Data_products!$A$1:$G$1,0))</f>
        <v>M</v>
      </c>
      <c r="K794" s="4">
        <f>INDEX(Data_products!$A$1:$G$49, MATCH(Data_orders!$D794,Data_products!$A$1:$A$49,0), MATCH(Data_orders!K$1,Data_products!$A$1:$G$1,0))</f>
        <v>0.5</v>
      </c>
      <c r="L794">
        <f>INDEX(Data_products!$A$1:$G$49, MATCH(Data_orders!$D794,Data_products!$A$1:$A$49,0), MATCH(Data_orders!L$1,Data_products!$A$1:$G$1,0))</f>
        <v>8.73</v>
      </c>
      <c r="M794">
        <f t="shared" si="24"/>
        <v>52.38</v>
      </c>
      <c r="N794" t="str" cm="1">
        <f t="array" ref="N794">_xlfn.IFS(I794 = "Rob", "Robusta", I794 = "Exc", "Excelsa", I794 = "Ara", "Arabica", I794 = "Lib", "Liberica")</f>
        <v>Liberica</v>
      </c>
      <c r="O794" t="str">
        <f t="shared" si="25"/>
        <v>Medium</v>
      </c>
      <c r="P794" t="str">
        <f>_xlfn.XLOOKUP(Table1[[#This Row],[Customer ID]],Data_customers!$A$2:$A$1001,Data_customers!$I$2:$I$1001,,0)</f>
        <v>Yes</v>
      </c>
    </row>
    <row r="795" spans="1:16" x14ac:dyDescent="0.2">
      <c r="A795" s="2" t="s">
        <v>4973</v>
      </c>
      <c r="B795" s="3">
        <v>43629</v>
      </c>
      <c r="C795" s="2" t="s">
        <v>4974</v>
      </c>
      <c r="D795" t="s">
        <v>6178</v>
      </c>
      <c r="E795" s="2">
        <v>5</v>
      </c>
      <c r="F795" s="2" t="str">
        <f>_xlfn.XLOOKUP(Data_orders!C795,Data_customers!$A$1:$A$1001,Data_customers!$B$1:$B$1001,,0)</f>
        <v>Lukas Whittlesee</v>
      </c>
      <c r="G795" s="2" t="str">
        <f>IF(_xlfn.XLOOKUP(C795,Data_customers!$A$1:$A$1001,Data_customers!$C$1:$C$1001,,0)=0,"",_xlfn.XLOOKUP(C795,Data_customers!$A$1:$A$1001,Data_customers!$C$1:$C$1001,,0))</f>
        <v>lwhittleseem1@e-recht24.de</v>
      </c>
      <c r="H795" s="2" t="str">
        <f>_xlfn.XLOOKUP(C795,Data_customers!$A$1:$A$1001,Data_customers!$G$1:$G$1001,"",0)</f>
        <v>United States</v>
      </c>
      <c r="I795" t="str">
        <f>INDEX(Data_products!$A$1:$G$49, MATCH(Data_orders!$D795,Data_products!$A$1:$A$49,0), MATCH(Data_orders!I$1,Data_products!$A$1:$G$1,0))</f>
        <v>Rob</v>
      </c>
      <c r="J795" t="str">
        <f>INDEX(Data_products!$A$1:$G$49, MATCH(Data_orders!$D795,Data_products!$A$1:$A$49,0), MATCH(Data_orders!J$1,Data_products!$A$1:$G$1,0))</f>
        <v>L</v>
      </c>
      <c r="K795" s="4">
        <f>INDEX(Data_products!$A$1:$G$49, MATCH(Data_orders!$D795,Data_products!$A$1:$A$49,0), MATCH(Data_orders!K$1,Data_products!$A$1:$G$1,0))</f>
        <v>0.2</v>
      </c>
      <c r="L795">
        <f>INDEX(Data_products!$A$1:$G$49, MATCH(Data_orders!$D795,Data_products!$A$1:$A$49,0), MATCH(Data_orders!L$1,Data_products!$A$1:$G$1,0))</f>
        <v>3.5849999999999995</v>
      </c>
      <c r="M795">
        <f t="shared" si="24"/>
        <v>17.924999999999997</v>
      </c>
      <c r="N795" t="str" cm="1">
        <f t="array" ref="N795">_xlfn.IFS(I795 = "Rob", "Robusta", I795 = "Exc", "Excelsa", I795 = "Ara", "Arabica", I795 = "Lib", "Liberica")</f>
        <v>Robusta</v>
      </c>
      <c r="O795" t="str">
        <f t="shared" si="25"/>
        <v>Light</v>
      </c>
      <c r="P795" t="str">
        <f>_xlfn.XLOOKUP(Table1[[#This Row],[Customer ID]],Data_customers!$A$2:$A$1001,Data_customers!$I$2:$I$1001,,0)</f>
        <v>No</v>
      </c>
    </row>
    <row r="796" spans="1:16" x14ac:dyDescent="0.2">
      <c r="A796" s="2" t="s">
        <v>4979</v>
      </c>
      <c r="B796" s="3">
        <v>43987</v>
      </c>
      <c r="C796" s="2" t="s">
        <v>4980</v>
      </c>
      <c r="D796" t="s">
        <v>6182</v>
      </c>
      <c r="E796" s="2">
        <v>5</v>
      </c>
      <c r="F796" s="2" t="str">
        <f>_xlfn.XLOOKUP(Data_orders!C796,Data_customers!$A$1:$A$1001,Data_customers!$B$1:$B$1001,,0)</f>
        <v>Gregorius Trengrove</v>
      </c>
      <c r="G796" s="2" t="str">
        <f>IF(_xlfn.XLOOKUP(C796,Data_customers!$A$1:$A$1001,Data_customers!$C$1:$C$1001,,0)=0,"",_xlfn.XLOOKUP(C796,Data_customers!$A$1:$A$1001,Data_customers!$C$1:$C$1001,,0))</f>
        <v>gtrengrovem2@elpais.com</v>
      </c>
      <c r="H796" s="2" t="str">
        <f>_xlfn.XLOOKUP(C796,Data_customers!$A$1:$A$1001,Data_customers!$G$1:$G$1001,"",0)</f>
        <v>United States</v>
      </c>
      <c r="I796" t="str">
        <f>INDEX(Data_products!$A$1:$G$49, MATCH(Data_orders!$D796,Data_products!$A$1:$A$49,0), MATCH(Data_orders!I$1,Data_products!$A$1:$G$1,0))</f>
        <v>Ara</v>
      </c>
      <c r="J796" t="str">
        <f>INDEX(Data_products!$A$1:$G$49, MATCH(Data_orders!$D796,Data_products!$A$1:$A$49,0), MATCH(Data_orders!J$1,Data_products!$A$1:$G$1,0))</f>
        <v>L</v>
      </c>
      <c r="K796" s="4">
        <f>INDEX(Data_products!$A$1:$G$49, MATCH(Data_orders!$D796,Data_products!$A$1:$A$49,0), MATCH(Data_orders!K$1,Data_products!$A$1:$G$1,0))</f>
        <v>2.5</v>
      </c>
      <c r="L796">
        <f>INDEX(Data_products!$A$1:$G$49, MATCH(Data_orders!$D796,Data_products!$A$1:$A$49,0), MATCH(Data_orders!L$1,Data_products!$A$1:$G$1,0))</f>
        <v>29.784999999999997</v>
      </c>
      <c r="M796">
        <f t="shared" si="24"/>
        <v>148.92499999999998</v>
      </c>
      <c r="N796" t="str" cm="1">
        <f t="array" ref="N796">_xlfn.IFS(I796 = "Rob", "Robusta", I796 = "Exc", "Excelsa", I796 = "Ara", "Arabica", I796 = "Lib", "Liberica")</f>
        <v>Arabica</v>
      </c>
      <c r="O796" t="str">
        <f t="shared" si="25"/>
        <v>Light</v>
      </c>
      <c r="P796" t="str">
        <f>_xlfn.XLOOKUP(Table1[[#This Row],[Customer ID]],Data_customers!$A$2:$A$1001,Data_customers!$I$2:$I$1001,,0)</f>
        <v>No</v>
      </c>
    </row>
    <row r="797" spans="1:16" x14ac:dyDescent="0.2">
      <c r="A797" s="2" t="s">
        <v>4985</v>
      </c>
      <c r="B797" s="3">
        <v>43540</v>
      </c>
      <c r="C797" s="2" t="s">
        <v>4986</v>
      </c>
      <c r="D797" t="s">
        <v>6173</v>
      </c>
      <c r="E797" s="2">
        <v>4</v>
      </c>
      <c r="F797" s="2" t="str">
        <f>_xlfn.XLOOKUP(Data_orders!C797,Data_customers!$A$1:$A$1001,Data_customers!$B$1:$B$1001,,0)</f>
        <v>Wright Caldero</v>
      </c>
      <c r="G797" s="2" t="str">
        <f>IF(_xlfn.XLOOKUP(C797,Data_customers!$A$1:$A$1001,Data_customers!$C$1:$C$1001,,0)=0,"",_xlfn.XLOOKUP(C797,Data_customers!$A$1:$A$1001,Data_customers!$C$1:$C$1001,,0))</f>
        <v>wcalderom3@stumbleupon.com</v>
      </c>
      <c r="H797" s="2" t="str">
        <f>_xlfn.XLOOKUP(C797,Data_customers!$A$1:$A$1001,Data_customers!$G$1:$G$1001,"",0)</f>
        <v>United States</v>
      </c>
      <c r="I797" t="str">
        <f>INDEX(Data_products!$A$1:$G$49, MATCH(Data_orders!$D797,Data_products!$A$1:$A$49,0), MATCH(Data_orders!I$1,Data_products!$A$1:$G$1,0))</f>
        <v>Rob</v>
      </c>
      <c r="J797" t="str">
        <f>INDEX(Data_products!$A$1:$G$49, MATCH(Data_orders!$D797,Data_products!$A$1:$A$49,0), MATCH(Data_orders!J$1,Data_products!$A$1:$G$1,0))</f>
        <v>L</v>
      </c>
      <c r="K797" s="4">
        <f>INDEX(Data_products!$A$1:$G$49, MATCH(Data_orders!$D797,Data_products!$A$1:$A$49,0), MATCH(Data_orders!K$1,Data_products!$A$1:$G$1,0))</f>
        <v>0.5</v>
      </c>
      <c r="L797">
        <f>INDEX(Data_products!$A$1:$G$49, MATCH(Data_orders!$D797,Data_products!$A$1:$A$49,0), MATCH(Data_orders!L$1,Data_products!$A$1:$G$1,0))</f>
        <v>7.169999999999999</v>
      </c>
      <c r="M797">
        <f t="shared" si="24"/>
        <v>28.679999999999996</v>
      </c>
      <c r="N797" t="str" cm="1">
        <f t="array" ref="N797">_xlfn.IFS(I797 = "Rob", "Robusta", I797 = "Exc", "Excelsa", I797 = "Ara", "Arabica", I797 = "Lib", "Liberica")</f>
        <v>Robusta</v>
      </c>
      <c r="O797" t="str">
        <f t="shared" si="25"/>
        <v>Light</v>
      </c>
      <c r="P797" t="str">
        <f>_xlfn.XLOOKUP(Table1[[#This Row],[Customer ID]],Data_customers!$A$2:$A$1001,Data_customers!$I$2:$I$1001,,0)</f>
        <v>No</v>
      </c>
    </row>
    <row r="798" spans="1:16" x14ac:dyDescent="0.2">
      <c r="A798" s="2" t="s">
        <v>4991</v>
      </c>
      <c r="B798" s="3">
        <v>44533</v>
      </c>
      <c r="C798" s="2" t="s">
        <v>4992</v>
      </c>
      <c r="D798" t="s">
        <v>6161</v>
      </c>
      <c r="E798" s="2">
        <v>1</v>
      </c>
      <c r="F798" s="2" t="str">
        <f>_xlfn.XLOOKUP(Data_orders!C798,Data_customers!$A$1:$A$1001,Data_customers!$B$1:$B$1001,,0)</f>
        <v>Merell Zanazzi</v>
      </c>
      <c r="G798" s="2" t="str">
        <f>IF(_xlfn.XLOOKUP(C798,Data_customers!$A$1:$A$1001,Data_customers!$C$1:$C$1001,,0)=0,"",_xlfn.XLOOKUP(C798,Data_customers!$A$1:$A$1001,Data_customers!$C$1:$C$1001,,0))</f>
        <v/>
      </c>
      <c r="H798" s="2" t="str">
        <f>_xlfn.XLOOKUP(C798,Data_customers!$A$1:$A$1001,Data_customers!$G$1:$G$1001,"",0)</f>
        <v>United States</v>
      </c>
      <c r="I798" t="str">
        <f>INDEX(Data_products!$A$1:$G$49, MATCH(Data_orders!$D798,Data_products!$A$1:$A$49,0), MATCH(Data_orders!I$1,Data_products!$A$1:$G$1,0))</f>
        <v>Lib</v>
      </c>
      <c r="J798" t="str">
        <f>INDEX(Data_products!$A$1:$G$49, MATCH(Data_orders!$D798,Data_products!$A$1:$A$49,0), MATCH(Data_orders!J$1,Data_products!$A$1:$G$1,0))</f>
        <v>L</v>
      </c>
      <c r="K798" s="4">
        <f>INDEX(Data_products!$A$1:$G$49, MATCH(Data_orders!$D798,Data_products!$A$1:$A$49,0), MATCH(Data_orders!K$1,Data_products!$A$1:$G$1,0))</f>
        <v>0.5</v>
      </c>
      <c r="L798">
        <f>INDEX(Data_products!$A$1:$G$49, MATCH(Data_orders!$D798,Data_products!$A$1:$A$49,0), MATCH(Data_orders!L$1,Data_products!$A$1:$G$1,0))</f>
        <v>9.51</v>
      </c>
      <c r="M798">
        <f t="shared" si="24"/>
        <v>9.51</v>
      </c>
      <c r="N798" t="str" cm="1">
        <f t="array" ref="N798">_xlfn.IFS(I798 = "Rob", "Robusta", I798 = "Exc", "Excelsa", I798 = "Ara", "Arabica", I798 = "Lib", "Liberica")</f>
        <v>Liberica</v>
      </c>
      <c r="O798" t="str">
        <f t="shared" si="25"/>
        <v>Light</v>
      </c>
      <c r="P798" t="str">
        <f>_xlfn.XLOOKUP(Table1[[#This Row],[Customer ID]],Data_customers!$A$2:$A$1001,Data_customers!$I$2:$I$1001,,0)</f>
        <v>No</v>
      </c>
    </row>
    <row r="799" spans="1:16" x14ac:dyDescent="0.2">
      <c r="A799" s="2" t="s">
        <v>4996</v>
      </c>
      <c r="B799" s="3">
        <v>44751</v>
      </c>
      <c r="C799" s="2" t="s">
        <v>4997</v>
      </c>
      <c r="D799" t="s">
        <v>6180</v>
      </c>
      <c r="E799" s="2">
        <v>4</v>
      </c>
      <c r="F799" s="2" t="str">
        <f>_xlfn.XLOOKUP(Data_orders!C799,Data_customers!$A$1:$A$1001,Data_customers!$B$1:$B$1001,,0)</f>
        <v>Jed Kennicott</v>
      </c>
      <c r="G799" s="2" t="str">
        <f>IF(_xlfn.XLOOKUP(C799,Data_customers!$A$1:$A$1001,Data_customers!$C$1:$C$1001,,0)=0,"",_xlfn.XLOOKUP(C799,Data_customers!$A$1:$A$1001,Data_customers!$C$1:$C$1001,,0))</f>
        <v>jkennicottm5@yahoo.co.jp</v>
      </c>
      <c r="H799" s="2" t="str">
        <f>_xlfn.XLOOKUP(C799,Data_customers!$A$1:$A$1001,Data_customers!$G$1:$G$1001,"",0)</f>
        <v>United States</v>
      </c>
      <c r="I799" t="str">
        <f>INDEX(Data_products!$A$1:$G$49, MATCH(Data_orders!$D799,Data_products!$A$1:$A$49,0), MATCH(Data_orders!I$1,Data_products!$A$1:$G$1,0))</f>
        <v>Ara</v>
      </c>
      <c r="J799" t="str">
        <f>INDEX(Data_products!$A$1:$G$49, MATCH(Data_orders!$D799,Data_products!$A$1:$A$49,0), MATCH(Data_orders!J$1,Data_products!$A$1:$G$1,0))</f>
        <v>L</v>
      </c>
      <c r="K799" s="4">
        <f>INDEX(Data_products!$A$1:$G$49, MATCH(Data_orders!$D799,Data_products!$A$1:$A$49,0), MATCH(Data_orders!K$1,Data_products!$A$1:$G$1,0))</f>
        <v>0.5</v>
      </c>
      <c r="L799">
        <f>INDEX(Data_products!$A$1:$G$49, MATCH(Data_orders!$D799,Data_products!$A$1:$A$49,0), MATCH(Data_orders!L$1,Data_products!$A$1:$G$1,0))</f>
        <v>7.77</v>
      </c>
      <c r="M799">
        <f t="shared" si="24"/>
        <v>31.08</v>
      </c>
      <c r="N799" t="str" cm="1">
        <f t="array" ref="N799">_xlfn.IFS(I799 = "Rob", "Robusta", I799 = "Exc", "Excelsa", I799 = "Ara", "Arabica", I799 = "Lib", "Liberica")</f>
        <v>Arabica</v>
      </c>
      <c r="O799" t="str">
        <f t="shared" si="25"/>
        <v>Light</v>
      </c>
      <c r="P799" t="str">
        <f>_xlfn.XLOOKUP(Table1[[#This Row],[Customer ID]],Data_customers!$A$2:$A$1001,Data_customers!$I$2:$I$1001,,0)</f>
        <v>No</v>
      </c>
    </row>
    <row r="800" spans="1:16" x14ac:dyDescent="0.2">
      <c r="A800" s="2" t="s">
        <v>5002</v>
      </c>
      <c r="B800" s="3">
        <v>43950</v>
      </c>
      <c r="C800" s="2" t="s">
        <v>5003</v>
      </c>
      <c r="D800" t="s">
        <v>6163</v>
      </c>
      <c r="E800" s="2">
        <v>3</v>
      </c>
      <c r="F800" s="2" t="str">
        <f>_xlfn.XLOOKUP(Data_orders!C800,Data_customers!$A$1:$A$1001,Data_customers!$B$1:$B$1001,,0)</f>
        <v>Guenevere Ruggen</v>
      </c>
      <c r="G800" s="2" t="str">
        <f>IF(_xlfn.XLOOKUP(C800,Data_customers!$A$1:$A$1001,Data_customers!$C$1:$C$1001,,0)=0,"",_xlfn.XLOOKUP(C800,Data_customers!$A$1:$A$1001,Data_customers!$C$1:$C$1001,,0))</f>
        <v>gruggenm6@nymag.com</v>
      </c>
      <c r="H800" s="2" t="str">
        <f>_xlfn.XLOOKUP(C800,Data_customers!$A$1:$A$1001,Data_customers!$G$1:$G$1001,"",0)</f>
        <v>United States</v>
      </c>
      <c r="I800" t="str">
        <f>INDEX(Data_products!$A$1:$G$49, MATCH(Data_orders!$D800,Data_products!$A$1:$A$49,0), MATCH(Data_orders!I$1,Data_products!$A$1:$G$1,0))</f>
        <v>Rob</v>
      </c>
      <c r="J800" t="str">
        <f>INDEX(Data_products!$A$1:$G$49, MATCH(Data_orders!$D800,Data_products!$A$1:$A$49,0), MATCH(Data_orders!J$1,Data_products!$A$1:$G$1,0))</f>
        <v>D</v>
      </c>
      <c r="K800" s="4">
        <f>INDEX(Data_products!$A$1:$G$49, MATCH(Data_orders!$D800,Data_products!$A$1:$A$49,0), MATCH(Data_orders!K$1,Data_products!$A$1:$G$1,0))</f>
        <v>0.2</v>
      </c>
      <c r="L800">
        <f>INDEX(Data_products!$A$1:$G$49, MATCH(Data_orders!$D800,Data_products!$A$1:$A$49,0), MATCH(Data_orders!L$1,Data_products!$A$1:$G$1,0))</f>
        <v>2.6849999999999996</v>
      </c>
      <c r="M800">
        <f t="shared" si="24"/>
        <v>8.0549999999999997</v>
      </c>
      <c r="N800" t="str" cm="1">
        <f t="array" ref="N800">_xlfn.IFS(I800 = "Rob", "Robusta", I800 = "Exc", "Excelsa", I800 = "Ara", "Arabica", I800 = "Lib", "Liberica")</f>
        <v>Robusta</v>
      </c>
      <c r="O800" t="str">
        <f t="shared" si="25"/>
        <v>Dark</v>
      </c>
      <c r="P800" t="str">
        <f>_xlfn.XLOOKUP(Table1[[#This Row],[Customer ID]],Data_customers!$A$2:$A$1001,Data_customers!$I$2:$I$1001,,0)</f>
        <v>Yes</v>
      </c>
    </row>
    <row r="801" spans="1:16" x14ac:dyDescent="0.2">
      <c r="A801" s="2" t="s">
        <v>5008</v>
      </c>
      <c r="B801" s="3">
        <v>44588</v>
      </c>
      <c r="C801" s="2" t="s">
        <v>5009</v>
      </c>
      <c r="D801" t="s">
        <v>6183</v>
      </c>
      <c r="E801" s="2">
        <v>3</v>
      </c>
      <c r="F801" s="2" t="str">
        <f>_xlfn.XLOOKUP(Data_orders!C801,Data_customers!$A$1:$A$1001,Data_customers!$B$1:$B$1001,,0)</f>
        <v>Gonzales Cicculi</v>
      </c>
      <c r="G801" s="2" t="str">
        <f>IF(_xlfn.XLOOKUP(C801,Data_customers!$A$1:$A$1001,Data_customers!$C$1:$C$1001,,0)=0,"",_xlfn.XLOOKUP(C801,Data_customers!$A$1:$A$1001,Data_customers!$C$1:$C$1001,,0))</f>
        <v/>
      </c>
      <c r="H801" s="2" t="str">
        <f>_xlfn.XLOOKUP(C801,Data_customers!$A$1:$A$1001,Data_customers!$G$1:$G$1001,"",0)</f>
        <v>United States</v>
      </c>
      <c r="I801" t="str">
        <f>INDEX(Data_products!$A$1:$G$49, MATCH(Data_orders!$D801,Data_products!$A$1:$A$49,0), MATCH(Data_orders!I$1,Data_products!$A$1:$G$1,0))</f>
        <v>Exc</v>
      </c>
      <c r="J801" t="str">
        <f>INDEX(Data_products!$A$1:$G$49, MATCH(Data_orders!$D801,Data_products!$A$1:$A$49,0), MATCH(Data_orders!J$1,Data_products!$A$1:$G$1,0))</f>
        <v>D</v>
      </c>
      <c r="K801" s="4">
        <f>INDEX(Data_products!$A$1:$G$49, MATCH(Data_orders!$D801,Data_products!$A$1:$A$49,0), MATCH(Data_orders!K$1,Data_products!$A$1:$G$1,0))</f>
        <v>1</v>
      </c>
      <c r="L801">
        <f>INDEX(Data_products!$A$1:$G$49, MATCH(Data_orders!$D801,Data_products!$A$1:$A$49,0), MATCH(Data_orders!L$1,Data_products!$A$1:$G$1,0))</f>
        <v>12.15</v>
      </c>
      <c r="M801">
        <f t="shared" si="24"/>
        <v>36.450000000000003</v>
      </c>
      <c r="N801" t="str" cm="1">
        <f t="array" ref="N801">_xlfn.IFS(I801 = "Rob", "Robusta", I801 = "Exc", "Excelsa", I801 = "Ara", "Arabica", I801 = "Lib", "Liberica")</f>
        <v>Excelsa</v>
      </c>
      <c r="O801" t="str">
        <f t="shared" si="25"/>
        <v>Dark</v>
      </c>
      <c r="P801" t="str">
        <f>_xlfn.XLOOKUP(Table1[[#This Row],[Customer ID]],Data_customers!$A$2:$A$1001,Data_customers!$I$2:$I$1001,,0)</f>
        <v>Yes</v>
      </c>
    </row>
    <row r="802" spans="1:16" x14ac:dyDescent="0.2">
      <c r="A802" s="2" t="s">
        <v>5012</v>
      </c>
      <c r="B802" s="3">
        <v>44240</v>
      </c>
      <c r="C802" s="2" t="s">
        <v>5013</v>
      </c>
      <c r="D802" t="s">
        <v>6163</v>
      </c>
      <c r="E802" s="2">
        <v>6</v>
      </c>
      <c r="F802" s="2" t="str">
        <f>_xlfn.XLOOKUP(Data_orders!C802,Data_customers!$A$1:$A$1001,Data_customers!$B$1:$B$1001,,0)</f>
        <v>Man Fright</v>
      </c>
      <c r="G802" s="2" t="str">
        <f>IF(_xlfn.XLOOKUP(C802,Data_customers!$A$1:$A$1001,Data_customers!$C$1:$C$1001,,0)=0,"",_xlfn.XLOOKUP(C802,Data_customers!$A$1:$A$1001,Data_customers!$C$1:$C$1001,,0))</f>
        <v>mfrightm8@harvard.edu</v>
      </c>
      <c r="H802" s="2" t="str">
        <f>_xlfn.XLOOKUP(C802,Data_customers!$A$1:$A$1001,Data_customers!$G$1:$G$1001,"",0)</f>
        <v>Ireland</v>
      </c>
      <c r="I802" t="str">
        <f>INDEX(Data_products!$A$1:$G$49, MATCH(Data_orders!$D802,Data_products!$A$1:$A$49,0), MATCH(Data_orders!I$1,Data_products!$A$1:$G$1,0))</f>
        <v>Rob</v>
      </c>
      <c r="J802" t="str">
        <f>INDEX(Data_products!$A$1:$G$49, MATCH(Data_orders!$D802,Data_products!$A$1:$A$49,0), MATCH(Data_orders!J$1,Data_products!$A$1:$G$1,0))</f>
        <v>D</v>
      </c>
      <c r="K802" s="4">
        <f>INDEX(Data_products!$A$1:$G$49, MATCH(Data_orders!$D802,Data_products!$A$1:$A$49,0), MATCH(Data_orders!K$1,Data_products!$A$1:$G$1,0))</f>
        <v>0.2</v>
      </c>
      <c r="L802">
        <f>INDEX(Data_products!$A$1:$G$49, MATCH(Data_orders!$D802,Data_products!$A$1:$A$49,0), MATCH(Data_orders!L$1,Data_products!$A$1:$G$1,0))</f>
        <v>2.6849999999999996</v>
      </c>
      <c r="M802">
        <f t="shared" si="24"/>
        <v>16.11</v>
      </c>
      <c r="N802" t="str" cm="1">
        <f t="array" ref="N802">_xlfn.IFS(I802 = "Rob", "Robusta", I802 = "Exc", "Excelsa", I802 = "Ara", "Arabica", I802 = "Lib", "Liberica")</f>
        <v>Robusta</v>
      </c>
      <c r="O802" t="str">
        <f t="shared" si="25"/>
        <v>Dark</v>
      </c>
      <c r="P802" t="str">
        <f>_xlfn.XLOOKUP(Table1[[#This Row],[Customer ID]],Data_customers!$A$2:$A$1001,Data_customers!$I$2:$I$1001,,0)</f>
        <v>No</v>
      </c>
    </row>
    <row r="803" spans="1:16" x14ac:dyDescent="0.2">
      <c r="A803" s="2" t="s">
        <v>5018</v>
      </c>
      <c r="B803" s="3">
        <v>44025</v>
      </c>
      <c r="C803" s="2" t="s">
        <v>5019</v>
      </c>
      <c r="D803" t="s">
        <v>6149</v>
      </c>
      <c r="E803" s="2">
        <v>2</v>
      </c>
      <c r="F803" s="2" t="str">
        <f>_xlfn.XLOOKUP(Data_orders!C803,Data_customers!$A$1:$A$1001,Data_customers!$B$1:$B$1001,,0)</f>
        <v>Boyce Tarte</v>
      </c>
      <c r="G803" s="2" t="str">
        <f>IF(_xlfn.XLOOKUP(C803,Data_customers!$A$1:$A$1001,Data_customers!$C$1:$C$1001,,0)=0,"",_xlfn.XLOOKUP(C803,Data_customers!$A$1:$A$1001,Data_customers!$C$1:$C$1001,,0))</f>
        <v>btartem9@aol.com</v>
      </c>
      <c r="H803" s="2" t="str">
        <f>_xlfn.XLOOKUP(C803,Data_customers!$A$1:$A$1001,Data_customers!$G$1:$G$1001,"",0)</f>
        <v>United States</v>
      </c>
      <c r="I803" t="str">
        <f>INDEX(Data_products!$A$1:$G$49, MATCH(Data_orders!$D803,Data_products!$A$1:$A$49,0), MATCH(Data_orders!I$1,Data_products!$A$1:$G$1,0))</f>
        <v>Rob</v>
      </c>
      <c r="J803" t="str">
        <f>INDEX(Data_products!$A$1:$G$49, MATCH(Data_orders!$D803,Data_products!$A$1:$A$49,0), MATCH(Data_orders!J$1,Data_products!$A$1:$G$1,0))</f>
        <v>D</v>
      </c>
      <c r="K803" s="4">
        <f>INDEX(Data_products!$A$1:$G$49, MATCH(Data_orders!$D803,Data_products!$A$1:$A$49,0), MATCH(Data_orders!K$1,Data_products!$A$1:$G$1,0))</f>
        <v>2.5</v>
      </c>
      <c r="L803">
        <f>INDEX(Data_products!$A$1:$G$49, MATCH(Data_orders!$D803,Data_products!$A$1:$A$49,0), MATCH(Data_orders!L$1,Data_products!$A$1:$G$1,0))</f>
        <v>20.584999999999997</v>
      </c>
      <c r="M803">
        <f t="shared" si="24"/>
        <v>41.169999999999995</v>
      </c>
      <c r="N803" t="str" cm="1">
        <f t="array" ref="N803">_xlfn.IFS(I803 = "Rob", "Robusta", I803 = "Exc", "Excelsa", I803 = "Ara", "Arabica", I803 = "Lib", "Liberica")</f>
        <v>Robusta</v>
      </c>
      <c r="O803" t="str">
        <f t="shared" si="25"/>
        <v>Dark</v>
      </c>
      <c r="P803" t="str">
        <f>_xlfn.XLOOKUP(Table1[[#This Row],[Customer ID]],Data_customers!$A$2:$A$1001,Data_customers!$I$2:$I$1001,,0)</f>
        <v>Yes</v>
      </c>
    </row>
    <row r="804" spans="1:16" x14ac:dyDescent="0.2">
      <c r="A804" s="2" t="s">
        <v>5024</v>
      </c>
      <c r="B804" s="3">
        <v>43902</v>
      </c>
      <c r="C804" s="2" t="s">
        <v>5025</v>
      </c>
      <c r="D804" t="s">
        <v>6163</v>
      </c>
      <c r="E804" s="2">
        <v>4</v>
      </c>
      <c r="F804" s="2" t="str">
        <f>_xlfn.XLOOKUP(Data_orders!C804,Data_customers!$A$1:$A$1001,Data_customers!$B$1:$B$1001,,0)</f>
        <v>Caddric Krzysztofiak</v>
      </c>
      <c r="G804" s="2" t="str">
        <f>IF(_xlfn.XLOOKUP(C804,Data_customers!$A$1:$A$1001,Data_customers!$C$1:$C$1001,,0)=0,"",_xlfn.XLOOKUP(C804,Data_customers!$A$1:$A$1001,Data_customers!$C$1:$C$1001,,0))</f>
        <v>ckrzysztofiakma@skyrock.com</v>
      </c>
      <c r="H804" s="2" t="str">
        <f>_xlfn.XLOOKUP(C804,Data_customers!$A$1:$A$1001,Data_customers!$G$1:$G$1001,"",0)</f>
        <v>United States</v>
      </c>
      <c r="I804" t="str">
        <f>INDEX(Data_products!$A$1:$G$49, MATCH(Data_orders!$D804,Data_products!$A$1:$A$49,0), MATCH(Data_orders!I$1,Data_products!$A$1:$G$1,0))</f>
        <v>Rob</v>
      </c>
      <c r="J804" t="str">
        <f>INDEX(Data_products!$A$1:$G$49, MATCH(Data_orders!$D804,Data_products!$A$1:$A$49,0), MATCH(Data_orders!J$1,Data_products!$A$1:$G$1,0))</f>
        <v>D</v>
      </c>
      <c r="K804" s="4">
        <f>INDEX(Data_products!$A$1:$G$49, MATCH(Data_orders!$D804,Data_products!$A$1:$A$49,0), MATCH(Data_orders!K$1,Data_products!$A$1:$G$1,0))</f>
        <v>0.2</v>
      </c>
      <c r="L804">
        <f>INDEX(Data_products!$A$1:$G$49, MATCH(Data_orders!$D804,Data_products!$A$1:$A$49,0), MATCH(Data_orders!L$1,Data_products!$A$1:$G$1,0))</f>
        <v>2.6849999999999996</v>
      </c>
      <c r="M804">
        <f t="shared" si="24"/>
        <v>10.739999999999998</v>
      </c>
      <c r="N804" t="str" cm="1">
        <f t="array" ref="N804">_xlfn.IFS(I804 = "Rob", "Robusta", I804 = "Exc", "Excelsa", I804 = "Ara", "Arabica", I804 = "Lib", "Liberica")</f>
        <v>Robusta</v>
      </c>
      <c r="O804" t="str">
        <f t="shared" si="25"/>
        <v>Dark</v>
      </c>
      <c r="P804" t="str">
        <f>_xlfn.XLOOKUP(Table1[[#This Row],[Customer ID]],Data_customers!$A$2:$A$1001,Data_customers!$I$2:$I$1001,,0)</f>
        <v>No</v>
      </c>
    </row>
    <row r="805" spans="1:16" x14ac:dyDescent="0.2">
      <c r="A805" s="2" t="s">
        <v>5030</v>
      </c>
      <c r="B805" s="3">
        <v>43955</v>
      </c>
      <c r="C805" s="2" t="s">
        <v>5031</v>
      </c>
      <c r="D805" t="s">
        <v>6166</v>
      </c>
      <c r="E805" s="2">
        <v>4</v>
      </c>
      <c r="F805" s="2" t="str">
        <f>_xlfn.XLOOKUP(Data_orders!C805,Data_customers!$A$1:$A$1001,Data_customers!$B$1:$B$1001,,0)</f>
        <v>Darn Penquet</v>
      </c>
      <c r="G805" s="2" t="str">
        <f>IF(_xlfn.XLOOKUP(C805,Data_customers!$A$1:$A$1001,Data_customers!$C$1:$C$1001,,0)=0,"",_xlfn.XLOOKUP(C805,Data_customers!$A$1:$A$1001,Data_customers!$C$1:$C$1001,,0))</f>
        <v>dpenquetmb@diigo.com</v>
      </c>
      <c r="H805" s="2" t="str">
        <f>_xlfn.XLOOKUP(C805,Data_customers!$A$1:$A$1001,Data_customers!$G$1:$G$1001,"",0)</f>
        <v>United States</v>
      </c>
      <c r="I805" t="str">
        <f>INDEX(Data_products!$A$1:$G$49, MATCH(Data_orders!$D805,Data_products!$A$1:$A$49,0), MATCH(Data_orders!I$1,Data_products!$A$1:$G$1,0))</f>
        <v>Exc</v>
      </c>
      <c r="J805" t="str">
        <f>INDEX(Data_products!$A$1:$G$49, MATCH(Data_orders!$D805,Data_products!$A$1:$A$49,0), MATCH(Data_orders!J$1,Data_products!$A$1:$G$1,0))</f>
        <v>M</v>
      </c>
      <c r="K805" s="4">
        <f>INDEX(Data_products!$A$1:$G$49, MATCH(Data_orders!$D805,Data_products!$A$1:$A$49,0), MATCH(Data_orders!K$1,Data_products!$A$1:$G$1,0))</f>
        <v>2.5</v>
      </c>
      <c r="L805">
        <f>INDEX(Data_products!$A$1:$G$49, MATCH(Data_orders!$D805,Data_products!$A$1:$A$49,0), MATCH(Data_orders!L$1,Data_products!$A$1:$G$1,0))</f>
        <v>31.624999999999996</v>
      </c>
      <c r="M805">
        <f t="shared" si="24"/>
        <v>126.49999999999999</v>
      </c>
      <c r="N805" t="str" cm="1">
        <f t="array" ref="N805">_xlfn.IFS(I805 = "Rob", "Robusta", I805 = "Exc", "Excelsa", I805 = "Ara", "Arabica", I805 = "Lib", "Liberica")</f>
        <v>Excelsa</v>
      </c>
      <c r="O805" t="str">
        <f t="shared" si="25"/>
        <v>Medium</v>
      </c>
      <c r="P805" t="str">
        <f>_xlfn.XLOOKUP(Table1[[#This Row],[Customer ID]],Data_customers!$A$2:$A$1001,Data_customers!$I$2:$I$1001,,0)</f>
        <v>No</v>
      </c>
    </row>
    <row r="806" spans="1:16" x14ac:dyDescent="0.2">
      <c r="A806" s="2" t="s">
        <v>5035</v>
      </c>
      <c r="B806" s="3">
        <v>44289</v>
      </c>
      <c r="C806" s="2" t="s">
        <v>5036</v>
      </c>
      <c r="D806" t="s">
        <v>6179</v>
      </c>
      <c r="E806" s="2">
        <v>2</v>
      </c>
      <c r="F806" s="2" t="str">
        <f>_xlfn.XLOOKUP(Data_orders!C806,Data_customers!$A$1:$A$1001,Data_customers!$B$1:$B$1001,,0)</f>
        <v>Jammie Cloke</v>
      </c>
      <c r="G806" s="2" t="str">
        <f>IF(_xlfn.XLOOKUP(C806,Data_customers!$A$1:$A$1001,Data_customers!$C$1:$C$1001,,0)=0,"",_xlfn.XLOOKUP(C806,Data_customers!$A$1:$A$1001,Data_customers!$C$1:$C$1001,,0))</f>
        <v/>
      </c>
      <c r="H806" s="2" t="str">
        <f>_xlfn.XLOOKUP(C806,Data_customers!$A$1:$A$1001,Data_customers!$G$1:$G$1001,"",0)</f>
        <v>United Kingdom</v>
      </c>
      <c r="I806" t="str">
        <f>INDEX(Data_products!$A$1:$G$49, MATCH(Data_orders!$D806,Data_products!$A$1:$A$49,0), MATCH(Data_orders!I$1,Data_products!$A$1:$G$1,0))</f>
        <v>Rob</v>
      </c>
      <c r="J806" t="str">
        <f>INDEX(Data_products!$A$1:$G$49, MATCH(Data_orders!$D806,Data_products!$A$1:$A$49,0), MATCH(Data_orders!J$1,Data_products!$A$1:$G$1,0))</f>
        <v>L</v>
      </c>
      <c r="K806" s="4">
        <f>INDEX(Data_products!$A$1:$G$49, MATCH(Data_orders!$D806,Data_products!$A$1:$A$49,0), MATCH(Data_orders!K$1,Data_products!$A$1:$G$1,0))</f>
        <v>1</v>
      </c>
      <c r="L806">
        <f>INDEX(Data_products!$A$1:$G$49, MATCH(Data_orders!$D806,Data_products!$A$1:$A$49,0), MATCH(Data_orders!L$1,Data_products!$A$1:$G$1,0))</f>
        <v>11.95</v>
      </c>
      <c r="M806">
        <f t="shared" si="24"/>
        <v>23.9</v>
      </c>
      <c r="N806" t="str" cm="1">
        <f t="array" ref="N806">_xlfn.IFS(I806 = "Rob", "Robusta", I806 = "Exc", "Excelsa", I806 = "Ara", "Arabica", I806 = "Lib", "Liberica")</f>
        <v>Robusta</v>
      </c>
      <c r="O806" t="str">
        <f t="shared" si="25"/>
        <v>Light</v>
      </c>
      <c r="P806" t="str">
        <f>_xlfn.XLOOKUP(Table1[[#This Row],[Customer ID]],Data_customers!$A$2:$A$1001,Data_customers!$I$2:$I$1001,,0)</f>
        <v>No</v>
      </c>
    </row>
    <row r="807" spans="1:16" x14ac:dyDescent="0.2">
      <c r="A807" s="2" t="s">
        <v>5040</v>
      </c>
      <c r="B807" s="3">
        <v>44713</v>
      </c>
      <c r="C807" s="2" t="s">
        <v>5041</v>
      </c>
      <c r="D807" t="s">
        <v>6146</v>
      </c>
      <c r="E807" s="2">
        <v>1</v>
      </c>
      <c r="F807" s="2" t="str">
        <f>_xlfn.XLOOKUP(Data_orders!C807,Data_customers!$A$1:$A$1001,Data_customers!$B$1:$B$1001,,0)</f>
        <v>Chester Clowton</v>
      </c>
      <c r="G807" s="2" t="str">
        <f>IF(_xlfn.XLOOKUP(C807,Data_customers!$A$1:$A$1001,Data_customers!$C$1:$C$1001,,0)=0,"",_xlfn.XLOOKUP(C807,Data_customers!$A$1:$A$1001,Data_customers!$C$1:$C$1001,,0))</f>
        <v/>
      </c>
      <c r="H807" s="2" t="str">
        <f>_xlfn.XLOOKUP(C807,Data_customers!$A$1:$A$1001,Data_customers!$G$1:$G$1001,"",0)</f>
        <v>United States</v>
      </c>
      <c r="I807" t="str">
        <f>INDEX(Data_products!$A$1:$G$49, MATCH(Data_orders!$D807,Data_products!$A$1:$A$49,0), MATCH(Data_orders!I$1,Data_products!$A$1:$G$1,0))</f>
        <v>Rob</v>
      </c>
      <c r="J807" t="str">
        <f>INDEX(Data_products!$A$1:$G$49, MATCH(Data_orders!$D807,Data_products!$A$1:$A$49,0), MATCH(Data_orders!J$1,Data_products!$A$1:$G$1,0))</f>
        <v>M</v>
      </c>
      <c r="K807" s="4">
        <f>INDEX(Data_products!$A$1:$G$49, MATCH(Data_orders!$D807,Data_products!$A$1:$A$49,0), MATCH(Data_orders!K$1,Data_products!$A$1:$G$1,0))</f>
        <v>0.5</v>
      </c>
      <c r="L807">
        <f>INDEX(Data_products!$A$1:$G$49, MATCH(Data_orders!$D807,Data_products!$A$1:$A$49,0), MATCH(Data_orders!L$1,Data_products!$A$1:$G$1,0))</f>
        <v>5.97</v>
      </c>
      <c r="M807">
        <f t="shared" si="24"/>
        <v>5.97</v>
      </c>
      <c r="N807" t="str" cm="1">
        <f t="array" ref="N807">_xlfn.IFS(I807 = "Rob", "Robusta", I807 = "Exc", "Excelsa", I807 = "Ara", "Arabica", I807 = "Lib", "Liberica")</f>
        <v>Robusta</v>
      </c>
      <c r="O807" t="str">
        <f t="shared" si="25"/>
        <v>Medium</v>
      </c>
      <c r="P807" t="str">
        <f>_xlfn.XLOOKUP(Table1[[#This Row],[Customer ID]],Data_customers!$A$2:$A$1001,Data_customers!$I$2:$I$1001,,0)</f>
        <v>No</v>
      </c>
    </row>
    <row r="808" spans="1:16" x14ac:dyDescent="0.2">
      <c r="A808" s="2" t="s">
        <v>5046</v>
      </c>
      <c r="B808" s="3">
        <v>44241</v>
      </c>
      <c r="C808" s="2" t="s">
        <v>5047</v>
      </c>
      <c r="D808" t="s">
        <v>6150</v>
      </c>
      <c r="E808" s="2">
        <v>2</v>
      </c>
      <c r="F808" s="2" t="str">
        <f>_xlfn.XLOOKUP(Data_orders!C808,Data_customers!$A$1:$A$1001,Data_customers!$B$1:$B$1001,,0)</f>
        <v>Kathleen Diable</v>
      </c>
      <c r="G808" s="2" t="str">
        <f>IF(_xlfn.XLOOKUP(C808,Data_customers!$A$1:$A$1001,Data_customers!$C$1:$C$1001,,0)=0,"",_xlfn.XLOOKUP(C808,Data_customers!$A$1:$A$1001,Data_customers!$C$1:$C$1001,,0))</f>
        <v/>
      </c>
      <c r="H808" s="2" t="str">
        <f>_xlfn.XLOOKUP(C808,Data_customers!$A$1:$A$1001,Data_customers!$G$1:$G$1001,"",0)</f>
        <v>United Kingdom</v>
      </c>
      <c r="I808" t="str">
        <f>INDEX(Data_products!$A$1:$G$49, MATCH(Data_orders!$D808,Data_products!$A$1:$A$49,0), MATCH(Data_orders!I$1,Data_products!$A$1:$G$1,0))</f>
        <v>Lib</v>
      </c>
      <c r="J808" t="str">
        <f>INDEX(Data_products!$A$1:$G$49, MATCH(Data_orders!$D808,Data_products!$A$1:$A$49,0), MATCH(Data_orders!J$1,Data_products!$A$1:$G$1,0))</f>
        <v>D</v>
      </c>
      <c r="K808" s="4">
        <f>INDEX(Data_products!$A$1:$G$49, MATCH(Data_orders!$D808,Data_products!$A$1:$A$49,0), MATCH(Data_orders!K$1,Data_products!$A$1:$G$1,0))</f>
        <v>0.2</v>
      </c>
      <c r="L808">
        <f>INDEX(Data_products!$A$1:$G$49, MATCH(Data_orders!$D808,Data_products!$A$1:$A$49,0), MATCH(Data_orders!L$1,Data_products!$A$1:$G$1,0))</f>
        <v>3.8849999999999998</v>
      </c>
      <c r="M808">
        <f t="shared" si="24"/>
        <v>7.77</v>
      </c>
      <c r="N808" t="str" cm="1">
        <f t="array" ref="N808">_xlfn.IFS(I808 = "Rob", "Robusta", I808 = "Exc", "Excelsa", I808 = "Ara", "Arabica", I808 = "Lib", "Liberica")</f>
        <v>Liberica</v>
      </c>
      <c r="O808" t="str">
        <f t="shared" si="25"/>
        <v>Dark</v>
      </c>
      <c r="P808" t="str">
        <f>_xlfn.XLOOKUP(Table1[[#This Row],[Customer ID]],Data_customers!$A$2:$A$1001,Data_customers!$I$2:$I$1001,,0)</f>
        <v>Yes</v>
      </c>
    </row>
    <row r="809" spans="1:16" x14ac:dyDescent="0.2">
      <c r="A809" s="2" t="s">
        <v>5050</v>
      </c>
      <c r="B809" s="3">
        <v>44543</v>
      </c>
      <c r="C809" s="2" t="s">
        <v>5051</v>
      </c>
      <c r="D809" t="s">
        <v>6169</v>
      </c>
      <c r="E809" s="2">
        <v>3</v>
      </c>
      <c r="F809" s="2" t="str">
        <f>_xlfn.XLOOKUP(Data_orders!C809,Data_customers!$A$1:$A$1001,Data_customers!$B$1:$B$1001,,0)</f>
        <v>Koren Ferretti</v>
      </c>
      <c r="G809" s="2" t="str">
        <f>IF(_xlfn.XLOOKUP(C809,Data_customers!$A$1:$A$1001,Data_customers!$C$1:$C$1001,,0)=0,"",_xlfn.XLOOKUP(C809,Data_customers!$A$1:$A$1001,Data_customers!$C$1:$C$1001,,0))</f>
        <v>kferrettimf@huffingtonpost.com</v>
      </c>
      <c r="H809" s="2" t="str">
        <f>_xlfn.XLOOKUP(C809,Data_customers!$A$1:$A$1001,Data_customers!$G$1:$G$1001,"",0)</f>
        <v>Ireland</v>
      </c>
      <c r="I809" t="str">
        <f>INDEX(Data_products!$A$1:$G$49, MATCH(Data_orders!$D809,Data_products!$A$1:$A$49,0), MATCH(Data_orders!I$1,Data_products!$A$1:$G$1,0))</f>
        <v>Lib</v>
      </c>
      <c r="J809" t="str">
        <f>INDEX(Data_products!$A$1:$G$49, MATCH(Data_orders!$D809,Data_products!$A$1:$A$49,0), MATCH(Data_orders!J$1,Data_products!$A$1:$G$1,0))</f>
        <v>D</v>
      </c>
      <c r="K809" s="4">
        <f>INDEX(Data_products!$A$1:$G$49, MATCH(Data_orders!$D809,Data_products!$A$1:$A$49,0), MATCH(Data_orders!K$1,Data_products!$A$1:$G$1,0))</f>
        <v>0.5</v>
      </c>
      <c r="L809">
        <f>INDEX(Data_products!$A$1:$G$49, MATCH(Data_orders!$D809,Data_products!$A$1:$A$49,0), MATCH(Data_orders!L$1,Data_products!$A$1:$G$1,0))</f>
        <v>7.77</v>
      </c>
      <c r="M809">
        <f t="shared" si="24"/>
        <v>23.31</v>
      </c>
      <c r="N809" t="str" cm="1">
        <f t="array" ref="N809">_xlfn.IFS(I809 = "Rob", "Robusta", I809 = "Exc", "Excelsa", I809 = "Ara", "Arabica", I809 = "Lib", "Liberica")</f>
        <v>Liberica</v>
      </c>
      <c r="O809" t="str">
        <f t="shared" si="25"/>
        <v>Dark</v>
      </c>
      <c r="P809" t="str">
        <f>_xlfn.XLOOKUP(Table1[[#This Row],[Customer ID]],Data_customers!$A$2:$A$1001,Data_customers!$I$2:$I$1001,,0)</f>
        <v>No</v>
      </c>
    </row>
    <row r="810" spans="1:16" x14ac:dyDescent="0.2">
      <c r="A810" s="2" t="s">
        <v>5056</v>
      </c>
      <c r="B810" s="3">
        <v>43868</v>
      </c>
      <c r="C810" s="2" t="s">
        <v>5113</v>
      </c>
      <c r="D810" t="s">
        <v>6142</v>
      </c>
      <c r="E810" s="2">
        <v>5</v>
      </c>
      <c r="F810" s="2" t="str">
        <f>_xlfn.XLOOKUP(Data_orders!C810,Data_customers!$A$1:$A$1001,Data_customers!$B$1:$B$1001,,0)</f>
        <v>Allis Wilmore</v>
      </c>
      <c r="G810" s="2" t="str">
        <f>IF(_xlfn.XLOOKUP(C810,Data_customers!$A$1:$A$1001,Data_customers!$C$1:$C$1001,,0)=0,"",_xlfn.XLOOKUP(C810,Data_customers!$A$1:$A$1001,Data_customers!$C$1:$C$1001,,0))</f>
        <v/>
      </c>
      <c r="H810" s="2" t="str">
        <f>_xlfn.XLOOKUP(C810,Data_customers!$A$1:$A$1001,Data_customers!$G$1:$G$1001,"",0)</f>
        <v>United States</v>
      </c>
      <c r="I810" t="str">
        <f>INDEX(Data_products!$A$1:$G$49, MATCH(Data_orders!$D810,Data_products!$A$1:$A$49,0), MATCH(Data_orders!I$1,Data_products!$A$1:$G$1,0))</f>
        <v>Rob</v>
      </c>
      <c r="J810" t="str">
        <f>INDEX(Data_products!$A$1:$G$49, MATCH(Data_orders!$D810,Data_products!$A$1:$A$49,0), MATCH(Data_orders!J$1,Data_products!$A$1:$G$1,0))</f>
        <v>L</v>
      </c>
      <c r="K810" s="4">
        <f>INDEX(Data_products!$A$1:$G$49, MATCH(Data_orders!$D810,Data_products!$A$1:$A$49,0), MATCH(Data_orders!K$1,Data_products!$A$1:$G$1,0))</f>
        <v>2.5</v>
      </c>
      <c r="L810">
        <f>INDEX(Data_products!$A$1:$G$49, MATCH(Data_orders!$D810,Data_products!$A$1:$A$49,0), MATCH(Data_orders!L$1,Data_products!$A$1:$G$1,0))</f>
        <v>27.484999999999996</v>
      </c>
      <c r="M810">
        <f t="shared" si="24"/>
        <v>137.42499999999998</v>
      </c>
      <c r="N810" t="str" cm="1">
        <f t="array" ref="N810">_xlfn.IFS(I810 = "Rob", "Robusta", I810 = "Exc", "Excelsa", I810 = "Ara", "Arabica", I810 = "Lib", "Liberica")</f>
        <v>Robusta</v>
      </c>
      <c r="O810" t="str">
        <f t="shared" si="25"/>
        <v>Light</v>
      </c>
      <c r="P810" t="str">
        <f>_xlfn.XLOOKUP(Table1[[#This Row],[Customer ID]],Data_customers!$A$2:$A$1001,Data_customers!$I$2:$I$1001,,0)</f>
        <v>No</v>
      </c>
    </row>
    <row r="811" spans="1:16" x14ac:dyDescent="0.2">
      <c r="A811" s="2" t="s">
        <v>5062</v>
      </c>
      <c r="B811" s="3">
        <v>44235</v>
      </c>
      <c r="C811" s="2" t="s">
        <v>5063</v>
      </c>
      <c r="D811" t="s">
        <v>6163</v>
      </c>
      <c r="E811" s="2">
        <v>3</v>
      </c>
      <c r="F811" s="2" t="str">
        <f>_xlfn.XLOOKUP(Data_orders!C811,Data_customers!$A$1:$A$1001,Data_customers!$B$1:$B$1001,,0)</f>
        <v>Chaddie Bennie</v>
      </c>
      <c r="G811" s="2" t="str">
        <f>IF(_xlfn.XLOOKUP(C811,Data_customers!$A$1:$A$1001,Data_customers!$C$1:$C$1001,,0)=0,"",_xlfn.XLOOKUP(C811,Data_customers!$A$1:$A$1001,Data_customers!$C$1:$C$1001,,0))</f>
        <v/>
      </c>
      <c r="H811" s="2" t="str">
        <f>_xlfn.XLOOKUP(C811,Data_customers!$A$1:$A$1001,Data_customers!$G$1:$G$1001,"",0)</f>
        <v>United States</v>
      </c>
      <c r="I811" t="str">
        <f>INDEX(Data_products!$A$1:$G$49, MATCH(Data_orders!$D811,Data_products!$A$1:$A$49,0), MATCH(Data_orders!I$1,Data_products!$A$1:$G$1,0))</f>
        <v>Rob</v>
      </c>
      <c r="J811" t="str">
        <f>INDEX(Data_products!$A$1:$G$49, MATCH(Data_orders!$D811,Data_products!$A$1:$A$49,0), MATCH(Data_orders!J$1,Data_products!$A$1:$G$1,0))</f>
        <v>D</v>
      </c>
      <c r="K811" s="4">
        <f>INDEX(Data_products!$A$1:$G$49, MATCH(Data_orders!$D811,Data_products!$A$1:$A$49,0), MATCH(Data_orders!K$1,Data_products!$A$1:$G$1,0))</f>
        <v>0.2</v>
      </c>
      <c r="L811">
        <f>INDEX(Data_products!$A$1:$G$49, MATCH(Data_orders!$D811,Data_products!$A$1:$A$49,0), MATCH(Data_orders!L$1,Data_products!$A$1:$G$1,0))</f>
        <v>2.6849999999999996</v>
      </c>
      <c r="M811">
        <f t="shared" si="24"/>
        <v>8.0549999999999997</v>
      </c>
      <c r="N811" t="str" cm="1">
        <f t="array" ref="N811">_xlfn.IFS(I811 = "Rob", "Robusta", I811 = "Exc", "Excelsa", I811 = "Ara", "Arabica", I811 = "Lib", "Liberica")</f>
        <v>Robusta</v>
      </c>
      <c r="O811" t="str">
        <f t="shared" si="25"/>
        <v>Dark</v>
      </c>
      <c r="P811" t="str">
        <f>_xlfn.XLOOKUP(Table1[[#This Row],[Customer ID]],Data_customers!$A$2:$A$1001,Data_customers!$I$2:$I$1001,,0)</f>
        <v>Yes</v>
      </c>
    </row>
    <row r="812" spans="1:16" x14ac:dyDescent="0.2">
      <c r="A812" s="2" t="s">
        <v>5067</v>
      </c>
      <c r="B812" s="3">
        <v>44054</v>
      </c>
      <c r="C812" s="2" t="s">
        <v>5068</v>
      </c>
      <c r="D812" t="s">
        <v>6161</v>
      </c>
      <c r="E812" s="2">
        <v>3</v>
      </c>
      <c r="F812" s="2" t="str">
        <f>_xlfn.XLOOKUP(Data_orders!C812,Data_customers!$A$1:$A$1001,Data_customers!$B$1:$B$1001,,0)</f>
        <v>Alberta Balsdone</v>
      </c>
      <c r="G812" s="2" t="str">
        <f>IF(_xlfn.XLOOKUP(C812,Data_customers!$A$1:$A$1001,Data_customers!$C$1:$C$1001,,0)=0,"",_xlfn.XLOOKUP(C812,Data_customers!$A$1:$A$1001,Data_customers!$C$1:$C$1001,,0))</f>
        <v>abalsdonemi@toplist.cz</v>
      </c>
      <c r="H812" s="2" t="str">
        <f>_xlfn.XLOOKUP(C812,Data_customers!$A$1:$A$1001,Data_customers!$G$1:$G$1001,"",0)</f>
        <v>United States</v>
      </c>
      <c r="I812" t="str">
        <f>INDEX(Data_products!$A$1:$G$49, MATCH(Data_orders!$D812,Data_products!$A$1:$A$49,0), MATCH(Data_orders!I$1,Data_products!$A$1:$G$1,0))</f>
        <v>Lib</v>
      </c>
      <c r="J812" t="str">
        <f>INDEX(Data_products!$A$1:$G$49, MATCH(Data_orders!$D812,Data_products!$A$1:$A$49,0), MATCH(Data_orders!J$1,Data_products!$A$1:$G$1,0))</f>
        <v>L</v>
      </c>
      <c r="K812" s="4">
        <f>INDEX(Data_products!$A$1:$G$49, MATCH(Data_orders!$D812,Data_products!$A$1:$A$49,0), MATCH(Data_orders!K$1,Data_products!$A$1:$G$1,0))</f>
        <v>0.5</v>
      </c>
      <c r="L812">
        <f>INDEX(Data_products!$A$1:$G$49, MATCH(Data_orders!$D812,Data_products!$A$1:$A$49,0), MATCH(Data_orders!L$1,Data_products!$A$1:$G$1,0))</f>
        <v>9.51</v>
      </c>
      <c r="M812">
        <f t="shared" si="24"/>
        <v>28.53</v>
      </c>
      <c r="N812" t="str" cm="1">
        <f t="array" ref="N812">_xlfn.IFS(I812 = "Rob", "Robusta", I812 = "Exc", "Excelsa", I812 = "Ara", "Arabica", I812 = "Lib", "Liberica")</f>
        <v>Liberica</v>
      </c>
      <c r="O812" t="str">
        <f t="shared" si="25"/>
        <v>Light</v>
      </c>
      <c r="P812" t="str">
        <f>_xlfn.XLOOKUP(Table1[[#This Row],[Customer ID]],Data_customers!$A$2:$A$1001,Data_customers!$I$2:$I$1001,,0)</f>
        <v>No</v>
      </c>
    </row>
    <row r="813" spans="1:16" x14ac:dyDescent="0.2">
      <c r="A813" s="2" t="s">
        <v>5073</v>
      </c>
      <c r="B813" s="3">
        <v>44114</v>
      </c>
      <c r="C813" s="2" t="s">
        <v>5074</v>
      </c>
      <c r="D813" t="s">
        <v>6155</v>
      </c>
      <c r="E813" s="2">
        <v>6</v>
      </c>
      <c r="F813" s="2" t="str">
        <f>_xlfn.XLOOKUP(Data_orders!C813,Data_customers!$A$1:$A$1001,Data_customers!$B$1:$B$1001,,0)</f>
        <v>Brice Romera</v>
      </c>
      <c r="G813" s="2" t="str">
        <f>IF(_xlfn.XLOOKUP(C813,Data_customers!$A$1:$A$1001,Data_customers!$C$1:$C$1001,,0)=0,"",_xlfn.XLOOKUP(C813,Data_customers!$A$1:$A$1001,Data_customers!$C$1:$C$1001,,0))</f>
        <v>bromeramj@list-manage.com</v>
      </c>
      <c r="H813" s="2" t="str">
        <f>_xlfn.XLOOKUP(C813,Data_customers!$A$1:$A$1001,Data_customers!$G$1:$G$1001,"",0)</f>
        <v>Ireland</v>
      </c>
      <c r="I813" t="str">
        <f>INDEX(Data_products!$A$1:$G$49, MATCH(Data_orders!$D813,Data_products!$A$1:$A$49,0), MATCH(Data_orders!I$1,Data_products!$A$1:$G$1,0))</f>
        <v>Ara</v>
      </c>
      <c r="J813" t="str">
        <f>INDEX(Data_products!$A$1:$G$49, MATCH(Data_orders!$D813,Data_products!$A$1:$A$49,0), MATCH(Data_orders!J$1,Data_products!$A$1:$G$1,0))</f>
        <v>M</v>
      </c>
      <c r="K813" s="4">
        <f>INDEX(Data_products!$A$1:$G$49, MATCH(Data_orders!$D813,Data_products!$A$1:$A$49,0), MATCH(Data_orders!K$1,Data_products!$A$1:$G$1,0))</f>
        <v>1</v>
      </c>
      <c r="L813">
        <f>INDEX(Data_products!$A$1:$G$49, MATCH(Data_orders!$D813,Data_products!$A$1:$A$49,0), MATCH(Data_orders!L$1,Data_products!$A$1:$G$1,0))</f>
        <v>11.25</v>
      </c>
      <c r="M813">
        <f t="shared" si="24"/>
        <v>67.5</v>
      </c>
      <c r="N813" t="str" cm="1">
        <f t="array" ref="N813">_xlfn.IFS(I813 = "Rob", "Robusta", I813 = "Exc", "Excelsa", I813 = "Ara", "Arabica", I813 = "Lib", "Liberica")</f>
        <v>Arabica</v>
      </c>
      <c r="O813" t="str">
        <f t="shared" si="25"/>
        <v>Medium</v>
      </c>
      <c r="P813" t="str">
        <f>_xlfn.XLOOKUP(Table1[[#This Row],[Customer ID]],Data_customers!$A$2:$A$1001,Data_customers!$I$2:$I$1001,,0)</f>
        <v>Yes</v>
      </c>
    </row>
    <row r="814" spans="1:16" x14ac:dyDescent="0.2">
      <c r="A814" s="2" t="s">
        <v>5073</v>
      </c>
      <c r="B814" s="3">
        <v>44114</v>
      </c>
      <c r="C814" s="2" t="s">
        <v>5074</v>
      </c>
      <c r="D814" t="s">
        <v>6165</v>
      </c>
      <c r="E814" s="2">
        <v>6</v>
      </c>
      <c r="F814" s="2" t="str">
        <f>_xlfn.XLOOKUP(Data_orders!C814,Data_customers!$A$1:$A$1001,Data_customers!$B$1:$B$1001,,0)</f>
        <v>Brice Romera</v>
      </c>
      <c r="G814" s="2" t="str">
        <f>IF(_xlfn.XLOOKUP(C814,Data_customers!$A$1:$A$1001,Data_customers!$C$1:$C$1001,,0)=0,"",_xlfn.XLOOKUP(C814,Data_customers!$A$1:$A$1001,Data_customers!$C$1:$C$1001,,0))</f>
        <v>bromeramj@list-manage.com</v>
      </c>
      <c r="H814" s="2" t="str">
        <f>_xlfn.XLOOKUP(C814,Data_customers!$A$1:$A$1001,Data_customers!$G$1:$G$1001,"",0)</f>
        <v>Ireland</v>
      </c>
      <c r="I814" t="str">
        <f>INDEX(Data_products!$A$1:$G$49, MATCH(Data_orders!$D814,Data_products!$A$1:$A$49,0), MATCH(Data_orders!I$1,Data_products!$A$1:$G$1,0))</f>
        <v>Lib</v>
      </c>
      <c r="J814" t="str">
        <f>INDEX(Data_products!$A$1:$G$49, MATCH(Data_orders!$D814,Data_products!$A$1:$A$49,0), MATCH(Data_orders!J$1,Data_products!$A$1:$G$1,0))</f>
        <v>D</v>
      </c>
      <c r="K814" s="4">
        <f>INDEX(Data_products!$A$1:$G$49, MATCH(Data_orders!$D814,Data_products!$A$1:$A$49,0), MATCH(Data_orders!K$1,Data_products!$A$1:$G$1,0))</f>
        <v>2.5</v>
      </c>
      <c r="L814">
        <f>INDEX(Data_products!$A$1:$G$49, MATCH(Data_orders!$D814,Data_products!$A$1:$A$49,0), MATCH(Data_orders!L$1,Data_products!$A$1:$G$1,0))</f>
        <v>29.784999999999997</v>
      </c>
      <c r="M814">
        <f t="shared" si="24"/>
        <v>178.70999999999998</v>
      </c>
      <c r="N814" t="str" cm="1">
        <f t="array" ref="N814">_xlfn.IFS(I814 = "Rob", "Robusta", I814 = "Exc", "Excelsa", I814 = "Ara", "Arabica", I814 = "Lib", "Liberica")</f>
        <v>Liberica</v>
      </c>
      <c r="O814" t="str">
        <f t="shared" si="25"/>
        <v>Dark</v>
      </c>
      <c r="P814" t="str">
        <f>_xlfn.XLOOKUP(Table1[[#This Row],[Customer ID]],Data_customers!$A$2:$A$1001,Data_customers!$I$2:$I$1001,,0)</f>
        <v>Yes</v>
      </c>
    </row>
    <row r="815" spans="1:16" x14ac:dyDescent="0.2">
      <c r="A815" s="2" t="s">
        <v>5084</v>
      </c>
      <c r="B815" s="3">
        <v>44173</v>
      </c>
      <c r="C815" s="2" t="s">
        <v>5085</v>
      </c>
      <c r="D815" t="s">
        <v>6166</v>
      </c>
      <c r="E815" s="2">
        <v>1</v>
      </c>
      <c r="F815" s="2" t="str">
        <f>_xlfn.XLOOKUP(Data_orders!C815,Data_customers!$A$1:$A$1001,Data_customers!$B$1:$B$1001,,0)</f>
        <v>Conchita Bryde</v>
      </c>
      <c r="G815" s="2" t="str">
        <f>IF(_xlfn.XLOOKUP(C815,Data_customers!$A$1:$A$1001,Data_customers!$C$1:$C$1001,,0)=0,"",_xlfn.XLOOKUP(C815,Data_customers!$A$1:$A$1001,Data_customers!$C$1:$C$1001,,0))</f>
        <v>cbrydeml@tuttocitta.it</v>
      </c>
      <c r="H815" s="2" t="str">
        <f>_xlfn.XLOOKUP(C815,Data_customers!$A$1:$A$1001,Data_customers!$G$1:$G$1001,"",0)</f>
        <v>United States</v>
      </c>
      <c r="I815" t="str">
        <f>INDEX(Data_products!$A$1:$G$49, MATCH(Data_orders!$D815,Data_products!$A$1:$A$49,0), MATCH(Data_orders!I$1,Data_products!$A$1:$G$1,0))</f>
        <v>Exc</v>
      </c>
      <c r="J815" t="str">
        <f>INDEX(Data_products!$A$1:$G$49, MATCH(Data_orders!$D815,Data_products!$A$1:$A$49,0), MATCH(Data_orders!J$1,Data_products!$A$1:$G$1,0))</f>
        <v>M</v>
      </c>
      <c r="K815" s="4">
        <f>INDEX(Data_products!$A$1:$G$49, MATCH(Data_orders!$D815,Data_products!$A$1:$A$49,0), MATCH(Data_orders!K$1,Data_products!$A$1:$G$1,0))</f>
        <v>2.5</v>
      </c>
      <c r="L815">
        <f>INDEX(Data_products!$A$1:$G$49, MATCH(Data_orders!$D815,Data_products!$A$1:$A$49,0), MATCH(Data_orders!L$1,Data_products!$A$1:$G$1,0))</f>
        <v>31.624999999999996</v>
      </c>
      <c r="M815">
        <f t="shared" si="24"/>
        <v>31.624999999999996</v>
      </c>
      <c r="N815" t="str" cm="1">
        <f t="array" ref="N815">_xlfn.IFS(I815 = "Rob", "Robusta", I815 = "Exc", "Excelsa", I815 = "Ara", "Arabica", I815 = "Lib", "Liberica")</f>
        <v>Excelsa</v>
      </c>
      <c r="O815" t="str">
        <f t="shared" si="25"/>
        <v>Medium</v>
      </c>
      <c r="P815" t="str">
        <f>_xlfn.XLOOKUP(Table1[[#This Row],[Customer ID]],Data_customers!$A$2:$A$1001,Data_customers!$I$2:$I$1001,,0)</f>
        <v>Yes</v>
      </c>
    </row>
    <row r="816" spans="1:16" x14ac:dyDescent="0.2">
      <c r="A816" s="2" t="s">
        <v>5090</v>
      </c>
      <c r="B816" s="3">
        <v>43573</v>
      </c>
      <c r="C816" s="2" t="s">
        <v>5091</v>
      </c>
      <c r="D816" t="s">
        <v>6184</v>
      </c>
      <c r="E816" s="2">
        <v>2</v>
      </c>
      <c r="F816" s="2" t="str">
        <f>_xlfn.XLOOKUP(Data_orders!C816,Data_customers!$A$1:$A$1001,Data_customers!$B$1:$B$1001,,0)</f>
        <v>Silvanus Enefer</v>
      </c>
      <c r="G816" s="2" t="str">
        <f>IF(_xlfn.XLOOKUP(C816,Data_customers!$A$1:$A$1001,Data_customers!$C$1:$C$1001,,0)=0,"",_xlfn.XLOOKUP(C816,Data_customers!$A$1:$A$1001,Data_customers!$C$1:$C$1001,,0))</f>
        <v>senefermm@blog.com</v>
      </c>
      <c r="H816" s="2" t="str">
        <f>_xlfn.XLOOKUP(C816,Data_customers!$A$1:$A$1001,Data_customers!$G$1:$G$1001,"",0)</f>
        <v>United States</v>
      </c>
      <c r="I816" t="str">
        <f>INDEX(Data_products!$A$1:$G$49, MATCH(Data_orders!$D816,Data_products!$A$1:$A$49,0), MATCH(Data_orders!I$1,Data_products!$A$1:$G$1,0))</f>
        <v>Exc</v>
      </c>
      <c r="J816" t="str">
        <f>INDEX(Data_products!$A$1:$G$49, MATCH(Data_orders!$D816,Data_products!$A$1:$A$49,0), MATCH(Data_orders!J$1,Data_products!$A$1:$G$1,0))</f>
        <v>L</v>
      </c>
      <c r="K816" s="4">
        <f>INDEX(Data_products!$A$1:$G$49, MATCH(Data_orders!$D816,Data_products!$A$1:$A$49,0), MATCH(Data_orders!K$1,Data_products!$A$1:$G$1,0))</f>
        <v>0.2</v>
      </c>
      <c r="L816">
        <f>INDEX(Data_products!$A$1:$G$49, MATCH(Data_orders!$D816,Data_products!$A$1:$A$49,0), MATCH(Data_orders!L$1,Data_products!$A$1:$G$1,0))</f>
        <v>4.4550000000000001</v>
      </c>
      <c r="M816">
        <f t="shared" si="24"/>
        <v>8.91</v>
      </c>
      <c r="N816" t="str" cm="1">
        <f t="array" ref="N816">_xlfn.IFS(I816 = "Rob", "Robusta", I816 = "Exc", "Excelsa", I816 = "Ara", "Arabica", I816 = "Lib", "Liberica")</f>
        <v>Excelsa</v>
      </c>
      <c r="O816" t="str">
        <f t="shared" si="25"/>
        <v>Light</v>
      </c>
      <c r="P816" t="str">
        <f>_xlfn.XLOOKUP(Table1[[#This Row],[Customer ID]],Data_customers!$A$2:$A$1001,Data_customers!$I$2:$I$1001,,0)</f>
        <v>No</v>
      </c>
    </row>
    <row r="817" spans="1:16" x14ac:dyDescent="0.2">
      <c r="A817" s="2" t="s">
        <v>5096</v>
      </c>
      <c r="B817" s="3">
        <v>44200</v>
      </c>
      <c r="C817" s="2" t="s">
        <v>5097</v>
      </c>
      <c r="D817" t="s">
        <v>6146</v>
      </c>
      <c r="E817" s="2">
        <v>6</v>
      </c>
      <c r="F817" s="2" t="str">
        <f>_xlfn.XLOOKUP(Data_orders!C817,Data_customers!$A$1:$A$1001,Data_customers!$B$1:$B$1001,,0)</f>
        <v>Lenci Haggerstone</v>
      </c>
      <c r="G817" s="2" t="str">
        <f>IF(_xlfn.XLOOKUP(C817,Data_customers!$A$1:$A$1001,Data_customers!$C$1:$C$1001,,0)=0,"",_xlfn.XLOOKUP(C817,Data_customers!$A$1:$A$1001,Data_customers!$C$1:$C$1001,,0))</f>
        <v>lhaggerstonemn@independent.co.uk</v>
      </c>
      <c r="H817" s="2" t="str">
        <f>_xlfn.XLOOKUP(C817,Data_customers!$A$1:$A$1001,Data_customers!$G$1:$G$1001,"",0)</f>
        <v>United States</v>
      </c>
      <c r="I817" t="str">
        <f>INDEX(Data_products!$A$1:$G$49, MATCH(Data_orders!$D817,Data_products!$A$1:$A$49,0), MATCH(Data_orders!I$1,Data_products!$A$1:$G$1,0))</f>
        <v>Rob</v>
      </c>
      <c r="J817" t="str">
        <f>INDEX(Data_products!$A$1:$G$49, MATCH(Data_orders!$D817,Data_products!$A$1:$A$49,0), MATCH(Data_orders!J$1,Data_products!$A$1:$G$1,0))</f>
        <v>M</v>
      </c>
      <c r="K817" s="4">
        <f>INDEX(Data_products!$A$1:$G$49, MATCH(Data_orders!$D817,Data_products!$A$1:$A$49,0), MATCH(Data_orders!K$1,Data_products!$A$1:$G$1,0))</f>
        <v>0.5</v>
      </c>
      <c r="L817">
        <f>INDEX(Data_products!$A$1:$G$49, MATCH(Data_orders!$D817,Data_products!$A$1:$A$49,0), MATCH(Data_orders!L$1,Data_products!$A$1:$G$1,0))</f>
        <v>5.97</v>
      </c>
      <c r="M817">
        <f t="shared" si="24"/>
        <v>35.82</v>
      </c>
      <c r="N817" t="str" cm="1">
        <f t="array" ref="N817">_xlfn.IFS(I817 = "Rob", "Robusta", I817 = "Exc", "Excelsa", I817 = "Ara", "Arabica", I817 = "Lib", "Liberica")</f>
        <v>Robusta</v>
      </c>
      <c r="O817" t="str">
        <f t="shared" si="25"/>
        <v>Medium</v>
      </c>
      <c r="P817" t="str">
        <f>_xlfn.XLOOKUP(Table1[[#This Row],[Customer ID]],Data_customers!$A$2:$A$1001,Data_customers!$I$2:$I$1001,,0)</f>
        <v>No</v>
      </c>
    </row>
    <row r="818" spans="1:16" x14ac:dyDescent="0.2">
      <c r="A818" s="2" t="s">
        <v>5102</v>
      </c>
      <c r="B818" s="3">
        <v>43534</v>
      </c>
      <c r="C818" s="2" t="s">
        <v>5103</v>
      </c>
      <c r="D818" t="s">
        <v>6161</v>
      </c>
      <c r="E818" s="2">
        <v>4</v>
      </c>
      <c r="F818" s="2" t="str">
        <f>_xlfn.XLOOKUP(Data_orders!C818,Data_customers!$A$1:$A$1001,Data_customers!$B$1:$B$1001,,0)</f>
        <v>Marvin Gundry</v>
      </c>
      <c r="G818" s="2" t="str">
        <f>IF(_xlfn.XLOOKUP(C818,Data_customers!$A$1:$A$1001,Data_customers!$C$1:$C$1001,,0)=0,"",_xlfn.XLOOKUP(C818,Data_customers!$A$1:$A$1001,Data_customers!$C$1:$C$1001,,0))</f>
        <v>mgundrymo@omniture.com</v>
      </c>
      <c r="H818" s="2" t="str">
        <f>_xlfn.XLOOKUP(C818,Data_customers!$A$1:$A$1001,Data_customers!$G$1:$G$1001,"",0)</f>
        <v>Ireland</v>
      </c>
      <c r="I818" t="str">
        <f>INDEX(Data_products!$A$1:$G$49, MATCH(Data_orders!$D818,Data_products!$A$1:$A$49,0), MATCH(Data_orders!I$1,Data_products!$A$1:$G$1,0))</f>
        <v>Lib</v>
      </c>
      <c r="J818" t="str">
        <f>INDEX(Data_products!$A$1:$G$49, MATCH(Data_orders!$D818,Data_products!$A$1:$A$49,0), MATCH(Data_orders!J$1,Data_products!$A$1:$G$1,0))</f>
        <v>L</v>
      </c>
      <c r="K818" s="4">
        <f>INDEX(Data_products!$A$1:$G$49, MATCH(Data_orders!$D818,Data_products!$A$1:$A$49,0), MATCH(Data_orders!K$1,Data_products!$A$1:$G$1,0))</f>
        <v>0.5</v>
      </c>
      <c r="L818">
        <f>INDEX(Data_products!$A$1:$G$49, MATCH(Data_orders!$D818,Data_products!$A$1:$A$49,0), MATCH(Data_orders!L$1,Data_products!$A$1:$G$1,0))</f>
        <v>9.51</v>
      </c>
      <c r="M818">
        <f t="shared" si="24"/>
        <v>38.04</v>
      </c>
      <c r="N818" t="str" cm="1">
        <f t="array" ref="N818">_xlfn.IFS(I818 = "Rob", "Robusta", I818 = "Exc", "Excelsa", I818 = "Ara", "Arabica", I818 = "Lib", "Liberica")</f>
        <v>Liberica</v>
      </c>
      <c r="O818" t="str">
        <f t="shared" si="25"/>
        <v>Light</v>
      </c>
      <c r="P818" t="str">
        <f>_xlfn.XLOOKUP(Table1[[#This Row],[Customer ID]],Data_customers!$A$2:$A$1001,Data_customers!$I$2:$I$1001,,0)</f>
        <v>No</v>
      </c>
    </row>
    <row r="819" spans="1:16" x14ac:dyDescent="0.2">
      <c r="A819" s="2" t="s">
        <v>5107</v>
      </c>
      <c r="B819" s="3">
        <v>43798</v>
      </c>
      <c r="C819" s="2" t="s">
        <v>5108</v>
      </c>
      <c r="D819" t="s">
        <v>6169</v>
      </c>
      <c r="E819" s="2">
        <v>2</v>
      </c>
      <c r="F819" s="2" t="str">
        <f>_xlfn.XLOOKUP(Data_orders!C819,Data_customers!$A$1:$A$1001,Data_customers!$B$1:$B$1001,,0)</f>
        <v>Bayard Wellan</v>
      </c>
      <c r="G819" s="2" t="str">
        <f>IF(_xlfn.XLOOKUP(C819,Data_customers!$A$1:$A$1001,Data_customers!$C$1:$C$1001,,0)=0,"",_xlfn.XLOOKUP(C819,Data_customers!$A$1:$A$1001,Data_customers!$C$1:$C$1001,,0))</f>
        <v>bwellanmp@cafepress.com</v>
      </c>
      <c r="H819" s="2" t="str">
        <f>_xlfn.XLOOKUP(C819,Data_customers!$A$1:$A$1001,Data_customers!$G$1:$G$1001,"",0)</f>
        <v>United States</v>
      </c>
      <c r="I819" t="str">
        <f>INDEX(Data_products!$A$1:$G$49, MATCH(Data_orders!$D819,Data_products!$A$1:$A$49,0), MATCH(Data_orders!I$1,Data_products!$A$1:$G$1,0))</f>
        <v>Lib</v>
      </c>
      <c r="J819" t="str">
        <f>INDEX(Data_products!$A$1:$G$49, MATCH(Data_orders!$D819,Data_products!$A$1:$A$49,0), MATCH(Data_orders!J$1,Data_products!$A$1:$G$1,0))</f>
        <v>D</v>
      </c>
      <c r="K819" s="4">
        <f>INDEX(Data_products!$A$1:$G$49, MATCH(Data_orders!$D819,Data_products!$A$1:$A$49,0), MATCH(Data_orders!K$1,Data_products!$A$1:$G$1,0))</f>
        <v>0.5</v>
      </c>
      <c r="L819">
        <f>INDEX(Data_products!$A$1:$G$49, MATCH(Data_orders!$D819,Data_products!$A$1:$A$49,0), MATCH(Data_orders!L$1,Data_products!$A$1:$G$1,0))</f>
        <v>7.77</v>
      </c>
      <c r="M819">
        <f t="shared" si="24"/>
        <v>15.54</v>
      </c>
      <c r="N819" t="str" cm="1">
        <f t="array" ref="N819">_xlfn.IFS(I819 = "Rob", "Robusta", I819 = "Exc", "Excelsa", I819 = "Ara", "Arabica", I819 = "Lib", "Liberica")</f>
        <v>Liberica</v>
      </c>
      <c r="O819" t="str">
        <f t="shared" si="25"/>
        <v>Dark</v>
      </c>
      <c r="P819" t="str">
        <f>_xlfn.XLOOKUP(Table1[[#This Row],[Customer ID]],Data_customers!$A$2:$A$1001,Data_customers!$I$2:$I$1001,,0)</f>
        <v>No</v>
      </c>
    </row>
    <row r="820" spans="1:16" x14ac:dyDescent="0.2">
      <c r="A820" s="2" t="s">
        <v>5112</v>
      </c>
      <c r="B820" s="3">
        <v>44761</v>
      </c>
      <c r="C820" s="2" t="s">
        <v>5113</v>
      </c>
      <c r="D820" t="s">
        <v>6170</v>
      </c>
      <c r="E820" s="2">
        <v>5</v>
      </c>
      <c r="F820" s="2" t="str">
        <f>_xlfn.XLOOKUP(Data_orders!C820,Data_customers!$A$1:$A$1001,Data_customers!$B$1:$B$1001,,0)</f>
        <v>Allis Wilmore</v>
      </c>
      <c r="G820" s="2" t="str">
        <f>IF(_xlfn.XLOOKUP(C820,Data_customers!$A$1:$A$1001,Data_customers!$C$1:$C$1001,,0)=0,"",_xlfn.XLOOKUP(C820,Data_customers!$A$1:$A$1001,Data_customers!$C$1:$C$1001,,0))</f>
        <v/>
      </c>
      <c r="H820" s="2" t="str">
        <f>_xlfn.XLOOKUP(C820,Data_customers!$A$1:$A$1001,Data_customers!$G$1:$G$1001,"",0)</f>
        <v>United States</v>
      </c>
      <c r="I820" t="str">
        <f>INDEX(Data_products!$A$1:$G$49, MATCH(Data_orders!$D820,Data_products!$A$1:$A$49,0), MATCH(Data_orders!I$1,Data_products!$A$1:$G$1,0))</f>
        <v>Lib</v>
      </c>
      <c r="J820" t="str">
        <f>INDEX(Data_products!$A$1:$G$49, MATCH(Data_orders!$D820,Data_products!$A$1:$A$49,0), MATCH(Data_orders!J$1,Data_products!$A$1:$G$1,0))</f>
        <v>L</v>
      </c>
      <c r="K820" s="4">
        <f>INDEX(Data_products!$A$1:$G$49, MATCH(Data_orders!$D820,Data_products!$A$1:$A$49,0), MATCH(Data_orders!K$1,Data_products!$A$1:$G$1,0))</f>
        <v>1</v>
      </c>
      <c r="L820">
        <f>INDEX(Data_products!$A$1:$G$49, MATCH(Data_orders!$D820,Data_products!$A$1:$A$49,0), MATCH(Data_orders!L$1,Data_products!$A$1:$G$1,0))</f>
        <v>15.85</v>
      </c>
      <c r="M820">
        <f t="shared" si="24"/>
        <v>79.25</v>
      </c>
      <c r="N820" t="str" cm="1">
        <f t="array" ref="N820">_xlfn.IFS(I820 = "Rob", "Robusta", I820 = "Exc", "Excelsa", I820 = "Ara", "Arabica", I820 = "Lib", "Liberica")</f>
        <v>Liberica</v>
      </c>
      <c r="O820" t="str">
        <f t="shared" si="25"/>
        <v>Light</v>
      </c>
      <c r="P820" t="str">
        <f>_xlfn.XLOOKUP(Table1[[#This Row],[Customer ID]],Data_customers!$A$2:$A$1001,Data_customers!$I$2:$I$1001,,0)</f>
        <v>No</v>
      </c>
    </row>
    <row r="821" spans="1:16" x14ac:dyDescent="0.2">
      <c r="A821" s="2" t="s">
        <v>5117</v>
      </c>
      <c r="B821" s="3">
        <v>44008</v>
      </c>
      <c r="C821" s="2" t="s">
        <v>5118</v>
      </c>
      <c r="D821" t="s">
        <v>6145</v>
      </c>
      <c r="E821" s="2">
        <v>1</v>
      </c>
      <c r="F821" s="2" t="str">
        <f>_xlfn.XLOOKUP(Data_orders!C821,Data_customers!$A$1:$A$1001,Data_customers!$B$1:$B$1001,,0)</f>
        <v>Caddric Atcheson</v>
      </c>
      <c r="G821" s="2" t="str">
        <f>IF(_xlfn.XLOOKUP(C821,Data_customers!$A$1:$A$1001,Data_customers!$C$1:$C$1001,,0)=0,"",_xlfn.XLOOKUP(C821,Data_customers!$A$1:$A$1001,Data_customers!$C$1:$C$1001,,0))</f>
        <v>catchesonmr@xinhuanet.com</v>
      </c>
      <c r="H821" s="2" t="str">
        <f>_xlfn.XLOOKUP(C821,Data_customers!$A$1:$A$1001,Data_customers!$G$1:$G$1001,"",0)</f>
        <v>United States</v>
      </c>
      <c r="I821" t="str">
        <f>INDEX(Data_products!$A$1:$G$49, MATCH(Data_orders!$D821,Data_products!$A$1:$A$49,0), MATCH(Data_orders!I$1,Data_products!$A$1:$G$1,0))</f>
        <v>Lib</v>
      </c>
      <c r="J821" t="str">
        <f>INDEX(Data_products!$A$1:$G$49, MATCH(Data_orders!$D821,Data_products!$A$1:$A$49,0), MATCH(Data_orders!J$1,Data_products!$A$1:$G$1,0))</f>
        <v>L</v>
      </c>
      <c r="K821" s="4">
        <f>INDEX(Data_products!$A$1:$G$49, MATCH(Data_orders!$D821,Data_products!$A$1:$A$49,0), MATCH(Data_orders!K$1,Data_products!$A$1:$G$1,0))</f>
        <v>0.2</v>
      </c>
      <c r="L821">
        <f>INDEX(Data_products!$A$1:$G$49, MATCH(Data_orders!$D821,Data_products!$A$1:$A$49,0), MATCH(Data_orders!L$1,Data_products!$A$1:$G$1,0))</f>
        <v>4.7549999999999999</v>
      </c>
      <c r="M821">
        <f t="shared" si="24"/>
        <v>4.7549999999999999</v>
      </c>
      <c r="N821" t="str" cm="1">
        <f t="array" ref="N821">_xlfn.IFS(I821 = "Rob", "Robusta", I821 = "Exc", "Excelsa", I821 = "Ara", "Arabica", I821 = "Lib", "Liberica")</f>
        <v>Liberica</v>
      </c>
      <c r="O821" t="str">
        <f t="shared" si="25"/>
        <v>Light</v>
      </c>
      <c r="P821" t="str">
        <f>_xlfn.XLOOKUP(Table1[[#This Row],[Customer ID]],Data_customers!$A$2:$A$1001,Data_customers!$I$2:$I$1001,,0)</f>
        <v>Yes</v>
      </c>
    </row>
    <row r="822" spans="1:16" x14ac:dyDescent="0.2">
      <c r="A822" s="2" t="s">
        <v>5123</v>
      </c>
      <c r="B822" s="3">
        <v>43510</v>
      </c>
      <c r="C822" s="2" t="s">
        <v>5124</v>
      </c>
      <c r="D822" t="s">
        <v>6141</v>
      </c>
      <c r="E822" s="2">
        <v>4</v>
      </c>
      <c r="F822" s="2" t="str">
        <f>_xlfn.XLOOKUP(Data_orders!C822,Data_customers!$A$1:$A$1001,Data_customers!$B$1:$B$1001,,0)</f>
        <v>Eustace Stenton</v>
      </c>
      <c r="G822" s="2" t="str">
        <f>IF(_xlfn.XLOOKUP(C822,Data_customers!$A$1:$A$1001,Data_customers!$C$1:$C$1001,,0)=0,"",_xlfn.XLOOKUP(C822,Data_customers!$A$1:$A$1001,Data_customers!$C$1:$C$1001,,0))</f>
        <v>estentonms@google.it</v>
      </c>
      <c r="H822" s="2" t="str">
        <f>_xlfn.XLOOKUP(C822,Data_customers!$A$1:$A$1001,Data_customers!$G$1:$G$1001,"",0)</f>
        <v>United States</v>
      </c>
      <c r="I822" t="str">
        <f>INDEX(Data_products!$A$1:$G$49, MATCH(Data_orders!$D822,Data_products!$A$1:$A$49,0), MATCH(Data_orders!I$1,Data_products!$A$1:$G$1,0))</f>
        <v>Exc</v>
      </c>
      <c r="J822" t="str">
        <f>INDEX(Data_products!$A$1:$G$49, MATCH(Data_orders!$D822,Data_products!$A$1:$A$49,0), MATCH(Data_orders!J$1,Data_products!$A$1:$G$1,0))</f>
        <v>M</v>
      </c>
      <c r="K822" s="4">
        <f>INDEX(Data_products!$A$1:$G$49, MATCH(Data_orders!$D822,Data_products!$A$1:$A$49,0), MATCH(Data_orders!K$1,Data_products!$A$1:$G$1,0))</f>
        <v>1</v>
      </c>
      <c r="L822">
        <f>INDEX(Data_products!$A$1:$G$49, MATCH(Data_orders!$D822,Data_products!$A$1:$A$49,0), MATCH(Data_orders!L$1,Data_products!$A$1:$G$1,0))</f>
        <v>13.75</v>
      </c>
      <c r="M822">
        <f t="shared" si="24"/>
        <v>55</v>
      </c>
      <c r="N822" t="str" cm="1">
        <f t="array" ref="N822">_xlfn.IFS(I822 = "Rob", "Robusta", I822 = "Exc", "Excelsa", I822 = "Ara", "Arabica", I822 = "Lib", "Liberica")</f>
        <v>Excelsa</v>
      </c>
      <c r="O822" t="str">
        <f t="shared" si="25"/>
        <v>Medium</v>
      </c>
      <c r="P822" t="str">
        <f>_xlfn.XLOOKUP(Table1[[#This Row],[Customer ID]],Data_customers!$A$2:$A$1001,Data_customers!$I$2:$I$1001,,0)</f>
        <v>Yes</v>
      </c>
    </row>
    <row r="823" spans="1:16" x14ac:dyDescent="0.2">
      <c r="A823" s="2" t="s">
        <v>5129</v>
      </c>
      <c r="B823" s="3">
        <v>44144</v>
      </c>
      <c r="C823" s="2" t="s">
        <v>5130</v>
      </c>
      <c r="D823" t="s">
        <v>6172</v>
      </c>
      <c r="E823" s="2">
        <v>5</v>
      </c>
      <c r="F823" s="2" t="str">
        <f>_xlfn.XLOOKUP(Data_orders!C823,Data_customers!$A$1:$A$1001,Data_customers!$B$1:$B$1001,,0)</f>
        <v>Ericka Tripp</v>
      </c>
      <c r="G823" s="2" t="str">
        <f>IF(_xlfn.XLOOKUP(C823,Data_customers!$A$1:$A$1001,Data_customers!$C$1:$C$1001,,0)=0,"",_xlfn.XLOOKUP(C823,Data_customers!$A$1:$A$1001,Data_customers!$C$1:$C$1001,,0))</f>
        <v>etrippmt@wp.com</v>
      </c>
      <c r="H823" s="2" t="str">
        <f>_xlfn.XLOOKUP(C823,Data_customers!$A$1:$A$1001,Data_customers!$G$1:$G$1001,"",0)</f>
        <v>United States</v>
      </c>
      <c r="I823" t="str">
        <f>INDEX(Data_products!$A$1:$G$49, MATCH(Data_orders!$D823,Data_products!$A$1:$A$49,0), MATCH(Data_orders!I$1,Data_products!$A$1:$G$1,0))</f>
        <v>Rob</v>
      </c>
      <c r="J823" t="str">
        <f>INDEX(Data_products!$A$1:$G$49, MATCH(Data_orders!$D823,Data_products!$A$1:$A$49,0), MATCH(Data_orders!J$1,Data_products!$A$1:$G$1,0))</f>
        <v>D</v>
      </c>
      <c r="K823" s="4">
        <f>INDEX(Data_products!$A$1:$G$49, MATCH(Data_orders!$D823,Data_products!$A$1:$A$49,0), MATCH(Data_orders!K$1,Data_products!$A$1:$G$1,0))</f>
        <v>0.5</v>
      </c>
      <c r="L823">
        <f>INDEX(Data_products!$A$1:$G$49, MATCH(Data_orders!$D823,Data_products!$A$1:$A$49,0), MATCH(Data_orders!L$1,Data_products!$A$1:$G$1,0))</f>
        <v>5.3699999999999992</v>
      </c>
      <c r="M823">
        <f t="shared" si="24"/>
        <v>26.849999999999994</v>
      </c>
      <c r="N823" t="str" cm="1">
        <f t="array" ref="N823">_xlfn.IFS(I823 = "Rob", "Robusta", I823 = "Exc", "Excelsa", I823 = "Ara", "Arabica", I823 = "Lib", "Liberica")</f>
        <v>Robusta</v>
      </c>
      <c r="O823" t="str">
        <f t="shared" si="25"/>
        <v>Dark</v>
      </c>
      <c r="P823" t="str">
        <f>_xlfn.XLOOKUP(Table1[[#This Row],[Customer ID]],Data_customers!$A$2:$A$1001,Data_customers!$I$2:$I$1001,,0)</f>
        <v>No</v>
      </c>
    </row>
    <row r="824" spans="1:16" x14ac:dyDescent="0.2">
      <c r="A824" s="2" t="s">
        <v>5135</v>
      </c>
      <c r="B824" s="3">
        <v>43585</v>
      </c>
      <c r="C824" s="2" t="s">
        <v>5136</v>
      </c>
      <c r="D824" t="s">
        <v>6148</v>
      </c>
      <c r="E824" s="2">
        <v>4</v>
      </c>
      <c r="F824" s="2" t="str">
        <f>_xlfn.XLOOKUP(Data_orders!C824,Data_customers!$A$1:$A$1001,Data_customers!$B$1:$B$1001,,0)</f>
        <v>Lyndsey MacManus</v>
      </c>
      <c r="G824" s="2" t="str">
        <f>IF(_xlfn.XLOOKUP(C824,Data_customers!$A$1:$A$1001,Data_customers!$C$1:$C$1001,,0)=0,"",_xlfn.XLOOKUP(C824,Data_customers!$A$1:$A$1001,Data_customers!$C$1:$C$1001,,0))</f>
        <v>lmacmanusmu@imdb.com</v>
      </c>
      <c r="H824" s="2" t="str">
        <f>_xlfn.XLOOKUP(C824,Data_customers!$A$1:$A$1001,Data_customers!$G$1:$G$1001,"",0)</f>
        <v>United States</v>
      </c>
      <c r="I824" t="str">
        <f>INDEX(Data_products!$A$1:$G$49, MATCH(Data_orders!$D824,Data_products!$A$1:$A$49,0), MATCH(Data_orders!I$1,Data_products!$A$1:$G$1,0))</f>
        <v>Exc</v>
      </c>
      <c r="J824" t="str">
        <f>INDEX(Data_products!$A$1:$G$49, MATCH(Data_orders!$D824,Data_products!$A$1:$A$49,0), MATCH(Data_orders!J$1,Data_products!$A$1:$G$1,0))</f>
        <v>L</v>
      </c>
      <c r="K824" s="4">
        <f>INDEX(Data_products!$A$1:$G$49, MATCH(Data_orders!$D824,Data_products!$A$1:$A$49,0), MATCH(Data_orders!K$1,Data_products!$A$1:$G$1,0))</f>
        <v>2.5</v>
      </c>
      <c r="L824">
        <f>INDEX(Data_products!$A$1:$G$49, MATCH(Data_orders!$D824,Data_products!$A$1:$A$49,0), MATCH(Data_orders!L$1,Data_products!$A$1:$G$1,0))</f>
        <v>34.154999999999994</v>
      </c>
      <c r="M824">
        <f t="shared" si="24"/>
        <v>136.61999999999998</v>
      </c>
      <c r="N824" t="str" cm="1">
        <f t="array" ref="N824">_xlfn.IFS(I824 = "Rob", "Robusta", I824 = "Exc", "Excelsa", I824 = "Ara", "Arabica", I824 = "Lib", "Liberica")</f>
        <v>Excelsa</v>
      </c>
      <c r="O824" t="str">
        <f t="shared" si="25"/>
        <v>Light</v>
      </c>
      <c r="P824" t="str">
        <f>_xlfn.XLOOKUP(Table1[[#This Row],[Customer ID]],Data_customers!$A$2:$A$1001,Data_customers!$I$2:$I$1001,,0)</f>
        <v>No</v>
      </c>
    </row>
    <row r="825" spans="1:16" x14ac:dyDescent="0.2">
      <c r="A825" s="2" t="s">
        <v>5141</v>
      </c>
      <c r="B825" s="3">
        <v>44134</v>
      </c>
      <c r="C825" s="2" t="s">
        <v>5142</v>
      </c>
      <c r="D825" t="s">
        <v>6170</v>
      </c>
      <c r="E825" s="2">
        <v>3</v>
      </c>
      <c r="F825" s="2" t="str">
        <f>_xlfn.XLOOKUP(Data_orders!C825,Data_customers!$A$1:$A$1001,Data_customers!$B$1:$B$1001,,0)</f>
        <v>Tess Benediktovich</v>
      </c>
      <c r="G825" s="2" t="str">
        <f>IF(_xlfn.XLOOKUP(C825,Data_customers!$A$1:$A$1001,Data_customers!$C$1:$C$1001,,0)=0,"",_xlfn.XLOOKUP(C825,Data_customers!$A$1:$A$1001,Data_customers!$C$1:$C$1001,,0))</f>
        <v>tbenediktovichmv@ebay.com</v>
      </c>
      <c r="H825" s="2" t="str">
        <f>_xlfn.XLOOKUP(C825,Data_customers!$A$1:$A$1001,Data_customers!$G$1:$G$1001,"",0)</f>
        <v>United States</v>
      </c>
      <c r="I825" t="str">
        <f>INDEX(Data_products!$A$1:$G$49, MATCH(Data_orders!$D825,Data_products!$A$1:$A$49,0), MATCH(Data_orders!I$1,Data_products!$A$1:$G$1,0))</f>
        <v>Lib</v>
      </c>
      <c r="J825" t="str">
        <f>INDEX(Data_products!$A$1:$G$49, MATCH(Data_orders!$D825,Data_products!$A$1:$A$49,0), MATCH(Data_orders!J$1,Data_products!$A$1:$G$1,0))</f>
        <v>L</v>
      </c>
      <c r="K825" s="4">
        <f>INDEX(Data_products!$A$1:$G$49, MATCH(Data_orders!$D825,Data_products!$A$1:$A$49,0), MATCH(Data_orders!K$1,Data_products!$A$1:$G$1,0))</f>
        <v>1</v>
      </c>
      <c r="L825">
        <f>INDEX(Data_products!$A$1:$G$49, MATCH(Data_orders!$D825,Data_products!$A$1:$A$49,0), MATCH(Data_orders!L$1,Data_products!$A$1:$G$1,0))</f>
        <v>15.85</v>
      </c>
      <c r="M825">
        <f t="shared" si="24"/>
        <v>47.55</v>
      </c>
      <c r="N825" t="str" cm="1">
        <f t="array" ref="N825">_xlfn.IFS(I825 = "Rob", "Robusta", I825 = "Exc", "Excelsa", I825 = "Ara", "Arabica", I825 = "Lib", "Liberica")</f>
        <v>Liberica</v>
      </c>
      <c r="O825" t="str">
        <f t="shared" si="25"/>
        <v>Light</v>
      </c>
      <c r="P825" t="str">
        <f>_xlfn.XLOOKUP(Table1[[#This Row],[Customer ID]],Data_customers!$A$2:$A$1001,Data_customers!$I$2:$I$1001,,0)</f>
        <v>Yes</v>
      </c>
    </row>
    <row r="826" spans="1:16" x14ac:dyDescent="0.2">
      <c r="A826" s="2" t="s">
        <v>5147</v>
      </c>
      <c r="B826" s="3">
        <v>43781</v>
      </c>
      <c r="C826" s="2" t="s">
        <v>5148</v>
      </c>
      <c r="D826" t="s">
        <v>6152</v>
      </c>
      <c r="E826" s="2">
        <v>5</v>
      </c>
      <c r="F826" s="2" t="str">
        <f>_xlfn.XLOOKUP(Data_orders!C826,Data_customers!$A$1:$A$1001,Data_customers!$B$1:$B$1001,,0)</f>
        <v>Correy Bourner</v>
      </c>
      <c r="G826" s="2" t="str">
        <f>IF(_xlfn.XLOOKUP(C826,Data_customers!$A$1:$A$1001,Data_customers!$C$1:$C$1001,,0)=0,"",_xlfn.XLOOKUP(C826,Data_customers!$A$1:$A$1001,Data_customers!$C$1:$C$1001,,0))</f>
        <v>cbournermw@chronoengine.com</v>
      </c>
      <c r="H826" s="2" t="str">
        <f>_xlfn.XLOOKUP(C826,Data_customers!$A$1:$A$1001,Data_customers!$G$1:$G$1001,"",0)</f>
        <v>United States</v>
      </c>
      <c r="I826" t="str">
        <f>INDEX(Data_products!$A$1:$G$49, MATCH(Data_orders!$D826,Data_products!$A$1:$A$49,0), MATCH(Data_orders!I$1,Data_products!$A$1:$G$1,0))</f>
        <v>Ara</v>
      </c>
      <c r="J826" t="str">
        <f>INDEX(Data_products!$A$1:$G$49, MATCH(Data_orders!$D826,Data_products!$A$1:$A$49,0), MATCH(Data_orders!J$1,Data_products!$A$1:$G$1,0))</f>
        <v>M</v>
      </c>
      <c r="K826" s="4">
        <f>INDEX(Data_products!$A$1:$G$49, MATCH(Data_orders!$D826,Data_products!$A$1:$A$49,0), MATCH(Data_orders!K$1,Data_products!$A$1:$G$1,0))</f>
        <v>0.2</v>
      </c>
      <c r="L826">
        <f>INDEX(Data_products!$A$1:$G$49, MATCH(Data_orders!$D826,Data_products!$A$1:$A$49,0), MATCH(Data_orders!L$1,Data_products!$A$1:$G$1,0))</f>
        <v>3.375</v>
      </c>
      <c r="M826">
        <f t="shared" si="24"/>
        <v>16.875</v>
      </c>
      <c r="N826" t="str" cm="1">
        <f t="array" ref="N826">_xlfn.IFS(I826 = "Rob", "Robusta", I826 = "Exc", "Excelsa", I826 = "Ara", "Arabica", I826 = "Lib", "Liberica")</f>
        <v>Arabica</v>
      </c>
      <c r="O826" t="str">
        <f t="shared" si="25"/>
        <v>Medium</v>
      </c>
      <c r="P826" t="str">
        <f>_xlfn.XLOOKUP(Table1[[#This Row],[Customer ID]],Data_customers!$A$2:$A$1001,Data_customers!$I$2:$I$1001,,0)</f>
        <v>Yes</v>
      </c>
    </row>
    <row r="827" spans="1:16" x14ac:dyDescent="0.2">
      <c r="A827" s="2" t="s">
        <v>5152</v>
      </c>
      <c r="B827" s="3">
        <v>44603</v>
      </c>
      <c r="C827" s="2" t="s">
        <v>5188</v>
      </c>
      <c r="D827" t="s">
        <v>6147</v>
      </c>
      <c r="E827" s="2">
        <v>3</v>
      </c>
      <c r="F827" s="2" t="str">
        <f>_xlfn.XLOOKUP(Data_orders!C827,Data_customers!$A$1:$A$1001,Data_customers!$B$1:$B$1001,,0)</f>
        <v>Odelia Skerme</v>
      </c>
      <c r="G827" s="2" t="str">
        <f>IF(_xlfn.XLOOKUP(C827,Data_customers!$A$1:$A$1001,Data_customers!$C$1:$C$1001,,0)=0,"",_xlfn.XLOOKUP(C827,Data_customers!$A$1:$A$1001,Data_customers!$C$1:$C$1001,,0))</f>
        <v>oskermen3@hatena.ne.jp</v>
      </c>
      <c r="H827" s="2" t="str">
        <f>_xlfn.XLOOKUP(C827,Data_customers!$A$1:$A$1001,Data_customers!$G$1:$G$1001,"",0)</f>
        <v>United States</v>
      </c>
      <c r="I827" t="str">
        <f>INDEX(Data_products!$A$1:$G$49, MATCH(Data_orders!$D827,Data_products!$A$1:$A$49,0), MATCH(Data_orders!I$1,Data_products!$A$1:$G$1,0))</f>
        <v>Ara</v>
      </c>
      <c r="J827" t="str">
        <f>INDEX(Data_products!$A$1:$G$49, MATCH(Data_orders!$D827,Data_products!$A$1:$A$49,0), MATCH(Data_orders!J$1,Data_products!$A$1:$G$1,0))</f>
        <v>D</v>
      </c>
      <c r="K827" s="4">
        <f>INDEX(Data_products!$A$1:$G$49, MATCH(Data_orders!$D827,Data_products!$A$1:$A$49,0), MATCH(Data_orders!K$1,Data_products!$A$1:$G$1,0))</f>
        <v>1</v>
      </c>
      <c r="L827">
        <f>INDEX(Data_products!$A$1:$G$49, MATCH(Data_orders!$D827,Data_products!$A$1:$A$49,0), MATCH(Data_orders!L$1,Data_products!$A$1:$G$1,0))</f>
        <v>9.9499999999999993</v>
      </c>
      <c r="M827">
        <f t="shared" si="24"/>
        <v>29.849999999999998</v>
      </c>
      <c r="N827" t="str" cm="1">
        <f t="array" ref="N827">_xlfn.IFS(I827 = "Rob", "Robusta", I827 = "Exc", "Excelsa", I827 = "Ara", "Arabica", I827 = "Lib", "Liberica")</f>
        <v>Arabica</v>
      </c>
      <c r="O827" t="str">
        <f t="shared" si="25"/>
        <v>Dark</v>
      </c>
      <c r="P827" t="str">
        <f>_xlfn.XLOOKUP(Table1[[#This Row],[Customer ID]],Data_customers!$A$2:$A$1001,Data_customers!$I$2:$I$1001,,0)</f>
        <v>Yes</v>
      </c>
    </row>
    <row r="828" spans="1:16" x14ac:dyDescent="0.2">
      <c r="A828" s="2" t="s">
        <v>5158</v>
      </c>
      <c r="B828" s="3">
        <v>44283</v>
      </c>
      <c r="C828" s="2" t="s">
        <v>5159</v>
      </c>
      <c r="D828" t="s">
        <v>6139</v>
      </c>
      <c r="E828" s="2">
        <v>5</v>
      </c>
      <c r="F828" s="2" t="str">
        <f>_xlfn.XLOOKUP(Data_orders!C828,Data_customers!$A$1:$A$1001,Data_customers!$B$1:$B$1001,,0)</f>
        <v>Kandy Heddan</v>
      </c>
      <c r="G828" s="2" t="str">
        <f>IF(_xlfn.XLOOKUP(C828,Data_customers!$A$1:$A$1001,Data_customers!$C$1:$C$1001,,0)=0,"",_xlfn.XLOOKUP(C828,Data_customers!$A$1:$A$1001,Data_customers!$C$1:$C$1001,,0))</f>
        <v>kheddanmy@icq.com</v>
      </c>
      <c r="H828" s="2" t="str">
        <f>_xlfn.XLOOKUP(C828,Data_customers!$A$1:$A$1001,Data_customers!$G$1:$G$1001,"",0)</f>
        <v>United States</v>
      </c>
      <c r="I828" t="str">
        <f>INDEX(Data_products!$A$1:$G$49, MATCH(Data_orders!$D828,Data_products!$A$1:$A$49,0), MATCH(Data_orders!I$1,Data_products!$A$1:$G$1,0))</f>
        <v>Exc</v>
      </c>
      <c r="J828" t="str">
        <f>INDEX(Data_products!$A$1:$G$49, MATCH(Data_orders!$D828,Data_products!$A$1:$A$49,0), MATCH(Data_orders!J$1,Data_products!$A$1:$G$1,0))</f>
        <v>M</v>
      </c>
      <c r="K828" s="4">
        <f>INDEX(Data_products!$A$1:$G$49, MATCH(Data_orders!$D828,Data_products!$A$1:$A$49,0), MATCH(Data_orders!K$1,Data_products!$A$1:$G$1,0))</f>
        <v>0.5</v>
      </c>
      <c r="L828">
        <f>INDEX(Data_products!$A$1:$G$49, MATCH(Data_orders!$D828,Data_products!$A$1:$A$49,0), MATCH(Data_orders!L$1,Data_products!$A$1:$G$1,0))</f>
        <v>8.25</v>
      </c>
      <c r="M828">
        <f t="shared" si="24"/>
        <v>41.25</v>
      </c>
      <c r="N828" t="str" cm="1">
        <f t="array" ref="N828">_xlfn.IFS(I828 = "Rob", "Robusta", I828 = "Exc", "Excelsa", I828 = "Ara", "Arabica", I828 = "Lib", "Liberica")</f>
        <v>Excelsa</v>
      </c>
      <c r="O828" t="str">
        <f t="shared" si="25"/>
        <v>Medium</v>
      </c>
      <c r="P828" t="str">
        <f>_xlfn.XLOOKUP(Table1[[#This Row],[Customer ID]],Data_customers!$A$2:$A$1001,Data_customers!$I$2:$I$1001,,0)</f>
        <v>Yes</v>
      </c>
    </row>
    <row r="829" spans="1:16" x14ac:dyDescent="0.2">
      <c r="A829" s="2" t="s">
        <v>5164</v>
      </c>
      <c r="B829" s="3">
        <v>44540</v>
      </c>
      <c r="C829" s="2" t="s">
        <v>5165</v>
      </c>
      <c r="D829" t="s">
        <v>6156</v>
      </c>
      <c r="E829" s="2">
        <v>5</v>
      </c>
      <c r="F829" s="2" t="str">
        <f>_xlfn.XLOOKUP(Data_orders!C829,Data_customers!$A$1:$A$1001,Data_customers!$B$1:$B$1001,,0)</f>
        <v>Ibby Charters</v>
      </c>
      <c r="G829" s="2" t="str">
        <f>IF(_xlfn.XLOOKUP(C829,Data_customers!$A$1:$A$1001,Data_customers!$C$1:$C$1001,,0)=0,"",_xlfn.XLOOKUP(C829,Data_customers!$A$1:$A$1001,Data_customers!$C$1:$C$1001,,0))</f>
        <v>ichartersmz@abc.net.au</v>
      </c>
      <c r="H829" s="2" t="str">
        <f>_xlfn.XLOOKUP(C829,Data_customers!$A$1:$A$1001,Data_customers!$G$1:$G$1001,"",0)</f>
        <v>United States</v>
      </c>
      <c r="I829" t="str">
        <f>INDEX(Data_products!$A$1:$G$49, MATCH(Data_orders!$D829,Data_products!$A$1:$A$49,0), MATCH(Data_orders!I$1,Data_products!$A$1:$G$1,0))</f>
        <v>Exc</v>
      </c>
      <c r="J829" t="str">
        <f>INDEX(Data_products!$A$1:$G$49, MATCH(Data_orders!$D829,Data_products!$A$1:$A$49,0), MATCH(Data_orders!J$1,Data_products!$A$1:$G$1,0))</f>
        <v>M</v>
      </c>
      <c r="K829" s="4">
        <f>INDEX(Data_products!$A$1:$G$49, MATCH(Data_orders!$D829,Data_products!$A$1:$A$49,0), MATCH(Data_orders!K$1,Data_products!$A$1:$G$1,0))</f>
        <v>0.2</v>
      </c>
      <c r="L829">
        <f>INDEX(Data_products!$A$1:$G$49, MATCH(Data_orders!$D829,Data_products!$A$1:$A$49,0), MATCH(Data_orders!L$1,Data_products!$A$1:$G$1,0))</f>
        <v>4.125</v>
      </c>
      <c r="M829">
        <f t="shared" si="24"/>
        <v>20.625</v>
      </c>
      <c r="N829" t="str" cm="1">
        <f t="array" ref="N829">_xlfn.IFS(I829 = "Rob", "Robusta", I829 = "Exc", "Excelsa", I829 = "Ara", "Arabica", I829 = "Lib", "Liberica")</f>
        <v>Excelsa</v>
      </c>
      <c r="O829" t="str">
        <f t="shared" si="25"/>
        <v>Medium</v>
      </c>
      <c r="P829" t="str">
        <f>_xlfn.XLOOKUP(Table1[[#This Row],[Customer ID]],Data_customers!$A$2:$A$1001,Data_customers!$I$2:$I$1001,,0)</f>
        <v>No</v>
      </c>
    </row>
    <row r="830" spans="1:16" x14ac:dyDescent="0.2">
      <c r="A830" s="2" t="s">
        <v>5170</v>
      </c>
      <c r="B830" s="3">
        <v>44505</v>
      </c>
      <c r="C830" s="2" t="s">
        <v>5171</v>
      </c>
      <c r="D830" t="s">
        <v>6168</v>
      </c>
      <c r="E830" s="2">
        <v>6</v>
      </c>
      <c r="F830" s="2" t="str">
        <f>_xlfn.XLOOKUP(Data_orders!C830,Data_customers!$A$1:$A$1001,Data_customers!$B$1:$B$1001,,0)</f>
        <v>Adora Roubert</v>
      </c>
      <c r="G830" s="2" t="str">
        <f>IF(_xlfn.XLOOKUP(C830,Data_customers!$A$1:$A$1001,Data_customers!$C$1:$C$1001,,0)=0,"",_xlfn.XLOOKUP(C830,Data_customers!$A$1:$A$1001,Data_customers!$C$1:$C$1001,,0))</f>
        <v>aroubertn0@tmall.com</v>
      </c>
      <c r="H830" s="2" t="str">
        <f>_xlfn.XLOOKUP(C830,Data_customers!$A$1:$A$1001,Data_customers!$G$1:$G$1001,"",0)</f>
        <v>United States</v>
      </c>
      <c r="I830" t="str">
        <f>INDEX(Data_products!$A$1:$G$49, MATCH(Data_orders!$D830,Data_products!$A$1:$A$49,0), MATCH(Data_orders!I$1,Data_products!$A$1:$G$1,0))</f>
        <v>Ara</v>
      </c>
      <c r="J830" t="str">
        <f>INDEX(Data_products!$A$1:$G$49, MATCH(Data_orders!$D830,Data_products!$A$1:$A$49,0), MATCH(Data_orders!J$1,Data_products!$A$1:$G$1,0))</f>
        <v>D</v>
      </c>
      <c r="K830" s="4">
        <f>INDEX(Data_products!$A$1:$G$49, MATCH(Data_orders!$D830,Data_products!$A$1:$A$49,0), MATCH(Data_orders!K$1,Data_products!$A$1:$G$1,0))</f>
        <v>2.5</v>
      </c>
      <c r="L830">
        <f>INDEX(Data_products!$A$1:$G$49, MATCH(Data_orders!$D830,Data_products!$A$1:$A$49,0), MATCH(Data_orders!L$1,Data_products!$A$1:$G$1,0))</f>
        <v>22.884999999999998</v>
      </c>
      <c r="M830">
        <f t="shared" si="24"/>
        <v>137.31</v>
      </c>
      <c r="N830" t="str" cm="1">
        <f t="array" ref="N830">_xlfn.IFS(I830 = "Rob", "Robusta", I830 = "Exc", "Excelsa", I830 = "Ara", "Arabica", I830 = "Lib", "Liberica")</f>
        <v>Arabica</v>
      </c>
      <c r="O830" t="str">
        <f t="shared" si="25"/>
        <v>Dark</v>
      </c>
      <c r="P830" t="str">
        <f>_xlfn.XLOOKUP(Table1[[#This Row],[Customer ID]],Data_customers!$A$2:$A$1001,Data_customers!$I$2:$I$1001,,0)</f>
        <v>Yes</v>
      </c>
    </row>
    <row r="831" spans="1:16" x14ac:dyDescent="0.2">
      <c r="A831" s="2" t="s">
        <v>5176</v>
      </c>
      <c r="B831" s="3">
        <v>43890</v>
      </c>
      <c r="C831" s="2" t="s">
        <v>5177</v>
      </c>
      <c r="D831" t="s">
        <v>6154</v>
      </c>
      <c r="E831" s="2">
        <v>1</v>
      </c>
      <c r="F831" s="2" t="str">
        <f>_xlfn.XLOOKUP(Data_orders!C831,Data_customers!$A$1:$A$1001,Data_customers!$B$1:$B$1001,,0)</f>
        <v>Hillel Mairs</v>
      </c>
      <c r="G831" s="2" t="str">
        <f>IF(_xlfn.XLOOKUP(C831,Data_customers!$A$1:$A$1001,Data_customers!$C$1:$C$1001,,0)=0,"",_xlfn.XLOOKUP(C831,Data_customers!$A$1:$A$1001,Data_customers!$C$1:$C$1001,,0))</f>
        <v>hmairsn1@so-net.ne.jp</v>
      </c>
      <c r="H831" s="2" t="str">
        <f>_xlfn.XLOOKUP(C831,Data_customers!$A$1:$A$1001,Data_customers!$G$1:$G$1001,"",0)</f>
        <v>United States</v>
      </c>
      <c r="I831" t="str">
        <f>INDEX(Data_products!$A$1:$G$49, MATCH(Data_orders!$D831,Data_products!$A$1:$A$49,0), MATCH(Data_orders!I$1,Data_products!$A$1:$G$1,0))</f>
        <v>Ara</v>
      </c>
      <c r="J831" t="str">
        <f>INDEX(Data_products!$A$1:$G$49, MATCH(Data_orders!$D831,Data_products!$A$1:$A$49,0), MATCH(Data_orders!J$1,Data_products!$A$1:$G$1,0))</f>
        <v>D</v>
      </c>
      <c r="K831" s="4">
        <f>INDEX(Data_products!$A$1:$G$49, MATCH(Data_orders!$D831,Data_products!$A$1:$A$49,0), MATCH(Data_orders!K$1,Data_products!$A$1:$G$1,0))</f>
        <v>0.2</v>
      </c>
      <c r="L831">
        <f>INDEX(Data_products!$A$1:$G$49, MATCH(Data_orders!$D831,Data_products!$A$1:$A$49,0), MATCH(Data_orders!L$1,Data_products!$A$1:$G$1,0))</f>
        <v>2.9849999999999999</v>
      </c>
      <c r="M831">
        <f t="shared" si="24"/>
        <v>2.9849999999999999</v>
      </c>
      <c r="N831" t="str" cm="1">
        <f t="array" ref="N831">_xlfn.IFS(I831 = "Rob", "Robusta", I831 = "Exc", "Excelsa", I831 = "Ara", "Arabica", I831 = "Lib", "Liberica")</f>
        <v>Arabica</v>
      </c>
      <c r="O831" t="str">
        <f t="shared" si="25"/>
        <v>Dark</v>
      </c>
      <c r="P831" t="str">
        <f>_xlfn.XLOOKUP(Table1[[#This Row],[Customer ID]],Data_customers!$A$2:$A$1001,Data_customers!$I$2:$I$1001,,0)</f>
        <v>No</v>
      </c>
    </row>
    <row r="832" spans="1:16" x14ac:dyDescent="0.2">
      <c r="A832" s="2" t="s">
        <v>5182</v>
      </c>
      <c r="B832" s="3">
        <v>44414</v>
      </c>
      <c r="C832" s="2" t="s">
        <v>5183</v>
      </c>
      <c r="D832" t="s">
        <v>6141</v>
      </c>
      <c r="E832" s="2">
        <v>2</v>
      </c>
      <c r="F832" s="2" t="str">
        <f>_xlfn.XLOOKUP(Data_orders!C832,Data_customers!$A$1:$A$1001,Data_customers!$B$1:$B$1001,,0)</f>
        <v>Helaina Rainforth</v>
      </c>
      <c r="G832" s="2" t="str">
        <f>IF(_xlfn.XLOOKUP(C832,Data_customers!$A$1:$A$1001,Data_customers!$C$1:$C$1001,,0)=0,"",_xlfn.XLOOKUP(C832,Data_customers!$A$1:$A$1001,Data_customers!$C$1:$C$1001,,0))</f>
        <v>hrainforthn2@blog.com</v>
      </c>
      <c r="H832" s="2" t="str">
        <f>_xlfn.XLOOKUP(C832,Data_customers!$A$1:$A$1001,Data_customers!$G$1:$G$1001,"",0)</f>
        <v>United States</v>
      </c>
      <c r="I832" t="str">
        <f>INDEX(Data_products!$A$1:$G$49, MATCH(Data_orders!$D832,Data_products!$A$1:$A$49,0), MATCH(Data_orders!I$1,Data_products!$A$1:$G$1,0))</f>
        <v>Exc</v>
      </c>
      <c r="J832" t="str">
        <f>INDEX(Data_products!$A$1:$G$49, MATCH(Data_orders!$D832,Data_products!$A$1:$A$49,0), MATCH(Data_orders!J$1,Data_products!$A$1:$G$1,0))</f>
        <v>M</v>
      </c>
      <c r="K832" s="4">
        <f>INDEX(Data_products!$A$1:$G$49, MATCH(Data_orders!$D832,Data_products!$A$1:$A$49,0), MATCH(Data_orders!K$1,Data_products!$A$1:$G$1,0))</f>
        <v>1</v>
      </c>
      <c r="L832">
        <f>INDEX(Data_products!$A$1:$G$49, MATCH(Data_orders!$D832,Data_products!$A$1:$A$49,0), MATCH(Data_orders!L$1,Data_products!$A$1:$G$1,0))</f>
        <v>13.75</v>
      </c>
      <c r="M832">
        <f t="shared" si="24"/>
        <v>27.5</v>
      </c>
      <c r="N832" t="str" cm="1">
        <f t="array" ref="N832">_xlfn.IFS(I832 = "Rob", "Robusta", I832 = "Exc", "Excelsa", I832 = "Ara", "Arabica", I832 = "Lib", "Liberica")</f>
        <v>Excelsa</v>
      </c>
      <c r="O832" t="str">
        <f t="shared" si="25"/>
        <v>Medium</v>
      </c>
      <c r="P832" t="str">
        <f>_xlfn.XLOOKUP(Table1[[#This Row],[Customer ID]],Data_customers!$A$2:$A$1001,Data_customers!$I$2:$I$1001,,0)</f>
        <v>No</v>
      </c>
    </row>
    <row r="833" spans="1:16" x14ac:dyDescent="0.2">
      <c r="A833" s="2" t="s">
        <v>5182</v>
      </c>
      <c r="B833" s="3">
        <v>44414</v>
      </c>
      <c r="C833" s="2" t="s">
        <v>5183</v>
      </c>
      <c r="D833" t="s">
        <v>6154</v>
      </c>
      <c r="E833" s="2">
        <v>2</v>
      </c>
      <c r="F833" s="2" t="str">
        <f>_xlfn.XLOOKUP(Data_orders!C833,Data_customers!$A$1:$A$1001,Data_customers!$B$1:$B$1001,,0)</f>
        <v>Helaina Rainforth</v>
      </c>
      <c r="G833" s="2" t="str">
        <f>IF(_xlfn.XLOOKUP(C833,Data_customers!$A$1:$A$1001,Data_customers!$C$1:$C$1001,,0)=0,"",_xlfn.XLOOKUP(C833,Data_customers!$A$1:$A$1001,Data_customers!$C$1:$C$1001,,0))</f>
        <v>hrainforthn2@blog.com</v>
      </c>
      <c r="H833" s="2" t="str">
        <f>_xlfn.XLOOKUP(C833,Data_customers!$A$1:$A$1001,Data_customers!$G$1:$G$1001,"",0)</f>
        <v>United States</v>
      </c>
      <c r="I833" t="str">
        <f>INDEX(Data_products!$A$1:$G$49, MATCH(Data_orders!$D833,Data_products!$A$1:$A$49,0), MATCH(Data_orders!I$1,Data_products!$A$1:$G$1,0))</f>
        <v>Ara</v>
      </c>
      <c r="J833" t="str">
        <f>INDEX(Data_products!$A$1:$G$49, MATCH(Data_orders!$D833,Data_products!$A$1:$A$49,0), MATCH(Data_orders!J$1,Data_products!$A$1:$G$1,0))</f>
        <v>D</v>
      </c>
      <c r="K833" s="4">
        <f>INDEX(Data_products!$A$1:$G$49, MATCH(Data_orders!$D833,Data_products!$A$1:$A$49,0), MATCH(Data_orders!K$1,Data_products!$A$1:$G$1,0))</f>
        <v>0.2</v>
      </c>
      <c r="L833">
        <f>INDEX(Data_products!$A$1:$G$49, MATCH(Data_orders!$D833,Data_products!$A$1:$A$49,0), MATCH(Data_orders!L$1,Data_products!$A$1:$G$1,0))</f>
        <v>2.9849999999999999</v>
      </c>
      <c r="M833">
        <f t="shared" si="24"/>
        <v>5.97</v>
      </c>
      <c r="N833" t="str" cm="1">
        <f t="array" ref="N833">_xlfn.IFS(I833 = "Rob", "Robusta", I833 = "Exc", "Excelsa", I833 = "Ara", "Arabica", I833 = "Lib", "Liberica")</f>
        <v>Arabica</v>
      </c>
      <c r="O833" t="str">
        <f t="shared" si="25"/>
        <v>Dark</v>
      </c>
      <c r="P833" t="str">
        <f>_xlfn.XLOOKUP(Table1[[#This Row],[Customer ID]],Data_customers!$A$2:$A$1001,Data_customers!$I$2:$I$1001,,0)</f>
        <v>No</v>
      </c>
    </row>
    <row r="834" spans="1:16" x14ac:dyDescent="0.2">
      <c r="A834" s="2" t="s">
        <v>5193</v>
      </c>
      <c r="B834" s="3">
        <v>44274</v>
      </c>
      <c r="C834" s="2" t="s">
        <v>5194</v>
      </c>
      <c r="D834" t="s">
        <v>6138</v>
      </c>
      <c r="E834" s="2">
        <v>6</v>
      </c>
      <c r="F834" s="2" t="str">
        <f>_xlfn.XLOOKUP(Data_orders!C834,Data_customers!$A$1:$A$1001,Data_customers!$B$1:$B$1001,,0)</f>
        <v>Isac Jesper</v>
      </c>
      <c r="G834" s="2" t="str">
        <f>IF(_xlfn.XLOOKUP(C834,Data_customers!$A$1:$A$1001,Data_customers!$C$1:$C$1001,,0)=0,"",_xlfn.XLOOKUP(C834,Data_customers!$A$1:$A$1001,Data_customers!$C$1:$C$1001,,0))</f>
        <v>ijespern4@theglobeandmail.com</v>
      </c>
      <c r="H834" s="2" t="str">
        <f>_xlfn.XLOOKUP(C834,Data_customers!$A$1:$A$1001,Data_customers!$G$1:$G$1001,"",0)</f>
        <v>United States</v>
      </c>
      <c r="I834" t="str">
        <f>INDEX(Data_products!$A$1:$G$49, MATCH(Data_orders!$D834,Data_products!$A$1:$A$49,0), MATCH(Data_orders!I$1,Data_products!$A$1:$G$1,0))</f>
        <v>Rob</v>
      </c>
      <c r="J834" t="str">
        <f>INDEX(Data_products!$A$1:$G$49, MATCH(Data_orders!$D834,Data_products!$A$1:$A$49,0), MATCH(Data_orders!J$1,Data_products!$A$1:$G$1,0))</f>
        <v>M</v>
      </c>
      <c r="K834" s="4">
        <f>INDEX(Data_products!$A$1:$G$49, MATCH(Data_orders!$D834,Data_products!$A$1:$A$49,0), MATCH(Data_orders!K$1,Data_products!$A$1:$G$1,0))</f>
        <v>1</v>
      </c>
      <c r="L834">
        <f>INDEX(Data_products!$A$1:$G$49, MATCH(Data_orders!$D834,Data_products!$A$1:$A$49,0), MATCH(Data_orders!L$1,Data_products!$A$1:$G$1,0))</f>
        <v>9.9499999999999993</v>
      </c>
      <c r="M834">
        <f t="shared" si="24"/>
        <v>59.699999999999996</v>
      </c>
      <c r="N834" t="str" cm="1">
        <f t="array" ref="N834">_xlfn.IFS(I834 = "Rob", "Robusta", I834 = "Exc", "Excelsa", I834 = "Ara", "Arabica", I834 = "Lib", "Liberica")</f>
        <v>Robusta</v>
      </c>
      <c r="O834" t="str">
        <f t="shared" si="25"/>
        <v>Medium</v>
      </c>
      <c r="P834" t="str">
        <f>_xlfn.XLOOKUP(Table1[[#This Row],[Customer ID]],Data_customers!$A$2:$A$1001,Data_customers!$I$2:$I$1001,,0)</f>
        <v>No</v>
      </c>
    </row>
    <row r="835" spans="1:16" x14ac:dyDescent="0.2">
      <c r="A835" s="2" t="s">
        <v>5199</v>
      </c>
      <c r="B835" s="3">
        <v>44302</v>
      </c>
      <c r="C835" s="2" t="s">
        <v>5200</v>
      </c>
      <c r="D835" t="s">
        <v>6149</v>
      </c>
      <c r="E835" s="2">
        <v>4</v>
      </c>
      <c r="F835" s="2" t="str">
        <f>_xlfn.XLOOKUP(Data_orders!C835,Data_customers!$A$1:$A$1001,Data_customers!$B$1:$B$1001,,0)</f>
        <v>Lenette Dwerryhouse</v>
      </c>
      <c r="G835" s="2" t="str">
        <f>IF(_xlfn.XLOOKUP(C835,Data_customers!$A$1:$A$1001,Data_customers!$C$1:$C$1001,,0)=0,"",_xlfn.XLOOKUP(C835,Data_customers!$A$1:$A$1001,Data_customers!$C$1:$C$1001,,0))</f>
        <v>ldwerryhousen5@gravatar.com</v>
      </c>
      <c r="H835" s="2" t="str">
        <f>_xlfn.XLOOKUP(C835,Data_customers!$A$1:$A$1001,Data_customers!$G$1:$G$1001,"",0)</f>
        <v>United States</v>
      </c>
      <c r="I835" t="str">
        <f>INDEX(Data_products!$A$1:$G$49, MATCH(Data_orders!$D835,Data_products!$A$1:$A$49,0), MATCH(Data_orders!I$1,Data_products!$A$1:$G$1,0))</f>
        <v>Rob</v>
      </c>
      <c r="J835" t="str">
        <f>INDEX(Data_products!$A$1:$G$49, MATCH(Data_orders!$D835,Data_products!$A$1:$A$49,0), MATCH(Data_orders!J$1,Data_products!$A$1:$G$1,0))</f>
        <v>D</v>
      </c>
      <c r="K835" s="4">
        <f>INDEX(Data_products!$A$1:$G$49, MATCH(Data_orders!$D835,Data_products!$A$1:$A$49,0), MATCH(Data_orders!K$1,Data_products!$A$1:$G$1,0))</f>
        <v>2.5</v>
      </c>
      <c r="L835">
        <f>INDEX(Data_products!$A$1:$G$49, MATCH(Data_orders!$D835,Data_products!$A$1:$A$49,0), MATCH(Data_orders!L$1,Data_products!$A$1:$G$1,0))</f>
        <v>20.584999999999997</v>
      </c>
      <c r="M835">
        <f t="shared" ref="M835:M898" si="26">L835*E835</f>
        <v>82.339999999999989</v>
      </c>
      <c r="N835" t="str" cm="1">
        <f t="array" ref="N835">_xlfn.IFS(I835 = "Rob", "Robusta", I835 = "Exc", "Excelsa", I835 = "Ara", "Arabica", I835 = "Lib", "Liberica")</f>
        <v>Robusta</v>
      </c>
      <c r="O835" t="str">
        <f t="shared" ref="O835:O898" si="27">IF(J835 = "M", "Medium", IF(J835 =  "L", "Light", IF(J835 = "D", "Dark", "")))</f>
        <v>Dark</v>
      </c>
      <c r="P835" t="str">
        <f>_xlfn.XLOOKUP(Table1[[#This Row],[Customer ID]],Data_customers!$A$2:$A$1001,Data_customers!$I$2:$I$1001,,0)</f>
        <v>Yes</v>
      </c>
    </row>
    <row r="836" spans="1:16" x14ac:dyDescent="0.2">
      <c r="A836" s="2" t="s">
        <v>5205</v>
      </c>
      <c r="B836" s="3">
        <v>44141</v>
      </c>
      <c r="C836" s="2" t="s">
        <v>5206</v>
      </c>
      <c r="D836" t="s">
        <v>6168</v>
      </c>
      <c r="E836" s="2">
        <v>1</v>
      </c>
      <c r="F836" s="2" t="str">
        <f>_xlfn.XLOOKUP(Data_orders!C836,Data_customers!$A$1:$A$1001,Data_customers!$B$1:$B$1001,,0)</f>
        <v>Nadeen Broomer</v>
      </c>
      <c r="G836" s="2" t="str">
        <f>IF(_xlfn.XLOOKUP(C836,Data_customers!$A$1:$A$1001,Data_customers!$C$1:$C$1001,,0)=0,"",_xlfn.XLOOKUP(C836,Data_customers!$A$1:$A$1001,Data_customers!$C$1:$C$1001,,0))</f>
        <v>nbroomern6@examiner.com</v>
      </c>
      <c r="H836" s="2" t="str">
        <f>_xlfn.XLOOKUP(C836,Data_customers!$A$1:$A$1001,Data_customers!$G$1:$G$1001,"",0)</f>
        <v>United States</v>
      </c>
      <c r="I836" t="str">
        <f>INDEX(Data_products!$A$1:$G$49, MATCH(Data_orders!$D836,Data_products!$A$1:$A$49,0), MATCH(Data_orders!I$1,Data_products!$A$1:$G$1,0))</f>
        <v>Ara</v>
      </c>
      <c r="J836" t="str">
        <f>INDEX(Data_products!$A$1:$G$49, MATCH(Data_orders!$D836,Data_products!$A$1:$A$49,0), MATCH(Data_orders!J$1,Data_products!$A$1:$G$1,0))</f>
        <v>D</v>
      </c>
      <c r="K836" s="4">
        <f>INDEX(Data_products!$A$1:$G$49, MATCH(Data_orders!$D836,Data_products!$A$1:$A$49,0), MATCH(Data_orders!K$1,Data_products!$A$1:$G$1,0))</f>
        <v>2.5</v>
      </c>
      <c r="L836">
        <f>INDEX(Data_products!$A$1:$G$49, MATCH(Data_orders!$D836,Data_products!$A$1:$A$49,0), MATCH(Data_orders!L$1,Data_products!$A$1:$G$1,0))</f>
        <v>22.884999999999998</v>
      </c>
      <c r="M836">
        <f t="shared" si="26"/>
        <v>22.884999999999998</v>
      </c>
      <c r="N836" t="str" cm="1">
        <f t="array" ref="N836">_xlfn.IFS(I836 = "Rob", "Robusta", I836 = "Exc", "Excelsa", I836 = "Ara", "Arabica", I836 = "Lib", "Liberica")</f>
        <v>Arabica</v>
      </c>
      <c r="O836" t="str">
        <f t="shared" si="27"/>
        <v>Dark</v>
      </c>
      <c r="P836" t="str">
        <f>_xlfn.XLOOKUP(Table1[[#This Row],[Customer ID]],Data_customers!$A$2:$A$1001,Data_customers!$I$2:$I$1001,,0)</f>
        <v>No</v>
      </c>
    </row>
    <row r="837" spans="1:16" x14ac:dyDescent="0.2">
      <c r="A837" s="2" t="s">
        <v>5211</v>
      </c>
      <c r="B837" s="3">
        <v>44270</v>
      </c>
      <c r="C837" s="2" t="s">
        <v>5212</v>
      </c>
      <c r="D837" t="s">
        <v>6176</v>
      </c>
      <c r="E837" s="2">
        <v>1</v>
      </c>
      <c r="F837" s="2" t="str">
        <f>_xlfn.XLOOKUP(Data_orders!C837,Data_customers!$A$1:$A$1001,Data_customers!$B$1:$B$1001,,0)</f>
        <v>Konstantine Thoumasson</v>
      </c>
      <c r="G837" s="2" t="str">
        <f>IF(_xlfn.XLOOKUP(C837,Data_customers!$A$1:$A$1001,Data_customers!$C$1:$C$1001,,0)=0,"",_xlfn.XLOOKUP(C837,Data_customers!$A$1:$A$1001,Data_customers!$C$1:$C$1001,,0))</f>
        <v>kthoumassonn7@bloglovin.com</v>
      </c>
      <c r="H837" s="2" t="str">
        <f>_xlfn.XLOOKUP(C837,Data_customers!$A$1:$A$1001,Data_customers!$G$1:$G$1001,"",0)</f>
        <v>United States</v>
      </c>
      <c r="I837" t="str">
        <f>INDEX(Data_products!$A$1:$G$49, MATCH(Data_orders!$D837,Data_products!$A$1:$A$49,0), MATCH(Data_orders!I$1,Data_products!$A$1:$G$1,0))</f>
        <v>Exc</v>
      </c>
      <c r="J837" t="str">
        <f>INDEX(Data_products!$A$1:$G$49, MATCH(Data_orders!$D837,Data_products!$A$1:$A$49,0), MATCH(Data_orders!J$1,Data_products!$A$1:$G$1,0))</f>
        <v>L</v>
      </c>
      <c r="K837" s="4">
        <f>INDEX(Data_products!$A$1:$G$49, MATCH(Data_orders!$D837,Data_products!$A$1:$A$49,0), MATCH(Data_orders!K$1,Data_products!$A$1:$G$1,0))</f>
        <v>0.5</v>
      </c>
      <c r="L837">
        <f>INDEX(Data_products!$A$1:$G$49, MATCH(Data_orders!$D837,Data_products!$A$1:$A$49,0), MATCH(Data_orders!L$1,Data_products!$A$1:$G$1,0))</f>
        <v>8.91</v>
      </c>
      <c r="M837">
        <f t="shared" si="26"/>
        <v>8.91</v>
      </c>
      <c r="N837" t="str" cm="1">
        <f t="array" ref="N837">_xlfn.IFS(I837 = "Rob", "Robusta", I837 = "Exc", "Excelsa", I837 = "Ara", "Arabica", I837 = "Lib", "Liberica")</f>
        <v>Excelsa</v>
      </c>
      <c r="O837" t="str">
        <f t="shared" si="27"/>
        <v>Light</v>
      </c>
      <c r="P837" t="str">
        <f>_xlfn.XLOOKUP(Table1[[#This Row],[Customer ID]],Data_customers!$A$2:$A$1001,Data_customers!$I$2:$I$1001,,0)</f>
        <v>Yes</v>
      </c>
    </row>
    <row r="838" spans="1:16" x14ac:dyDescent="0.2">
      <c r="A838" s="2" t="s">
        <v>5216</v>
      </c>
      <c r="B838" s="3">
        <v>44486</v>
      </c>
      <c r="C838" s="2" t="s">
        <v>5217</v>
      </c>
      <c r="D838" t="s">
        <v>6154</v>
      </c>
      <c r="E838" s="2">
        <v>4</v>
      </c>
      <c r="F838" s="2" t="str">
        <f>_xlfn.XLOOKUP(Data_orders!C838,Data_customers!$A$1:$A$1001,Data_customers!$B$1:$B$1001,,0)</f>
        <v>Frans Habbergham</v>
      </c>
      <c r="G838" s="2" t="str">
        <f>IF(_xlfn.XLOOKUP(C838,Data_customers!$A$1:$A$1001,Data_customers!$C$1:$C$1001,,0)=0,"",_xlfn.XLOOKUP(C838,Data_customers!$A$1:$A$1001,Data_customers!$C$1:$C$1001,,0))</f>
        <v>fhabberghamn8@discovery.com</v>
      </c>
      <c r="H838" s="2" t="str">
        <f>_xlfn.XLOOKUP(C838,Data_customers!$A$1:$A$1001,Data_customers!$G$1:$G$1001,"",0)</f>
        <v>United States</v>
      </c>
      <c r="I838" t="str">
        <f>INDEX(Data_products!$A$1:$G$49, MATCH(Data_orders!$D838,Data_products!$A$1:$A$49,0), MATCH(Data_orders!I$1,Data_products!$A$1:$G$1,0))</f>
        <v>Ara</v>
      </c>
      <c r="J838" t="str">
        <f>INDEX(Data_products!$A$1:$G$49, MATCH(Data_orders!$D838,Data_products!$A$1:$A$49,0), MATCH(Data_orders!J$1,Data_products!$A$1:$G$1,0))</f>
        <v>D</v>
      </c>
      <c r="K838" s="4">
        <f>INDEX(Data_products!$A$1:$G$49, MATCH(Data_orders!$D838,Data_products!$A$1:$A$49,0), MATCH(Data_orders!K$1,Data_products!$A$1:$G$1,0))</f>
        <v>0.2</v>
      </c>
      <c r="L838">
        <f>INDEX(Data_products!$A$1:$G$49, MATCH(Data_orders!$D838,Data_products!$A$1:$A$49,0), MATCH(Data_orders!L$1,Data_products!$A$1:$G$1,0))</f>
        <v>2.9849999999999999</v>
      </c>
      <c r="M838">
        <f t="shared" si="26"/>
        <v>11.94</v>
      </c>
      <c r="N838" t="str" cm="1">
        <f t="array" ref="N838">_xlfn.IFS(I838 = "Rob", "Robusta", I838 = "Exc", "Excelsa", I838 = "Ara", "Arabica", I838 = "Lib", "Liberica")</f>
        <v>Arabica</v>
      </c>
      <c r="O838" t="str">
        <f t="shared" si="27"/>
        <v>Dark</v>
      </c>
      <c r="P838" t="str">
        <f>_xlfn.XLOOKUP(Table1[[#This Row],[Customer ID]],Data_customers!$A$2:$A$1001,Data_customers!$I$2:$I$1001,,0)</f>
        <v>No</v>
      </c>
    </row>
    <row r="839" spans="1:16" x14ac:dyDescent="0.2">
      <c r="A839" s="2" t="s">
        <v>5222</v>
      </c>
      <c r="B839" s="3">
        <v>43715</v>
      </c>
      <c r="C839" s="2" t="s">
        <v>5113</v>
      </c>
      <c r="D839" t="s">
        <v>6181</v>
      </c>
      <c r="E839" s="2">
        <v>3</v>
      </c>
      <c r="F839" s="2" t="str">
        <f>_xlfn.XLOOKUP(Data_orders!C839,Data_customers!$A$1:$A$1001,Data_customers!$B$1:$B$1001,,0)</f>
        <v>Allis Wilmore</v>
      </c>
      <c r="G839" s="2" t="str">
        <f>IF(_xlfn.XLOOKUP(C839,Data_customers!$A$1:$A$1001,Data_customers!$C$1:$C$1001,,0)=0,"",_xlfn.XLOOKUP(C839,Data_customers!$A$1:$A$1001,Data_customers!$C$1:$C$1001,,0))</f>
        <v/>
      </c>
      <c r="H839" s="2" t="str">
        <f>_xlfn.XLOOKUP(C839,Data_customers!$A$1:$A$1001,Data_customers!$G$1:$G$1001,"",0)</f>
        <v>United States</v>
      </c>
      <c r="I839" t="str">
        <f>INDEX(Data_products!$A$1:$G$49, MATCH(Data_orders!$D839,Data_products!$A$1:$A$49,0), MATCH(Data_orders!I$1,Data_products!$A$1:$G$1,0))</f>
        <v>Lib</v>
      </c>
      <c r="J839" t="str">
        <f>INDEX(Data_products!$A$1:$G$49, MATCH(Data_orders!$D839,Data_products!$A$1:$A$49,0), MATCH(Data_orders!J$1,Data_products!$A$1:$G$1,0))</f>
        <v>M</v>
      </c>
      <c r="K839" s="4">
        <f>INDEX(Data_products!$A$1:$G$49, MATCH(Data_orders!$D839,Data_products!$A$1:$A$49,0), MATCH(Data_orders!K$1,Data_products!$A$1:$G$1,0))</f>
        <v>2.5</v>
      </c>
      <c r="L839">
        <f>INDEX(Data_products!$A$1:$G$49, MATCH(Data_orders!$D839,Data_products!$A$1:$A$49,0), MATCH(Data_orders!L$1,Data_products!$A$1:$G$1,0))</f>
        <v>33.464999999999996</v>
      </c>
      <c r="M839">
        <f t="shared" si="26"/>
        <v>100.39499999999998</v>
      </c>
      <c r="N839" t="str" cm="1">
        <f t="array" ref="N839">_xlfn.IFS(I839 = "Rob", "Robusta", I839 = "Exc", "Excelsa", I839 = "Ara", "Arabica", I839 = "Lib", "Liberica")</f>
        <v>Liberica</v>
      </c>
      <c r="O839" t="str">
        <f t="shared" si="27"/>
        <v>Medium</v>
      </c>
      <c r="P839" t="str">
        <f>_xlfn.XLOOKUP(Table1[[#This Row],[Customer ID]],Data_customers!$A$2:$A$1001,Data_customers!$I$2:$I$1001,,0)</f>
        <v>No</v>
      </c>
    </row>
    <row r="840" spans="1:16" x14ac:dyDescent="0.2">
      <c r="A840" s="2" t="s">
        <v>5228</v>
      </c>
      <c r="B840" s="3">
        <v>44755</v>
      </c>
      <c r="C840" s="2" t="s">
        <v>5229</v>
      </c>
      <c r="D840" t="s">
        <v>6168</v>
      </c>
      <c r="E840" s="2">
        <v>5</v>
      </c>
      <c r="F840" s="2" t="str">
        <f>_xlfn.XLOOKUP(Data_orders!C840,Data_customers!$A$1:$A$1001,Data_customers!$B$1:$B$1001,,0)</f>
        <v>Romain Avrashin</v>
      </c>
      <c r="G840" s="2" t="str">
        <f>IF(_xlfn.XLOOKUP(C840,Data_customers!$A$1:$A$1001,Data_customers!$C$1:$C$1001,,0)=0,"",_xlfn.XLOOKUP(C840,Data_customers!$A$1:$A$1001,Data_customers!$C$1:$C$1001,,0))</f>
        <v>ravrashinna@tamu.edu</v>
      </c>
      <c r="H840" s="2" t="str">
        <f>_xlfn.XLOOKUP(C840,Data_customers!$A$1:$A$1001,Data_customers!$G$1:$G$1001,"",0)</f>
        <v>United States</v>
      </c>
      <c r="I840" t="str">
        <f>INDEX(Data_products!$A$1:$G$49, MATCH(Data_orders!$D840,Data_products!$A$1:$A$49,0), MATCH(Data_orders!I$1,Data_products!$A$1:$G$1,0))</f>
        <v>Ara</v>
      </c>
      <c r="J840" t="str">
        <f>INDEX(Data_products!$A$1:$G$49, MATCH(Data_orders!$D840,Data_products!$A$1:$A$49,0), MATCH(Data_orders!J$1,Data_products!$A$1:$G$1,0))</f>
        <v>D</v>
      </c>
      <c r="K840" s="4">
        <f>INDEX(Data_products!$A$1:$G$49, MATCH(Data_orders!$D840,Data_products!$A$1:$A$49,0), MATCH(Data_orders!K$1,Data_products!$A$1:$G$1,0))</f>
        <v>2.5</v>
      </c>
      <c r="L840">
        <f>INDEX(Data_products!$A$1:$G$49, MATCH(Data_orders!$D840,Data_products!$A$1:$A$49,0), MATCH(Data_orders!L$1,Data_products!$A$1:$G$1,0))</f>
        <v>22.884999999999998</v>
      </c>
      <c r="M840">
        <f t="shared" si="26"/>
        <v>114.42499999999998</v>
      </c>
      <c r="N840" t="str" cm="1">
        <f t="array" ref="N840">_xlfn.IFS(I840 = "Rob", "Robusta", I840 = "Exc", "Excelsa", I840 = "Ara", "Arabica", I840 = "Lib", "Liberica")</f>
        <v>Arabica</v>
      </c>
      <c r="O840" t="str">
        <f t="shared" si="27"/>
        <v>Dark</v>
      </c>
      <c r="P840" t="str">
        <f>_xlfn.XLOOKUP(Table1[[#This Row],[Customer ID]],Data_customers!$A$2:$A$1001,Data_customers!$I$2:$I$1001,,0)</f>
        <v>No</v>
      </c>
    </row>
    <row r="841" spans="1:16" x14ac:dyDescent="0.2">
      <c r="A841" s="2" t="s">
        <v>5234</v>
      </c>
      <c r="B841" s="3">
        <v>44521</v>
      </c>
      <c r="C841" s="2" t="s">
        <v>5235</v>
      </c>
      <c r="D841" t="s">
        <v>6139</v>
      </c>
      <c r="E841" s="2">
        <v>5</v>
      </c>
      <c r="F841" s="2" t="str">
        <f>_xlfn.XLOOKUP(Data_orders!C841,Data_customers!$A$1:$A$1001,Data_customers!$B$1:$B$1001,,0)</f>
        <v>Miran Doidge</v>
      </c>
      <c r="G841" s="2" t="str">
        <f>IF(_xlfn.XLOOKUP(C841,Data_customers!$A$1:$A$1001,Data_customers!$C$1:$C$1001,,0)=0,"",_xlfn.XLOOKUP(C841,Data_customers!$A$1:$A$1001,Data_customers!$C$1:$C$1001,,0))</f>
        <v>mdoidgenb@etsy.com</v>
      </c>
      <c r="H841" s="2" t="str">
        <f>_xlfn.XLOOKUP(C841,Data_customers!$A$1:$A$1001,Data_customers!$G$1:$G$1001,"",0)</f>
        <v>United States</v>
      </c>
      <c r="I841" t="str">
        <f>INDEX(Data_products!$A$1:$G$49, MATCH(Data_orders!$D841,Data_products!$A$1:$A$49,0), MATCH(Data_orders!I$1,Data_products!$A$1:$G$1,0))</f>
        <v>Exc</v>
      </c>
      <c r="J841" t="str">
        <f>INDEX(Data_products!$A$1:$G$49, MATCH(Data_orders!$D841,Data_products!$A$1:$A$49,0), MATCH(Data_orders!J$1,Data_products!$A$1:$G$1,0))</f>
        <v>M</v>
      </c>
      <c r="K841" s="4">
        <f>INDEX(Data_products!$A$1:$G$49, MATCH(Data_orders!$D841,Data_products!$A$1:$A$49,0), MATCH(Data_orders!K$1,Data_products!$A$1:$G$1,0))</f>
        <v>0.5</v>
      </c>
      <c r="L841">
        <f>INDEX(Data_products!$A$1:$G$49, MATCH(Data_orders!$D841,Data_products!$A$1:$A$49,0), MATCH(Data_orders!L$1,Data_products!$A$1:$G$1,0))</f>
        <v>8.25</v>
      </c>
      <c r="M841">
        <f t="shared" si="26"/>
        <v>41.25</v>
      </c>
      <c r="N841" t="str" cm="1">
        <f t="array" ref="N841">_xlfn.IFS(I841 = "Rob", "Robusta", I841 = "Exc", "Excelsa", I841 = "Ara", "Arabica", I841 = "Lib", "Liberica")</f>
        <v>Excelsa</v>
      </c>
      <c r="O841" t="str">
        <f t="shared" si="27"/>
        <v>Medium</v>
      </c>
      <c r="P841" t="str">
        <f>_xlfn.XLOOKUP(Table1[[#This Row],[Customer ID]],Data_customers!$A$2:$A$1001,Data_customers!$I$2:$I$1001,,0)</f>
        <v>No</v>
      </c>
    </row>
    <row r="842" spans="1:16" x14ac:dyDescent="0.2">
      <c r="A842" s="2" t="s">
        <v>5240</v>
      </c>
      <c r="B842" s="3">
        <v>44574</v>
      </c>
      <c r="C842" s="2" t="s">
        <v>5241</v>
      </c>
      <c r="D842" t="s">
        <v>6173</v>
      </c>
      <c r="E842" s="2">
        <v>4</v>
      </c>
      <c r="F842" s="2" t="str">
        <f>_xlfn.XLOOKUP(Data_orders!C842,Data_customers!$A$1:$A$1001,Data_customers!$B$1:$B$1001,,0)</f>
        <v>Janeva Edinboro</v>
      </c>
      <c r="G842" s="2" t="str">
        <f>IF(_xlfn.XLOOKUP(C842,Data_customers!$A$1:$A$1001,Data_customers!$C$1:$C$1001,,0)=0,"",_xlfn.XLOOKUP(C842,Data_customers!$A$1:$A$1001,Data_customers!$C$1:$C$1001,,0))</f>
        <v>jedinboronc@reverbnation.com</v>
      </c>
      <c r="H842" s="2" t="str">
        <f>_xlfn.XLOOKUP(C842,Data_customers!$A$1:$A$1001,Data_customers!$G$1:$G$1001,"",0)</f>
        <v>United States</v>
      </c>
      <c r="I842" t="str">
        <f>INDEX(Data_products!$A$1:$G$49, MATCH(Data_orders!$D842,Data_products!$A$1:$A$49,0), MATCH(Data_orders!I$1,Data_products!$A$1:$G$1,0))</f>
        <v>Rob</v>
      </c>
      <c r="J842" t="str">
        <f>INDEX(Data_products!$A$1:$G$49, MATCH(Data_orders!$D842,Data_products!$A$1:$A$49,0), MATCH(Data_orders!J$1,Data_products!$A$1:$G$1,0))</f>
        <v>L</v>
      </c>
      <c r="K842" s="4">
        <f>INDEX(Data_products!$A$1:$G$49, MATCH(Data_orders!$D842,Data_products!$A$1:$A$49,0), MATCH(Data_orders!K$1,Data_products!$A$1:$G$1,0))</f>
        <v>0.5</v>
      </c>
      <c r="L842">
        <f>INDEX(Data_products!$A$1:$G$49, MATCH(Data_orders!$D842,Data_products!$A$1:$A$49,0), MATCH(Data_orders!L$1,Data_products!$A$1:$G$1,0))</f>
        <v>7.169999999999999</v>
      </c>
      <c r="M842">
        <f t="shared" si="26"/>
        <v>28.679999999999996</v>
      </c>
      <c r="N842" t="str" cm="1">
        <f t="array" ref="N842">_xlfn.IFS(I842 = "Rob", "Robusta", I842 = "Exc", "Excelsa", I842 = "Ara", "Arabica", I842 = "Lib", "Liberica")</f>
        <v>Robusta</v>
      </c>
      <c r="O842" t="str">
        <f t="shared" si="27"/>
        <v>Light</v>
      </c>
      <c r="P842" t="str">
        <f>_xlfn.XLOOKUP(Table1[[#This Row],[Customer ID]],Data_customers!$A$2:$A$1001,Data_customers!$I$2:$I$1001,,0)</f>
        <v>Yes</v>
      </c>
    </row>
    <row r="843" spans="1:16" x14ac:dyDescent="0.2">
      <c r="A843" s="2" t="s">
        <v>5246</v>
      </c>
      <c r="B843" s="3">
        <v>44755</v>
      </c>
      <c r="C843" s="2" t="s">
        <v>5247</v>
      </c>
      <c r="D843" t="s">
        <v>6159</v>
      </c>
      <c r="E843" s="2">
        <v>1</v>
      </c>
      <c r="F843" s="2" t="str">
        <f>_xlfn.XLOOKUP(Data_orders!C843,Data_customers!$A$1:$A$1001,Data_customers!$B$1:$B$1001,,0)</f>
        <v>Trumaine Tewelson</v>
      </c>
      <c r="G843" s="2" t="str">
        <f>IF(_xlfn.XLOOKUP(C843,Data_customers!$A$1:$A$1001,Data_customers!$C$1:$C$1001,,0)=0,"",_xlfn.XLOOKUP(C843,Data_customers!$A$1:$A$1001,Data_customers!$C$1:$C$1001,,0))</f>
        <v>ttewelsonnd@cdbaby.com</v>
      </c>
      <c r="H843" s="2" t="str">
        <f>_xlfn.XLOOKUP(C843,Data_customers!$A$1:$A$1001,Data_customers!$G$1:$G$1001,"",0)</f>
        <v>United States</v>
      </c>
      <c r="I843" t="str">
        <f>INDEX(Data_products!$A$1:$G$49, MATCH(Data_orders!$D843,Data_products!$A$1:$A$49,0), MATCH(Data_orders!I$1,Data_products!$A$1:$G$1,0))</f>
        <v>Lib</v>
      </c>
      <c r="J843" t="str">
        <f>INDEX(Data_products!$A$1:$G$49, MATCH(Data_orders!$D843,Data_products!$A$1:$A$49,0), MATCH(Data_orders!J$1,Data_products!$A$1:$G$1,0))</f>
        <v>M</v>
      </c>
      <c r="K843" s="4">
        <f>INDEX(Data_products!$A$1:$G$49, MATCH(Data_orders!$D843,Data_products!$A$1:$A$49,0), MATCH(Data_orders!K$1,Data_products!$A$1:$G$1,0))</f>
        <v>0.2</v>
      </c>
      <c r="L843">
        <f>INDEX(Data_products!$A$1:$G$49, MATCH(Data_orders!$D843,Data_products!$A$1:$A$49,0), MATCH(Data_orders!L$1,Data_products!$A$1:$G$1,0))</f>
        <v>4.3650000000000002</v>
      </c>
      <c r="M843">
        <f t="shared" si="26"/>
        <v>4.3650000000000002</v>
      </c>
      <c r="N843" t="str" cm="1">
        <f t="array" ref="N843">_xlfn.IFS(I843 = "Rob", "Robusta", I843 = "Exc", "Excelsa", I843 = "Ara", "Arabica", I843 = "Lib", "Liberica")</f>
        <v>Liberica</v>
      </c>
      <c r="O843" t="str">
        <f t="shared" si="27"/>
        <v>Medium</v>
      </c>
      <c r="P843" t="str">
        <f>_xlfn.XLOOKUP(Table1[[#This Row],[Customer ID]],Data_customers!$A$2:$A$1001,Data_customers!$I$2:$I$1001,,0)</f>
        <v>No</v>
      </c>
    </row>
    <row r="844" spans="1:16" x14ac:dyDescent="0.2">
      <c r="A844" s="2" t="s">
        <v>5251</v>
      </c>
      <c r="B844" s="3">
        <v>44502</v>
      </c>
      <c r="C844" s="2" t="s">
        <v>5188</v>
      </c>
      <c r="D844" t="s">
        <v>6156</v>
      </c>
      <c r="E844" s="2">
        <v>2</v>
      </c>
      <c r="F844" s="2" t="str">
        <f>_xlfn.XLOOKUP(Data_orders!C844,Data_customers!$A$1:$A$1001,Data_customers!$B$1:$B$1001,,0)</f>
        <v>Odelia Skerme</v>
      </c>
      <c r="G844" s="2" t="str">
        <f>IF(_xlfn.XLOOKUP(C844,Data_customers!$A$1:$A$1001,Data_customers!$C$1:$C$1001,,0)=0,"",_xlfn.XLOOKUP(C844,Data_customers!$A$1:$A$1001,Data_customers!$C$1:$C$1001,,0))</f>
        <v>oskermen3@hatena.ne.jp</v>
      </c>
      <c r="H844" s="2" t="str">
        <f>_xlfn.XLOOKUP(C844,Data_customers!$A$1:$A$1001,Data_customers!$G$1:$G$1001,"",0)</f>
        <v>United States</v>
      </c>
      <c r="I844" t="str">
        <f>INDEX(Data_products!$A$1:$G$49, MATCH(Data_orders!$D844,Data_products!$A$1:$A$49,0), MATCH(Data_orders!I$1,Data_products!$A$1:$G$1,0))</f>
        <v>Exc</v>
      </c>
      <c r="J844" t="str">
        <f>INDEX(Data_products!$A$1:$G$49, MATCH(Data_orders!$D844,Data_products!$A$1:$A$49,0), MATCH(Data_orders!J$1,Data_products!$A$1:$G$1,0))</f>
        <v>M</v>
      </c>
      <c r="K844" s="4">
        <f>INDEX(Data_products!$A$1:$G$49, MATCH(Data_orders!$D844,Data_products!$A$1:$A$49,0), MATCH(Data_orders!K$1,Data_products!$A$1:$G$1,0))</f>
        <v>0.2</v>
      </c>
      <c r="L844">
        <f>INDEX(Data_products!$A$1:$G$49, MATCH(Data_orders!$D844,Data_products!$A$1:$A$49,0), MATCH(Data_orders!L$1,Data_products!$A$1:$G$1,0))</f>
        <v>4.125</v>
      </c>
      <c r="M844">
        <f t="shared" si="26"/>
        <v>8.25</v>
      </c>
      <c r="N844" t="str" cm="1">
        <f t="array" ref="N844">_xlfn.IFS(I844 = "Rob", "Robusta", I844 = "Exc", "Excelsa", I844 = "Ara", "Arabica", I844 = "Lib", "Liberica")</f>
        <v>Excelsa</v>
      </c>
      <c r="O844" t="str">
        <f t="shared" si="27"/>
        <v>Medium</v>
      </c>
      <c r="P844" t="str">
        <f>_xlfn.XLOOKUP(Table1[[#This Row],[Customer ID]],Data_customers!$A$2:$A$1001,Data_customers!$I$2:$I$1001,,0)</f>
        <v>Yes</v>
      </c>
    </row>
    <row r="845" spans="1:16" x14ac:dyDescent="0.2">
      <c r="A845" s="2" t="s">
        <v>5256</v>
      </c>
      <c r="B845" s="3">
        <v>44387</v>
      </c>
      <c r="C845" s="2" t="s">
        <v>5257</v>
      </c>
      <c r="D845" t="s">
        <v>6156</v>
      </c>
      <c r="E845" s="2">
        <v>2</v>
      </c>
      <c r="F845" s="2" t="str">
        <f>_xlfn.XLOOKUP(Data_orders!C845,Data_customers!$A$1:$A$1001,Data_customers!$B$1:$B$1001,,0)</f>
        <v>De Drewitt</v>
      </c>
      <c r="G845" s="2" t="str">
        <f>IF(_xlfn.XLOOKUP(C845,Data_customers!$A$1:$A$1001,Data_customers!$C$1:$C$1001,,0)=0,"",_xlfn.XLOOKUP(C845,Data_customers!$A$1:$A$1001,Data_customers!$C$1:$C$1001,,0))</f>
        <v>ddrewittnf@mapquest.com</v>
      </c>
      <c r="H845" s="2" t="str">
        <f>_xlfn.XLOOKUP(C845,Data_customers!$A$1:$A$1001,Data_customers!$G$1:$G$1001,"",0)</f>
        <v>United States</v>
      </c>
      <c r="I845" t="str">
        <f>INDEX(Data_products!$A$1:$G$49, MATCH(Data_orders!$D845,Data_products!$A$1:$A$49,0), MATCH(Data_orders!I$1,Data_products!$A$1:$G$1,0))</f>
        <v>Exc</v>
      </c>
      <c r="J845" t="str">
        <f>INDEX(Data_products!$A$1:$G$49, MATCH(Data_orders!$D845,Data_products!$A$1:$A$49,0), MATCH(Data_orders!J$1,Data_products!$A$1:$G$1,0))</f>
        <v>M</v>
      </c>
      <c r="K845" s="4">
        <f>INDEX(Data_products!$A$1:$G$49, MATCH(Data_orders!$D845,Data_products!$A$1:$A$49,0), MATCH(Data_orders!K$1,Data_products!$A$1:$G$1,0))</f>
        <v>0.2</v>
      </c>
      <c r="L845">
        <f>INDEX(Data_products!$A$1:$G$49, MATCH(Data_orders!$D845,Data_products!$A$1:$A$49,0), MATCH(Data_orders!L$1,Data_products!$A$1:$G$1,0))</f>
        <v>4.125</v>
      </c>
      <c r="M845">
        <f t="shared" si="26"/>
        <v>8.25</v>
      </c>
      <c r="N845" t="str" cm="1">
        <f t="array" ref="N845">_xlfn.IFS(I845 = "Rob", "Robusta", I845 = "Exc", "Excelsa", I845 = "Ara", "Arabica", I845 = "Lib", "Liberica")</f>
        <v>Excelsa</v>
      </c>
      <c r="O845" t="str">
        <f t="shared" si="27"/>
        <v>Medium</v>
      </c>
      <c r="P845" t="str">
        <f>_xlfn.XLOOKUP(Table1[[#This Row],[Customer ID]],Data_customers!$A$2:$A$1001,Data_customers!$I$2:$I$1001,,0)</f>
        <v>Yes</v>
      </c>
    </row>
    <row r="846" spans="1:16" x14ac:dyDescent="0.2">
      <c r="A846" s="2" t="s">
        <v>5262</v>
      </c>
      <c r="B846" s="3">
        <v>44476</v>
      </c>
      <c r="C846" s="2" t="s">
        <v>5263</v>
      </c>
      <c r="D846" t="s">
        <v>6158</v>
      </c>
      <c r="E846" s="2">
        <v>6</v>
      </c>
      <c r="F846" s="2" t="str">
        <f>_xlfn.XLOOKUP(Data_orders!C846,Data_customers!$A$1:$A$1001,Data_customers!$B$1:$B$1001,,0)</f>
        <v>Adelheid Gladhill</v>
      </c>
      <c r="G846" s="2" t="str">
        <f>IF(_xlfn.XLOOKUP(C846,Data_customers!$A$1:$A$1001,Data_customers!$C$1:$C$1001,,0)=0,"",_xlfn.XLOOKUP(C846,Data_customers!$A$1:$A$1001,Data_customers!$C$1:$C$1001,,0))</f>
        <v>agladhillng@stanford.edu</v>
      </c>
      <c r="H846" s="2" t="str">
        <f>_xlfn.XLOOKUP(C846,Data_customers!$A$1:$A$1001,Data_customers!$G$1:$G$1001,"",0)</f>
        <v>United States</v>
      </c>
      <c r="I846" t="str">
        <f>INDEX(Data_products!$A$1:$G$49, MATCH(Data_orders!$D846,Data_products!$A$1:$A$49,0), MATCH(Data_orders!I$1,Data_products!$A$1:$G$1,0))</f>
        <v>Ara</v>
      </c>
      <c r="J846" t="str">
        <f>INDEX(Data_products!$A$1:$G$49, MATCH(Data_orders!$D846,Data_products!$A$1:$A$49,0), MATCH(Data_orders!J$1,Data_products!$A$1:$G$1,0))</f>
        <v>D</v>
      </c>
      <c r="K846" s="4">
        <f>INDEX(Data_products!$A$1:$G$49, MATCH(Data_orders!$D846,Data_products!$A$1:$A$49,0), MATCH(Data_orders!K$1,Data_products!$A$1:$G$1,0))</f>
        <v>0.5</v>
      </c>
      <c r="L846">
        <f>INDEX(Data_products!$A$1:$G$49, MATCH(Data_orders!$D846,Data_products!$A$1:$A$49,0), MATCH(Data_orders!L$1,Data_products!$A$1:$G$1,0))</f>
        <v>5.97</v>
      </c>
      <c r="M846">
        <f t="shared" si="26"/>
        <v>35.82</v>
      </c>
      <c r="N846" t="str" cm="1">
        <f t="array" ref="N846">_xlfn.IFS(I846 = "Rob", "Robusta", I846 = "Exc", "Excelsa", I846 = "Ara", "Arabica", I846 = "Lib", "Liberica")</f>
        <v>Arabica</v>
      </c>
      <c r="O846" t="str">
        <f t="shared" si="27"/>
        <v>Dark</v>
      </c>
      <c r="P846" t="str">
        <f>_xlfn.XLOOKUP(Table1[[#This Row],[Customer ID]],Data_customers!$A$2:$A$1001,Data_customers!$I$2:$I$1001,,0)</f>
        <v>Yes</v>
      </c>
    </row>
    <row r="847" spans="1:16" x14ac:dyDescent="0.2">
      <c r="A847" s="2" t="s">
        <v>5268</v>
      </c>
      <c r="B847" s="3">
        <v>43889</v>
      </c>
      <c r="C847" s="2" t="s">
        <v>5269</v>
      </c>
      <c r="D847" t="s">
        <v>6185</v>
      </c>
      <c r="E847" s="2">
        <v>6</v>
      </c>
      <c r="F847" s="2" t="str">
        <f>_xlfn.XLOOKUP(Data_orders!C847,Data_customers!$A$1:$A$1001,Data_customers!$B$1:$B$1001,,0)</f>
        <v>Murielle Lorinez</v>
      </c>
      <c r="G847" s="2" t="str">
        <f>IF(_xlfn.XLOOKUP(C847,Data_customers!$A$1:$A$1001,Data_customers!$C$1:$C$1001,,0)=0,"",_xlfn.XLOOKUP(C847,Data_customers!$A$1:$A$1001,Data_customers!$C$1:$C$1001,,0))</f>
        <v>mlorineznh@whitehouse.gov</v>
      </c>
      <c r="H847" s="2" t="str">
        <f>_xlfn.XLOOKUP(C847,Data_customers!$A$1:$A$1001,Data_customers!$G$1:$G$1001,"",0)</f>
        <v>United States</v>
      </c>
      <c r="I847" t="str">
        <f>INDEX(Data_products!$A$1:$G$49, MATCH(Data_orders!$D847,Data_products!$A$1:$A$49,0), MATCH(Data_orders!I$1,Data_products!$A$1:$G$1,0))</f>
        <v>Exc</v>
      </c>
      <c r="J847" t="str">
        <f>INDEX(Data_products!$A$1:$G$49, MATCH(Data_orders!$D847,Data_products!$A$1:$A$49,0), MATCH(Data_orders!J$1,Data_products!$A$1:$G$1,0))</f>
        <v>D</v>
      </c>
      <c r="K847" s="4">
        <f>INDEX(Data_products!$A$1:$G$49, MATCH(Data_orders!$D847,Data_products!$A$1:$A$49,0), MATCH(Data_orders!K$1,Data_products!$A$1:$G$1,0))</f>
        <v>2.5</v>
      </c>
      <c r="L847">
        <f>INDEX(Data_products!$A$1:$G$49, MATCH(Data_orders!$D847,Data_products!$A$1:$A$49,0), MATCH(Data_orders!L$1,Data_products!$A$1:$G$1,0))</f>
        <v>27.945</v>
      </c>
      <c r="M847">
        <f t="shared" si="26"/>
        <v>167.67000000000002</v>
      </c>
      <c r="N847" t="str" cm="1">
        <f t="array" ref="N847">_xlfn.IFS(I847 = "Rob", "Robusta", I847 = "Exc", "Excelsa", I847 = "Ara", "Arabica", I847 = "Lib", "Liberica")</f>
        <v>Excelsa</v>
      </c>
      <c r="O847" t="str">
        <f t="shared" si="27"/>
        <v>Dark</v>
      </c>
      <c r="P847" t="str">
        <f>_xlfn.XLOOKUP(Table1[[#This Row],[Customer ID]],Data_customers!$A$2:$A$1001,Data_customers!$I$2:$I$1001,,0)</f>
        <v>No</v>
      </c>
    </row>
    <row r="848" spans="1:16" x14ac:dyDescent="0.2">
      <c r="A848" s="2" t="s">
        <v>5273</v>
      </c>
      <c r="B848" s="3">
        <v>44747</v>
      </c>
      <c r="C848" s="2" t="s">
        <v>5274</v>
      </c>
      <c r="D848" t="s">
        <v>6175</v>
      </c>
      <c r="E848" s="2">
        <v>2</v>
      </c>
      <c r="F848" s="2" t="str">
        <f>_xlfn.XLOOKUP(Data_orders!C848,Data_customers!$A$1:$A$1001,Data_customers!$B$1:$B$1001,,0)</f>
        <v>Edin Mathe</v>
      </c>
      <c r="G848" s="2" t="str">
        <f>IF(_xlfn.XLOOKUP(C848,Data_customers!$A$1:$A$1001,Data_customers!$C$1:$C$1001,,0)=0,"",_xlfn.XLOOKUP(C848,Data_customers!$A$1:$A$1001,Data_customers!$C$1:$C$1001,,0))</f>
        <v/>
      </c>
      <c r="H848" s="2" t="str">
        <f>_xlfn.XLOOKUP(C848,Data_customers!$A$1:$A$1001,Data_customers!$G$1:$G$1001,"",0)</f>
        <v>United States</v>
      </c>
      <c r="I848" t="str">
        <f>INDEX(Data_products!$A$1:$G$49, MATCH(Data_orders!$D848,Data_products!$A$1:$A$49,0), MATCH(Data_orders!I$1,Data_products!$A$1:$G$1,0))</f>
        <v>Ara</v>
      </c>
      <c r="J848" t="str">
        <f>INDEX(Data_products!$A$1:$G$49, MATCH(Data_orders!$D848,Data_products!$A$1:$A$49,0), MATCH(Data_orders!J$1,Data_products!$A$1:$G$1,0))</f>
        <v>M</v>
      </c>
      <c r="K848" s="4">
        <f>INDEX(Data_products!$A$1:$G$49, MATCH(Data_orders!$D848,Data_products!$A$1:$A$49,0), MATCH(Data_orders!K$1,Data_products!$A$1:$G$1,0))</f>
        <v>2.5</v>
      </c>
      <c r="L848">
        <f>INDEX(Data_products!$A$1:$G$49, MATCH(Data_orders!$D848,Data_products!$A$1:$A$49,0), MATCH(Data_orders!L$1,Data_products!$A$1:$G$1,0))</f>
        <v>25.874999999999996</v>
      </c>
      <c r="M848">
        <f t="shared" si="26"/>
        <v>51.749999999999993</v>
      </c>
      <c r="N848" t="str" cm="1">
        <f t="array" ref="N848">_xlfn.IFS(I848 = "Rob", "Robusta", I848 = "Exc", "Excelsa", I848 = "Ara", "Arabica", I848 = "Lib", "Liberica")</f>
        <v>Arabica</v>
      </c>
      <c r="O848" t="str">
        <f t="shared" si="27"/>
        <v>Medium</v>
      </c>
      <c r="P848" t="str">
        <f>_xlfn.XLOOKUP(Table1[[#This Row],[Customer ID]],Data_customers!$A$2:$A$1001,Data_customers!$I$2:$I$1001,,0)</f>
        <v>Yes</v>
      </c>
    </row>
    <row r="849" spans="1:16" x14ac:dyDescent="0.2">
      <c r="A849" s="2" t="s">
        <v>5278</v>
      </c>
      <c r="B849" s="3">
        <v>44460</v>
      </c>
      <c r="C849" s="2" t="s">
        <v>5279</v>
      </c>
      <c r="D849" t="s">
        <v>6154</v>
      </c>
      <c r="E849" s="2">
        <v>3</v>
      </c>
      <c r="F849" s="2" t="str">
        <f>_xlfn.XLOOKUP(Data_orders!C849,Data_customers!$A$1:$A$1001,Data_customers!$B$1:$B$1001,,0)</f>
        <v>Mordy Van Der Vlies</v>
      </c>
      <c r="G849" s="2" t="str">
        <f>IF(_xlfn.XLOOKUP(C849,Data_customers!$A$1:$A$1001,Data_customers!$C$1:$C$1001,,0)=0,"",_xlfn.XLOOKUP(C849,Data_customers!$A$1:$A$1001,Data_customers!$C$1:$C$1001,,0))</f>
        <v>mvannj@wikipedia.org</v>
      </c>
      <c r="H849" s="2" t="str">
        <f>_xlfn.XLOOKUP(C849,Data_customers!$A$1:$A$1001,Data_customers!$G$1:$G$1001,"",0)</f>
        <v>United States</v>
      </c>
      <c r="I849" t="str">
        <f>INDEX(Data_products!$A$1:$G$49, MATCH(Data_orders!$D849,Data_products!$A$1:$A$49,0), MATCH(Data_orders!I$1,Data_products!$A$1:$G$1,0))</f>
        <v>Ara</v>
      </c>
      <c r="J849" t="str">
        <f>INDEX(Data_products!$A$1:$G$49, MATCH(Data_orders!$D849,Data_products!$A$1:$A$49,0), MATCH(Data_orders!J$1,Data_products!$A$1:$G$1,0))</f>
        <v>D</v>
      </c>
      <c r="K849" s="4">
        <f>INDEX(Data_products!$A$1:$G$49, MATCH(Data_orders!$D849,Data_products!$A$1:$A$49,0), MATCH(Data_orders!K$1,Data_products!$A$1:$G$1,0))</f>
        <v>0.2</v>
      </c>
      <c r="L849">
        <f>INDEX(Data_products!$A$1:$G$49, MATCH(Data_orders!$D849,Data_products!$A$1:$A$49,0), MATCH(Data_orders!L$1,Data_products!$A$1:$G$1,0))</f>
        <v>2.9849999999999999</v>
      </c>
      <c r="M849">
        <f t="shared" si="26"/>
        <v>8.9550000000000001</v>
      </c>
      <c r="N849" t="str" cm="1">
        <f t="array" ref="N849">_xlfn.IFS(I849 = "Rob", "Robusta", I849 = "Exc", "Excelsa", I849 = "Ara", "Arabica", I849 = "Lib", "Liberica")</f>
        <v>Arabica</v>
      </c>
      <c r="O849" t="str">
        <f t="shared" si="27"/>
        <v>Dark</v>
      </c>
      <c r="P849" t="str">
        <f>_xlfn.XLOOKUP(Table1[[#This Row],[Customer ID]],Data_customers!$A$2:$A$1001,Data_customers!$I$2:$I$1001,,0)</f>
        <v>Yes</v>
      </c>
    </row>
    <row r="850" spans="1:16" x14ac:dyDescent="0.2">
      <c r="A850" s="2" t="s">
        <v>5283</v>
      </c>
      <c r="B850" s="3">
        <v>43468</v>
      </c>
      <c r="C850" s="2" t="s">
        <v>5284</v>
      </c>
      <c r="D850" t="s">
        <v>6176</v>
      </c>
      <c r="E850" s="2">
        <v>6</v>
      </c>
      <c r="F850" s="2" t="str">
        <f>_xlfn.XLOOKUP(Data_orders!C850,Data_customers!$A$1:$A$1001,Data_customers!$B$1:$B$1001,,0)</f>
        <v>Spencer Wastell</v>
      </c>
      <c r="G850" s="2" t="str">
        <f>IF(_xlfn.XLOOKUP(C850,Data_customers!$A$1:$A$1001,Data_customers!$C$1:$C$1001,,0)=0,"",_xlfn.XLOOKUP(C850,Data_customers!$A$1:$A$1001,Data_customers!$C$1:$C$1001,,0))</f>
        <v/>
      </c>
      <c r="H850" s="2" t="str">
        <f>_xlfn.XLOOKUP(C850,Data_customers!$A$1:$A$1001,Data_customers!$G$1:$G$1001,"",0)</f>
        <v>United States</v>
      </c>
      <c r="I850" t="str">
        <f>INDEX(Data_products!$A$1:$G$49, MATCH(Data_orders!$D850,Data_products!$A$1:$A$49,0), MATCH(Data_orders!I$1,Data_products!$A$1:$G$1,0))</f>
        <v>Exc</v>
      </c>
      <c r="J850" t="str">
        <f>INDEX(Data_products!$A$1:$G$49, MATCH(Data_orders!$D850,Data_products!$A$1:$A$49,0), MATCH(Data_orders!J$1,Data_products!$A$1:$G$1,0))</f>
        <v>L</v>
      </c>
      <c r="K850" s="4">
        <f>INDEX(Data_products!$A$1:$G$49, MATCH(Data_orders!$D850,Data_products!$A$1:$A$49,0), MATCH(Data_orders!K$1,Data_products!$A$1:$G$1,0))</f>
        <v>0.5</v>
      </c>
      <c r="L850">
        <f>INDEX(Data_products!$A$1:$G$49, MATCH(Data_orders!$D850,Data_products!$A$1:$A$49,0), MATCH(Data_orders!L$1,Data_products!$A$1:$G$1,0))</f>
        <v>8.91</v>
      </c>
      <c r="M850">
        <f t="shared" si="26"/>
        <v>53.46</v>
      </c>
      <c r="N850" t="str" cm="1">
        <f t="array" ref="N850">_xlfn.IFS(I850 = "Rob", "Robusta", I850 = "Exc", "Excelsa", I850 = "Ara", "Arabica", I850 = "Lib", "Liberica")</f>
        <v>Excelsa</v>
      </c>
      <c r="O850" t="str">
        <f t="shared" si="27"/>
        <v>Light</v>
      </c>
      <c r="P850" t="str">
        <f>_xlfn.XLOOKUP(Table1[[#This Row],[Customer ID]],Data_customers!$A$2:$A$1001,Data_customers!$I$2:$I$1001,,0)</f>
        <v>No</v>
      </c>
    </row>
    <row r="851" spans="1:16" x14ac:dyDescent="0.2">
      <c r="A851" s="2" t="s">
        <v>5288</v>
      </c>
      <c r="B851" s="3">
        <v>44628</v>
      </c>
      <c r="C851" s="2" t="s">
        <v>5289</v>
      </c>
      <c r="D851" t="s">
        <v>6167</v>
      </c>
      <c r="E851" s="2">
        <v>6</v>
      </c>
      <c r="F851" s="2" t="str">
        <f>_xlfn.XLOOKUP(Data_orders!C851,Data_customers!$A$1:$A$1001,Data_customers!$B$1:$B$1001,,0)</f>
        <v>Jemimah Ethelston</v>
      </c>
      <c r="G851" s="2" t="str">
        <f>IF(_xlfn.XLOOKUP(C851,Data_customers!$A$1:$A$1001,Data_customers!$C$1:$C$1001,,0)=0,"",_xlfn.XLOOKUP(C851,Data_customers!$A$1:$A$1001,Data_customers!$C$1:$C$1001,,0))</f>
        <v>jethelstonnl@creativecommons.org</v>
      </c>
      <c r="H851" s="2" t="str">
        <f>_xlfn.XLOOKUP(C851,Data_customers!$A$1:$A$1001,Data_customers!$G$1:$G$1001,"",0)</f>
        <v>United States</v>
      </c>
      <c r="I851" t="str">
        <f>INDEX(Data_products!$A$1:$G$49, MATCH(Data_orders!$D851,Data_products!$A$1:$A$49,0), MATCH(Data_orders!I$1,Data_products!$A$1:$G$1,0))</f>
        <v>Ara</v>
      </c>
      <c r="J851" t="str">
        <f>INDEX(Data_products!$A$1:$G$49, MATCH(Data_orders!$D851,Data_products!$A$1:$A$49,0), MATCH(Data_orders!J$1,Data_products!$A$1:$G$1,0))</f>
        <v>L</v>
      </c>
      <c r="K851" s="4">
        <f>INDEX(Data_products!$A$1:$G$49, MATCH(Data_orders!$D851,Data_products!$A$1:$A$49,0), MATCH(Data_orders!K$1,Data_products!$A$1:$G$1,0))</f>
        <v>0.2</v>
      </c>
      <c r="L851">
        <f>INDEX(Data_products!$A$1:$G$49, MATCH(Data_orders!$D851,Data_products!$A$1:$A$49,0), MATCH(Data_orders!L$1,Data_products!$A$1:$G$1,0))</f>
        <v>3.8849999999999998</v>
      </c>
      <c r="M851">
        <f t="shared" si="26"/>
        <v>23.31</v>
      </c>
      <c r="N851" t="str" cm="1">
        <f t="array" ref="N851">_xlfn.IFS(I851 = "Rob", "Robusta", I851 = "Exc", "Excelsa", I851 = "Ara", "Arabica", I851 = "Lib", "Liberica")</f>
        <v>Arabica</v>
      </c>
      <c r="O851" t="str">
        <f t="shared" si="27"/>
        <v>Light</v>
      </c>
      <c r="P851" t="str">
        <f>_xlfn.XLOOKUP(Table1[[#This Row],[Customer ID]],Data_customers!$A$2:$A$1001,Data_customers!$I$2:$I$1001,,0)</f>
        <v>Yes</v>
      </c>
    </row>
    <row r="852" spans="1:16" x14ac:dyDescent="0.2">
      <c r="A852" s="2" t="s">
        <v>5288</v>
      </c>
      <c r="B852" s="3">
        <v>44628</v>
      </c>
      <c r="C852" s="2" t="s">
        <v>5289</v>
      </c>
      <c r="D852" t="s">
        <v>6152</v>
      </c>
      <c r="E852" s="2">
        <v>2</v>
      </c>
      <c r="F852" s="2" t="str">
        <f>_xlfn.XLOOKUP(Data_orders!C852,Data_customers!$A$1:$A$1001,Data_customers!$B$1:$B$1001,,0)</f>
        <v>Jemimah Ethelston</v>
      </c>
      <c r="G852" s="2" t="str">
        <f>IF(_xlfn.XLOOKUP(C852,Data_customers!$A$1:$A$1001,Data_customers!$C$1:$C$1001,,0)=0,"",_xlfn.XLOOKUP(C852,Data_customers!$A$1:$A$1001,Data_customers!$C$1:$C$1001,,0))</f>
        <v>jethelstonnl@creativecommons.org</v>
      </c>
      <c r="H852" s="2" t="str">
        <f>_xlfn.XLOOKUP(C852,Data_customers!$A$1:$A$1001,Data_customers!$G$1:$G$1001,"",0)</f>
        <v>United States</v>
      </c>
      <c r="I852" t="str">
        <f>INDEX(Data_products!$A$1:$G$49, MATCH(Data_orders!$D852,Data_products!$A$1:$A$49,0), MATCH(Data_orders!I$1,Data_products!$A$1:$G$1,0))</f>
        <v>Ara</v>
      </c>
      <c r="J852" t="str">
        <f>INDEX(Data_products!$A$1:$G$49, MATCH(Data_orders!$D852,Data_products!$A$1:$A$49,0), MATCH(Data_orders!J$1,Data_products!$A$1:$G$1,0))</f>
        <v>M</v>
      </c>
      <c r="K852" s="4">
        <f>INDEX(Data_products!$A$1:$G$49, MATCH(Data_orders!$D852,Data_products!$A$1:$A$49,0), MATCH(Data_orders!K$1,Data_products!$A$1:$G$1,0))</f>
        <v>0.2</v>
      </c>
      <c r="L852">
        <f>INDEX(Data_products!$A$1:$G$49, MATCH(Data_orders!$D852,Data_products!$A$1:$A$49,0), MATCH(Data_orders!L$1,Data_products!$A$1:$G$1,0))</f>
        <v>3.375</v>
      </c>
      <c r="M852">
        <f t="shared" si="26"/>
        <v>6.75</v>
      </c>
      <c r="N852" t="str" cm="1">
        <f t="array" ref="N852">_xlfn.IFS(I852 = "Rob", "Robusta", I852 = "Exc", "Excelsa", I852 = "Ara", "Arabica", I852 = "Lib", "Liberica")</f>
        <v>Arabica</v>
      </c>
      <c r="O852" t="str">
        <f t="shared" si="27"/>
        <v>Medium</v>
      </c>
      <c r="P852" t="str">
        <f>_xlfn.XLOOKUP(Table1[[#This Row],[Customer ID]],Data_customers!$A$2:$A$1001,Data_customers!$I$2:$I$1001,,0)</f>
        <v>Yes</v>
      </c>
    </row>
    <row r="853" spans="1:16" x14ac:dyDescent="0.2">
      <c r="A853" s="2" t="s">
        <v>5299</v>
      </c>
      <c r="B853" s="3">
        <v>43900</v>
      </c>
      <c r="C853" s="2" t="s">
        <v>5300</v>
      </c>
      <c r="D853" t="s">
        <v>6169</v>
      </c>
      <c r="E853" s="2">
        <v>1</v>
      </c>
      <c r="F853" s="2" t="str">
        <f>_xlfn.XLOOKUP(Data_orders!C853,Data_customers!$A$1:$A$1001,Data_customers!$B$1:$B$1001,,0)</f>
        <v>Perice Eberz</v>
      </c>
      <c r="G853" s="2" t="str">
        <f>IF(_xlfn.XLOOKUP(C853,Data_customers!$A$1:$A$1001,Data_customers!$C$1:$C$1001,,0)=0,"",_xlfn.XLOOKUP(C853,Data_customers!$A$1:$A$1001,Data_customers!$C$1:$C$1001,,0))</f>
        <v>peberznn@woothemes.com</v>
      </c>
      <c r="H853" s="2" t="str">
        <f>_xlfn.XLOOKUP(C853,Data_customers!$A$1:$A$1001,Data_customers!$G$1:$G$1001,"",0)</f>
        <v>United States</v>
      </c>
      <c r="I853" t="str">
        <f>INDEX(Data_products!$A$1:$G$49, MATCH(Data_orders!$D853,Data_products!$A$1:$A$49,0), MATCH(Data_orders!I$1,Data_products!$A$1:$G$1,0))</f>
        <v>Lib</v>
      </c>
      <c r="J853" t="str">
        <f>INDEX(Data_products!$A$1:$G$49, MATCH(Data_orders!$D853,Data_products!$A$1:$A$49,0), MATCH(Data_orders!J$1,Data_products!$A$1:$G$1,0))</f>
        <v>D</v>
      </c>
      <c r="K853" s="4">
        <f>INDEX(Data_products!$A$1:$G$49, MATCH(Data_orders!$D853,Data_products!$A$1:$A$49,0), MATCH(Data_orders!K$1,Data_products!$A$1:$G$1,0))</f>
        <v>0.5</v>
      </c>
      <c r="L853">
        <f>INDEX(Data_products!$A$1:$G$49, MATCH(Data_orders!$D853,Data_products!$A$1:$A$49,0), MATCH(Data_orders!L$1,Data_products!$A$1:$G$1,0))</f>
        <v>7.77</v>
      </c>
      <c r="M853">
        <f t="shared" si="26"/>
        <v>7.77</v>
      </c>
      <c r="N853" t="str" cm="1">
        <f t="array" ref="N853">_xlfn.IFS(I853 = "Rob", "Robusta", I853 = "Exc", "Excelsa", I853 = "Ara", "Arabica", I853 = "Lib", "Liberica")</f>
        <v>Liberica</v>
      </c>
      <c r="O853" t="str">
        <f t="shared" si="27"/>
        <v>Dark</v>
      </c>
      <c r="P853" t="str">
        <f>_xlfn.XLOOKUP(Table1[[#This Row],[Customer ID]],Data_customers!$A$2:$A$1001,Data_customers!$I$2:$I$1001,,0)</f>
        <v>Yes</v>
      </c>
    </row>
    <row r="854" spans="1:16" x14ac:dyDescent="0.2">
      <c r="A854" s="2" t="s">
        <v>5305</v>
      </c>
      <c r="B854" s="3">
        <v>44527</v>
      </c>
      <c r="C854" s="2" t="s">
        <v>5306</v>
      </c>
      <c r="D854" t="s">
        <v>6165</v>
      </c>
      <c r="E854" s="2">
        <v>4</v>
      </c>
      <c r="F854" s="2" t="str">
        <f>_xlfn.XLOOKUP(Data_orders!C854,Data_customers!$A$1:$A$1001,Data_customers!$B$1:$B$1001,,0)</f>
        <v>Bear Gaish</v>
      </c>
      <c r="G854" s="2" t="str">
        <f>IF(_xlfn.XLOOKUP(C854,Data_customers!$A$1:$A$1001,Data_customers!$C$1:$C$1001,,0)=0,"",_xlfn.XLOOKUP(C854,Data_customers!$A$1:$A$1001,Data_customers!$C$1:$C$1001,,0))</f>
        <v>bgaishno@altervista.org</v>
      </c>
      <c r="H854" s="2" t="str">
        <f>_xlfn.XLOOKUP(C854,Data_customers!$A$1:$A$1001,Data_customers!$G$1:$G$1001,"",0)</f>
        <v>United States</v>
      </c>
      <c r="I854" t="str">
        <f>INDEX(Data_products!$A$1:$G$49, MATCH(Data_orders!$D854,Data_products!$A$1:$A$49,0), MATCH(Data_orders!I$1,Data_products!$A$1:$G$1,0))</f>
        <v>Lib</v>
      </c>
      <c r="J854" t="str">
        <f>INDEX(Data_products!$A$1:$G$49, MATCH(Data_orders!$D854,Data_products!$A$1:$A$49,0), MATCH(Data_orders!J$1,Data_products!$A$1:$G$1,0))</f>
        <v>D</v>
      </c>
      <c r="K854" s="4">
        <f>INDEX(Data_products!$A$1:$G$49, MATCH(Data_orders!$D854,Data_products!$A$1:$A$49,0), MATCH(Data_orders!K$1,Data_products!$A$1:$G$1,0))</f>
        <v>2.5</v>
      </c>
      <c r="L854">
        <f>INDEX(Data_products!$A$1:$G$49, MATCH(Data_orders!$D854,Data_products!$A$1:$A$49,0), MATCH(Data_orders!L$1,Data_products!$A$1:$G$1,0))</f>
        <v>29.784999999999997</v>
      </c>
      <c r="M854">
        <f t="shared" si="26"/>
        <v>119.13999999999999</v>
      </c>
      <c r="N854" t="str" cm="1">
        <f t="array" ref="N854">_xlfn.IFS(I854 = "Rob", "Robusta", I854 = "Exc", "Excelsa", I854 = "Ara", "Arabica", I854 = "Lib", "Liberica")</f>
        <v>Liberica</v>
      </c>
      <c r="O854" t="str">
        <f t="shared" si="27"/>
        <v>Dark</v>
      </c>
      <c r="P854" t="str">
        <f>_xlfn.XLOOKUP(Table1[[#This Row],[Customer ID]],Data_customers!$A$2:$A$1001,Data_customers!$I$2:$I$1001,,0)</f>
        <v>Yes</v>
      </c>
    </row>
    <row r="855" spans="1:16" x14ac:dyDescent="0.2">
      <c r="A855" s="2" t="s">
        <v>5310</v>
      </c>
      <c r="B855" s="3">
        <v>44259</v>
      </c>
      <c r="C855" s="2" t="s">
        <v>5311</v>
      </c>
      <c r="D855" t="s">
        <v>6147</v>
      </c>
      <c r="E855" s="2">
        <v>2</v>
      </c>
      <c r="F855" s="2" t="str">
        <f>_xlfn.XLOOKUP(Data_orders!C855,Data_customers!$A$1:$A$1001,Data_customers!$B$1:$B$1001,,0)</f>
        <v>Lynnea Danton</v>
      </c>
      <c r="G855" s="2" t="str">
        <f>IF(_xlfn.XLOOKUP(C855,Data_customers!$A$1:$A$1001,Data_customers!$C$1:$C$1001,,0)=0,"",_xlfn.XLOOKUP(C855,Data_customers!$A$1:$A$1001,Data_customers!$C$1:$C$1001,,0))</f>
        <v>ldantonnp@miitbeian.gov.cn</v>
      </c>
      <c r="H855" s="2" t="str">
        <f>_xlfn.XLOOKUP(C855,Data_customers!$A$1:$A$1001,Data_customers!$G$1:$G$1001,"",0)</f>
        <v>United States</v>
      </c>
      <c r="I855" t="str">
        <f>INDEX(Data_products!$A$1:$G$49, MATCH(Data_orders!$D855,Data_products!$A$1:$A$49,0), MATCH(Data_orders!I$1,Data_products!$A$1:$G$1,0))</f>
        <v>Ara</v>
      </c>
      <c r="J855" t="str">
        <f>INDEX(Data_products!$A$1:$G$49, MATCH(Data_orders!$D855,Data_products!$A$1:$A$49,0), MATCH(Data_orders!J$1,Data_products!$A$1:$G$1,0))</f>
        <v>D</v>
      </c>
      <c r="K855" s="4">
        <f>INDEX(Data_products!$A$1:$G$49, MATCH(Data_orders!$D855,Data_products!$A$1:$A$49,0), MATCH(Data_orders!K$1,Data_products!$A$1:$G$1,0))</f>
        <v>1</v>
      </c>
      <c r="L855">
        <f>INDEX(Data_products!$A$1:$G$49, MATCH(Data_orders!$D855,Data_products!$A$1:$A$49,0), MATCH(Data_orders!L$1,Data_products!$A$1:$G$1,0))</f>
        <v>9.9499999999999993</v>
      </c>
      <c r="M855">
        <f t="shared" si="26"/>
        <v>19.899999999999999</v>
      </c>
      <c r="N855" t="str" cm="1">
        <f t="array" ref="N855">_xlfn.IFS(I855 = "Rob", "Robusta", I855 = "Exc", "Excelsa", I855 = "Ara", "Arabica", I855 = "Lib", "Liberica")</f>
        <v>Arabica</v>
      </c>
      <c r="O855" t="str">
        <f t="shared" si="27"/>
        <v>Dark</v>
      </c>
      <c r="P855" t="str">
        <f>_xlfn.XLOOKUP(Table1[[#This Row],[Customer ID]],Data_customers!$A$2:$A$1001,Data_customers!$I$2:$I$1001,,0)</f>
        <v>No</v>
      </c>
    </row>
    <row r="856" spans="1:16" x14ac:dyDescent="0.2">
      <c r="A856" s="2" t="s">
        <v>5315</v>
      </c>
      <c r="B856" s="3">
        <v>44516</v>
      </c>
      <c r="C856" s="2" t="s">
        <v>5316</v>
      </c>
      <c r="D856" t="s">
        <v>6173</v>
      </c>
      <c r="E856" s="2">
        <v>5</v>
      </c>
      <c r="F856" s="2" t="str">
        <f>_xlfn.XLOOKUP(Data_orders!C856,Data_customers!$A$1:$A$1001,Data_customers!$B$1:$B$1001,,0)</f>
        <v>Skipton Morrall</v>
      </c>
      <c r="G856" s="2" t="str">
        <f>IF(_xlfn.XLOOKUP(C856,Data_customers!$A$1:$A$1001,Data_customers!$C$1:$C$1001,,0)=0,"",_xlfn.XLOOKUP(C856,Data_customers!$A$1:$A$1001,Data_customers!$C$1:$C$1001,,0))</f>
        <v>smorrallnq@answers.com</v>
      </c>
      <c r="H856" s="2" t="str">
        <f>_xlfn.XLOOKUP(C856,Data_customers!$A$1:$A$1001,Data_customers!$G$1:$G$1001,"",0)</f>
        <v>United States</v>
      </c>
      <c r="I856" t="str">
        <f>INDEX(Data_products!$A$1:$G$49, MATCH(Data_orders!$D856,Data_products!$A$1:$A$49,0), MATCH(Data_orders!I$1,Data_products!$A$1:$G$1,0))</f>
        <v>Rob</v>
      </c>
      <c r="J856" t="str">
        <f>INDEX(Data_products!$A$1:$G$49, MATCH(Data_orders!$D856,Data_products!$A$1:$A$49,0), MATCH(Data_orders!J$1,Data_products!$A$1:$G$1,0))</f>
        <v>L</v>
      </c>
      <c r="K856" s="4">
        <f>INDEX(Data_products!$A$1:$G$49, MATCH(Data_orders!$D856,Data_products!$A$1:$A$49,0), MATCH(Data_orders!K$1,Data_products!$A$1:$G$1,0))</f>
        <v>0.5</v>
      </c>
      <c r="L856">
        <f>INDEX(Data_products!$A$1:$G$49, MATCH(Data_orders!$D856,Data_products!$A$1:$A$49,0), MATCH(Data_orders!L$1,Data_products!$A$1:$G$1,0))</f>
        <v>7.169999999999999</v>
      </c>
      <c r="M856">
        <f t="shared" si="26"/>
        <v>35.849999999999994</v>
      </c>
      <c r="N856" t="str" cm="1">
        <f t="array" ref="N856">_xlfn.IFS(I856 = "Rob", "Robusta", I856 = "Exc", "Excelsa", I856 = "Ara", "Arabica", I856 = "Lib", "Liberica")</f>
        <v>Robusta</v>
      </c>
      <c r="O856" t="str">
        <f t="shared" si="27"/>
        <v>Light</v>
      </c>
      <c r="P856" t="str">
        <f>_xlfn.XLOOKUP(Table1[[#This Row],[Customer ID]],Data_customers!$A$2:$A$1001,Data_customers!$I$2:$I$1001,,0)</f>
        <v>Yes</v>
      </c>
    </row>
    <row r="857" spans="1:16" x14ac:dyDescent="0.2">
      <c r="A857" s="2" t="s">
        <v>5321</v>
      </c>
      <c r="B857" s="3">
        <v>43632</v>
      </c>
      <c r="C857" s="2" t="s">
        <v>5322</v>
      </c>
      <c r="D857" t="s">
        <v>6165</v>
      </c>
      <c r="E857" s="2">
        <v>3</v>
      </c>
      <c r="F857" s="2" t="str">
        <f>_xlfn.XLOOKUP(Data_orders!C857,Data_customers!$A$1:$A$1001,Data_customers!$B$1:$B$1001,,0)</f>
        <v>Devan Crownshaw</v>
      </c>
      <c r="G857" s="2" t="str">
        <f>IF(_xlfn.XLOOKUP(C857,Data_customers!$A$1:$A$1001,Data_customers!$C$1:$C$1001,,0)=0,"",_xlfn.XLOOKUP(C857,Data_customers!$A$1:$A$1001,Data_customers!$C$1:$C$1001,,0))</f>
        <v>dcrownshawnr@photobucket.com</v>
      </c>
      <c r="H857" s="2" t="str">
        <f>_xlfn.XLOOKUP(C857,Data_customers!$A$1:$A$1001,Data_customers!$G$1:$G$1001,"",0)</f>
        <v>United States</v>
      </c>
      <c r="I857" t="str">
        <f>INDEX(Data_products!$A$1:$G$49, MATCH(Data_orders!$D857,Data_products!$A$1:$A$49,0), MATCH(Data_orders!I$1,Data_products!$A$1:$G$1,0))</f>
        <v>Lib</v>
      </c>
      <c r="J857" t="str">
        <f>INDEX(Data_products!$A$1:$G$49, MATCH(Data_orders!$D857,Data_products!$A$1:$A$49,0), MATCH(Data_orders!J$1,Data_products!$A$1:$G$1,0))</f>
        <v>D</v>
      </c>
      <c r="K857" s="4">
        <f>INDEX(Data_products!$A$1:$G$49, MATCH(Data_orders!$D857,Data_products!$A$1:$A$49,0), MATCH(Data_orders!K$1,Data_products!$A$1:$G$1,0))</f>
        <v>2.5</v>
      </c>
      <c r="L857">
        <f>INDEX(Data_products!$A$1:$G$49, MATCH(Data_orders!$D857,Data_products!$A$1:$A$49,0), MATCH(Data_orders!L$1,Data_products!$A$1:$G$1,0))</f>
        <v>29.784999999999997</v>
      </c>
      <c r="M857">
        <f t="shared" si="26"/>
        <v>89.35499999999999</v>
      </c>
      <c r="N857" t="str" cm="1">
        <f t="array" ref="N857">_xlfn.IFS(I857 = "Rob", "Robusta", I857 = "Exc", "Excelsa", I857 = "Ara", "Arabica", I857 = "Lib", "Liberica")</f>
        <v>Liberica</v>
      </c>
      <c r="O857" t="str">
        <f t="shared" si="27"/>
        <v>Dark</v>
      </c>
      <c r="P857" t="str">
        <f>_xlfn.XLOOKUP(Table1[[#This Row],[Customer ID]],Data_customers!$A$2:$A$1001,Data_customers!$I$2:$I$1001,,0)</f>
        <v>No</v>
      </c>
    </row>
    <row r="858" spans="1:16" x14ac:dyDescent="0.2">
      <c r="A858" s="2" t="s">
        <v>5327</v>
      </c>
      <c r="B858" s="3">
        <v>44031</v>
      </c>
      <c r="C858" s="2" t="s">
        <v>5188</v>
      </c>
      <c r="D858" t="s">
        <v>6159</v>
      </c>
      <c r="E858" s="2">
        <v>2</v>
      </c>
      <c r="F858" s="2" t="str">
        <f>_xlfn.XLOOKUP(Data_orders!C858,Data_customers!$A$1:$A$1001,Data_customers!$B$1:$B$1001,,0)</f>
        <v>Odelia Skerme</v>
      </c>
      <c r="G858" s="2" t="str">
        <f>IF(_xlfn.XLOOKUP(C858,Data_customers!$A$1:$A$1001,Data_customers!$C$1:$C$1001,,0)=0,"",_xlfn.XLOOKUP(C858,Data_customers!$A$1:$A$1001,Data_customers!$C$1:$C$1001,,0))</f>
        <v>oskermen3@hatena.ne.jp</v>
      </c>
      <c r="H858" s="2" t="str">
        <f>_xlfn.XLOOKUP(C858,Data_customers!$A$1:$A$1001,Data_customers!$G$1:$G$1001,"",0)</f>
        <v>United States</v>
      </c>
      <c r="I858" t="str">
        <f>INDEX(Data_products!$A$1:$G$49, MATCH(Data_orders!$D858,Data_products!$A$1:$A$49,0), MATCH(Data_orders!I$1,Data_products!$A$1:$G$1,0))</f>
        <v>Lib</v>
      </c>
      <c r="J858" t="str">
        <f>INDEX(Data_products!$A$1:$G$49, MATCH(Data_orders!$D858,Data_products!$A$1:$A$49,0), MATCH(Data_orders!J$1,Data_products!$A$1:$G$1,0))</f>
        <v>M</v>
      </c>
      <c r="K858" s="4">
        <f>INDEX(Data_products!$A$1:$G$49, MATCH(Data_orders!$D858,Data_products!$A$1:$A$49,0), MATCH(Data_orders!K$1,Data_products!$A$1:$G$1,0))</f>
        <v>0.2</v>
      </c>
      <c r="L858">
        <f>INDEX(Data_products!$A$1:$G$49, MATCH(Data_orders!$D858,Data_products!$A$1:$A$49,0), MATCH(Data_orders!L$1,Data_products!$A$1:$G$1,0))</f>
        <v>4.3650000000000002</v>
      </c>
      <c r="M858">
        <f t="shared" si="26"/>
        <v>8.73</v>
      </c>
      <c r="N858" t="str" cm="1">
        <f t="array" ref="N858">_xlfn.IFS(I858 = "Rob", "Robusta", I858 = "Exc", "Excelsa", I858 = "Ara", "Arabica", I858 = "Lib", "Liberica")</f>
        <v>Liberica</v>
      </c>
      <c r="O858" t="str">
        <f t="shared" si="27"/>
        <v>Medium</v>
      </c>
      <c r="P858" t="str">
        <f>_xlfn.XLOOKUP(Table1[[#This Row],[Customer ID]],Data_customers!$A$2:$A$1001,Data_customers!$I$2:$I$1001,,0)</f>
        <v>Yes</v>
      </c>
    </row>
    <row r="859" spans="1:16" x14ac:dyDescent="0.2">
      <c r="A859" s="2" t="s">
        <v>5333</v>
      </c>
      <c r="B859" s="3">
        <v>43889</v>
      </c>
      <c r="C859" s="2" t="s">
        <v>5334</v>
      </c>
      <c r="D859" t="s">
        <v>6142</v>
      </c>
      <c r="E859" s="2">
        <v>5</v>
      </c>
      <c r="F859" s="2" t="str">
        <f>_xlfn.XLOOKUP(Data_orders!C859,Data_customers!$A$1:$A$1001,Data_customers!$B$1:$B$1001,,0)</f>
        <v>Joceline Reddoch</v>
      </c>
      <c r="G859" s="2" t="str">
        <f>IF(_xlfn.XLOOKUP(C859,Data_customers!$A$1:$A$1001,Data_customers!$C$1:$C$1001,,0)=0,"",_xlfn.XLOOKUP(C859,Data_customers!$A$1:$A$1001,Data_customers!$C$1:$C$1001,,0))</f>
        <v>jreddochnt@sun.com</v>
      </c>
      <c r="H859" s="2" t="str">
        <f>_xlfn.XLOOKUP(C859,Data_customers!$A$1:$A$1001,Data_customers!$G$1:$G$1001,"",0)</f>
        <v>United States</v>
      </c>
      <c r="I859" t="str">
        <f>INDEX(Data_products!$A$1:$G$49, MATCH(Data_orders!$D859,Data_products!$A$1:$A$49,0), MATCH(Data_orders!I$1,Data_products!$A$1:$G$1,0))</f>
        <v>Rob</v>
      </c>
      <c r="J859" t="str">
        <f>INDEX(Data_products!$A$1:$G$49, MATCH(Data_orders!$D859,Data_products!$A$1:$A$49,0), MATCH(Data_orders!J$1,Data_products!$A$1:$G$1,0))</f>
        <v>L</v>
      </c>
      <c r="K859" s="4">
        <f>INDEX(Data_products!$A$1:$G$49, MATCH(Data_orders!$D859,Data_products!$A$1:$A$49,0), MATCH(Data_orders!K$1,Data_products!$A$1:$G$1,0))</f>
        <v>2.5</v>
      </c>
      <c r="L859">
        <f>INDEX(Data_products!$A$1:$G$49, MATCH(Data_orders!$D859,Data_products!$A$1:$A$49,0), MATCH(Data_orders!L$1,Data_products!$A$1:$G$1,0))</f>
        <v>27.484999999999996</v>
      </c>
      <c r="M859">
        <f t="shared" si="26"/>
        <v>137.42499999999998</v>
      </c>
      <c r="N859" t="str" cm="1">
        <f t="array" ref="N859">_xlfn.IFS(I859 = "Rob", "Robusta", I859 = "Exc", "Excelsa", I859 = "Ara", "Arabica", I859 = "Lib", "Liberica")</f>
        <v>Robusta</v>
      </c>
      <c r="O859" t="str">
        <f t="shared" si="27"/>
        <v>Light</v>
      </c>
      <c r="P859" t="str">
        <f>_xlfn.XLOOKUP(Table1[[#This Row],[Customer ID]],Data_customers!$A$2:$A$1001,Data_customers!$I$2:$I$1001,,0)</f>
        <v>No</v>
      </c>
    </row>
    <row r="860" spans="1:16" x14ac:dyDescent="0.2">
      <c r="A860" s="2" t="s">
        <v>5339</v>
      </c>
      <c r="B860" s="3">
        <v>43638</v>
      </c>
      <c r="C860" s="2" t="s">
        <v>5340</v>
      </c>
      <c r="D860" t="s">
        <v>6160</v>
      </c>
      <c r="E860" s="2">
        <v>4</v>
      </c>
      <c r="F860" s="2" t="str">
        <f>_xlfn.XLOOKUP(Data_orders!C860,Data_customers!$A$1:$A$1001,Data_customers!$B$1:$B$1001,,0)</f>
        <v>Shelley Titley</v>
      </c>
      <c r="G860" s="2" t="str">
        <f>IF(_xlfn.XLOOKUP(C860,Data_customers!$A$1:$A$1001,Data_customers!$C$1:$C$1001,,0)=0,"",_xlfn.XLOOKUP(C860,Data_customers!$A$1:$A$1001,Data_customers!$C$1:$C$1001,,0))</f>
        <v>stitleynu@whitehouse.gov</v>
      </c>
      <c r="H860" s="2" t="str">
        <f>_xlfn.XLOOKUP(C860,Data_customers!$A$1:$A$1001,Data_customers!$G$1:$G$1001,"",0)</f>
        <v>United States</v>
      </c>
      <c r="I860" t="str">
        <f>INDEX(Data_products!$A$1:$G$49, MATCH(Data_orders!$D860,Data_products!$A$1:$A$49,0), MATCH(Data_orders!I$1,Data_products!$A$1:$G$1,0))</f>
        <v>Lib</v>
      </c>
      <c r="J860" t="str">
        <f>INDEX(Data_products!$A$1:$G$49, MATCH(Data_orders!$D860,Data_products!$A$1:$A$49,0), MATCH(Data_orders!J$1,Data_products!$A$1:$G$1,0))</f>
        <v>M</v>
      </c>
      <c r="K860" s="4">
        <f>INDEX(Data_products!$A$1:$G$49, MATCH(Data_orders!$D860,Data_products!$A$1:$A$49,0), MATCH(Data_orders!K$1,Data_products!$A$1:$G$1,0))</f>
        <v>0.5</v>
      </c>
      <c r="L860">
        <f>INDEX(Data_products!$A$1:$G$49, MATCH(Data_orders!$D860,Data_products!$A$1:$A$49,0), MATCH(Data_orders!L$1,Data_products!$A$1:$G$1,0))</f>
        <v>8.73</v>
      </c>
      <c r="M860">
        <f t="shared" si="26"/>
        <v>34.92</v>
      </c>
      <c r="N860" t="str" cm="1">
        <f t="array" ref="N860">_xlfn.IFS(I860 = "Rob", "Robusta", I860 = "Exc", "Excelsa", I860 = "Ara", "Arabica", I860 = "Lib", "Liberica")</f>
        <v>Liberica</v>
      </c>
      <c r="O860" t="str">
        <f t="shared" si="27"/>
        <v>Medium</v>
      </c>
      <c r="P860" t="str">
        <f>_xlfn.XLOOKUP(Table1[[#This Row],[Customer ID]],Data_customers!$A$2:$A$1001,Data_customers!$I$2:$I$1001,,0)</f>
        <v>No</v>
      </c>
    </row>
    <row r="861" spans="1:16" x14ac:dyDescent="0.2">
      <c r="A861" s="2" t="s">
        <v>5345</v>
      </c>
      <c r="B861" s="3">
        <v>43716</v>
      </c>
      <c r="C861" s="2" t="s">
        <v>5346</v>
      </c>
      <c r="D861" t="s">
        <v>6182</v>
      </c>
      <c r="E861" s="2">
        <v>6</v>
      </c>
      <c r="F861" s="2" t="str">
        <f>_xlfn.XLOOKUP(Data_orders!C861,Data_customers!$A$1:$A$1001,Data_customers!$B$1:$B$1001,,0)</f>
        <v>Redd Simao</v>
      </c>
      <c r="G861" s="2" t="str">
        <f>IF(_xlfn.XLOOKUP(C861,Data_customers!$A$1:$A$1001,Data_customers!$C$1:$C$1001,,0)=0,"",_xlfn.XLOOKUP(C861,Data_customers!$A$1:$A$1001,Data_customers!$C$1:$C$1001,,0))</f>
        <v>rsimaonv@simplemachines.org</v>
      </c>
      <c r="H861" s="2" t="str">
        <f>_xlfn.XLOOKUP(C861,Data_customers!$A$1:$A$1001,Data_customers!$G$1:$G$1001,"",0)</f>
        <v>United States</v>
      </c>
      <c r="I861" t="str">
        <f>INDEX(Data_products!$A$1:$G$49, MATCH(Data_orders!$D861,Data_products!$A$1:$A$49,0), MATCH(Data_orders!I$1,Data_products!$A$1:$G$1,0))</f>
        <v>Ara</v>
      </c>
      <c r="J861" t="str">
        <f>INDEX(Data_products!$A$1:$G$49, MATCH(Data_orders!$D861,Data_products!$A$1:$A$49,0), MATCH(Data_orders!J$1,Data_products!$A$1:$G$1,0))</f>
        <v>L</v>
      </c>
      <c r="K861" s="4">
        <f>INDEX(Data_products!$A$1:$G$49, MATCH(Data_orders!$D861,Data_products!$A$1:$A$49,0), MATCH(Data_orders!K$1,Data_products!$A$1:$G$1,0))</f>
        <v>2.5</v>
      </c>
      <c r="L861">
        <f>INDEX(Data_products!$A$1:$G$49, MATCH(Data_orders!$D861,Data_products!$A$1:$A$49,0), MATCH(Data_orders!L$1,Data_products!$A$1:$G$1,0))</f>
        <v>29.784999999999997</v>
      </c>
      <c r="M861">
        <f t="shared" si="26"/>
        <v>178.70999999999998</v>
      </c>
      <c r="N861" t="str" cm="1">
        <f t="array" ref="N861">_xlfn.IFS(I861 = "Rob", "Robusta", I861 = "Exc", "Excelsa", I861 = "Ara", "Arabica", I861 = "Lib", "Liberica")</f>
        <v>Arabica</v>
      </c>
      <c r="O861" t="str">
        <f t="shared" si="27"/>
        <v>Light</v>
      </c>
      <c r="P861" t="str">
        <f>_xlfn.XLOOKUP(Table1[[#This Row],[Customer ID]],Data_customers!$A$2:$A$1001,Data_customers!$I$2:$I$1001,,0)</f>
        <v>No</v>
      </c>
    </row>
    <row r="862" spans="1:16" x14ac:dyDescent="0.2">
      <c r="A862" s="2" t="s">
        <v>5351</v>
      </c>
      <c r="B862" s="3">
        <v>44707</v>
      </c>
      <c r="C862" s="2" t="s">
        <v>5352</v>
      </c>
      <c r="D862" t="s">
        <v>6175</v>
      </c>
      <c r="E862" s="2">
        <v>1</v>
      </c>
      <c r="F862" s="2" t="str">
        <f>_xlfn.XLOOKUP(Data_orders!C862,Data_customers!$A$1:$A$1001,Data_customers!$B$1:$B$1001,,0)</f>
        <v>Cece Inker</v>
      </c>
      <c r="G862" s="2" t="str">
        <f>IF(_xlfn.XLOOKUP(C862,Data_customers!$A$1:$A$1001,Data_customers!$C$1:$C$1001,,0)=0,"",_xlfn.XLOOKUP(C862,Data_customers!$A$1:$A$1001,Data_customers!$C$1:$C$1001,,0))</f>
        <v/>
      </c>
      <c r="H862" s="2" t="str">
        <f>_xlfn.XLOOKUP(C862,Data_customers!$A$1:$A$1001,Data_customers!$G$1:$G$1001,"",0)</f>
        <v>United States</v>
      </c>
      <c r="I862" t="str">
        <f>INDEX(Data_products!$A$1:$G$49, MATCH(Data_orders!$D862,Data_products!$A$1:$A$49,0), MATCH(Data_orders!I$1,Data_products!$A$1:$G$1,0))</f>
        <v>Ara</v>
      </c>
      <c r="J862" t="str">
        <f>INDEX(Data_products!$A$1:$G$49, MATCH(Data_orders!$D862,Data_products!$A$1:$A$49,0), MATCH(Data_orders!J$1,Data_products!$A$1:$G$1,0))</f>
        <v>M</v>
      </c>
      <c r="K862" s="4">
        <f>INDEX(Data_products!$A$1:$G$49, MATCH(Data_orders!$D862,Data_products!$A$1:$A$49,0), MATCH(Data_orders!K$1,Data_products!$A$1:$G$1,0))</f>
        <v>2.5</v>
      </c>
      <c r="L862">
        <f>INDEX(Data_products!$A$1:$G$49, MATCH(Data_orders!$D862,Data_products!$A$1:$A$49,0), MATCH(Data_orders!L$1,Data_products!$A$1:$G$1,0))</f>
        <v>25.874999999999996</v>
      </c>
      <c r="M862">
        <f t="shared" si="26"/>
        <v>25.874999999999996</v>
      </c>
      <c r="N862" t="str" cm="1">
        <f t="array" ref="N862">_xlfn.IFS(I862 = "Rob", "Robusta", I862 = "Exc", "Excelsa", I862 = "Ara", "Arabica", I862 = "Lib", "Liberica")</f>
        <v>Arabica</v>
      </c>
      <c r="O862" t="str">
        <f t="shared" si="27"/>
        <v>Medium</v>
      </c>
      <c r="P862" t="str">
        <f>_xlfn.XLOOKUP(Table1[[#This Row],[Customer ID]],Data_customers!$A$2:$A$1001,Data_customers!$I$2:$I$1001,,0)</f>
        <v>No</v>
      </c>
    </row>
    <row r="863" spans="1:16" x14ac:dyDescent="0.2">
      <c r="A863" s="2" t="s">
        <v>5356</v>
      </c>
      <c r="B863" s="3">
        <v>43802</v>
      </c>
      <c r="C863" s="2" t="s">
        <v>5357</v>
      </c>
      <c r="D863" t="s">
        <v>6143</v>
      </c>
      <c r="E863" s="2">
        <v>6</v>
      </c>
      <c r="F863" s="2" t="str">
        <f>_xlfn.XLOOKUP(Data_orders!C863,Data_customers!$A$1:$A$1001,Data_customers!$B$1:$B$1001,,0)</f>
        <v>Noel Chisholm</v>
      </c>
      <c r="G863" s="2" t="str">
        <f>IF(_xlfn.XLOOKUP(C863,Data_customers!$A$1:$A$1001,Data_customers!$C$1:$C$1001,,0)=0,"",_xlfn.XLOOKUP(C863,Data_customers!$A$1:$A$1001,Data_customers!$C$1:$C$1001,,0))</f>
        <v>nchisholmnx@example.com</v>
      </c>
      <c r="H863" s="2" t="str">
        <f>_xlfn.XLOOKUP(C863,Data_customers!$A$1:$A$1001,Data_customers!$G$1:$G$1001,"",0)</f>
        <v>United States</v>
      </c>
      <c r="I863" t="str">
        <f>INDEX(Data_products!$A$1:$G$49, MATCH(Data_orders!$D863,Data_products!$A$1:$A$49,0), MATCH(Data_orders!I$1,Data_products!$A$1:$G$1,0))</f>
        <v>Lib</v>
      </c>
      <c r="J863" t="str">
        <f>INDEX(Data_products!$A$1:$G$49, MATCH(Data_orders!$D863,Data_products!$A$1:$A$49,0), MATCH(Data_orders!J$1,Data_products!$A$1:$G$1,0))</f>
        <v>D</v>
      </c>
      <c r="K863" s="4">
        <f>INDEX(Data_products!$A$1:$G$49, MATCH(Data_orders!$D863,Data_products!$A$1:$A$49,0), MATCH(Data_orders!K$1,Data_products!$A$1:$G$1,0))</f>
        <v>1</v>
      </c>
      <c r="L863">
        <f>INDEX(Data_products!$A$1:$G$49, MATCH(Data_orders!$D863,Data_products!$A$1:$A$49,0), MATCH(Data_orders!L$1,Data_products!$A$1:$G$1,0))</f>
        <v>12.95</v>
      </c>
      <c r="M863">
        <f t="shared" si="26"/>
        <v>77.699999999999989</v>
      </c>
      <c r="N863" t="str" cm="1">
        <f t="array" ref="N863">_xlfn.IFS(I863 = "Rob", "Robusta", I863 = "Exc", "Excelsa", I863 = "Ara", "Arabica", I863 = "Lib", "Liberica")</f>
        <v>Liberica</v>
      </c>
      <c r="O863" t="str">
        <f t="shared" si="27"/>
        <v>Dark</v>
      </c>
      <c r="P863" t="str">
        <f>_xlfn.XLOOKUP(Table1[[#This Row],[Customer ID]],Data_customers!$A$2:$A$1001,Data_customers!$I$2:$I$1001,,0)</f>
        <v>Yes</v>
      </c>
    </row>
    <row r="864" spans="1:16" x14ac:dyDescent="0.2">
      <c r="A864" s="2" t="s">
        <v>5362</v>
      </c>
      <c r="B864" s="3">
        <v>43725</v>
      </c>
      <c r="C864" s="2" t="s">
        <v>5363</v>
      </c>
      <c r="D864" t="s">
        <v>6138</v>
      </c>
      <c r="E864" s="2">
        <v>1</v>
      </c>
      <c r="F864" s="2" t="str">
        <f>_xlfn.XLOOKUP(Data_orders!C864,Data_customers!$A$1:$A$1001,Data_customers!$B$1:$B$1001,,0)</f>
        <v>Grazia Oats</v>
      </c>
      <c r="G864" s="2" t="str">
        <f>IF(_xlfn.XLOOKUP(C864,Data_customers!$A$1:$A$1001,Data_customers!$C$1:$C$1001,,0)=0,"",_xlfn.XLOOKUP(C864,Data_customers!$A$1:$A$1001,Data_customers!$C$1:$C$1001,,0))</f>
        <v>goatsny@live.com</v>
      </c>
      <c r="H864" s="2" t="str">
        <f>_xlfn.XLOOKUP(C864,Data_customers!$A$1:$A$1001,Data_customers!$G$1:$G$1001,"",0)</f>
        <v>United States</v>
      </c>
      <c r="I864" t="str">
        <f>INDEX(Data_products!$A$1:$G$49, MATCH(Data_orders!$D864,Data_products!$A$1:$A$49,0), MATCH(Data_orders!I$1,Data_products!$A$1:$G$1,0))</f>
        <v>Rob</v>
      </c>
      <c r="J864" t="str">
        <f>INDEX(Data_products!$A$1:$G$49, MATCH(Data_orders!$D864,Data_products!$A$1:$A$49,0), MATCH(Data_orders!J$1,Data_products!$A$1:$G$1,0))</f>
        <v>M</v>
      </c>
      <c r="K864" s="4">
        <f>INDEX(Data_products!$A$1:$G$49, MATCH(Data_orders!$D864,Data_products!$A$1:$A$49,0), MATCH(Data_orders!K$1,Data_products!$A$1:$G$1,0))</f>
        <v>1</v>
      </c>
      <c r="L864">
        <f>INDEX(Data_products!$A$1:$G$49, MATCH(Data_orders!$D864,Data_products!$A$1:$A$49,0), MATCH(Data_orders!L$1,Data_products!$A$1:$G$1,0))</f>
        <v>9.9499999999999993</v>
      </c>
      <c r="M864">
        <f t="shared" si="26"/>
        <v>9.9499999999999993</v>
      </c>
      <c r="N864" t="str" cm="1">
        <f t="array" ref="N864">_xlfn.IFS(I864 = "Rob", "Robusta", I864 = "Exc", "Excelsa", I864 = "Ara", "Arabica", I864 = "Lib", "Liberica")</f>
        <v>Robusta</v>
      </c>
      <c r="O864" t="str">
        <f t="shared" si="27"/>
        <v>Medium</v>
      </c>
      <c r="P864" t="str">
        <f>_xlfn.XLOOKUP(Table1[[#This Row],[Customer ID]],Data_customers!$A$2:$A$1001,Data_customers!$I$2:$I$1001,,0)</f>
        <v>Yes</v>
      </c>
    </row>
    <row r="865" spans="1:16" x14ac:dyDescent="0.2">
      <c r="A865" s="2" t="s">
        <v>5368</v>
      </c>
      <c r="B865" s="3">
        <v>44712</v>
      </c>
      <c r="C865" s="2" t="s">
        <v>5369</v>
      </c>
      <c r="D865" t="s">
        <v>6162</v>
      </c>
      <c r="E865" s="2">
        <v>2</v>
      </c>
      <c r="F865" s="2" t="str">
        <f>_xlfn.XLOOKUP(Data_orders!C865,Data_customers!$A$1:$A$1001,Data_customers!$B$1:$B$1001,,0)</f>
        <v>Meade Birkin</v>
      </c>
      <c r="G865" s="2" t="str">
        <f>IF(_xlfn.XLOOKUP(C865,Data_customers!$A$1:$A$1001,Data_customers!$C$1:$C$1001,,0)=0,"",_xlfn.XLOOKUP(C865,Data_customers!$A$1:$A$1001,Data_customers!$C$1:$C$1001,,0))</f>
        <v>mbirkinnz@java.com</v>
      </c>
      <c r="H865" s="2" t="str">
        <f>_xlfn.XLOOKUP(C865,Data_customers!$A$1:$A$1001,Data_customers!$G$1:$G$1001,"",0)</f>
        <v>United States</v>
      </c>
      <c r="I865" t="str">
        <f>INDEX(Data_products!$A$1:$G$49, MATCH(Data_orders!$D865,Data_products!$A$1:$A$49,0), MATCH(Data_orders!I$1,Data_products!$A$1:$G$1,0))</f>
        <v>Lib</v>
      </c>
      <c r="J865" t="str">
        <f>INDEX(Data_products!$A$1:$G$49, MATCH(Data_orders!$D865,Data_products!$A$1:$A$49,0), MATCH(Data_orders!J$1,Data_products!$A$1:$G$1,0))</f>
        <v>M</v>
      </c>
      <c r="K865" s="4">
        <f>INDEX(Data_products!$A$1:$G$49, MATCH(Data_orders!$D865,Data_products!$A$1:$A$49,0), MATCH(Data_orders!K$1,Data_products!$A$1:$G$1,0))</f>
        <v>1</v>
      </c>
      <c r="L865">
        <f>INDEX(Data_products!$A$1:$G$49, MATCH(Data_orders!$D865,Data_products!$A$1:$A$49,0), MATCH(Data_orders!L$1,Data_products!$A$1:$G$1,0))</f>
        <v>14.55</v>
      </c>
      <c r="M865">
        <f t="shared" si="26"/>
        <v>29.1</v>
      </c>
      <c r="N865" t="str" cm="1">
        <f t="array" ref="N865">_xlfn.IFS(I865 = "Rob", "Robusta", I865 = "Exc", "Excelsa", I865 = "Ara", "Arabica", I865 = "Lib", "Liberica")</f>
        <v>Liberica</v>
      </c>
      <c r="O865" t="str">
        <f t="shared" si="27"/>
        <v>Medium</v>
      </c>
      <c r="P865" t="str">
        <f>_xlfn.XLOOKUP(Table1[[#This Row],[Customer ID]],Data_customers!$A$2:$A$1001,Data_customers!$I$2:$I$1001,,0)</f>
        <v>Yes</v>
      </c>
    </row>
    <row r="866" spans="1:16" x14ac:dyDescent="0.2">
      <c r="A866" s="2" t="s">
        <v>5374</v>
      </c>
      <c r="B866" s="3">
        <v>43759</v>
      </c>
      <c r="C866" s="2" t="s">
        <v>5375</v>
      </c>
      <c r="D866" t="s">
        <v>6178</v>
      </c>
      <c r="E866" s="2">
        <v>6</v>
      </c>
      <c r="F866" s="2" t="str">
        <f>_xlfn.XLOOKUP(Data_orders!C866,Data_customers!$A$1:$A$1001,Data_customers!$B$1:$B$1001,,0)</f>
        <v>Ronda Pyson</v>
      </c>
      <c r="G866" s="2" t="str">
        <f>IF(_xlfn.XLOOKUP(C866,Data_customers!$A$1:$A$1001,Data_customers!$C$1:$C$1001,,0)=0,"",_xlfn.XLOOKUP(C866,Data_customers!$A$1:$A$1001,Data_customers!$C$1:$C$1001,,0))</f>
        <v>rpysono0@constantcontact.com</v>
      </c>
      <c r="H866" s="2" t="str">
        <f>_xlfn.XLOOKUP(C866,Data_customers!$A$1:$A$1001,Data_customers!$G$1:$G$1001,"",0)</f>
        <v>Ireland</v>
      </c>
      <c r="I866" t="str">
        <f>INDEX(Data_products!$A$1:$G$49, MATCH(Data_orders!$D866,Data_products!$A$1:$A$49,0), MATCH(Data_orders!I$1,Data_products!$A$1:$G$1,0))</f>
        <v>Rob</v>
      </c>
      <c r="J866" t="str">
        <f>INDEX(Data_products!$A$1:$G$49, MATCH(Data_orders!$D866,Data_products!$A$1:$A$49,0), MATCH(Data_orders!J$1,Data_products!$A$1:$G$1,0))</f>
        <v>L</v>
      </c>
      <c r="K866" s="4">
        <f>INDEX(Data_products!$A$1:$G$49, MATCH(Data_orders!$D866,Data_products!$A$1:$A$49,0), MATCH(Data_orders!K$1,Data_products!$A$1:$G$1,0))</f>
        <v>0.2</v>
      </c>
      <c r="L866">
        <f>INDEX(Data_products!$A$1:$G$49, MATCH(Data_orders!$D866,Data_products!$A$1:$A$49,0), MATCH(Data_orders!L$1,Data_products!$A$1:$G$1,0))</f>
        <v>3.5849999999999995</v>
      </c>
      <c r="M866">
        <f t="shared" si="26"/>
        <v>21.509999999999998</v>
      </c>
      <c r="N866" t="str" cm="1">
        <f t="array" ref="N866">_xlfn.IFS(I866 = "Rob", "Robusta", I866 = "Exc", "Excelsa", I866 = "Ara", "Arabica", I866 = "Lib", "Liberica")</f>
        <v>Robusta</v>
      </c>
      <c r="O866" t="str">
        <f t="shared" si="27"/>
        <v>Light</v>
      </c>
      <c r="P866" t="str">
        <f>_xlfn.XLOOKUP(Table1[[#This Row],[Customer ID]],Data_customers!$A$2:$A$1001,Data_customers!$I$2:$I$1001,,0)</f>
        <v>No</v>
      </c>
    </row>
    <row r="867" spans="1:16" x14ac:dyDescent="0.2">
      <c r="A867" s="2" t="s">
        <v>5380</v>
      </c>
      <c r="B867" s="3">
        <v>44675</v>
      </c>
      <c r="C867" s="2" t="s">
        <v>5428</v>
      </c>
      <c r="D867" t="s">
        <v>6157</v>
      </c>
      <c r="E867" s="2">
        <v>1</v>
      </c>
      <c r="F867" s="2" t="str">
        <f>_xlfn.XLOOKUP(Data_orders!C867,Data_customers!$A$1:$A$1001,Data_customers!$B$1:$B$1001,,0)</f>
        <v>Modesty MacConnechie</v>
      </c>
      <c r="G867" s="2" t="str">
        <f>IF(_xlfn.XLOOKUP(C867,Data_customers!$A$1:$A$1001,Data_customers!$C$1:$C$1001,,0)=0,"",_xlfn.XLOOKUP(C867,Data_customers!$A$1:$A$1001,Data_customers!$C$1:$C$1001,,0))</f>
        <v>mmacconnechieo9@reuters.com</v>
      </c>
      <c r="H867" s="2" t="str">
        <f>_xlfn.XLOOKUP(C867,Data_customers!$A$1:$A$1001,Data_customers!$G$1:$G$1001,"",0)</f>
        <v>United States</v>
      </c>
      <c r="I867" t="str">
        <f>INDEX(Data_products!$A$1:$G$49, MATCH(Data_orders!$D867,Data_products!$A$1:$A$49,0), MATCH(Data_orders!I$1,Data_products!$A$1:$G$1,0))</f>
        <v>Ara</v>
      </c>
      <c r="J867" t="str">
        <f>INDEX(Data_products!$A$1:$G$49, MATCH(Data_orders!$D867,Data_products!$A$1:$A$49,0), MATCH(Data_orders!J$1,Data_products!$A$1:$G$1,0))</f>
        <v>M</v>
      </c>
      <c r="K867" s="4">
        <f>INDEX(Data_products!$A$1:$G$49, MATCH(Data_orders!$D867,Data_products!$A$1:$A$49,0), MATCH(Data_orders!K$1,Data_products!$A$1:$G$1,0))</f>
        <v>0.5</v>
      </c>
      <c r="L867">
        <f>INDEX(Data_products!$A$1:$G$49, MATCH(Data_orders!$D867,Data_products!$A$1:$A$49,0), MATCH(Data_orders!L$1,Data_products!$A$1:$G$1,0))</f>
        <v>6.75</v>
      </c>
      <c r="M867">
        <f t="shared" si="26"/>
        <v>6.75</v>
      </c>
      <c r="N867" t="str" cm="1">
        <f t="array" ref="N867">_xlfn.IFS(I867 = "Rob", "Robusta", I867 = "Exc", "Excelsa", I867 = "Ara", "Arabica", I867 = "Lib", "Liberica")</f>
        <v>Arabica</v>
      </c>
      <c r="O867" t="str">
        <f t="shared" si="27"/>
        <v>Medium</v>
      </c>
      <c r="P867" t="str">
        <f>_xlfn.XLOOKUP(Table1[[#This Row],[Customer ID]],Data_customers!$A$2:$A$1001,Data_customers!$I$2:$I$1001,,0)</f>
        <v>Yes</v>
      </c>
    </row>
    <row r="868" spans="1:16" x14ac:dyDescent="0.2">
      <c r="A868" s="2" t="s">
        <v>5385</v>
      </c>
      <c r="B868" s="3">
        <v>44209</v>
      </c>
      <c r="C868" s="2" t="s">
        <v>5386</v>
      </c>
      <c r="D868" t="s">
        <v>6158</v>
      </c>
      <c r="E868" s="2">
        <v>3</v>
      </c>
      <c r="F868" s="2" t="str">
        <f>_xlfn.XLOOKUP(Data_orders!C868,Data_customers!$A$1:$A$1001,Data_customers!$B$1:$B$1001,,0)</f>
        <v>Rafaela Treacher</v>
      </c>
      <c r="G868" s="2" t="str">
        <f>IF(_xlfn.XLOOKUP(C868,Data_customers!$A$1:$A$1001,Data_customers!$C$1:$C$1001,,0)=0,"",_xlfn.XLOOKUP(C868,Data_customers!$A$1:$A$1001,Data_customers!$C$1:$C$1001,,0))</f>
        <v>rtreachero2@usa.gov</v>
      </c>
      <c r="H868" s="2" t="str">
        <f>_xlfn.XLOOKUP(C868,Data_customers!$A$1:$A$1001,Data_customers!$G$1:$G$1001,"",0)</f>
        <v>Ireland</v>
      </c>
      <c r="I868" t="str">
        <f>INDEX(Data_products!$A$1:$G$49, MATCH(Data_orders!$D868,Data_products!$A$1:$A$49,0), MATCH(Data_orders!I$1,Data_products!$A$1:$G$1,0))</f>
        <v>Ara</v>
      </c>
      <c r="J868" t="str">
        <f>INDEX(Data_products!$A$1:$G$49, MATCH(Data_orders!$D868,Data_products!$A$1:$A$49,0), MATCH(Data_orders!J$1,Data_products!$A$1:$G$1,0))</f>
        <v>D</v>
      </c>
      <c r="K868" s="4">
        <f>INDEX(Data_products!$A$1:$G$49, MATCH(Data_orders!$D868,Data_products!$A$1:$A$49,0), MATCH(Data_orders!K$1,Data_products!$A$1:$G$1,0))</f>
        <v>0.5</v>
      </c>
      <c r="L868">
        <f>INDEX(Data_products!$A$1:$G$49, MATCH(Data_orders!$D868,Data_products!$A$1:$A$49,0), MATCH(Data_orders!L$1,Data_products!$A$1:$G$1,0))</f>
        <v>5.97</v>
      </c>
      <c r="M868">
        <f t="shared" si="26"/>
        <v>17.91</v>
      </c>
      <c r="N868" t="str" cm="1">
        <f t="array" ref="N868">_xlfn.IFS(I868 = "Rob", "Robusta", I868 = "Exc", "Excelsa", I868 = "Ara", "Arabica", I868 = "Lib", "Liberica")</f>
        <v>Arabica</v>
      </c>
      <c r="O868" t="str">
        <f t="shared" si="27"/>
        <v>Dark</v>
      </c>
      <c r="P868" t="str">
        <f>_xlfn.XLOOKUP(Table1[[#This Row],[Customer ID]],Data_customers!$A$2:$A$1001,Data_customers!$I$2:$I$1001,,0)</f>
        <v>No</v>
      </c>
    </row>
    <row r="869" spans="1:16" x14ac:dyDescent="0.2">
      <c r="A869" s="2" t="s">
        <v>5391</v>
      </c>
      <c r="B869" s="3">
        <v>44792</v>
      </c>
      <c r="C869" s="2" t="s">
        <v>5392</v>
      </c>
      <c r="D869" t="s">
        <v>6182</v>
      </c>
      <c r="E869" s="2">
        <v>1</v>
      </c>
      <c r="F869" s="2" t="str">
        <f>_xlfn.XLOOKUP(Data_orders!C869,Data_customers!$A$1:$A$1001,Data_customers!$B$1:$B$1001,,0)</f>
        <v>Bee Fattorini</v>
      </c>
      <c r="G869" s="2" t="str">
        <f>IF(_xlfn.XLOOKUP(C869,Data_customers!$A$1:$A$1001,Data_customers!$C$1:$C$1001,,0)=0,"",_xlfn.XLOOKUP(C869,Data_customers!$A$1:$A$1001,Data_customers!$C$1:$C$1001,,0))</f>
        <v>bfattorinio3@quantcast.com</v>
      </c>
      <c r="H869" s="2" t="str">
        <f>_xlfn.XLOOKUP(C869,Data_customers!$A$1:$A$1001,Data_customers!$G$1:$G$1001,"",0)</f>
        <v>Ireland</v>
      </c>
      <c r="I869" t="str">
        <f>INDEX(Data_products!$A$1:$G$49, MATCH(Data_orders!$D869,Data_products!$A$1:$A$49,0), MATCH(Data_orders!I$1,Data_products!$A$1:$G$1,0))</f>
        <v>Ara</v>
      </c>
      <c r="J869" t="str">
        <f>INDEX(Data_products!$A$1:$G$49, MATCH(Data_orders!$D869,Data_products!$A$1:$A$49,0), MATCH(Data_orders!J$1,Data_products!$A$1:$G$1,0))</f>
        <v>L</v>
      </c>
      <c r="K869" s="4">
        <f>INDEX(Data_products!$A$1:$G$49, MATCH(Data_orders!$D869,Data_products!$A$1:$A$49,0), MATCH(Data_orders!K$1,Data_products!$A$1:$G$1,0))</f>
        <v>2.5</v>
      </c>
      <c r="L869">
        <f>INDEX(Data_products!$A$1:$G$49, MATCH(Data_orders!$D869,Data_products!$A$1:$A$49,0), MATCH(Data_orders!L$1,Data_products!$A$1:$G$1,0))</f>
        <v>29.784999999999997</v>
      </c>
      <c r="M869">
        <f t="shared" si="26"/>
        <v>29.784999999999997</v>
      </c>
      <c r="N869" t="str" cm="1">
        <f t="array" ref="N869">_xlfn.IFS(I869 = "Rob", "Robusta", I869 = "Exc", "Excelsa", I869 = "Ara", "Arabica", I869 = "Lib", "Liberica")</f>
        <v>Arabica</v>
      </c>
      <c r="O869" t="str">
        <f t="shared" si="27"/>
        <v>Light</v>
      </c>
      <c r="P869" t="str">
        <f>_xlfn.XLOOKUP(Table1[[#This Row],[Customer ID]],Data_customers!$A$2:$A$1001,Data_customers!$I$2:$I$1001,,0)</f>
        <v>Yes</v>
      </c>
    </row>
    <row r="870" spans="1:16" x14ac:dyDescent="0.2">
      <c r="A870" s="2" t="s">
        <v>5396</v>
      </c>
      <c r="B870" s="3">
        <v>43526</v>
      </c>
      <c r="C870" s="2" t="s">
        <v>5397</v>
      </c>
      <c r="D870" t="s">
        <v>6139</v>
      </c>
      <c r="E870" s="2">
        <v>5</v>
      </c>
      <c r="F870" s="2" t="str">
        <f>_xlfn.XLOOKUP(Data_orders!C870,Data_customers!$A$1:$A$1001,Data_customers!$B$1:$B$1001,,0)</f>
        <v>Margie Palleske</v>
      </c>
      <c r="G870" s="2" t="str">
        <f>IF(_xlfn.XLOOKUP(C870,Data_customers!$A$1:$A$1001,Data_customers!$C$1:$C$1001,,0)=0,"",_xlfn.XLOOKUP(C870,Data_customers!$A$1:$A$1001,Data_customers!$C$1:$C$1001,,0))</f>
        <v>mpalleskeo4@nyu.edu</v>
      </c>
      <c r="H870" s="2" t="str">
        <f>_xlfn.XLOOKUP(C870,Data_customers!$A$1:$A$1001,Data_customers!$G$1:$G$1001,"",0)</f>
        <v>United States</v>
      </c>
      <c r="I870" t="str">
        <f>INDEX(Data_products!$A$1:$G$49, MATCH(Data_orders!$D870,Data_products!$A$1:$A$49,0), MATCH(Data_orders!I$1,Data_products!$A$1:$G$1,0))</f>
        <v>Exc</v>
      </c>
      <c r="J870" t="str">
        <f>INDEX(Data_products!$A$1:$G$49, MATCH(Data_orders!$D870,Data_products!$A$1:$A$49,0), MATCH(Data_orders!J$1,Data_products!$A$1:$G$1,0))</f>
        <v>M</v>
      </c>
      <c r="K870" s="4">
        <f>INDEX(Data_products!$A$1:$G$49, MATCH(Data_orders!$D870,Data_products!$A$1:$A$49,0), MATCH(Data_orders!K$1,Data_products!$A$1:$G$1,0))</f>
        <v>0.5</v>
      </c>
      <c r="L870">
        <f>INDEX(Data_products!$A$1:$G$49, MATCH(Data_orders!$D870,Data_products!$A$1:$A$49,0), MATCH(Data_orders!L$1,Data_products!$A$1:$G$1,0))</f>
        <v>8.25</v>
      </c>
      <c r="M870">
        <f t="shared" si="26"/>
        <v>41.25</v>
      </c>
      <c r="N870" t="str" cm="1">
        <f t="array" ref="N870">_xlfn.IFS(I870 = "Rob", "Robusta", I870 = "Exc", "Excelsa", I870 = "Ara", "Arabica", I870 = "Lib", "Liberica")</f>
        <v>Excelsa</v>
      </c>
      <c r="O870" t="str">
        <f t="shared" si="27"/>
        <v>Medium</v>
      </c>
      <c r="P870" t="str">
        <f>_xlfn.XLOOKUP(Table1[[#This Row],[Customer ID]],Data_customers!$A$2:$A$1001,Data_customers!$I$2:$I$1001,,0)</f>
        <v>Yes</v>
      </c>
    </row>
    <row r="871" spans="1:16" x14ac:dyDescent="0.2">
      <c r="A871" s="2" t="s">
        <v>5402</v>
      </c>
      <c r="B871" s="3">
        <v>43851</v>
      </c>
      <c r="C871" s="2" t="s">
        <v>5403</v>
      </c>
      <c r="D871" t="s">
        <v>6146</v>
      </c>
      <c r="E871" s="2">
        <v>3</v>
      </c>
      <c r="F871" s="2" t="str">
        <f>_xlfn.XLOOKUP(Data_orders!C871,Data_customers!$A$1:$A$1001,Data_customers!$B$1:$B$1001,,0)</f>
        <v>Alexina Randals</v>
      </c>
      <c r="G871" s="2" t="str">
        <f>IF(_xlfn.XLOOKUP(C871,Data_customers!$A$1:$A$1001,Data_customers!$C$1:$C$1001,,0)=0,"",_xlfn.XLOOKUP(C871,Data_customers!$A$1:$A$1001,Data_customers!$C$1:$C$1001,,0))</f>
        <v/>
      </c>
      <c r="H871" s="2" t="str">
        <f>_xlfn.XLOOKUP(C871,Data_customers!$A$1:$A$1001,Data_customers!$G$1:$G$1001,"",0)</f>
        <v>United States</v>
      </c>
      <c r="I871" t="str">
        <f>INDEX(Data_products!$A$1:$G$49, MATCH(Data_orders!$D871,Data_products!$A$1:$A$49,0), MATCH(Data_orders!I$1,Data_products!$A$1:$G$1,0))</f>
        <v>Rob</v>
      </c>
      <c r="J871" t="str">
        <f>INDEX(Data_products!$A$1:$G$49, MATCH(Data_orders!$D871,Data_products!$A$1:$A$49,0), MATCH(Data_orders!J$1,Data_products!$A$1:$G$1,0))</f>
        <v>M</v>
      </c>
      <c r="K871" s="4">
        <f>INDEX(Data_products!$A$1:$G$49, MATCH(Data_orders!$D871,Data_products!$A$1:$A$49,0), MATCH(Data_orders!K$1,Data_products!$A$1:$G$1,0))</f>
        <v>0.5</v>
      </c>
      <c r="L871">
        <f>INDEX(Data_products!$A$1:$G$49, MATCH(Data_orders!$D871,Data_products!$A$1:$A$49,0), MATCH(Data_orders!L$1,Data_products!$A$1:$G$1,0))</f>
        <v>5.97</v>
      </c>
      <c r="M871">
        <f t="shared" si="26"/>
        <v>17.91</v>
      </c>
      <c r="N871" t="str" cm="1">
        <f t="array" ref="N871">_xlfn.IFS(I871 = "Rob", "Robusta", I871 = "Exc", "Excelsa", I871 = "Ara", "Arabica", I871 = "Lib", "Liberica")</f>
        <v>Robusta</v>
      </c>
      <c r="O871" t="str">
        <f t="shared" si="27"/>
        <v>Medium</v>
      </c>
      <c r="P871" t="str">
        <f>_xlfn.XLOOKUP(Table1[[#This Row],[Customer ID]],Data_customers!$A$2:$A$1001,Data_customers!$I$2:$I$1001,,0)</f>
        <v>Yes</v>
      </c>
    </row>
    <row r="872" spans="1:16" x14ac:dyDescent="0.2">
      <c r="A872" s="2" t="s">
        <v>5407</v>
      </c>
      <c r="B872" s="3">
        <v>44460</v>
      </c>
      <c r="C872" s="2" t="s">
        <v>5408</v>
      </c>
      <c r="D872" t="s">
        <v>6144</v>
      </c>
      <c r="E872" s="2">
        <v>1</v>
      </c>
      <c r="F872" s="2" t="str">
        <f>_xlfn.XLOOKUP(Data_orders!C872,Data_customers!$A$1:$A$1001,Data_customers!$B$1:$B$1001,,0)</f>
        <v>Filip Antcliffe</v>
      </c>
      <c r="G872" s="2" t="str">
        <f>IF(_xlfn.XLOOKUP(C872,Data_customers!$A$1:$A$1001,Data_customers!$C$1:$C$1001,,0)=0,"",_xlfn.XLOOKUP(C872,Data_customers!$A$1:$A$1001,Data_customers!$C$1:$C$1001,,0))</f>
        <v>fantcliffeo6@amazon.co.jp</v>
      </c>
      <c r="H872" s="2" t="str">
        <f>_xlfn.XLOOKUP(C872,Data_customers!$A$1:$A$1001,Data_customers!$G$1:$G$1001,"",0)</f>
        <v>Ireland</v>
      </c>
      <c r="I872" t="str">
        <f>INDEX(Data_products!$A$1:$G$49, MATCH(Data_orders!$D872,Data_products!$A$1:$A$49,0), MATCH(Data_orders!I$1,Data_products!$A$1:$G$1,0))</f>
        <v>Exc</v>
      </c>
      <c r="J872" t="str">
        <f>INDEX(Data_products!$A$1:$G$49, MATCH(Data_orders!$D872,Data_products!$A$1:$A$49,0), MATCH(Data_orders!J$1,Data_products!$A$1:$G$1,0))</f>
        <v>D</v>
      </c>
      <c r="K872" s="4">
        <f>INDEX(Data_products!$A$1:$G$49, MATCH(Data_orders!$D872,Data_products!$A$1:$A$49,0), MATCH(Data_orders!K$1,Data_products!$A$1:$G$1,0))</f>
        <v>0.5</v>
      </c>
      <c r="L872">
        <f>INDEX(Data_products!$A$1:$G$49, MATCH(Data_orders!$D872,Data_products!$A$1:$A$49,0), MATCH(Data_orders!L$1,Data_products!$A$1:$G$1,0))</f>
        <v>7.29</v>
      </c>
      <c r="M872">
        <f t="shared" si="26"/>
        <v>7.29</v>
      </c>
      <c r="N872" t="str" cm="1">
        <f t="array" ref="N872">_xlfn.IFS(I872 = "Rob", "Robusta", I872 = "Exc", "Excelsa", I872 = "Ara", "Arabica", I872 = "Lib", "Liberica")</f>
        <v>Excelsa</v>
      </c>
      <c r="O872" t="str">
        <f t="shared" si="27"/>
        <v>Dark</v>
      </c>
      <c r="P872" t="str">
        <f>_xlfn.XLOOKUP(Table1[[#This Row],[Customer ID]],Data_customers!$A$2:$A$1001,Data_customers!$I$2:$I$1001,,0)</f>
        <v>Yes</v>
      </c>
    </row>
    <row r="873" spans="1:16" x14ac:dyDescent="0.2">
      <c r="A873" s="2" t="s">
        <v>5413</v>
      </c>
      <c r="B873" s="3">
        <v>43707</v>
      </c>
      <c r="C873" s="2" t="s">
        <v>5414</v>
      </c>
      <c r="D873" t="s">
        <v>6171</v>
      </c>
      <c r="E873" s="2">
        <v>2</v>
      </c>
      <c r="F873" s="2" t="str">
        <f>_xlfn.XLOOKUP(Data_orders!C873,Data_customers!$A$1:$A$1001,Data_customers!$B$1:$B$1001,,0)</f>
        <v>Peyter Matignon</v>
      </c>
      <c r="G873" s="2" t="str">
        <f>IF(_xlfn.XLOOKUP(C873,Data_customers!$A$1:$A$1001,Data_customers!$C$1:$C$1001,,0)=0,"",_xlfn.XLOOKUP(C873,Data_customers!$A$1:$A$1001,Data_customers!$C$1:$C$1001,,0))</f>
        <v>pmatignono7@harvard.edu</v>
      </c>
      <c r="H873" s="2" t="str">
        <f>_xlfn.XLOOKUP(C873,Data_customers!$A$1:$A$1001,Data_customers!$G$1:$G$1001,"",0)</f>
        <v>United Kingdom</v>
      </c>
      <c r="I873" t="str">
        <f>INDEX(Data_products!$A$1:$G$49, MATCH(Data_orders!$D873,Data_products!$A$1:$A$49,0), MATCH(Data_orders!I$1,Data_products!$A$1:$G$1,0))</f>
        <v>Exc</v>
      </c>
      <c r="J873" t="str">
        <f>INDEX(Data_products!$A$1:$G$49, MATCH(Data_orders!$D873,Data_products!$A$1:$A$49,0), MATCH(Data_orders!J$1,Data_products!$A$1:$G$1,0))</f>
        <v>L</v>
      </c>
      <c r="K873" s="4">
        <f>INDEX(Data_products!$A$1:$G$49, MATCH(Data_orders!$D873,Data_products!$A$1:$A$49,0), MATCH(Data_orders!K$1,Data_products!$A$1:$G$1,0))</f>
        <v>1</v>
      </c>
      <c r="L873">
        <f>INDEX(Data_products!$A$1:$G$49, MATCH(Data_orders!$D873,Data_products!$A$1:$A$49,0), MATCH(Data_orders!L$1,Data_products!$A$1:$G$1,0))</f>
        <v>14.85</v>
      </c>
      <c r="M873">
        <f t="shared" si="26"/>
        <v>29.7</v>
      </c>
      <c r="N873" t="str" cm="1">
        <f t="array" ref="N873">_xlfn.IFS(I873 = "Rob", "Robusta", I873 = "Exc", "Excelsa", I873 = "Ara", "Arabica", I873 = "Lib", "Liberica")</f>
        <v>Excelsa</v>
      </c>
      <c r="O873" t="str">
        <f t="shared" si="27"/>
        <v>Light</v>
      </c>
      <c r="P873" t="str">
        <f>_xlfn.XLOOKUP(Table1[[#This Row],[Customer ID]],Data_customers!$A$2:$A$1001,Data_customers!$I$2:$I$1001,,0)</f>
        <v>Yes</v>
      </c>
    </row>
    <row r="874" spans="1:16" x14ac:dyDescent="0.2">
      <c r="A874" s="2" t="s">
        <v>5421</v>
      </c>
      <c r="B874" s="3">
        <v>43521</v>
      </c>
      <c r="C874" s="2" t="s">
        <v>5422</v>
      </c>
      <c r="D874" t="s">
        <v>6155</v>
      </c>
      <c r="E874" s="2">
        <v>2</v>
      </c>
      <c r="F874" s="2" t="str">
        <f>_xlfn.XLOOKUP(Data_orders!C874,Data_customers!$A$1:$A$1001,Data_customers!$B$1:$B$1001,,0)</f>
        <v>Claudie Weond</v>
      </c>
      <c r="G874" s="2" t="str">
        <f>IF(_xlfn.XLOOKUP(C874,Data_customers!$A$1:$A$1001,Data_customers!$C$1:$C$1001,,0)=0,"",_xlfn.XLOOKUP(C874,Data_customers!$A$1:$A$1001,Data_customers!$C$1:$C$1001,,0))</f>
        <v>cweondo8@theglobeandmail.com</v>
      </c>
      <c r="H874" s="2" t="str">
        <f>_xlfn.XLOOKUP(C874,Data_customers!$A$1:$A$1001,Data_customers!$G$1:$G$1001,"",0)</f>
        <v>United States</v>
      </c>
      <c r="I874" t="str">
        <f>INDEX(Data_products!$A$1:$G$49, MATCH(Data_orders!$D874,Data_products!$A$1:$A$49,0), MATCH(Data_orders!I$1,Data_products!$A$1:$G$1,0))</f>
        <v>Ara</v>
      </c>
      <c r="J874" t="str">
        <f>INDEX(Data_products!$A$1:$G$49, MATCH(Data_orders!$D874,Data_products!$A$1:$A$49,0), MATCH(Data_orders!J$1,Data_products!$A$1:$G$1,0))</f>
        <v>M</v>
      </c>
      <c r="K874" s="4">
        <f>INDEX(Data_products!$A$1:$G$49, MATCH(Data_orders!$D874,Data_products!$A$1:$A$49,0), MATCH(Data_orders!K$1,Data_products!$A$1:$G$1,0))</f>
        <v>1</v>
      </c>
      <c r="L874">
        <f>INDEX(Data_products!$A$1:$G$49, MATCH(Data_orders!$D874,Data_products!$A$1:$A$49,0), MATCH(Data_orders!L$1,Data_products!$A$1:$G$1,0))</f>
        <v>11.25</v>
      </c>
      <c r="M874">
        <f t="shared" si="26"/>
        <v>22.5</v>
      </c>
      <c r="N874" t="str" cm="1">
        <f t="array" ref="N874">_xlfn.IFS(I874 = "Rob", "Robusta", I874 = "Exc", "Excelsa", I874 = "Ara", "Arabica", I874 = "Lib", "Liberica")</f>
        <v>Arabica</v>
      </c>
      <c r="O874" t="str">
        <f t="shared" si="27"/>
        <v>Medium</v>
      </c>
      <c r="P874" t="str">
        <f>_xlfn.XLOOKUP(Table1[[#This Row],[Customer ID]],Data_customers!$A$2:$A$1001,Data_customers!$I$2:$I$1001,,0)</f>
        <v>No</v>
      </c>
    </row>
    <row r="875" spans="1:16" x14ac:dyDescent="0.2">
      <c r="A875" s="2" t="s">
        <v>5427</v>
      </c>
      <c r="B875" s="3">
        <v>43725</v>
      </c>
      <c r="C875" s="2" t="s">
        <v>5428</v>
      </c>
      <c r="D875" t="s">
        <v>6174</v>
      </c>
      <c r="E875" s="2">
        <v>4</v>
      </c>
      <c r="F875" s="2" t="str">
        <f>_xlfn.XLOOKUP(Data_orders!C875,Data_customers!$A$1:$A$1001,Data_customers!$B$1:$B$1001,,0)</f>
        <v>Modesty MacConnechie</v>
      </c>
      <c r="G875" s="2" t="str">
        <f>IF(_xlfn.XLOOKUP(C875,Data_customers!$A$1:$A$1001,Data_customers!$C$1:$C$1001,,0)=0,"",_xlfn.XLOOKUP(C875,Data_customers!$A$1:$A$1001,Data_customers!$C$1:$C$1001,,0))</f>
        <v>mmacconnechieo9@reuters.com</v>
      </c>
      <c r="H875" s="2" t="str">
        <f>_xlfn.XLOOKUP(C875,Data_customers!$A$1:$A$1001,Data_customers!$G$1:$G$1001,"",0)</f>
        <v>United States</v>
      </c>
      <c r="I875" t="str">
        <f>INDEX(Data_products!$A$1:$G$49, MATCH(Data_orders!$D875,Data_products!$A$1:$A$49,0), MATCH(Data_orders!I$1,Data_products!$A$1:$G$1,0))</f>
        <v>Rob</v>
      </c>
      <c r="J875" t="str">
        <f>INDEX(Data_products!$A$1:$G$49, MATCH(Data_orders!$D875,Data_products!$A$1:$A$49,0), MATCH(Data_orders!J$1,Data_products!$A$1:$G$1,0))</f>
        <v>M</v>
      </c>
      <c r="K875" s="4">
        <f>INDEX(Data_products!$A$1:$G$49, MATCH(Data_orders!$D875,Data_products!$A$1:$A$49,0), MATCH(Data_orders!K$1,Data_products!$A$1:$G$1,0))</f>
        <v>0.2</v>
      </c>
      <c r="L875">
        <f>INDEX(Data_products!$A$1:$G$49, MATCH(Data_orders!$D875,Data_products!$A$1:$A$49,0), MATCH(Data_orders!L$1,Data_products!$A$1:$G$1,0))</f>
        <v>2.9849999999999999</v>
      </c>
      <c r="M875">
        <f t="shared" si="26"/>
        <v>11.94</v>
      </c>
      <c r="N875" t="str" cm="1">
        <f t="array" ref="N875">_xlfn.IFS(I875 = "Rob", "Robusta", I875 = "Exc", "Excelsa", I875 = "Ara", "Arabica", I875 = "Lib", "Liberica")</f>
        <v>Robusta</v>
      </c>
      <c r="O875" t="str">
        <f t="shared" si="27"/>
        <v>Medium</v>
      </c>
      <c r="P875" t="str">
        <f>_xlfn.XLOOKUP(Table1[[#This Row],[Customer ID]],Data_customers!$A$2:$A$1001,Data_customers!$I$2:$I$1001,,0)</f>
        <v>Yes</v>
      </c>
    </row>
    <row r="876" spans="1:16" x14ac:dyDescent="0.2">
      <c r="A876" s="2" t="s">
        <v>5433</v>
      </c>
      <c r="B876" s="3">
        <v>43680</v>
      </c>
      <c r="C876" s="2" t="s">
        <v>5434</v>
      </c>
      <c r="D876" t="s">
        <v>6140</v>
      </c>
      <c r="E876" s="2">
        <v>2</v>
      </c>
      <c r="F876" s="2" t="str">
        <f>_xlfn.XLOOKUP(Data_orders!C876,Data_customers!$A$1:$A$1001,Data_customers!$B$1:$B$1001,,0)</f>
        <v>Jaquenette Skentelbery</v>
      </c>
      <c r="G876" s="2" t="str">
        <f>IF(_xlfn.XLOOKUP(C876,Data_customers!$A$1:$A$1001,Data_customers!$C$1:$C$1001,,0)=0,"",_xlfn.XLOOKUP(C876,Data_customers!$A$1:$A$1001,Data_customers!$C$1:$C$1001,,0))</f>
        <v>jskentelberyoa@paypal.com</v>
      </c>
      <c r="H876" s="2" t="str">
        <f>_xlfn.XLOOKUP(C876,Data_customers!$A$1:$A$1001,Data_customers!$G$1:$G$1001,"",0)</f>
        <v>United States</v>
      </c>
      <c r="I876" t="str">
        <f>INDEX(Data_products!$A$1:$G$49, MATCH(Data_orders!$D876,Data_products!$A$1:$A$49,0), MATCH(Data_orders!I$1,Data_products!$A$1:$G$1,0))</f>
        <v>Ara</v>
      </c>
      <c r="J876" t="str">
        <f>INDEX(Data_products!$A$1:$G$49, MATCH(Data_orders!$D876,Data_products!$A$1:$A$49,0), MATCH(Data_orders!J$1,Data_products!$A$1:$G$1,0))</f>
        <v>L</v>
      </c>
      <c r="K876" s="4">
        <f>INDEX(Data_products!$A$1:$G$49, MATCH(Data_orders!$D876,Data_products!$A$1:$A$49,0), MATCH(Data_orders!K$1,Data_products!$A$1:$G$1,0))</f>
        <v>1</v>
      </c>
      <c r="L876">
        <f>INDEX(Data_products!$A$1:$G$49, MATCH(Data_orders!$D876,Data_products!$A$1:$A$49,0), MATCH(Data_orders!L$1,Data_products!$A$1:$G$1,0))</f>
        <v>12.95</v>
      </c>
      <c r="M876">
        <f t="shared" si="26"/>
        <v>25.9</v>
      </c>
      <c r="N876" t="str" cm="1">
        <f t="array" ref="N876">_xlfn.IFS(I876 = "Rob", "Robusta", I876 = "Exc", "Excelsa", I876 = "Ara", "Arabica", I876 = "Lib", "Liberica")</f>
        <v>Arabica</v>
      </c>
      <c r="O876" t="str">
        <f t="shared" si="27"/>
        <v>Light</v>
      </c>
      <c r="P876" t="str">
        <f>_xlfn.XLOOKUP(Table1[[#This Row],[Customer ID]],Data_customers!$A$2:$A$1001,Data_customers!$I$2:$I$1001,,0)</f>
        <v>No</v>
      </c>
    </row>
    <row r="877" spans="1:16" x14ac:dyDescent="0.2">
      <c r="A877" s="2" t="s">
        <v>5439</v>
      </c>
      <c r="B877" s="3">
        <v>44253</v>
      </c>
      <c r="C877" s="2" t="s">
        <v>5440</v>
      </c>
      <c r="D877" t="s">
        <v>6160</v>
      </c>
      <c r="E877" s="2">
        <v>5</v>
      </c>
      <c r="F877" s="2" t="str">
        <f>_xlfn.XLOOKUP(Data_orders!C877,Data_customers!$A$1:$A$1001,Data_customers!$B$1:$B$1001,,0)</f>
        <v>Orazio Comber</v>
      </c>
      <c r="G877" s="2" t="str">
        <f>IF(_xlfn.XLOOKUP(C877,Data_customers!$A$1:$A$1001,Data_customers!$C$1:$C$1001,,0)=0,"",_xlfn.XLOOKUP(C877,Data_customers!$A$1:$A$1001,Data_customers!$C$1:$C$1001,,0))</f>
        <v>ocomberob@goo.gl</v>
      </c>
      <c r="H877" s="2" t="str">
        <f>_xlfn.XLOOKUP(C877,Data_customers!$A$1:$A$1001,Data_customers!$G$1:$G$1001,"",0)</f>
        <v>Ireland</v>
      </c>
      <c r="I877" t="str">
        <f>INDEX(Data_products!$A$1:$G$49, MATCH(Data_orders!$D877,Data_products!$A$1:$A$49,0), MATCH(Data_orders!I$1,Data_products!$A$1:$G$1,0))</f>
        <v>Lib</v>
      </c>
      <c r="J877" t="str">
        <f>INDEX(Data_products!$A$1:$G$49, MATCH(Data_orders!$D877,Data_products!$A$1:$A$49,0), MATCH(Data_orders!J$1,Data_products!$A$1:$G$1,0))</f>
        <v>M</v>
      </c>
      <c r="K877" s="4">
        <f>INDEX(Data_products!$A$1:$G$49, MATCH(Data_orders!$D877,Data_products!$A$1:$A$49,0), MATCH(Data_orders!K$1,Data_products!$A$1:$G$1,0))</f>
        <v>0.5</v>
      </c>
      <c r="L877">
        <f>INDEX(Data_products!$A$1:$G$49, MATCH(Data_orders!$D877,Data_products!$A$1:$A$49,0), MATCH(Data_orders!L$1,Data_products!$A$1:$G$1,0))</f>
        <v>8.73</v>
      </c>
      <c r="M877">
        <f t="shared" si="26"/>
        <v>43.650000000000006</v>
      </c>
      <c r="N877" t="str" cm="1">
        <f t="array" ref="N877">_xlfn.IFS(I877 = "Rob", "Robusta", I877 = "Exc", "Excelsa", I877 = "Ara", "Arabica", I877 = "Lib", "Liberica")</f>
        <v>Liberica</v>
      </c>
      <c r="O877" t="str">
        <f t="shared" si="27"/>
        <v>Medium</v>
      </c>
      <c r="P877" t="str">
        <f>_xlfn.XLOOKUP(Table1[[#This Row],[Customer ID]],Data_customers!$A$2:$A$1001,Data_customers!$I$2:$I$1001,,0)</f>
        <v>No</v>
      </c>
    </row>
    <row r="878" spans="1:16" x14ac:dyDescent="0.2">
      <c r="A878" s="2" t="s">
        <v>5439</v>
      </c>
      <c r="B878" s="3">
        <v>44253</v>
      </c>
      <c r="C878" s="2" t="s">
        <v>5440</v>
      </c>
      <c r="D878" t="s">
        <v>6180</v>
      </c>
      <c r="E878" s="2">
        <v>6</v>
      </c>
      <c r="F878" s="2" t="str">
        <f>_xlfn.XLOOKUP(Data_orders!C878,Data_customers!$A$1:$A$1001,Data_customers!$B$1:$B$1001,,0)</f>
        <v>Orazio Comber</v>
      </c>
      <c r="G878" s="2" t="str">
        <f>IF(_xlfn.XLOOKUP(C878,Data_customers!$A$1:$A$1001,Data_customers!$C$1:$C$1001,,0)=0,"",_xlfn.XLOOKUP(C878,Data_customers!$A$1:$A$1001,Data_customers!$C$1:$C$1001,,0))</f>
        <v>ocomberob@goo.gl</v>
      </c>
      <c r="H878" s="2" t="str">
        <f>_xlfn.XLOOKUP(C878,Data_customers!$A$1:$A$1001,Data_customers!$G$1:$G$1001,"",0)</f>
        <v>Ireland</v>
      </c>
      <c r="I878" t="str">
        <f>INDEX(Data_products!$A$1:$G$49, MATCH(Data_orders!$D878,Data_products!$A$1:$A$49,0), MATCH(Data_orders!I$1,Data_products!$A$1:$G$1,0))</f>
        <v>Ara</v>
      </c>
      <c r="J878" t="str">
        <f>INDEX(Data_products!$A$1:$G$49, MATCH(Data_orders!$D878,Data_products!$A$1:$A$49,0), MATCH(Data_orders!J$1,Data_products!$A$1:$G$1,0))</f>
        <v>L</v>
      </c>
      <c r="K878" s="4">
        <f>INDEX(Data_products!$A$1:$G$49, MATCH(Data_orders!$D878,Data_products!$A$1:$A$49,0), MATCH(Data_orders!K$1,Data_products!$A$1:$G$1,0))</f>
        <v>0.5</v>
      </c>
      <c r="L878">
        <f>INDEX(Data_products!$A$1:$G$49, MATCH(Data_orders!$D878,Data_products!$A$1:$A$49,0), MATCH(Data_orders!L$1,Data_products!$A$1:$G$1,0))</f>
        <v>7.77</v>
      </c>
      <c r="M878">
        <f t="shared" si="26"/>
        <v>46.62</v>
      </c>
      <c r="N878" t="str" cm="1">
        <f t="array" ref="N878">_xlfn.IFS(I878 = "Rob", "Robusta", I878 = "Exc", "Excelsa", I878 = "Ara", "Arabica", I878 = "Lib", "Liberica")</f>
        <v>Arabica</v>
      </c>
      <c r="O878" t="str">
        <f t="shared" si="27"/>
        <v>Light</v>
      </c>
      <c r="P878" t="str">
        <f>_xlfn.XLOOKUP(Table1[[#This Row],[Customer ID]],Data_customers!$A$2:$A$1001,Data_customers!$I$2:$I$1001,,0)</f>
        <v>No</v>
      </c>
    </row>
    <row r="879" spans="1:16" x14ac:dyDescent="0.2">
      <c r="A879" s="2" t="s">
        <v>5450</v>
      </c>
      <c r="B879" s="3">
        <v>44411</v>
      </c>
      <c r="C879" s="2" t="s">
        <v>5451</v>
      </c>
      <c r="D879" t="s">
        <v>6161</v>
      </c>
      <c r="E879" s="2">
        <v>3</v>
      </c>
      <c r="F879" s="2" t="str">
        <f>_xlfn.XLOOKUP(Data_orders!C879,Data_customers!$A$1:$A$1001,Data_customers!$B$1:$B$1001,,0)</f>
        <v>Zachary Tramel</v>
      </c>
      <c r="G879" s="2" t="str">
        <f>IF(_xlfn.XLOOKUP(C879,Data_customers!$A$1:$A$1001,Data_customers!$C$1:$C$1001,,0)=0,"",_xlfn.XLOOKUP(C879,Data_customers!$A$1:$A$1001,Data_customers!$C$1:$C$1001,,0))</f>
        <v>ztramelod@netlog.com</v>
      </c>
      <c r="H879" s="2" t="str">
        <f>_xlfn.XLOOKUP(C879,Data_customers!$A$1:$A$1001,Data_customers!$G$1:$G$1001,"",0)</f>
        <v>United States</v>
      </c>
      <c r="I879" t="str">
        <f>INDEX(Data_products!$A$1:$G$49, MATCH(Data_orders!$D879,Data_products!$A$1:$A$49,0), MATCH(Data_orders!I$1,Data_products!$A$1:$G$1,0))</f>
        <v>Lib</v>
      </c>
      <c r="J879" t="str">
        <f>INDEX(Data_products!$A$1:$G$49, MATCH(Data_orders!$D879,Data_products!$A$1:$A$49,0), MATCH(Data_orders!J$1,Data_products!$A$1:$G$1,0))</f>
        <v>L</v>
      </c>
      <c r="K879" s="4">
        <f>INDEX(Data_products!$A$1:$G$49, MATCH(Data_orders!$D879,Data_products!$A$1:$A$49,0), MATCH(Data_orders!K$1,Data_products!$A$1:$G$1,0))</f>
        <v>0.5</v>
      </c>
      <c r="L879">
        <f>INDEX(Data_products!$A$1:$G$49, MATCH(Data_orders!$D879,Data_products!$A$1:$A$49,0), MATCH(Data_orders!L$1,Data_products!$A$1:$G$1,0))</f>
        <v>9.51</v>
      </c>
      <c r="M879">
        <f t="shared" si="26"/>
        <v>28.53</v>
      </c>
      <c r="N879" t="str" cm="1">
        <f t="array" ref="N879">_xlfn.IFS(I879 = "Rob", "Robusta", I879 = "Exc", "Excelsa", I879 = "Ara", "Arabica", I879 = "Lib", "Liberica")</f>
        <v>Liberica</v>
      </c>
      <c r="O879" t="str">
        <f t="shared" si="27"/>
        <v>Light</v>
      </c>
      <c r="P879" t="str">
        <f>_xlfn.XLOOKUP(Table1[[#This Row],[Customer ID]],Data_customers!$A$2:$A$1001,Data_customers!$I$2:$I$1001,,0)</f>
        <v>No</v>
      </c>
    </row>
    <row r="880" spans="1:16" x14ac:dyDescent="0.2">
      <c r="A880" s="2" t="s">
        <v>5456</v>
      </c>
      <c r="B880" s="3">
        <v>44323</v>
      </c>
      <c r="C880" s="2" t="s">
        <v>5457</v>
      </c>
      <c r="D880" t="s">
        <v>6142</v>
      </c>
      <c r="E880" s="2">
        <v>1</v>
      </c>
      <c r="F880" s="2" t="str">
        <f>_xlfn.XLOOKUP(Data_orders!C880,Data_customers!$A$1:$A$1001,Data_customers!$B$1:$B$1001,,0)</f>
        <v>Izaak Primak</v>
      </c>
      <c r="G880" s="2" t="str">
        <f>IF(_xlfn.XLOOKUP(C880,Data_customers!$A$1:$A$1001,Data_customers!$C$1:$C$1001,,0)=0,"",_xlfn.XLOOKUP(C880,Data_customers!$A$1:$A$1001,Data_customers!$C$1:$C$1001,,0))</f>
        <v/>
      </c>
      <c r="H880" s="2" t="str">
        <f>_xlfn.XLOOKUP(C880,Data_customers!$A$1:$A$1001,Data_customers!$G$1:$G$1001,"",0)</f>
        <v>United States</v>
      </c>
      <c r="I880" t="str">
        <f>INDEX(Data_products!$A$1:$G$49, MATCH(Data_orders!$D880,Data_products!$A$1:$A$49,0), MATCH(Data_orders!I$1,Data_products!$A$1:$G$1,0))</f>
        <v>Rob</v>
      </c>
      <c r="J880" t="str">
        <f>INDEX(Data_products!$A$1:$G$49, MATCH(Data_orders!$D880,Data_products!$A$1:$A$49,0), MATCH(Data_orders!J$1,Data_products!$A$1:$G$1,0))</f>
        <v>L</v>
      </c>
      <c r="K880" s="4">
        <f>INDEX(Data_products!$A$1:$G$49, MATCH(Data_orders!$D880,Data_products!$A$1:$A$49,0), MATCH(Data_orders!K$1,Data_products!$A$1:$G$1,0))</f>
        <v>2.5</v>
      </c>
      <c r="L880">
        <f>INDEX(Data_products!$A$1:$G$49, MATCH(Data_orders!$D880,Data_products!$A$1:$A$49,0), MATCH(Data_orders!L$1,Data_products!$A$1:$G$1,0))</f>
        <v>27.484999999999996</v>
      </c>
      <c r="M880">
        <f t="shared" si="26"/>
        <v>27.484999999999996</v>
      </c>
      <c r="N880" t="str" cm="1">
        <f t="array" ref="N880">_xlfn.IFS(I880 = "Rob", "Robusta", I880 = "Exc", "Excelsa", I880 = "Ara", "Arabica", I880 = "Lib", "Liberica")</f>
        <v>Robusta</v>
      </c>
      <c r="O880" t="str">
        <f t="shared" si="27"/>
        <v>Light</v>
      </c>
      <c r="P880" t="str">
        <f>_xlfn.XLOOKUP(Table1[[#This Row],[Customer ID]],Data_customers!$A$2:$A$1001,Data_customers!$I$2:$I$1001,,0)</f>
        <v>Yes</v>
      </c>
    </row>
    <row r="881" spans="1:16" x14ac:dyDescent="0.2">
      <c r="A881" s="2" t="s">
        <v>5461</v>
      </c>
      <c r="B881" s="3">
        <v>43630</v>
      </c>
      <c r="C881" s="2" t="s">
        <v>5462</v>
      </c>
      <c r="D881" t="s">
        <v>6153</v>
      </c>
      <c r="E881" s="2">
        <v>3</v>
      </c>
      <c r="F881" s="2" t="str">
        <f>_xlfn.XLOOKUP(Data_orders!C881,Data_customers!$A$1:$A$1001,Data_customers!$B$1:$B$1001,,0)</f>
        <v>Brittani Thoresbie</v>
      </c>
      <c r="G881" s="2" t="str">
        <f>IF(_xlfn.XLOOKUP(C881,Data_customers!$A$1:$A$1001,Data_customers!$C$1:$C$1001,,0)=0,"",_xlfn.XLOOKUP(C881,Data_customers!$A$1:$A$1001,Data_customers!$C$1:$C$1001,,0))</f>
        <v/>
      </c>
      <c r="H881" s="2" t="str">
        <f>_xlfn.XLOOKUP(C881,Data_customers!$A$1:$A$1001,Data_customers!$G$1:$G$1001,"",0)</f>
        <v>United States</v>
      </c>
      <c r="I881" t="str">
        <f>INDEX(Data_products!$A$1:$G$49, MATCH(Data_orders!$D881,Data_products!$A$1:$A$49,0), MATCH(Data_orders!I$1,Data_products!$A$1:$G$1,0))</f>
        <v>Exc</v>
      </c>
      <c r="J881" t="str">
        <f>INDEX(Data_products!$A$1:$G$49, MATCH(Data_orders!$D881,Data_products!$A$1:$A$49,0), MATCH(Data_orders!J$1,Data_products!$A$1:$G$1,0))</f>
        <v>D</v>
      </c>
      <c r="K881" s="4">
        <f>INDEX(Data_products!$A$1:$G$49, MATCH(Data_orders!$D881,Data_products!$A$1:$A$49,0), MATCH(Data_orders!K$1,Data_products!$A$1:$G$1,0))</f>
        <v>0.2</v>
      </c>
      <c r="L881">
        <f>INDEX(Data_products!$A$1:$G$49, MATCH(Data_orders!$D881,Data_products!$A$1:$A$49,0), MATCH(Data_orders!L$1,Data_products!$A$1:$G$1,0))</f>
        <v>3.645</v>
      </c>
      <c r="M881">
        <f t="shared" si="26"/>
        <v>10.935</v>
      </c>
      <c r="N881" t="str" cm="1">
        <f t="array" ref="N881">_xlfn.IFS(I881 = "Rob", "Robusta", I881 = "Exc", "Excelsa", I881 = "Ara", "Arabica", I881 = "Lib", "Liberica")</f>
        <v>Excelsa</v>
      </c>
      <c r="O881" t="str">
        <f t="shared" si="27"/>
        <v>Dark</v>
      </c>
      <c r="P881" t="str">
        <f>_xlfn.XLOOKUP(Table1[[#This Row],[Customer ID]],Data_customers!$A$2:$A$1001,Data_customers!$I$2:$I$1001,,0)</f>
        <v>No</v>
      </c>
    </row>
    <row r="882" spans="1:16" x14ac:dyDescent="0.2">
      <c r="A882" s="2" t="s">
        <v>5466</v>
      </c>
      <c r="B882" s="3">
        <v>43790</v>
      </c>
      <c r="C882" s="2" t="s">
        <v>5467</v>
      </c>
      <c r="D882" t="s">
        <v>6178</v>
      </c>
      <c r="E882" s="2">
        <v>2</v>
      </c>
      <c r="F882" s="2" t="str">
        <f>_xlfn.XLOOKUP(Data_orders!C882,Data_customers!$A$1:$A$1001,Data_customers!$B$1:$B$1001,,0)</f>
        <v>Constanta Hatfull</v>
      </c>
      <c r="G882" s="2" t="str">
        <f>IF(_xlfn.XLOOKUP(C882,Data_customers!$A$1:$A$1001,Data_customers!$C$1:$C$1001,,0)=0,"",_xlfn.XLOOKUP(C882,Data_customers!$A$1:$A$1001,Data_customers!$C$1:$C$1001,,0))</f>
        <v>chatfullog@ebay.com</v>
      </c>
      <c r="H882" s="2" t="str">
        <f>_xlfn.XLOOKUP(C882,Data_customers!$A$1:$A$1001,Data_customers!$G$1:$G$1001,"",0)</f>
        <v>United States</v>
      </c>
      <c r="I882" t="str">
        <f>INDEX(Data_products!$A$1:$G$49, MATCH(Data_orders!$D882,Data_products!$A$1:$A$49,0), MATCH(Data_orders!I$1,Data_products!$A$1:$G$1,0))</f>
        <v>Rob</v>
      </c>
      <c r="J882" t="str">
        <f>INDEX(Data_products!$A$1:$G$49, MATCH(Data_orders!$D882,Data_products!$A$1:$A$49,0), MATCH(Data_orders!J$1,Data_products!$A$1:$G$1,0))</f>
        <v>L</v>
      </c>
      <c r="K882" s="4">
        <f>INDEX(Data_products!$A$1:$G$49, MATCH(Data_orders!$D882,Data_products!$A$1:$A$49,0), MATCH(Data_orders!K$1,Data_products!$A$1:$G$1,0))</f>
        <v>0.2</v>
      </c>
      <c r="L882">
        <f>INDEX(Data_products!$A$1:$G$49, MATCH(Data_orders!$D882,Data_products!$A$1:$A$49,0), MATCH(Data_orders!L$1,Data_products!$A$1:$G$1,0))</f>
        <v>3.5849999999999995</v>
      </c>
      <c r="M882">
        <f t="shared" si="26"/>
        <v>7.169999999999999</v>
      </c>
      <c r="N882" t="str" cm="1">
        <f t="array" ref="N882">_xlfn.IFS(I882 = "Rob", "Robusta", I882 = "Exc", "Excelsa", I882 = "Ara", "Arabica", I882 = "Lib", "Liberica")</f>
        <v>Robusta</v>
      </c>
      <c r="O882" t="str">
        <f t="shared" si="27"/>
        <v>Light</v>
      </c>
      <c r="P882" t="str">
        <f>_xlfn.XLOOKUP(Table1[[#This Row],[Customer ID]],Data_customers!$A$2:$A$1001,Data_customers!$I$2:$I$1001,,0)</f>
        <v>No</v>
      </c>
    </row>
    <row r="883" spans="1:16" x14ac:dyDescent="0.2">
      <c r="A883" s="2" t="s">
        <v>5472</v>
      </c>
      <c r="B883" s="3">
        <v>44286</v>
      </c>
      <c r="C883" s="2" t="s">
        <v>5473</v>
      </c>
      <c r="D883" t="s">
        <v>6167</v>
      </c>
      <c r="E883" s="2">
        <v>6</v>
      </c>
      <c r="F883" s="2" t="str">
        <f>_xlfn.XLOOKUP(Data_orders!C883,Data_customers!$A$1:$A$1001,Data_customers!$B$1:$B$1001,,0)</f>
        <v>Bobbe Castagneto</v>
      </c>
      <c r="G883" s="2" t="str">
        <f>IF(_xlfn.XLOOKUP(C883,Data_customers!$A$1:$A$1001,Data_customers!$C$1:$C$1001,,0)=0,"",_xlfn.XLOOKUP(C883,Data_customers!$A$1:$A$1001,Data_customers!$C$1:$C$1001,,0))</f>
        <v/>
      </c>
      <c r="H883" s="2" t="str">
        <f>_xlfn.XLOOKUP(C883,Data_customers!$A$1:$A$1001,Data_customers!$G$1:$G$1001,"",0)</f>
        <v>United States</v>
      </c>
      <c r="I883" t="str">
        <f>INDEX(Data_products!$A$1:$G$49, MATCH(Data_orders!$D883,Data_products!$A$1:$A$49,0), MATCH(Data_orders!I$1,Data_products!$A$1:$G$1,0))</f>
        <v>Ara</v>
      </c>
      <c r="J883" t="str">
        <f>INDEX(Data_products!$A$1:$G$49, MATCH(Data_orders!$D883,Data_products!$A$1:$A$49,0), MATCH(Data_orders!J$1,Data_products!$A$1:$G$1,0))</f>
        <v>L</v>
      </c>
      <c r="K883" s="4">
        <f>INDEX(Data_products!$A$1:$G$49, MATCH(Data_orders!$D883,Data_products!$A$1:$A$49,0), MATCH(Data_orders!K$1,Data_products!$A$1:$G$1,0))</f>
        <v>0.2</v>
      </c>
      <c r="L883">
        <f>INDEX(Data_products!$A$1:$G$49, MATCH(Data_orders!$D883,Data_products!$A$1:$A$49,0), MATCH(Data_orders!L$1,Data_products!$A$1:$G$1,0))</f>
        <v>3.8849999999999998</v>
      </c>
      <c r="M883">
        <f t="shared" si="26"/>
        <v>23.31</v>
      </c>
      <c r="N883" t="str" cm="1">
        <f t="array" ref="N883">_xlfn.IFS(I883 = "Rob", "Robusta", I883 = "Exc", "Excelsa", I883 = "Ara", "Arabica", I883 = "Lib", "Liberica")</f>
        <v>Arabica</v>
      </c>
      <c r="O883" t="str">
        <f t="shared" si="27"/>
        <v>Light</v>
      </c>
      <c r="P883" t="str">
        <f>_xlfn.XLOOKUP(Table1[[#This Row],[Customer ID]],Data_customers!$A$2:$A$1001,Data_customers!$I$2:$I$1001,,0)</f>
        <v>Yes</v>
      </c>
    </row>
    <row r="884" spans="1:16" x14ac:dyDescent="0.2">
      <c r="A884" s="2" t="s">
        <v>5477</v>
      </c>
      <c r="B884" s="3">
        <v>43647</v>
      </c>
      <c r="C884" s="2" t="s">
        <v>5526</v>
      </c>
      <c r="D884" t="s">
        <v>6168</v>
      </c>
      <c r="E884" s="2">
        <v>5</v>
      </c>
      <c r="F884" s="2" t="str">
        <f>_xlfn.XLOOKUP(Data_orders!C884,Data_customers!$A$1:$A$1001,Data_customers!$B$1:$B$1001,,0)</f>
        <v>Kippie Marrison</v>
      </c>
      <c r="G884" s="2" t="str">
        <f>IF(_xlfn.XLOOKUP(C884,Data_customers!$A$1:$A$1001,Data_customers!$C$1:$C$1001,,0)=0,"",_xlfn.XLOOKUP(C884,Data_customers!$A$1:$A$1001,Data_customers!$C$1:$C$1001,,0))</f>
        <v>kmarrisonoq@dropbox.com</v>
      </c>
      <c r="H884" s="2" t="str">
        <f>_xlfn.XLOOKUP(C884,Data_customers!$A$1:$A$1001,Data_customers!$G$1:$G$1001,"",0)</f>
        <v>United States</v>
      </c>
      <c r="I884" t="str">
        <f>INDEX(Data_products!$A$1:$G$49, MATCH(Data_orders!$D884,Data_products!$A$1:$A$49,0), MATCH(Data_orders!I$1,Data_products!$A$1:$G$1,0))</f>
        <v>Ara</v>
      </c>
      <c r="J884" t="str">
        <f>INDEX(Data_products!$A$1:$G$49, MATCH(Data_orders!$D884,Data_products!$A$1:$A$49,0), MATCH(Data_orders!J$1,Data_products!$A$1:$G$1,0))</f>
        <v>D</v>
      </c>
      <c r="K884" s="4">
        <f>INDEX(Data_products!$A$1:$G$49, MATCH(Data_orders!$D884,Data_products!$A$1:$A$49,0), MATCH(Data_orders!K$1,Data_products!$A$1:$G$1,0))</f>
        <v>2.5</v>
      </c>
      <c r="L884">
        <f>INDEX(Data_products!$A$1:$G$49, MATCH(Data_orders!$D884,Data_products!$A$1:$A$49,0), MATCH(Data_orders!L$1,Data_products!$A$1:$G$1,0))</f>
        <v>22.884999999999998</v>
      </c>
      <c r="M884">
        <f t="shared" si="26"/>
        <v>114.42499999999998</v>
      </c>
      <c r="N884" t="str" cm="1">
        <f t="array" ref="N884">_xlfn.IFS(I884 = "Rob", "Robusta", I884 = "Exc", "Excelsa", I884 = "Ara", "Arabica", I884 = "Lib", "Liberica")</f>
        <v>Arabica</v>
      </c>
      <c r="O884" t="str">
        <f t="shared" si="27"/>
        <v>Dark</v>
      </c>
      <c r="P884" t="str">
        <f>_xlfn.XLOOKUP(Table1[[#This Row],[Customer ID]],Data_customers!$A$2:$A$1001,Data_customers!$I$2:$I$1001,,0)</f>
        <v>Yes</v>
      </c>
    </row>
    <row r="885" spans="1:16" x14ac:dyDescent="0.2">
      <c r="A885" s="2" t="s">
        <v>5483</v>
      </c>
      <c r="B885" s="3">
        <v>43956</v>
      </c>
      <c r="C885" s="2" t="s">
        <v>5484</v>
      </c>
      <c r="D885" t="s">
        <v>6175</v>
      </c>
      <c r="E885" s="2">
        <v>3</v>
      </c>
      <c r="F885" s="2" t="str">
        <f>_xlfn.XLOOKUP(Data_orders!C885,Data_customers!$A$1:$A$1001,Data_customers!$B$1:$B$1001,,0)</f>
        <v>Lindon Agnolo</v>
      </c>
      <c r="G885" s="2" t="str">
        <f>IF(_xlfn.XLOOKUP(C885,Data_customers!$A$1:$A$1001,Data_customers!$C$1:$C$1001,,0)=0,"",_xlfn.XLOOKUP(C885,Data_customers!$A$1:$A$1001,Data_customers!$C$1:$C$1001,,0))</f>
        <v>lagnolooj@pinterest.com</v>
      </c>
      <c r="H885" s="2" t="str">
        <f>_xlfn.XLOOKUP(C885,Data_customers!$A$1:$A$1001,Data_customers!$G$1:$G$1001,"",0)</f>
        <v>United States</v>
      </c>
      <c r="I885" t="str">
        <f>INDEX(Data_products!$A$1:$G$49, MATCH(Data_orders!$D885,Data_products!$A$1:$A$49,0), MATCH(Data_orders!I$1,Data_products!$A$1:$G$1,0))</f>
        <v>Ara</v>
      </c>
      <c r="J885" t="str">
        <f>INDEX(Data_products!$A$1:$G$49, MATCH(Data_orders!$D885,Data_products!$A$1:$A$49,0), MATCH(Data_orders!J$1,Data_products!$A$1:$G$1,0))</f>
        <v>M</v>
      </c>
      <c r="K885" s="4">
        <f>INDEX(Data_products!$A$1:$G$49, MATCH(Data_orders!$D885,Data_products!$A$1:$A$49,0), MATCH(Data_orders!K$1,Data_products!$A$1:$G$1,0))</f>
        <v>2.5</v>
      </c>
      <c r="L885">
        <f>INDEX(Data_products!$A$1:$G$49, MATCH(Data_orders!$D885,Data_products!$A$1:$A$49,0), MATCH(Data_orders!L$1,Data_products!$A$1:$G$1,0))</f>
        <v>25.874999999999996</v>
      </c>
      <c r="M885">
        <f t="shared" si="26"/>
        <v>77.624999999999986</v>
      </c>
      <c r="N885" t="str" cm="1">
        <f t="array" ref="N885">_xlfn.IFS(I885 = "Rob", "Robusta", I885 = "Exc", "Excelsa", I885 = "Ara", "Arabica", I885 = "Lib", "Liberica")</f>
        <v>Arabica</v>
      </c>
      <c r="O885" t="str">
        <f t="shared" si="27"/>
        <v>Medium</v>
      </c>
      <c r="P885" t="str">
        <f>_xlfn.XLOOKUP(Table1[[#This Row],[Customer ID]],Data_customers!$A$2:$A$1001,Data_customers!$I$2:$I$1001,,0)</f>
        <v>Yes</v>
      </c>
    </row>
    <row r="886" spans="1:16" x14ac:dyDescent="0.2">
      <c r="A886" s="2" t="s">
        <v>5489</v>
      </c>
      <c r="B886" s="3">
        <v>43941</v>
      </c>
      <c r="C886" s="2" t="s">
        <v>5490</v>
      </c>
      <c r="D886" t="s">
        <v>6172</v>
      </c>
      <c r="E886" s="2">
        <v>1</v>
      </c>
      <c r="F886" s="2" t="str">
        <f>_xlfn.XLOOKUP(Data_orders!C886,Data_customers!$A$1:$A$1001,Data_customers!$B$1:$B$1001,,0)</f>
        <v>Delainey Kiddy</v>
      </c>
      <c r="G886" s="2" t="str">
        <f>IF(_xlfn.XLOOKUP(C886,Data_customers!$A$1:$A$1001,Data_customers!$C$1:$C$1001,,0)=0,"",_xlfn.XLOOKUP(C886,Data_customers!$A$1:$A$1001,Data_customers!$C$1:$C$1001,,0))</f>
        <v>dkiddyok@fda.gov</v>
      </c>
      <c r="H886" s="2" t="str">
        <f>_xlfn.XLOOKUP(C886,Data_customers!$A$1:$A$1001,Data_customers!$G$1:$G$1001,"",0)</f>
        <v>United States</v>
      </c>
      <c r="I886" t="str">
        <f>INDEX(Data_products!$A$1:$G$49, MATCH(Data_orders!$D886,Data_products!$A$1:$A$49,0), MATCH(Data_orders!I$1,Data_products!$A$1:$G$1,0))</f>
        <v>Rob</v>
      </c>
      <c r="J886" t="str">
        <f>INDEX(Data_products!$A$1:$G$49, MATCH(Data_orders!$D886,Data_products!$A$1:$A$49,0), MATCH(Data_orders!J$1,Data_products!$A$1:$G$1,0))</f>
        <v>D</v>
      </c>
      <c r="K886" s="4">
        <f>INDEX(Data_products!$A$1:$G$49, MATCH(Data_orders!$D886,Data_products!$A$1:$A$49,0), MATCH(Data_orders!K$1,Data_products!$A$1:$G$1,0))</f>
        <v>0.5</v>
      </c>
      <c r="L886">
        <f>INDEX(Data_products!$A$1:$G$49, MATCH(Data_orders!$D886,Data_products!$A$1:$A$49,0), MATCH(Data_orders!L$1,Data_products!$A$1:$G$1,0))</f>
        <v>5.3699999999999992</v>
      </c>
      <c r="M886">
        <f t="shared" si="26"/>
        <v>5.3699999999999992</v>
      </c>
      <c r="N886" t="str" cm="1">
        <f t="array" ref="N886">_xlfn.IFS(I886 = "Rob", "Robusta", I886 = "Exc", "Excelsa", I886 = "Ara", "Arabica", I886 = "Lib", "Liberica")</f>
        <v>Robusta</v>
      </c>
      <c r="O886" t="str">
        <f t="shared" si="27"/>
        <v>Dark</v>
      </c>
      <c r="P886" t="str">
        <f>_xlfn.XLOOKUP(Table1[[#This Row],[Customer ID]],Data_customers!$A$2:$A$1001,Data_customers!$I$2:$I$1001,,0)</f>
        <v>Yes</v>
      </c>
    </row>
    <row r="887" spans="1:16" x14ac:dyDescent="0.2">
      <c r="A887" s="2" t="s">
        <v>5495</v>
      </c>
      <c r="B887" s="3">
        <v>43664</v>
      </c>
      <c r="C887" s="2" t="s">
        <v>5496</v>
      </c>
      <c r="D887" t="s">
        <v>6149</v>
      </c>
      <c r="E887" s="2">
        <v>6</v>
      </c>
      <c r="F887" s="2" t="str">
        <f>_xlfn.XLOOKUP(Data_orders!C887,Data_customers!$A$1:$A$1001,Data_customers!$B$1:$B$1001,,0)</f>
        <v>Helli Petroulis</v>
      </c>
      <c r="G887" s="2" t="str">
        <f>IF(_xlfn.XLOOKUP(C887,Data_customers!$A$1:$A$1001,Data_customers!$C$1:$C$1001,,0)=0,"",_xlfn.XLOOKUP(C887,Data_customers!$A$1:$A$1001,Data_customers!$C$1:$C$1001,,0))</f>
        <v>hpetroulisol@state.tx.us</v>
      </c>
      <c r="H887" s="2" t="str">
        <f>_xlfn.XLOOKUP(C887,Data_customers!$A$1:$A$1001,Data_customers!$G$1:$G$1001,"",0)</f>
        <v>Ireland</v>
      </c>
      <c r="I887" t="str">
        <f>INDEX(Data_products!$A$1:$G$49, MATCH(Data_orders!$D887,Data_products!$A$1:$A$49,0), MATCH(Data_orders!I$1,Data_products!$A$1:$G$1,0))</f>
        <v>Rob</v>
      </c>
      <c r="J887" t="str">
        <f>INDEX(Data_products!$A$1:$G$49, MATCH(Data_orders!$D887,Data_products!$A$1:$A$49,0), MATCH(Data_orders!J$1,Data_products!$A$1:$G$1,0))</f>
        <v>D</v>
      </c>
      <c r="K887" s="4">
        <f>INDEX(Data_products!$A$1:$G$49, MATCH(Data_orders!$D887,Data_products!$A$1:$A$49,0), MATCH(Data_orders!K$1,Data_products!$A$1:$G$1,0))</f>
        <v>2.5</v>
      </c>
      <c r="L887">
        <f>INDEX(Data_products!$A$1:$G$49, MATCH(Data_orders!$D887,Data_products!$A$1:$A$49,0), MATCH(Data_orders!L$1,Data_products!$A$1:$G$1,0))</f>
        <v>20.584999999999997</v>
      </c>
      <c r="M887">
        <f t="shared" si="26"/>
        <v>123.50999999999999</v>
      </c>
      <c r="N887" t="str" cm="1">
        <f t="array" ref="N887">_xlfn.IFS(I887 = "Rob", "Robusta", I887 = "Exc", "Excelsa", I887 = "Ara", "Arabica", I887 = "Lib", "Liberica")</f>
        <v>Robusta</v>
      </c>
      <c r="O887" t="str">
        <f t="shared" si="27"/>
        <v>Dark</v>
      </c>
      <c r="P887" t="str">
        <f>_xlfn.XLOOKUP(Table1[[#This Row],[Customer ID]],Data_customers!$A$2:$A$1001,Data_customers!$I$2:$I$1001,,0)</f>
        <v>No</v>
      </c>
    </row>
    <row r="888" spans="1:16" x14ac:dyDescent="0.2">
      <c r="A888" s="2" t="s">
        <v>5501</v>
      </c>
      <c r="B888" s="3">
        <v>44518</v>
      </c>
      <c r="C888" s="2" t="s">
        <v>5502</v>
      </c>
      <c r="D888" t="s">
        <v>6160</v>
      </c>
      <c r="E888" s="2">
        <v>2</v>
      </c>
      <c r="F888" s="2" t="str">
        <f>_xlfn.XLOOKUP(Data_orders!C888,Data_customers!$A$1:$A$1001,Data_customers!$B$1:$B$1001,,0)</f>
        <v>Marty Scholl</v>
      </c>
      <c r="G888" s="2" t="str">
        <f>IF(_xlfn.XLOOKUP(C888,Data_customers!$A$1:$A$1001,Data_customers!$C$1:$C$1001,,0)=0,"",_xlfn.XLOOKUP(C888,Data_customers!$A$1:$A$1001,Data_customers!$C$1:$C$1001,,0))</f>
        <v>mschollom@taobao.com</v>
      </c>
      <c r="H888" s="2" t="str">
        <f>_xlfn.XLOOKUP(C888,Data_customers!$A$1:$A$1001,Data_customers!$G$1:$G$1001,"",0)</f>
        <v>United States</v>
      </c>
      <c r="I888" t="str">
        <f>INDEX(Data_products!$A$1:$G$49, MATCH(Data_orders!$D888,Data_products!$A$1:$A$49,0), MATCH(Data_orders!I$1,Data_products!$A$1:$G$1,0))</f>
        <v>Lib</v>
      </c>
      <c r="J888" t="str">
        <f>INDEX(Data_products!$A$1:$G$49, MATCH(Data_orders!$D888,Data_products!$A$1:$A$49,0), MATCH(Data_orders!J$1,Data_products!$A$1:$G$1,0))</f>
        <v>M</v>
      </c>
      <c r="K888" s="4">
        <f>INDEX(Data_products!$A$1:$G$49, MATCH(Data_orders!$D888,Data_products!$A$1:$A$49,0), MATCH(Data_orders!K$1,Data_products!$A$1:$G$1,0))</f>
        <v>0.5</v>
      </c>
      <c r="L888">
        <f>INDEX(Data_products!$A$1:$G$49, MATCH(Data_orders!$D888,Data_products!$A$1:$A$49,0), MATCH(Data_orders!L$1,Data_products!$A$1:$G$1,0))</f>
        <v>8.73</v>
      </c>
      <c r="M888">
        <f t="shared" si="26"/>
        <v>17.46</v>
      </c>
      <c r="N888" t="str" cm="1">
        <f t="array" ref="N888">_xlfn.IFS(I888 = "Rob", "Robusta", I888 = "Exc", "Excelsa", I888 = "Ara", "Arabica", I888 = "Lib", "Liberica")</f>
        <v>Liberica</v>
      </c>
      <c r="O888" t="str">
        <f t="shared" si="27"/>
        <v>Medium</v>
      </c>
      <c r="P888" t="str">
        <f>_xlfn.XLOOKUP(Table1[[#This Row],[Customer ID]],Data_customers!$A$2:$A$1001,Data_customers!$I$2:$I$1001,,0)</f>
        <v>No</v>
      </c>
    </row>
    <row r="889" spans="1:16" x14ac:dyDescent="0.2">
      <c r="A889" s="2" t="s">
        <v>5507</v>
      </c>
      <c r="B889" s="3">
        <v>44002</v>
      </c>
      <c r="C889" s="2" t="s">
        <v>5508</v>
      </c>
      <c r="D889" t="s">
        <v>6184</v>
      </c>
      <c r="E889" s="2">
        <v>3</v>
      </c>
      <c r="F889" s="2" t="str">
        <f>_xlfn.XLOOKUP(Data_orders!C889,Data_customers!$A$1:$A$1001,Data_customers!$B$1:$B$1001,,0)</f>
        <v>Kienan Ferson</v>
      </c>
      <c r="G889" s="2" t="str">
        <f>IF(_xlfn.XLOOKUP(C889,Data_customers!$A$1:$A$1001,Data_customers!$C$1:$C$1001,,0)=0,"",_xlfn.XLOOKUP(C889,Data_customers!$A$1:$A$1001,Data_customers!$C$1:$C$1001,,0))</f>
        <v>kfersonon@g.co</v>
      </c>
      <c r="H889" s="2" t="str">
        <f>_xlfn.XLOOKUP(C889,Data_customers!$A$1:$A$1001,Data_customers!$G$1:$G$1001,"",0)</f>
        <v>United States</v>
      </c>
      <c r="I889" t="str">
        <f>INDEX(Data_products!$A$1:$G$49, MATCH(Data_orders!$D889,Data_products!$A$1:$A$49,0), MATCH(Data_orders!I$1,Data_products!$A$1:$G$1,0))</f>
        <v>Exc</v>
      </c>
      <c r="J889" t="str">
        <f>INDEX(Data_products!$A$1:$G$49, MATCH(Data_orders!$D889,Data_products!$A$1:$A$49,0), MATCH(Data_orders!J$1,Data_products!$A$1:$G$1,0))</f>
        <v>L</v>
      </c>
      <c r="K889" s="4">
        <f>INDEX(Data_products!$A$1:$G$49, MATCH(Data_orders!$D889,Data_products!$A$1:$A$49,0), MATCH(Data_orders!K$1,Data_products!$A$1:$G$1,0))</f>
        <v>0.2</v>
      </c>
      <c r="L889">
        <f>INDEX(Data_products!$A$1:$G$49, MATCH(Data_orders!$D889,Data_products!$A$1:$A$49,0), MATCH(Data_orders!L$1,Data_products!$A$1:$G$1,0))</f>
        <v>4.4550000000000001</v>
      </c>
      <c r="M889">
        <f t="shared" si="26"/>
        <v>13.365</v>
      </c>
      <c r="N889" t="str" cm="1">
        <f t="array" ref="N889">_xlfn.IFS(I889 = "Rob", "Robusta", I889 = "Exc", "Excelsa", I889 = "Ara", "Arabica", I889 = "Lib", "Liberica")</f>
        <v>Excelsa</v>
      </c>
      <c r="O889" t="str">
        <f t="shared" si="27"/>
        <v>Light</v>
      </c>
      <c r="P889" t="str">
        <f>_xlfn.XLOOKUP(Table1[[#This Row],[Customer ID]],Data_customers!$A$2:$A$1001,Data_customers!$I$2:$I$1001,,0)</f>
        <v>No</v>
      </c>
    </row>
    <row r="890" spans="1:16" x14ac:dyDescent="0.2">
      <c r="A890" s="2" t="s">
        <v>5513</v>
      </c>
      <c r="B890" s="3">
        <v>44292</v>
      </c>
      <c r="C890" s="2" t="s">
        <v>5514</v>
      </c>
      <c r="D890" t="s">
        <v>6167</v>
      </c>
      <c r="E890" s="2">
        <v>2</v>
      </c>
      <c r="F890" s="2" t="str">
        <f>_xlfn.XLOOKUP(Data_orders!C890,Data_customers!$A$1:$A$1001,Data_customers!$B$1:$B$1001,,0)</f>
        <v>Blake Kelloway</v>
      </c>
      <c r="G890" s="2" t="str">
        <f>IF(_xlfn.XLOOKUP(C890,Data_customers!$A$1:$A$1001,Data_customers!$C$1:$C$1001,,0)=0,"",_xlfn.XLOOKUP(C890,Data_customers!$A$1:$A$1001,Data_customers!$C$1:$C$1001,,0))</f>
        <v>bkellowayoo@omniture.com</v>
      </c>
      <c r="H890" s="2" t="str">
        <f>_xlfn.XLOOKUP(C890,Data_customers!$A$1:$A$1001,Data_customers!$G$1:$G$1001,"",0)</f>
        <v>United States</v>
      </c>
      <c r="I890" t="str">
        <f>INDEX(Data_products!$A$1:$G$49, MATCH(Data_orders!$D890,Data_products!$A$1:$A$49,0), MATCH(Data_orders!I$1,Data_products!$A$1:$G$1,0))</f>
        <v>Ara</v>
      </c>
      <c r="J890" t="str">
        <f>INDEX(Data_products!$A$1:$G$49, MATCH(Data_orders!$D890,Data_products!$A$1:$A$49,0), MATCH(Data_orders!J$1,Data_products!$A$1:$G$1,0))</f>
        <v>L</v>
      </c>
      <c r="K890" s="4">
        <f>INDEX(Data_products!$A$1:$G$49, MATCH(Data_orders!$D890,Data_products!$A$1:$A$49,0), MATCH(Data_orders!K$1,Data_products!$A$1:$G$1,0))</f>
        <v>0.2</v>
      </c>
      <c r="L890">
        <f>INDEX(Data_products!$A$1:$G$49, MATCH(Data_orders!$D890,Data_products!$A$1:$A$49,0), MATCH(Data_orders!L$1,Data_products!$A$1:$G$1,0))</f>
        <v>3.8849999999999998</v>
      </c>
      <c r="M890">
        <f t="shared" si="26"/>
        <v>7.77</v>
      </c>
      <c r="N890" t="str" cm="1">
        <f t="array" ref="N890">_xlfn.IFS(I890 = "Rob", "Robusta", I890 = "Exc", "Excelsa", I890 = "Ara", "Arabica", I890 = "Lib", "Liberica")</f>
        <v>Arabica</v>
      </c>
      <c r="O890" t="str">
        <f t="shared" si="27"/>
        <v>Light</v>
      </c>
      <c r="P890" t="str">
        <f>_xlfn.XLOOKUP(Table1[[#This Row],[Customer ID]],Data_customers!$A$2:$A$1001,Data_customers!$I$2:$I$1001,,0)</f>
        <v>Yes</v>
      </c>
    </row>
    <row r="891" spans="1:16" x14ac:dyDescent="0.2">
      <c r="A891" s="2" t="s">
        <v>5519</v>
      </c>
      <c r="B891" s="3">
        <v>43633</v>
      </c>
      <c r="C891" s="2" t="s">
        <v>5520</v>
      </c>
      <c r="D891" t="s">
        <v>6163</v>
      </c>
      <c r="E891" s="2">
        <v>1</v>
      </c>
      <c r="F891" s="2" t="str">
        <f>_xlfn.XLOOKUP(Data_orders!C891,Data_customers!$A$1:$A$1001,Data_customers!$B$1:$B$1001,,0)</f>
        <v>Scarlett Oliffe</v>
      </c>
      <c r="G891" s="2" t="str">
        <f>IF(_xlfn.XLOOKUP(C891,Data_customers!$A$1:$A$1001,Data_customers!$C$1:$C$1001,,0)=0,"",_xlfn.XLOOKUP(C891,Data_customers!$A$1:$A$1001,Data_customers!$C$1:$C$1001,,0))</f>
        <v>soliffeop@yellowbook.com</v>
      </c>
      <c r="H891" s="2" t="str">
        <f>_xlfn.XLOOKUP(C891,Data_customers!$A$1:$A$1001,Data_customers!$G$1:$G$1001,"",0)</f>
        <v>United States</v>
      </c>
      <c r="I891" t="str">
        <f>INDEX(Data_products!$A$1:$G$49, MATCH(Data_orders!$D891,Data_products!$A$1:$A$49,0), MATCH(Data_orders!I$1,Data_products!$A$1:$G$1,0))</f>
        <v>Rob</v>
      </c>
      <c r="J891" t="str">
        <f>INDEX(Data_products!$A$1:$G$49, MATCH(Data_orders!$D891,Data_products!$A$1:$A$49,0), MATCH(Data_orders!J$1,Data_products!$A$1:$G$1,0))</f>
        <v>D</v>
      </c>
      <c r="K891" s="4">
        <f>INDEX(Data_products!$A$1:$G$49, MATCH(Data_orders!$D891,Data_products!$A$1:$A$49,0), MATCH(Data_orders!K$1,Data_products!$A$1:$G$1,0))</f>
        <v>0.2</v>
      </c>
      <c r="L891">
        <f>INDEX(Data_products!$A$1:$G$49, MATCH(Data_orders!$D891,Data_products!$A$1:$A$49,0), MATCH(Data_orders!L$1,Data_products!$A$1:$G$1,0))</f>
        <v>2.6849999999999996</v>
      </c>
      <c r="M891">
        <f t="shared" si="26"/>
        <v>2.6849999999999996</v>
      </c>
      <c r="N891" t="str" cm="1">
        <f t="array" ref="N891">_xlfn.IFS(I891 = "Rob", "Robusta", I891 = "Exc", "Excelsa", I891 = "Ara", "Arabica", I891 = "Lib", "Liberica")</f>
        <v>Robusta</v>
      </c>
      <c r="O891" t="str">
        <f t="shared" si="27"/>
        <v>Dark</v>
      </c>
      <c r="P891" t="str">
        <f>_xlfn.XLOOKUP(Table1[[#This Row],[Customer ID]],Data_customers!$A$2:$A$1001,Data_customers!$I$2:$I$1001,,0)</f>
        <v>Yes</v>
      </c>
    </row>
    <row r="892" spans="1:16" x14ac:dyDescent="0.2">
      <c r="A892" s="2" t="s">
        <v>5525</v>
      </c>
      <c r="B892" s="3">
        <v>44646</v>
      </c>
      <c r="C892" s="2" t="s">
        <v>5526</v>
      </c>
      <c r="D892" t="s">
        <v>6149</v>
      </c>
      <c r="E892" s="2">
        <v>1</v>
      </c>
      <c r="F892" s="2" t="str">
        <f>_xlfn.XLOOKUP(Data_orders!C892,Data_customers!$A$1:$A$1001,Data_customers!$B$1:$B$1001,,0)</f>
        <v>Kippie Marrison</v>
      </c>
      <c r="G892" s="2" t="str">
        <f>IF(_xlfn.XLOOKUP(C892,Data_customers!$A$1:$A$1001,Data_customers!$C$1:$C$1001,,0)=0,"",_xlfn.XLOOKUP(C892,Data_customers!$A$1:$A$1001,Data_customers!$C$1:$C$1001,,0))</f>
        <v>kmarrisonoq@dropbox.com</v>
      </c>
      <c r="H892" s="2" t="str">
        <f>_xlfn.XLOOKUP(C892,Data_customers!$A$1:$A$1001,Data_customers!$G$1:$G$1001,"",0)</f>
        <v>United States</v>
      </c>
      <c r="I892" t="str">
        <f>INDEX(Data_products!$A$1:$G$49, MATCH(Data_orders!$D892,Data_products!$A$1:$A$49,0), MATCH(Data_orders!I$1,Data_products!$A$1:$G$1,0))</f>
        <v>Rob</v>
      </c>
      <c r="J892" t="str">
        <f>INDEX(Data_products!$A$1:$G$49, MATCH(Data_orders!$D892,Data_products!$A$1:$A$49,0), MATCH(Data_orders!J$1,Data_products!$A$1:$G$1,0))</f>
        <v>D</v>
      </c>
      <c r="K892" s="4">
        <f>INDEX(Data_products!$A$1:$G$49, MATCH(Data_orders!$D892,Data_products!$A$1:$A$49,0), MATCH(Data_orders!K$1,Data_products!$A$1:$G$1,0))</f>
        <v>2.5</v>
      </c>
      <c r="L892">
        <f>INDEX(Data_products!$A$1:$G$49, MATCH(Data_orders!$D892,Data_products!$A$1:$A$49,0), MATCH(Data_orders!L$1,Data_products!$A$1:$G$1,0))</f>
        <v>20.584999999999997</v>
      </c>
      <c r="M892">
        <f t="shared" si="26"/>
        <v>20.584999999999997</v>
      </c>
      <c r="N892" t="str" cm="1">
        <f t="array" ref="N892">_xlfn.IFS(I892 = "Rob", "Robusta", I892 = "Exc", "Excelsa", I892 = "Ara", "Arabica", I892 = "Lib", "Liberica")</f>
        <v>Robusta</v>
      </c>
      <c r="O892" t="str">
        <f t="shared" si="27"/>
        <v>Dark</v>
      </c>
      <c r="P892" t="str">
        <f>_xlfn.XLOOKUP(Table1[[#This Row],[Customer ID]],Data_customers!$A$2:$A$1001,Data_customers!$I$2:$I$1001,,0)</f>
        <v>Yes</v>
      </c>
    </row>
    <row r="893" spans="1:16" x14ac:dyDescent="0.2">
      <c r="A893" s="2" t="s">
        <v>5531</v>
      </c>
      <c r="B893" s="3">
        <v>44469</v>
      </c>
      <c r="C893" s="2" t="s">
        <v>5532</v>
      </c>
      <c r="D893" t="s">
        <v>6168</v>
      </c>
      <c r="E893" s="2">
        <v>5</v>
      </c>
      <c r="F893" s="2" t="str">
        <f>_xlfn.XLOOKUP(Data_orders!C893,Data_customers!$A$1:$A$1001,Data_customers!$B$1:$B$1001,,0)</f>
        <v>Celestia Dolohunty</v>
      </c>
      <c r="G893" s="2" t="str">
        <f>IF(_xlfn.XLOOKUP(C893,Data_customers!$A$1:$A$1001,Data_customers!$C$1:$C$1001,,0)=0,"",_xlfn.XLOOKUP(C893,Data_customers!$A$1:$A$1001,Data_customers!$C$1:$C$1001,,0))</f>
        <v>cdolohuntyor@dailymail.co.uk</v>
      </c>
      <c r="H893" s="2" t="str">
        <f>_xlfn.XLOOKUP(C893,Data_customers!$A$1:$A$1001,Data_customers!$G$1:$G$1001,"",0)</f>
        <v>United States</v>
      </c>
      <c r="I893" t="str">
        <f>INDEX(Data_products!$A$1:$G$49, MATCH(Data_orders!$D893,Data_products!$A$1:$A$49,0), MATCH(Data_orders!I$1,Data_products!$A$1:$G$1,0))</f>
        <v>Ara</v>
      </c>
      <c r="J893" t="str">
        <f>INDEX(Data_products!$A$1:$G$49, MATCH(Data_orders!$D893,Data_products!$A$1:$A$49,0), MATCH(Data_orders!J$1,Data_products!$A$1:$G$1,0))</f>
        <v>D</v>
      </c>
      <c r="K893" s="4">
        <f>INDEX(Data_products!$A$1:$G$49, MATCH(Data_orders!$D893,Data_products!$A$1:$A$49,0), MATCH(Data_orders!K$1,Data_products!$A$1:$G$1,0))</f>
        <v>2.5</v>
      </c>
      <c r="L893">
        <f>INDEX(Data_products!$A$1:$G$49, MATCH(Data_orders!$D893,Data_products!$A$1:$A$49,0), MATCH(Data_orders!L$1,Data_products!$A$1:$G$1,0))</f>
        <v>22.884999999999998</v>
      </c>
      <c r="M893">
        <f t="shared" si="26"/>
        <v>114.42499999999998</v>
      </c>
      <c r="N893" t="str" cm="1">
        <f t="array" ref="N893">_xlfn.IFS(I893 = "Rob", "Robusta", I893 = "Exc", "Excelsa", I893 = "Ara", "Arabica", I893 = "Lib", "Liberica")</f>
        <v>Arabica</v>
      </c>
      <c r="O893" t="str">
        <f t="shared" si="27"/>
        <v>Dark</v>
      </c>
      <c r="P893" t="str">
        <f>_xlfn.XLOOKUP(Table1[[#This Row],[Customer ID]],Data_customers!$A$2:$A$1001,Data_customers!$I$2:$I$1001,,0)</f>
        <v>Yes</v>
      </c>
    </row>
    <row r="894" spans="1:16" x14ac:dyDescent="0.2">
      <c r="A894" s="2" t="s">
        <v>5537</v>
      </c>
      <c r="B894" s="3">
        <v>43635</v>
      </c>
      <c r="C894" s="2" t="s">
        <v>5538</v>
      </c>
      <c r="D894" t="s">
        <v>6156</v>
      </c>
      <c r="E894" s="2">
        <v>5</v>
      </c>
      <c r="F894" s="2" t="str">
        <f>_xlfn.XLOOKUP(Data_orders!C894,Data_customers!$A$1:$A$1001,Data_customers!$B$1:$B$1001,,0)</f>
        <v>Patsy Vasilenko</v>
      </c>
      <c r="G894" s="2" t="str">
        <f>IF(_xlfn.XLOOKUP(C894,Data_customers!$A$1:$A$1001,Data_customers!$C$1:$C$1001,,0)=0,"",_xlfn.XLOOKUP(C894,Data_customers!$A$1:$A$1001,Data_customers!$C$1:$C$1001,,0))</f>
        <v>pvasilenkoos@addtoany.com</v>
      </c>
      <c r="H894" s="2" t="str">
        <f>_xlfn.XLOOKUP(C894,Data_customers!$A$1:$A$1001,Data_customers!$G$1:$G$1001,"",0)</f>
        <v>United Kingdom</v>
      </c>
      <c r="I894" t="str">
        <f>INDEX(Data_products!$A$1:$G$49, MATCH(Data_orders!$D894,Data_products!$A$1:$A$49,0), MATCH(Data_orders!I$1,Data_products!$A$1:$G$1,0))</f>
        <v>Exc</v>
      </c>
      <c r="J894" t="str">
        <f>INDEX(Data_products!$A$1:$G$49, MATCH(Data_orders!$D894,Data_products!$A$1:$A$49,0), MATCH(Data_orders!J$1,Data_products!$A$1:$G$1,0))</f>
        <v>M</v>
      </c>
      <c r="K894" s="4">
        <f>INDEX(Data_products!$A$1:$G$49, MATCH(Data_orders!$D894,Data_products!$A$1:$A$49,0), MATCH(Data_orders!K$1,Data_products!$A$1:$G$1,0))</f>
        <v>0.2</v>
      </c>
      <c r="L894">
        <f>INDEX(Data_products!$A$1:$G$49, MATCH(Data_orders!$D894,Data_products!$A$1:$A$49,0), MATCH(Data_orders!L$1,Data_products!$A$1:$G$1,0))</f>
        <v>4.125</v>
      </c>
      <c r="M894">
        <f t="shared" si="26"/>
        <v>20.625</v>
      </c>
      <c r="N894" t="str" cm="1">
        <f t="array" ref="N894">_xlfn.IFS(I894 = "Rob", "Robusta", I894 = "Exc", "Excelsa", I894 = "Ara", "Arabica", I894 = "Lib", "Liberica")</f>
        <v>Excelsa</v>
      </c>
      <c r="O894" t="str">
        <f t="shared" si="27"/>
        <v>Medium</v>
      </c>
      <c r="P894" t="str">
        <f>_xlfn.XLOOKUP(Table1[[#This Row],[Customer ID]],Data_customers!$A$2:$A$1001,Data_customers!$I$2:$I$1001,,0)</f>
        <v>No</v>
      </c>
    </row>
    <row r="895" spans="1:16" x14ac:dyDescent="0.2">
      <c r="A895" s="2" t="s">
        <v>5543</v>
      </c>
      <c r="B895" s="3">
        <v>44651</v>
      </c>
      <c r="C895" s="2" t="s">
        <v>5544</v>
      </c>
      <c r="D895" t="s">
        <v>6161</v>
      </c>
      <c r="E895" s="2">
        <v>6</v>
      </c>
      <c r="F895" s="2" t="str">
        <f>_xlfn.XLOOKUP(Data_orders!C895,Data_customers!$A$1:$A$1001,Data_customers!$B$1:$B$1001,,0)</f>
        <v>Raphaela Schankelborg</v>
      </c>
      <c r="G895" s="2" t="str">
        <f>IF(_xlfn.XLOOKUP(C895,Data_customers!$A$1:$A$1001,Data_customers!$C$1:$C$1001,,0)=0,"",_xlfn.XLOOKUP(C895,Data_customers!$A$1:$A$1001,Data_customers!$C$1:$C$1001,,0))</f>
        <v>rschankelborgot@ameblo.jp</v>
      </c>
      <c r="H895" s="2" t="str">
        <f>_xlfn.XLOOKUP(C895,Data_customers!$A$1:$A$1001,Data_customers!$G$1:$G$1001,"",0)</f>
        <v>United States</v>
      </c>
      <c r="I895" t="str">
        <f>INDEX(Data_products!$A$1:$G$49, MATCH(Data_orders!$D895,Data_products!$A$1:$A$49,0), MATCH(Data_orders!I$1,Data_products!$A$1:$G$1,0))</f>
        <v>Lib</v>
      </c>
      <c r="J895" t="str">
        <f>INDEX(Data_products!$A$1:$G$49, MATCH(Data_orders!$D895,Data_products!$A$1:$A$49,0), MATCH(Data_orders!J$1,Data_products!$A$1:$G$1,0))</f>
        <v>L</v>
      </c>
      <c r="K895" s="4">
        <f>INDEX(Data_products!$A$1:$G$49, MATCH(Data_orders!$D895,Data_products!$A$1:$A$49,0), MATCH(Data_orders!K$1,Data_products!$A$1:$G$1,0))</f>
        <v>0.5</v>
      </c>
      <c r="L895">
        <f>INDEX(Data_products!$A$1:$G$49, MATCH(Data_orders!$D895,Data_products!$A$1:$A$49,0), MATCH(Data_orders!L$1,Data_products!$A$1:$G$1,0))</f>
        <v>9.51</v>
      </c>
      <c r="M895">
        <f t="shared" si="26"/>
        <v>57.06</v>
      </c>
      <c r="N895" t="str" cm="1">
        <f t="array" ref="N895">_xlfn.IFS(I895 = "Rob", "Robusta", I895 = "Exc", "Excelsa", I895 = "Ara", "Arabica", I895 = "Lib", "Liberica")</f>
        <v>Liberica</v>
      </c>
      <c r="O895" t="str">
        <f t="shared" si="27"/>
        <v>Light</v>
      </c>
      <c r="P895" t="str">
        <f>_xlfn.XLOOKUP(Table1[[#This Row],[Customer ID]],Data_customers!$A$2:$A$1001,Data_customers!$I$2:$I$1001,,0)</f>
        <v>Yes</v>
      </c>
    </row>
    <row r="896" spans="1:16" x14ac:dyDescent="0.2">
      <c r="A896" s="2" t="s">
        <v>5548</v>
      </c>
      <c r="B896" s="3">
        <v>44016</v>
      </c>
      <c r="C896" s="2" t="s">
        <v>5549</v>
      </c>
      <c r="D896" t="s">
        <v>6149</v>
      </c>
      <c r="E896" s="2">
        <v>4</v>
      </c>
      <c r="F896" s="2" t="str">
        <f>_xlfn.XLOOKUP(Data_orders!C896,Data_customers!$A$1:$A$1001,Data_customers!$B$1:$B$1001,,0)</f>
        <v>Sharity Wickens</v>
      </c>
      <c r="G896" s="2" t="str">
        <f>IF(_xlfn.XLOOKUP(C896,Data_customers!$A$1:$A$1001,Data_customers!$C$1:$C$1001,,0)=0,"",_xlfn.XLOOKUP(C896,Data_customers!$A$1:$A$1001,Data_customers!$C$1:$C$1001,,0))</f>
        <v/>
      </c>
      <c r="H896" s="2" t="str">
        <f>_xlfn.XLOOKUP(C896,Data_customers!$A$1:$A$1001,Data_customers!$G$1:$G$1001,"",0)</f>
        <v>Ireland</v>
      </c>
      <c r="I896" t="str">
        <f>INDEX(Data_products!$A$1:$G$49, MATCH(Data_orders!$D896,Data_products!$A$1:$A$49,0), MATCH(Data_orders!I$1,Data_products!$A$1:$G$1,0))</f>
        <v>Rob</v>
      </c>
      <c r="J896" t="str">
        <f>INDEX(Data_products!$A$1:$G$49, MATCH(Data_orders!$D896,Data_products!$A$1:$A$49,0), MATCH(Data_orders!J$1,Data_products!$A$1:$G$1,0))</f>
        <v>D</v>
      </c>
      <c r="K896" s="4">
        <f>INDEX(Data_products!$A$1:$G$49, MATCH(Data_orders!$D896,Data_products!$A$1:$A$49,0), MATCH(Data_orders!K$1,Data_products!$A$1:$G$1,0))</f>
        <v>2.5</v>
      </c>
      <c r="L896">
        <f>INDEX(Data_products!$A$1:$G$49, MATCH(Data_orders!$D896,Data_products!$A$1:$A$49,0), MATCH(Data_orders!L$1,Data_products!$A$1:$G$1,0))</f>
        <v>20.584999999999997</v>
      </c>
      <c r="M896">
        <f t="shared" si="26"/>
        <v>82.339999999999989</v>
      </c>
      <c r="N896" t="str" cm="1">
        <f t="array" ref="N896">_xlfn.IFS(I896 = "Rob", "Robusta", I896 = "Exc", "Excelsa", I896 = "Ara", "Arabica", I896 = "Lib", "Liberica")</f>
        <v>Robusta</v>
      </c>
      <c r="O896" t="str">
        <f t="shared" si="27"/>
        <v>Dark</v>
      </c>
      <c r="P896" t="str">
        <f>_xlfn.XLOOKUP(Table1[[#This Row],[Customer ID]],Data_customers!$A$2:$A$1001,Data_customers!$I$2:$I$1001,,0)</f>
        <v>Yes</v>
      </c>
    </row>
    <row r="897" spans="1:16" x14ac:dyDescent="0.2">
      <c r="A897" s="2" t="s">
        <v>5553</v>
      </c>
      <c r="B897" s="3">
        <v>44521</v>
      </c>
      <c r="C897" s="2" t="s">
        <v>5554</v>
      </c>
      <c r="D897" t="s">
        <v>6166</v>
      </c>
      <c r="E897" s="2">
        <v>5</v>
      </c>
      <c r="F897" s="2" t="str">
        <f>_xlfn.XLOOKUP(Data_orders!C897,Data_customers!$A$1:$A$1001,Data_customers!$B$1:$B$1001,,0)</f>
        <v>Derick Snow</v>
      </c>
      <c r="G897" s="2" t="str">
        <f>IF(_xlfn.XLOOKUP(C897,Data_customers!$A$1:$A$1001,Data_customers!$C$1:$C$1001,,0)=0,"",_xlfn.XLOOKUP(C897,Data_customers!$A$1:$A$1001,Data_customers!$C$1:$C$1001,,0))</f>
        <v/>
      </c>
      <c r="H897" s="2" t="str">
        <f>_xlfn.XLOOKUP(C897,Data_customers!$A$1:$A$1001,Data_customers!$G$1:$G$1001,"",0)</f>
        <v>United States</v>
      </c>
      <c r="I897" t="str">
        <f>INDEX(Data_products!$A$1:$G$49, MATCH(Data_orders!$D897,Data_products!$A$1:$A$49,0), MATCH(Data_orders!I$1,Data_products!$A$1:$G$1,0))</f>
        <v>Exc</v>
      </c>
      <c r="J897" t="str">
        <f>INDEX(Data_products!$A$1:$G$49, MATCH(Data_orders!$D897,Data_products!$A$1:$A$49,0), MATCH(Data_orders!J$1,Data_products!$A$1:$G$1,0))</f>
        <v>M</v>
      </c>
      <c r="K897" s="4">
        <f>INDEX(Data_products!$A$1:$G$49, MATCH(Data_orders!$D897,Data_products!$A$1:$A$49,0), MATCH(Data_orders!K$1,Data_products!$A$1:$G$1,0))</f>
        <v>2.5</v>
      </c>
      <c r="L897">
        <f>INDEX(Data_products!$A$1:$G$49, MATCH(Data_orders!$D897,Data_products!$A$1:$A$49,0), MATCH(Data_orders!L$1,Data_products!$A$1:$G$1,0))</f>
        <v>31.624999999999996</v>
      </c>
      <c r="M897">
        <f t="shared" si="26"/>
        <v>158.12499999999997</v>
      </c>
      <c r="N897" t="str" cm="1">
        <f t="array" ref="N897">_xlfn.IFS(I897 = "Rob", "Robusta", I897 = "Exc", "Excelsa", I897 = "Ara", "Arabica", I897 = "Lib", "Liberica")</f>
        <v>Excelsa</v>
      </c>
      <c r="O897" t="str">
        <f t="shared" si="27"/>
        <v>Medium</v>
      </c>
      <c r="P897" t="str">
        <f>_xlfn.XLOOKUP(Table1[[#This Row],[Customer ID]],Data_customers!$A$2:$A$1001,Data_customers!$I$2:$I$1001,,0)</f>
        <v>No</v>
      </c>
    </row>
    <row r="898" spans="1:16" x14ac:dyDescent="0.2">
      <c r="A898" s="2" t="s">
        <v>5558</v>
      </c>
      <c r="B898" s="3">
        <v>44347</v>
      </c>
      <c r="C898" s="2" t="s">
        <v>5559</v>
      </c>
      <c r="D898" t="s">
        <v>6172</v>
      </c>
      <c r="E898" s="2">
        <v>6</v>
      </c>
      <c r="F898" s="2" t="str">
        <f>_xlfn.XLOOKUP(Data_orders!C898,Data_customers!$A$1:$A$1001,Data_customers!$B$1:$B$1001,,0)</f>
        <v>Baxy Cargen</v>
      </c>
      <c r="G898" s="2" t="str">
        <f>IF(_xlfn.XLOOKUP(C898,Data_customers!$A$1:$A$1001,Data_customers!$C$1:$C$1001,,0)=0,"",_xlfn.XLOOKUP(C898,Data_customers!$A$1:$A$1001,Data_customers!$C$1:$C$1001,,0))</f>
        <v>bcargenow@geocities.jp</v>
      </c>
      <c r="H898" s="2" t="str">
        <f>_xlfn.XLOOKUP(C898,Data_customers!$A$1:$A$1001,Data_customers!$G$1:$G$1001,"",0)</f>
        <v>United States</v>
      </c>
      <c r="I898" t="str">
        <f>INDEX(Data_products!$A$1:$G$49, MATCH(Data_orders!$D898,Data_products!$A$1:$A$49,0), MATCH(Data_orders!I$1,Data_products!$A$1:$G$1,0))</f>
        <v>Rob</v>
      </c>
      <c r="J898" t="str">
        <f>INDEX(Data_products!$A$1:$G$49, MATCH(Data_orders!$D898,Data_products!$A$1:$A$49,0), MATCH(Data_orders!J$1,Data_products!$A$1:$G$1,0))</f>
        <v>D</v>
      </c>
      <c r="K898" s="4">
        <f>INDEX(Data_products!$A$1:$G$49, MATCH(Data_orders!$D898,Data_products!$A$1:$A$49,0), MATCH(Data_orders!K$1,Data_products!$A$1:$G$1,0))</f>
        <v>0.5</v>
      </c>
      <c r="L898">
        <f>INDEX(Data_products!$A$1:$G$49, MATCH(Data_orders!$D898,Data_products!$A$1:$A$49,0), MATCH(Data_orders!L$1,Data_products!$A$1:$G$1,0))</f>
        <v>5.3699999999999992</v>
      </c>
      <c r="M898">
        <f t="shared" si="26"/>
        <v>32.22</v>
      </c>
      <c r="N898" t="str" cm="1">
        <f t="array" ref="N898">_xlfn.IFS(I898 = "Rob", "Robusta", I898 = "Exc", "Excelsa", I898 = "Ara", "Arabica", I898 = "Lib", "Liberica")</f>
        <v>Robusta</v>
      </c>
      <c r="O898" t="str">
        <f t="shared" si="27"/>
        <v>Dark</v>
      </c>
      <c r="P898" t="str">
        <f>_xlfn.XLOOKUP(Table1[[#This Row],[Customer ID]],Data_customers!$A$2:$A$1001,Data_customers!$I$2:$I$1001,,0)</f>
        <v>Yes</v>
      </c>
    </row>
    <row r="899" spans="1:16" x14ac:dyDescent="0.2">
      <c r="A899" s="2" t="s">
        <v>5564</v>
      </c>
      <c r="B899" s="3">
        <v>43932</v>
      </c>
      <c r="C899" s="2" t="s">
        <v>5565</v>
      </c>
      <c r="D899" t="s">
        <v>6183</v>
      </c>
      <c r="E899" s="2">
        <v>2</v>
      </c>
      <c r="F899" s="2" t="str">
        <f>_xlfn.XLOOKUP(Data_orders!C899,Data_customers!$A$1:$A$1001,Data_customers!$B$1:$B$1001,,0)</f>
        <v>Ryann Stickler</v>
      </c>
      <c r="G899" s="2" t="str">
        <f>IF(_xlfn.XLOOKUP(C899,Data_customers!$A$1:$A$1001,Data_customers!$C$1:$C$1001,,0)=0,"",_xlfn.XLOOKUP(C899,Data_customers!$A$1:$A$1001,Data_customers!$C$1:$C$1001,,0))</f>
        <v>rsticklerox@printfriendly.com</v>
      </c>
      <c r="H899" s="2" t="str">
        <f>_xlfn.XLOOKUP(C899,Data_customers!$A$1:$A$1001,Data_customers!$G$1:$G$1001,"",0)</f>
        <v>United Kingdom</v>
      </c>
      <c r="I899" t="str">
        <f>INDEX(Data_products!$A$1:$G$49, MATCH(Data_orders!$D899,Data_products!$A$1:$A$49,0), MATCH(Data_orders!I$1,Data_products!$A$1:$G$1,0))</f>
        <v>Exc</v>
      </c>
      <c r="J899" t="str">
        <f>INDEX(Data_products!$A$1:$G$49, MATCH(Data_orders!$D899,Data_products!$A$1:$A$49,0), MATCH(Data_orders!J$1,Data_products!$A$1:$G$1,0))</f>
        <v>D</v>
      </c>
      <c r="K899" s="4">
        <f>INDEX(Data_products!$A$1:$G$49, MATCH(Data_orders!$D899,Data_products!$A$1:$A$49,0), MATCH(Data_orders!K$1,Data_products!$A$1:$G$1,0))</f>
        <v>1</v>
      </c>
      <c r="L899">
        <f>INDEX(Data_products!$A$1:$G$49, MATCH(Data_orders!$D899,Data_products!$A$1:$A$49,0), MATCH(Data_orders!L$1,Data_products!$A$1:$G$1,0))</f>
        <v>12.15</v>
      </c>
      <c r="M899">
        <f t="shared" ref="M899:M962" si="28">L899*E899</f>
        <v>24.3</v>
      </c>
      <c r="N899" t="str" cm="1">
        <f t="array" ref="N899">_xlfn.IFS(I899 = "Rob", "Robusta", I899 = "Exc", "Excelsa", I899 = "Ara", "Arabica", I899 = "Lib", "Liberica")</f>
        <v>Excelsa</v>
      </c>
      <c r="O899" t="str">
        <f t="shared" ref="O899:O962" si="29">IF(J899 = "M", "Medium", IF(J899 =  "L", "Light", IF(J899 = "D", "Dark", "")))</f>
        <v>Dark</v>
      </c>
      <c r="P899" t="str">
        <f>_xlfn.XLOOKUP(Table1[[#This Row],[Customer ID]],Data_customers!$A$2:$A$1001,Data_customers!$I$2:$I$1001,,0)</f>
        <v>No</v>
      </c>
    </row>
    <row r="900" spans="1:16" x14ac:dyDescent="0.2">
      <c r="A900" s="2" t="s">
        <v>5570</v>
      </c>
      <c r="B900" s="3">
        <v>44089</v>
      </c>
      <c r="C900" s="2" t="s">
        <v>5571</v>
      </c>
      <c r="D900" t="s">
        <v>6173</v>
      </c>
      <c r="E900" s="2">
        <v>5</v>
      </c>
      <c r="F900" s="2" t="str">
        <f>_xlfn.XLOOKUP(Data_orders!C900,Data_customers!$A$1:$A$1001,Data_customers!$B$1:$B$1001,,0)</f>
        <v>Daryn Cassius</v>
      </c>
      <c r="G900" s="2" t="str">
        <f>IF(_xlfn.XLOOKUP(C900,Data_customers!$A$1:$A$1001,Data_customers!$C$1:$C$1001,,0)=0,"",_xlfn.XLOOKUP(C900,Data_customers!$A$1:$A$1001,Data_customers!$C$1:$C$1001,,0))</f>
        <v/>
      </c>
      <c r="H900" s="2" t="str">
        <f>_xlfn.XLOOKUP(C900,Data_customers!$A$1:$A$1001,Data_customers!$G$1:$G$1001,"",0)</f>
        <v>United States</v>
      </c>
      <c r="I900" t="str">
        <f>INDEX(Data_products!$A$1:$G$49, MATCH(Data_orders!$D900,Data_products!$A$1:$A$49,0), MATCH(Data_orders!I$1,Data_products!$A$1:$G$1,0))</f>
        <v>Rob</v>
      </c>
      <c r="J900" t="str">
        <f>INDEX(Data_products!$A$1:$G$49, MATCH(Data_orders!$D900,Data_products!$A$1:$A$49,0), MATCH(Data_orders!J$1,Data_products!$A$1:$G$1,0))</f>
        <v>L</v>
      </c>
      <c r="K900" s="4">
        <f>INDEX(Data_products!$A$1:$G$49, MATCH(Data_orders!$D900,Data_products!$A$1:$A$49,0), MATCH(Data_orders!K$1,Data_products!$A$1:$G$1,0))</f>
        <v>0.5</v>
      </c>
      <c r="L900">
        <f>INDEX(Data_products!$A$1:$G$49, MATCH(Data_orders!$D900,Data_products!$A$1:$A$49,0), MATCH(Data_orders!L$1,Data_products!$A$1:$G$1,0))</f>
        <v>7.169999999999999</v>
      </c>
      <c r="M900">
        <f t="shared" si="28"/>
        <v>35.849999999999994</v>
      </c>
      <c r="N900" t="str" cm="1">
        <f t="array" ref="N900">_xlfn.IFS(I900 = "Rob", "Robusta", I900 = "Exc", "Excelsa", I900 = "Ara", "Arabica", I900 = "Lib", "Liberica")</f>
        <v>Robusta</v>
      </c>
      <c r="O900" t="str">
        <f t="shared" si="29"/>
        <v>Light</v>
      </c>
      <c r="P900" t="str">
        <f>_xlfn.XLOOKUP(Table1[[#This Row],[Customer ID]],Data_customers!$A$2:$A$1001,Data_customers!$I$2:$I$1001,,0)</f>
        <v>No</v>
      </c>
    </row>
    <row r="901" spans="1:16" x14ac:dyDescent="0.2">
      <c r="A901" s="2" t="s">
        <v>5575</v>
      </c>
      <c r="B901" s="3">
        <v>44523</v>
      </c>
      <c r="C901" s="2" t="s">
        <v>5554</v>
      </c>
      <c r="D901" t="s">
        <v>6162</v>
      </c>
      <c r="E901" s="2">
        <v>5</v>
      </c>
      <c r="F901" s="2" t="str">
        <f>_xlfn.XLOOKUP(Data_orders!C901,Data_customers!$A$1:$A$1001,Data_customers!$B$1:$B$1001,,0)</f>
        <v>Derick Snow</v>
      </c>
      <c r="G901" s="2" t="str">
        <f>IF(_xlfn.XLOOKUP(C901,Data_customers!$A$1:$A$1001,Data_customers!$C$1:$C$1001,,0)=0,"",_xlfn.XLOOKUP(C901,Data_customers!$A$1:$A$1001,Data_customers!$C$1:$C$1001,,0))</f>
        <v/>
      </c>
      <c r="H901" s="2" t="str">
        <f>_xlfn.XLOOKUP(C901,Data_customers!$A$1:$A$1001,Data_customers!$G$1:$G$1001,"",0)</f>
        <v>United States</v>
      </c>
      <c r="I901" t="str">
        <f>INDEX(Data_products!$A$1:$G$49, MATCH(Data_orders!$D901,Data_products!$A$1:$A$49,0), MATCH(Data_orders!I$1,Data_products!$A$1:$G$1,0))</f>
        <v>Lib</v>
      </c>
      <c r="J901" t="str">
        <f>INDEX(Data_products!$A$1:$G$49, MATCH(Data_orders!$D901,Data_products!$A$1:$A$49,0), MATCH(Data_orders!J$1,Data_products!$A$1:$G$1,0))</f>
        <v>M</v>
      </c>
      <c r="K901" s="4">
        <f>INDEX(Data_products!$A$1:$G$49, MATCH(Data_orders!$D901,Data_products!$A$1:$A$49,0), MATCH(Data_orders!K$1,Data_products!$A$1:$G$1,0))</f>
        <v>1</v>
      </c>
      <c r="L901">
        <f>INDEX(Data_products!$A$1:$G$49, MATCH(Data_orders!$D901,Data_products!$A$1:$A$49,0), MATCH(Data_orders!L$1,Data_products!$A$1:$G$1,0))</f>
        <v>14.55</v>
      </c>
      <c r="M901">
        <f t="shared" si="28"/>
        <v>72.75</v>
      </c>
      <c r="N901" t="str" cm="1">
        <f t="array" ref="N901">_xlfn.IFS(I901 = "Rob", "Robusta", I901 = "Exc", "Excelsa", I901 = "Ara", "Arabica", I901 = "Lib", "Liberica")</f>
        <v>Liberica</v>
      </c>
      <c r="O901" t="str">
        <f t="shared" si="29"/>
        <v>Medium</v>
      </c>
      <c r="P901" t="str">
        <f>_xlfn.XLOOKUP(Table1[[#This Row],[Customer ID]],Data_customers!$A$2:$A$1001,Data_customers!$I$2:$I$1001,,0)</f>
        <v>No</v>
      </c>
    </row>
    <row r="902" spans="1:16" x14ac:dyDescent="0.2">
      <c r="A902" s="2" t="s">
        <v>5580</v>
      </c>
      <c r="B902" s="3">
        <v>44584</v>
      </c>
      <c r="C902" s="2" t="s">
        <v>5581</v>
      </c>
      <c r="D902" t="s">
        <v>6170</v>
      </c>
      <c r="E902" s="2">
        <v>3</v>
      </c>
      <c r="F902" s="2" t="str">
        <f>_xlfn.XLOOKUP(Data_orders!C902,Data_customers!$A$1:$A$1001,Data_customers!$B$1:$B$1001,,0)</f>
        <v>Skelly Dolohunty</v>
      </c>
      <c r="G902" s="2" t="str">
        <f>IF(_xlfn.XLOOKUP(C902,Data_customers!$A$1:$A$1001,Data_customers!$C$1:$C$1001,,0)=0,"",_xlfn.XLOOKUP(C902,Data_customers!$A$1:$A$1001,Data_customers!$C$1:$C$1001,,0))</f>
        <v/>
      </c>
      <c r="H902" s="2" t="str">
        <f>_xlfn.XLOOKUP(C902,Data_customers!$A$1:$A$1001,Data_customers!$G$1:$G$1001,"",0)</f>
        <v>Ireland</v>
      </c>
      <c r="I902" t="str">
        <f>INDEX(Data_products!$A$1:$G$49, MATCH(Data_orders!$D902,Data_products!$A$1:$A$49,0), MATCH(Data_orders!I$1,Data_products!$A$1:$G$1,0))</f>
        <v>Lib</v>
      </c>
      <c r="J902" t="str">
        <f>INDEX(Data_products!$A$1:$G$49, MATCH(Data_orders!$D902,Data_products!$A$1:$A$49,0), MATCH(Data_orders!J$1,Data_products!$A$1:$G$1,0))</f>
        <v>L</v>
      </c>
      <c r="K902" s="4">
        <f>INDEX(Data_products!$A$1:$G$49, MATCH(Data_orders!$D902,Data_products!$A$1:$A$49,0), MATCH(Data_orders!K$1,Data_products!$A$1:$G$1,0))</f>
        <v>1</v>
      </c>
      <c r="L902">
        <f>INDEX(Data_products!$A$1:$G$49, MATCH(Data_orders!$D902,Data_products!$A$1:$A$49,0), MATCH(Data_orders!L$1,Data_products!$A$1:$G$1,0))</f>
        <v>15.85</v>
      </c>
      <c r="M902">
        <f t="shared" si="28"/>
        <v>47.55</v>
      </c>
      <c r="N902" t="str" cm="1">
        <f t="array" ref="N902">_xlfn.IFS(I902 = "Rob", "Robusta", I902 = "Exc", "Excelsa", I902 = "Ara", "Arabica", I902 = "Lib", "Liberica")</f>
        <v>Liberica</v>
      </c>
      <c r="O902" t="str">
        <f t="shared" si="29"/>
        <v>Light</v>
      </c>
      <c r="P902" t="str">
        <f>_xlfn.XLOOKUP(Table1[[#This Row],[Customer ID]],Data_customers!$A$2:$A$1001,Data_customers!$I$2:$I$1001,,0)</f>
        <v>No</v>
      </c>
    </row>
    <row r="903" spans="1:16" x14ac:dyDescent="0.2">
      <c r="A903" s="2" t="s">
        <v>5585</v>
      </c>
      <c r="B903" s="3">
        <v>44223</v>
      </c>
      <c r="C903" s="2" t="s">
        <v>5586</v>
      </c>
      <c r="D903" t="s">
        <v>6178</v>
      </c>
      <c r="E903" s="2">
        <v>1</v>
      </c>
      <c r="F903" s="2" t="str">
        <f>_xlfn.XLOOKUP(Data_orders!C903,Data_customers!$A$1:$A$1001,Data_customers!$B$1:$B$1001,,0)</f>
        <v>Drake Jevon</v>
      </c>
      <c r="G903" s="2" t="str">
        <f>IF(_xlfn.XLOOKUP(C903,Data_customers!$A$1:$A$1001,Data_customers!$C$1:$C$1001,,0)=0,"",_xlfn.XLOOKUP(C903,Data_customers!$A$1:$A$1001,Data_customers!$C$1:$C$1001,,0))</f>
        <v>djevonp1@ibm.com</v>
      </c>
      <c r="H903" s="2" t="str">
        <f>_xlfn.XLOOKUP(C903,Data_customers!$A$1:$A$1001,Data_customers!$G$1:$G$1001,"",0)</f>
        <v>United States</v>
      </c>
      <c r="I903" t="str">
        <f>INDEX(Data_products!$A$1:$G$49, MATCH(Data_orders!$D903,Data_products!$A$1:$A$49,0), MATCH(Data_orders!I$1,Data_products!$A$1:$G$1,0))</f>
        <v>Rob</v>
      </c>
      <c r="J903" t="str">
        <f>INDEX(Data_products!$A$1:$G$49, MATCH(Data_orders!$D903,Data_products!$A$1:$A$49,0), MATCH(Data_orders!J$1,Data_products!$A$1:$G$1,0))</f>
        <v>L</v>
      </c>
      <c r="K903" s="4">
        <f>INDEX(Data_products!$A$1:$G$49, MATCH(Data_orders!$D903,Data_products!$A$1:$A$49,0), MATCH(Data_orders!K$1,Data_products!$A$1:$G$1,0))</f>
        <v>0.2</v>
      </c>
      <c r="L903">
        <f>INDEX(Data_products!$A$1:$G$49, MATCH(Data_orders!$D903,Data_products!$A$1:$A$49,0), MATCH(Data_orders!L$1,Data_products!$A$1:$G$1,0))</f>
        <v>3.5849999999999995</v>
      </c>
      <c r="M903">
        <f t="shared" si="28"/>
        <v>3.5849999999999995</v>
      </c>
      <c r="N903" t="str" cm="1">
        <f t="array" ref="N903">_xlfn.IFS(I903 = "Rob", "Robusta", I903 = "Exc", "Excelsa", I903 = "Ara", "Arabica", I903 = "Lib", "Liberica")</f>
        <v>Robusta</v>
      </c>
      <c r="O903" t="str">
        <f t="shared" si="29"/>
        <v>Light</v>
      </c>
      <c r="P903" t="str">
        <f>_xlfn.XLOOKUP(Table1[[#This Row],[Customer ID]],Data_customers!$A$2:$A$1001,Data_customers!$I$2:$I$1001,,0)</f>
        <v>Yes</v>
      </c>
    </row>
    <row r="904" spans="1:16" x14ac:dyDescent="0.2">
      <c r="A904" s="2" t="s">
        <v>5591</v>
      </c>
      <c r="B904" s="3">
        <v>43640</v>
      </c>
      <c r="C904" s="2" t="s">
        <v>5592</v>
      </c>
      <c r="D904" t="s">
        <v>6166</v>
      </c>
      <c r="E904" s="2">
        <v>5</v>
      </c>
      <c r="F904" s="2" t="str">
        <f>_xlfn.XLOOKUP(Data_orders!C904,Data_customers!$A$1:$A$1001,Data_customers!$B$1:$B$1001,,0)</f>
        <v>Hall Ranner</v>
      </c>
      <c r="G904" s="2" t="str">
        <f>IF(_xlfn.XLOOKUP(C904,Data_customers!$A$1:$A$1001,Data_customers!$C$1:$C$1001,,0)=0,"",_xlfn.XLOOKUP(C904,Data_customers!$A$1:$A$1001,Data_customers!$C$1:$C$1001,,0))</f>
        <v>hrannerp2@omniture.com</v>
      </c>
      <c r="H904" s="2" t="str">
        <f>_xlfn.XLOOKUP(C904,Data_customers!$A$1:$A$1001,Data_customers!$G$1:$G$1001,"",0)</f>
        <v>United States</v>
      </c>
      <c r="I904" t="str">
        <f>INDEX(Data_products!$A$1:$G$49, MATCH(Data_orders!$D904,Data_products!$A$1:$A$49,0), MATCH(Data_orders!I$1,Data_products!$A$1:$G$1,0))</f>
        <v>Exc</v>
      </c>
      <c r="J904" t="str">
        <f>INDEX(Data_products!$A$1:$G$49, MATCH(Data_orders!$D904,Data_products!$A$1:$A$49,0), MATCH(Data_orders!J$1,Data_products!$A$1:$G$1,0))</f>
        <v>M</v>
      </c>
      <c r="K904" s="4">
        <f>INDEX(Data_products!$A$1:$G$49, MATCH(Data_orders!$D904,Data_products!$A$1:$A$49,0), MATCH(Data_orders!K$1,Data_products!$A$1:$G$1,0))</f>
        <v>2.5</v>
      </c>
      <c r="L904">
        <f>INDEX(Data_products!$A$1:$G$49, MATCH(Data_orders!$D904,Data_products!$A$1:$A$49,0), MATCH(Data_orders!L$1,Data_products!$A$1:$G$1,0))</f>
        <v>31.624999999999996</v>
      </c>
      <c r="M904">
        <f t="shared" si="28"/>
        <v>158.12499999999997</v>
      </c>
      <c r="N904" t="str" cm="1">
        <f t="array" ref="N904">_xlfn.IFS(I904 = "Rob", "Robusta", I904 = "Exc", "Excelsa", I904 = "Ara", "Arabica", I904 = "Lib", "Liberica")</f>
        <v>Excelsa</v>
      </c>
      <c r="O904" t="str">
        <f t="shared" si="29"/>
        <v>Medium</v>
      </c>
      <c r="P904" t="str">
        <f>_xlfn.XLOOKUP(Table1[[#This Row],[Customer ID]],Data_customers!$A$2:$A$1001,Data_customers!$I$2:$I$1001,,0)</f>
        <v>No</v>
      </c>
    </row>
    <row r="905" spans="1:16" x14ac:dyDescent="0.2">
      <c r="A905" s="2" t="s">
        <v>5597</v>
      </c>
      <c r="B905" s="3">
        <v>43905</v>
      </c>
      <c r="C905" s="2" t="s">
        <v>5598</v>
      </c>
      <c r="D905" t="s">
        <v>6160</v>
      </c>
      <c r="E905" s="2">
        <v>2</v>
      </c>
      <c r="F905" s="2" t="str">
        <f>_xlfn.XLOOKUP(Data_orders!C905,Data_customers!$A$1:$A$1001,Data_customers!$B$1:$B$1001,,0)</f>
        <v>Berkly Imrie</v>
      </c>
      <c r="G905" s="2" t="str">
        <f>IF(_xlfn.XLOOKUP(C905,Data_customers!$A$1:$A$1001,Data_customers!$C$1:$C$1001,,0)=0,"",_xlfn.XLOOKUP(C905,Data_customers!$A$1:$A$1001,Data_customers!$C$1:$C$1001,,0))</f>
        <v>bimriep3@addtoany.com</v>
      </c>
      <c r="H905" s="2" t="str">
        <f>_xlfn.XLOOKUP(C905,Data_customers!$A$1:$A$1001,Data_customers!$G$1:$G$1001,"",0)</f>
        <v>United States</v>
      </c>
      <c r="I905" t="str">
        <f>INDEX(Data_products!$A$1:$G$49, MATCH(Data_orders!$D905,Data_products!$A$1:$A$49,0), MATCH(Data_orders!I$1,Data_products!$A$1:$G$1,0))</f>
        <v>Lib</v>
      </c>
      <c r="J905" t="str">
        <f>INDEX(Data_products!$A$1:$G$49, MATCH(Data_orders!$D905,Data_products!$A$1:$A$49,0), MATCH(Data_orders!J$1,Data_products!$A$1:$G$1,0))</f>
        <v>M</v>
      </c>
      <c r="K905" s="4">
        <f>INDEX(Data_products!$A$1:$G$49, MATCH(Data_orders!$D905,Data_products!$A$1:$A$49,0), MATCH(Data_orders!K$1,Data_products!$A$1:$G$1,0))</f>
        <v>0.5</v>
      </c>
      <c r="L905">
        <f>INDEX(Data_products!$A$1:$G$49, MATCH(Data_orders!$D905,Data_products!$A$1:$A$49,0), MATCH(Data_orders!L$1,Data_products!$A$1:$G$1,0))</f>
        <v>8.73</v>
      </c>
      <c r="M905">
        <f t="shared" si="28"/>
        <v>17.46</v>
      </c>
      <c r="N905" t="str" cm="1">
        <f t="array" ref="N905">_xlfn.IFS(I905 = "Rob", "Robusta", I905 = "Exc", "Excelsa", I905 = "Ara", "Arabica", I905 = "Lib", "Liberica")</f>
        <v>Liberica</v>
      </c>
      <c r="O905" t="str">
        <f t="shared" si="29"/>
        <v>Medium</v>
      </c>
      <c r="P905" t="str">
        <f>_xlfn.XLOOKUP(Table1[[#This Row],[Customer ID]],Data_customers!$A$2:$A$1001,Data_customers!$I$2:$I$1001,,0)</f>
        <v>No</v>
      </c>
    </row>
    <row r="906" spans="1:16" x14ac:dyDescent="0.2">
      <c r="A906" s="2" t="s">
        <v>5603</v>
      </c>
      <c r="B906" s="3">
        <v>44463</v>
      </c>
      <c r="C906" s="2" t="s">
        <v>5604</v>
      </c>
      <c r="D906" t="s">
        <v>6182</v>
      </c>
      <c r="E906" s="2">
        <v>5</v>
      </c>
      <c r="F906" s="2" t="str">
        <f>_xlfn.XLOOKUP(Data_orders!C906,Data_customers!$A$1:$A$1001,Data_customers!$B$1:$B$1001,,0)</f>
        <v>Dorey Sopper</v>
      </c>
      <c r="G906" s="2" t="str">
        <f>IF(_xlfn.XLOOKUP(C906,Data_customers!$A$1:$A$1001,Data_customers!$C$1:$C$1001,,0)=0,"",_xlfn.XLOOKUP(C906,Data_customers!$A$1:$A$1001,Data_customers!$C$1:$C$1001,,0))</f>
        <v>dsopperp4@eventbrite.com</v>
      </c>
      <c r="H906" s="2" t="str">
        <f>_xlfn.XLOOKUP(C906,Data_customers!$A$1:$A$1001,Data_customers!$G$1:$G$1001,"",0)</f>
        <v>United States</v>
      </c>
      <c r="I906" t="str">
        <f>INDEX(Data_products!$A$1:$G$49, MATCH(Data_orders!$D906,Data_products!$A$1:$A$49,0), MATCH(Data_orders!I$1,Data_products!$A$1:$G$1,0))</f>
        <v>Ara</v>
      </c>
      <c r="J906" t="str">
        <f>INDEX(Data_products!$A$1:$G$49, MATCH(Data_orders!$D906,Data_products!$A$1:$A$49,0), MATCH(Data_orders!J$1,Data_products!$A$1:$G$1,0))</f>
        <v>L</v>
      </c>
      <c r="K906" s="4">
        <f>INDEX(Data_products!$A$1:$G$49, MATCH(Data_orders!$D906,Data_products!$A$1:$A$49,0), MATCH(Data_orders!K$1,Data_products!$A$1:$G$1,0))</f>
        <v>2.5</v>
      </c>
      <c r="L906">
        <f>INDEX(Data_products!$A$1:$G$49, MATCH(Data_orders!$D906,Data_products!$A$1:$A$49,0), MATCH(Data_orders!L$1,Data_products!$A$1:$G$1,0))</f>
        <v>29.784999999999997</v>
      </c>
      <c r="M906">
        <f t="shared" si="28"/>
        <v>148.92499999999998</v>
      </c>
      <c r="N906" t="str" cm="1">
        <f t="array" ref="N906">_xlfn.IFS(I906 = "Rob", "Robusta", I906 = "Exc", "Excelsa", I906 = "Ara", "Arabica", I906 = "Lib", "Liberica")</f>
        <v>Arabica</v>
      </c>
      <c r="O906" t="str">
        <f t="shared" si="29"/>
        <v>Light</v>
      </c>
      <c r="P906" t="str">
        <f>_xlfn.XLOOKUP(Table1[[#This Row],[Customer ID]],Data_customers!$A$2:$A$1001,Data_customers!$I$2:$I$1001,,0)</f>
        <v>No</v>
      </c>
    </row>
    <row r="907" spans="1:16" x14ac:dyDescent="0.2">
      <c r="A907" s="2" t="s">
        <v>5609</v>
      </c>
      <c r="B907" s="3">
        <v>43560</v>
      </c>
      <c r="C907" s="2" t="s">
        <v>5610</v>
      </c>
      <c r="D907" t="s">
        <v>6157</v>
      </c>
      <c r="E907" s="2">
        <v>6</v>
      </c>
      <c r="F907" s="2" t="str">
        <f>_xlfn.XLOOKUP(Data_orders!C907,Data_customers!$A$1:$A$1001,Data_customers!$B$1:$B$1001,,0)</f>
        <v>Darcy Lochran</v>
      </c>
      <c r="G907" s="2" t="str">
        <f>IF(_xlfn.XLOOKUP(C907,Data_customers!$A$1:$A$1001,Data_customers!$C$1:$C$1001,,0)=0,"",_xlfn.XLOOKUP(C907,Data_customers!$A$1:$A$1001,Data_customers!$C$1:$C$1001,,0))</f>
        <v/>
      </c>
      <c r="H907" s="2" t="str">
        <f>_xlfn.XLOOKUP(C907,Data_customers!$A$1:$A$1001,Data_customers!$G$1:$G$1001,"",0)</f>
        <v>United States</v>
      </c>
      <c r="I907" t="str">
        <f>INDEX(Data_products!$A$1:$G$49, MATCH(Data_orders!$D907,Data_products!$A$1:$A$49,0), MATCH(Data_orders!I$1,Data_products!$A$1:$G$1,0))</f>
        <v>Ara</v>
      </c>
      <c r="J907" t="str">
        <f>INDEX(Data_products!$A$1:$G$49, MATCH(Data_orders!$D907,Data_products!$A$1:$A$49,0), MATCH(Data_orders!J$1,Data_products!$A$1:$G$1,0))</f>
        <v>M</v>
      </c>
      <c r="K907" s="4">
        <f>INDEX(Data_products!$A$1:$G$49, MATCH(Data_orders!$D907,Data_products!$A$1:$A$49,0), MATCH(Data_orders!K$1,Data_products!$A$1:$G$1,0))</f>
        <v>0.5</v>
      </c>
      <c r="L907">
        <f>INDEX(Data_products!$A$1:$G$49, MATCH(Data_orders!$D907,Data_products!$A$1:$A$49,0), MATCH(Data_orders!L$1,Data_products!$A$1:$G$1,0))</f>
        <v>6.75</v>
      </c>
      <c r="M907">
        <f t="shared" si="28"/>
        <v>40.5</v>
      </c>
      <c r="N907" t="str" cm="1">
        <f t="array" ref="N907">_xlfn.IFS(I907 = "Rob", "Robusta", I907 = "Exc", "Excelsa", I907 = "Ara", "Arabica", I907 = "Lib", "Liberica")</f>
        <v>Arabica</v>
      </c>
      <c r="O907" t="str">
        <f t="shared" si="29"/>
        <v>Medium</v>
      </c>
      <c r="P907" t="str">
        <f>_xlfn.XLOOKUP(Table1[[#This Row],[Customer ID]],Data_customers!$A$2:$A$1001,Data_customers!$I$2:$I$1001,,0)</f>
        <v>Yes</v>
      </c>
    </row>
    <row r="908" spans="1:16" x14ac:dyDescent="0.2">
      <c r="A908" s="2" t="s">
        <v>5614</v>
      </c>
      <c r="B908" s="3">
        <v>44588</v>
      </c>
      <c r="C908" s="2" t="s">
        <v>5615</v>
      </c>
      <c r="D908" t="s">
        <v>6157</v>
      </c>
      <c r="E908" s="2">
        <v>4</v>
      </c>
      <c r="F908" s="2" t="str">
        <f>_xlfn.XLOOKUP(Data_orders!C908,Data_customers!$A$1:$A$1001,Data_customers!$B$1:$B$1001,,0)</f>
        <v>Lauritz Ledgley</v>
      </c>
      <c r="G908" s="2" t="str">
        <f>IF(_xlfn.XLOOKUP(C908,Data_customers!$A$1:$A$1001,Data_customers!$C$1:$C$1001,,0)=0,"",_xlfn.XLOOKUP(C908,Data_customers!$A$1:$A$1001,Data_customers!$C$1:$C$1001,,0))</f>
        <v>lledgleyp6@de.vu</v>
      </c>
      <c r="H908" s="2" t="str">
        <f>_xlfn.XLOOKUP(C908,Data_customers!$A$1:$A$1001,Data_customers!$G$1:$G$1001,"",0)</f>
        <v>United States</v>
      </c>
      <c r="I908" t="str">
        <f>INDEX(Data_products!$A$1:$G$49, MATCH(Data_orders!$D908,Data_products!$A$1:$A$49,0), MATCH(Data_orders!I$1,Data_products!$A$1:$G$1,0))</f>
        <v>Ara</v>
      </c>
      <c r="J908" t="str">
        <f>INDEX(Data_products!$A$1:$G$49, MATCH(Data_orders!$D908,Data_products!$A$1:$A$49,0), MATCH(Data_orders!J$1,Data_products!$A$1:$G$1,0))</f>
        <v>M</v>
      </c>
      <c r="K908" s="4">
        <f>INDEX(Data_products!$A$1:$G$49, MATCH(Data_orders!$D908,Data_products!$A$1:$A$49,0), MATCH(Data_orders!K$1,Data_products!$A$1:$G$1,0))</f>
        <v>0.5</v>
      </c>
      <c r="L908">
        <f>INDEX(Data_products!$A$1:$G$49, MATCH(Data_orders!$D908,Data_products!$A$1:$A$49,0), MATCH(Data_orders!L$1,Data_products!$A$1:$G$1,0))</f>
        <v>6.75</v>
      </c>
      <c r="M908">
        <f t="shared" si="28"/>
        <v>27</v>
      </c>
      <c r="N908" t="str" cm="1">
        <f t="array" ref="N908">_xlfn.IFS(I908 = "Rob", "Robusta", I908 = "Exc", "Excelsa", I908 = "Ara", "Arabica", I908 = "Lib", "Liberica")</f>
        <v>Arabica</v>
      </c>
      <c r="O908" t="str">
        <f t="shared" si="29"/>
        <v>Medium</v>
      </c>
      <c r="P908" t="str">
        <f>_xlfn.XLOOKUP(Table1[[#This Row],[Customer ID]],Data_customers!$A$2:$A$1001,Data_customers!$I$2:$I$1001,,0)</f>
        <v>Yes</v>
      </c>
    </row>
    <row r="909" spans="1:16" x14ac:dyDescent="0.2">
      <c r="A909" s="2" t="s">
        <v>5620</v>
      </c>
      <c r="B909" s="3">
        <v>44449</v>
      </c>
      <c r="C909" s="2" t="s">
        <v>5621</v>
      </c>
      <c r="D909" t="s">
        <v>6143</v>
      </c>
      <c r="E909" s="2">
        <v>3</v>
      </c>
      <c r="F909" s="2" t="str">
        <f>_xlfn.XLOOKUP(Data_orders!C909,Data_customers!$A$1:$A$1001,Data_customers!$B$1:$B$1001,,0)</f>
        <v>Tawnya Menary</v>
      </c>
      <c r="G909" s="2" t="str">
        <f>IF(_xlfn.XLOOKUP(C909,Data_customers!$A$1:$A$1001,Data_customers!$C$1:$C$1001,,0)=0,"",_xlfn.XLOOKUP(C909,Data_customers!$A$1:$A$1001,Data_customers!$C$1:$C$1001,,0))</f>
        <v>tmenaryp7@phoca.cz</v>
      </c>
      <c r="H909" s="2" t="str">
        <f>_xlfn.XLOOKUP(C909,Data_customers!$A$1:$A$1001,Data_customers!$G$1:$G$1001,"",0)</f>
        <v>United States</v>
      </c>
      <c r="I909" t="str">
        <f>INDEX(Data_products!$A$1:$G$49, MATCH(Data_orders!$D909,Data_products!$A$1:$A$49,0), MATCH(Data_orders!I$1,Data_products!$A$1:$G$1,0))</f>
        <v>Lib</v>
      </c>
      <c r="J909" t="str">
        <f>INDEX(Data_products!$A$1:$G$49, MATCH(Data_orders!$D909,Data_products!$A$1:$A$49,0), MATCH(Data_orders!J$1,Data_products!$A$1:$G$1,0))</f>
        <v>D</v>
      </c>
      <c r="K909" s="4">
        <f>INDEX(Data_products!$A$1:$G$49, MATCH(Data_orders!$D909,Data_products!$A$1:$A$49,0), MATCH(Data_orders!K$1,Data_products!$A$1:$G$1,0))</f>
        <v>1</v>
      </c>
      <c r="L909">
        <f>INDEX(Data_products!$A$1:$G$49, MATCH(Data_orders!$D909,Data_products!$A$1:$A$49,0), MATCH(Data_orders!L$1,Data_products!$A$1:$G$1,0))</f>
        <v>12.95</v>
      </c>
      <c r="M909">
        <f t="shared" si="28"/>
        <v>38.849999999999994</v>
      </c>
      <c r="N909" t="str" cm="1">
        <f t="array" ref="N909">_xlfn.IFS(I909 = "Rob", "Robusta", I909 = "Exc", "Excelsa", I909 = "Ara", "Arabica", I909 = "Lib", "Liberica")</f>
        <v>Liberica</v>
      </c>
      <c r="O909" t="str">
        <f t="shared" si="29"/>
        <v>Dark</v>
      </c>
      <c r="P909" t="str">
        <f>_xlfn.XLOOKUP(Table1[[#This Row],[Customer ID]],Data_customers!$A$2:$A$1001,Data_customers!$I$2:$I$1001,,0)</f>
        <v>No</v>
      </c>
    </row>
    <row r="910" spans="1:16" x14ac:dyDescent="0.2">
      <c r="A910" s="2" t="s">
        <v>5626</v>
      </c>
      <c r="B910" s="3">
        <v>43836</v>
      </c>
      <c r="C910" s="2" t="s">
        <v>5627</v>
      </c>
      <c r="D910" t="s">
        <v>6179</v>
      </c>
      <c r="E910" s="2">
        <v>5</v>
      </c>
      <c r="F910" s="2" t="str">
        <f>_xlfn.XLOOKUP(Data_orders!C910,Data_customers!$A$1:$A$1001,Data_customers!$B$1:$B$1001,,0)</f>
        <v>Gustaf Ciccotti</v>
      </c>
      <c r="G910" s="2" t="str">
        <f>IF(_xlfn.XLOOKUP(C910,Data_customers!$A$1:$A$1001,Data_customers!$C$1:$C$1001,,0)=0,"",_xlfn.XLOOKUP(C910,Data_customers!$A$1:$A$1001,Data_customers!$C$1:$C$1001,,0))</f>
        <v>gciccottip8@so-net.ne.jp</v>
      </c>
      <c r="H910" s="2" t="str">
        <f>_xlfn.XLOOKUP(C910,Data_customers!$A$1:$A$1001,Data_customers!$G$1:$G$1001,"",0)</f>
        <v>United States</v>
      </c>
      <c r="I910" t="str">
        <f>INDEX(Data_products!$A$1:$G$49, MATCH(Data_orders!$D910,Data_products!$A$1:$A$49,0), MATCH(Data_orders!I$1,Data_products!$A$1:$G$1,0))</f>
        <v>Rob</v>
      </c>
      <c r="J910" t="str">
        <f>INDEX(Data_products!$A$1:$G$49, MATCH(Data_orders!$D910,Data_products!$A$1:$A$49,0), MATCH(Data_orders!J$1,Data_products!$A$1:$G$1,0))</f>
        <v>L</v>
      </c>
      <c r="K910" s="4">
        <f>INDEX(Data_products!$A$1:$G$49, MATCH(Data_orders!$D910,Data_products!$A$1:$A$49,0), MATCH(Data_orders!K$1,Data_products!$A$1:$G$1,0))</f>
        <v>1</v>
      </c>
      <c r="L910">
        <f>INDEX(Data_products!$A$1:$G$49, MATCH(Data_orders!$D910,Data_products!$A$1:$A$49,0), MATCH(Data_orders!L$1,Data_products!$A$1:$G$1,0))</f>
        <v>11.95</v>
      </c>
      <c r="M910">
        <f t="shared" si="28"/>
        <v>59.75</v>
      </c>
      <c r="N910" t="str" cm="1">
        <f t="array" ref="N910">_xlfn.IFS(I910 = "Rob", "Robusta", I910 = "Exc", "Excelsa", I910 = "Ara", "Arabica", I910 = "Lib", "Liberica")</f>
        <v>Robusta</v>
      </c>
      <c r="O910" t="str">
        <f t="shared" si="29"/>
        <v>Light</v>
      </c>
      <c r="P910" t="str">
        <f>_xlfn.XLOOKUP(Table1[[#This Row],[Customer ID]],Data_customers!$A$2:$A$1001,Data_customers!$I$2:$I$1001,,0)</f>
        <v>No</v>
      </c>
    </row>
    <row r="911" spans="1:16" x14ac:dyDescent="0.2">
      <c r="A911" s="2" t="s">
        <v>5632</v>
      </c>
      <c r="B911" s="3">
        <v>44635</v>
      </c>
      <c r="C911" s="2" t="s">
        <v>5633</v>
      </c>
      <c r="D911" t="s">
        <v>6178</v>
      </c>
      <c r="E911" s="2">
        <v>3</v>
      </c>
      <c r="F911" s="2" t="str">
        <f>_xlfn.XLOOKUP(Data_orders!C911,Data_customers!$A$1:$A$1001,Data_customers!$B$1:$B$1001,,0)</f>
        <v>Bobbe Renner</v>
      </c>
      <c r="G911" s="2" t="str">
        <f>IF(_xlfn.XLOOKUP(C911,Data_customers!$A$1:$A$1001,Data_customers!$C$1:$C$1001,,0)=0,"",_xlfn.XLOOKUP(C911,Data_customers!$A$1:$A$1001,Data_customers!$C$1:$C$1001,,0))</f>
        <v/>
      </c>
      <c r="H911" s="2" t="str">
        <f>_xlfn.XLOOKUP(C911,Data_customers!$A$1:$A$1001,Data_customers!$G$1:$G$1001,"",0)</f>
        <v>United States</v>
      </c>
      <c r="I911" t="str">
        <f>INDEX(Data_products!$A$1:$G$49, MATCH(Data_orders!$D911,Data_products!$A$1:$A$49,0), MATCH(Data_orders!I$1,Data_products!$A$1:$G$1,0))</f>
        <v>Rob</v>
      </c>
      <c r="J911" t="str">
        <f>INDEX(Data_products!$A$1:$G$49, MATCH(Data_orders!$D911,Data_products!$A$1:$A$49,0), MATCH(Data_orders!J$1,Data_products!$A$1:$G$1,0))</f>
        <v>L</v>
      </c>
      <c r="K911" s="4">
        <f>INDEX(Data_products!$A$1:$G$49, MATCH(Data_orders!$D911,Data_products!$A$1:$A$49,0), MATCH(Data_orders!K$1,Data_products!$A$1:$G$1,0))</f>
        <v>0.2</v>
      </c>
      <c r="L911">
        <f>INDEX(Data_products!$A$1:$G$49, MATCH(Data_orders!$D911,Data_products!$A$1:$A$49,0), MATCH(Data_orders!L$1,Data_products!$A$1:$G$1,0))</f>
        <v>3.5849999999999995</v>
      </c>
      <c r="M911">
        <f t="shared" si="28"/>
        <v>10.754999999999999</v>
      </c>
      <c r="N911" t="str" cm="1">
        <f t="array" ref="N911">_xlfn.IFS(I911 = "Rob", "Robusta", I911 = "Exc", "Excelsa", I911 = "Ara", "Arabica", I911 = "Lib", "Liberica")</f>
        <v>Robusta</v>
      </c>
      <c r="O911" t="str">
        <f t="shared" si="29"/>
        <v>Light</v>
      </c>
      <c r="P911" t="str">
        <f>_xlfn.XLOOKUP(Table1[[#This Row],[Customer ID]],Data_customers!$A$2:$A$1001,Data_customers!$I$2:$I$1001,,0)</f>
        <v>No</v>
      </c>
    </row>
    <row r="912" spans="1:16" x14ac:dyDescent="0.2">
      <c r="A912" s="2" t="s">
        <v>5637</v>
      </c>
      <c r="B912" s="3">
        <v>44447</v>
      </c>
      <c r="C912" s="2" t="s">
        <v>5638</v>
      </c>
      <c r="D912" t="s">
        <v>6168</v>
      </c>
      <c r="E912" s="2">
        <v>4</v>
      </c>
      <c r="F912" s="2" t="str">
        <f>_xlfn.XLOOKUP(Data_orders!C912,Data_customers!$A$1:$A$1001,Data_customers!$B$1:$B$1001,,0)</f>
        <v>Wilton Jallin</v>
      </c>
      <c r="G912" s="2" t="str">
        <f>IF(_xlfn.XLOOKUP(C912,Data_customers!$A$1:$A$1001,Data_customers!$C$1:$C$1001,,0)=0,"",_xlfn.XLOOKUP(C912,Data_customers!$A$1:$A$1001,Data_customers!$C$1:$C$1001,,0))</f>
        <v>wjallinpa@pcworld.com</v>
      </c>
      <c r="H912" s="2" t="str">
        <f>_xlfn.XLOOKUP(C912,Data_customers!$A$1:$A$1001,Data_customers!$G$1:$G$1001,"",0)</f>
        <v>United States</v>
      </c>
      <c r="I912" t="str">
        <f>INDEX(Data_products!$A$1:$G$49, MATCH(Data_orders!$D912,Data_products!$A$1:$A$49,0), MATCH(Data_orders!I$1,Data_products!$A$1:$G$1,0))</f>
        <v>Ara</v>
      </c>
      <c r="J912" t="str">
        <f>INDEX(Data_products!$A$1:$G$49, MATCH(Data_orders!$D912,Data_products!$A$1:$A$49,0), MATCH(Data_orders!J$1,Data_products!$A$1:$G$1,0))</f>
        <v>D</v>
      </c>
      <c r="K912" s="4">
        <f>INDEX(Data_products!$A$1:$G$49, MATCH(Data_orders!$D912,Data_products!$A$1:$A$49,0), MATCH(Data_orders!K$1,Data_products!$A$1:$G$1,0))</f>
        <v>2.5</v>
      </c>
      <c r="L912">
        <f>INDEX(Data_products!$A$1:$G$49, MATCH(Data_orders!$D912,Data_products!$A$1:$A$49,0), MATCH(Data_orders!L$1,Data_products!$A$1:$G$1,0))</f>
        <v>22.884999999999998</v>
      </c>
      <c r="M912">
        <f t="shared" si="28"/>
        <v>91.539999999999992</v>
      </c>
      <c r="N912" t="str" cm="1">
        <f t="array" ref="N912">_xlfn.IFS(I912 = "Rob", "Robusta", I912 = "Exc", "Excelsa", I912 = "Ara", "Arabica", I912 = "Lib", "Liberica")</f>
        <v>Arabica</v>
      </c>
      <c r="O912" t="str">
        <f t="shared" si="29"/>
        <v>Dark</v>
      </c>
      <c r="P912" t="str">
        <f>_xlfn.XLOOKUP(Table1[[#This Row],[Customer ID]],Data_customers!$A$2:$A$1001,Data_customers!$I$2:$I$1001,,0)</f>
        <v>No</v>
      </c>
    </row>
    <row r="913" spans="1:16" x14ac:dyDescent="0.2">
      <c r="A913" s="2" t="s">
        <v>5643</v>
      </c>
      <c r="B913" s="3">
        <v>44511</v>
      </c>
      <c r="C913" s="2" t="s">
        <v>5644</v>
      </c>
      <c r="D913" t="s">
        <v>6155</v>
      </c>
      <c r="E913" s="2">
        <v>4</v>
      </c>
      <c r="F913" s="2" t="str">
        <f>_xlfn.XLOOKUP(Data_orders!C913,Data_customers!$A$1:$A$1001,Data_customers!$B$1:$B$1001,,0)</f>
        <v>Mindy Bogey</v>
      </c>
      <c r="G913" s="2" t="str">
        <f>IF(_xlfn.XLOOKUP(C913,Data_customers!$A$1:$A$1001,Data_customers!$C$1:$C$1001,,0)=0,"",_xlfn.XLOOKUP(C913,Data_customers!$A$1:$A$1001,Data_customers!$C$1:$C$1001,,0))</f>
        <v>mbogeypb@thetimes.co.uk</v>
      </c>
      <c r="H913" s="2" t="str">
        <f>_xlfn.XLOOKUP(C913,Data_customers!$A$1:$A$1001,Data_customers!$G$1:$G$1001,"",0)</f>
        <v>United States</v>
      </c>
      <c r="I913" t="str">
        <f>INDEX(Data_products!$A$1:$G$49, MATCH(Data_orders!$D913,Data_products!$A$1:$A$49,0), MATCH(Data_orders!I$1,Data_products!$A$1:$G$1,0))</f>
        <v>Ara</v>
      </c>
      <c r="J913" t="str">
        <f>INDEX(Data_products!$A$1:$G$49, MATCH(Data_orders!$D913,Data_products!$A$1:$A$49,0), MATCH(Data_orders!J$1,Data_products!$A$1:$G$1,0))</f>
        <v>M</v>
      </c>
      <c r="K913" s="4">
        <f>INDEX(Data_products!$A$1:$G$49, MATCH(Data_orders!$D913,Data_products!$A$1:$A$49,0), MATCH(Data_orders!K$1,Data_products!$A$1:$G$1,0))</f>
        <v>1</v>
      </c>
      <c r="L913">
        <f>INDEX(Data_products!$A$1:$G$49, MATCH(Data_orders!$D913,Data_products!$A$1:$A$49,0), MATCH(Data_orders!L$1,Data_products!$A$1:$G$1,0))</f>
        <v>11.25</v>
      </c>
      <c r="M913">
        <f t="shared" si="28"/>
        <v>45</v>
      </c>
      <c r="N913" t="str" cm="1">
        <f t="array" ref="N913">_xlfn.IFS(I913 = "Rob", "Robusta", I913 = "Exc", "Excelsa", I913 = "Ara", "Arabica", I913 = "Lib", "Liberica")</f>
        <v>Arabica</v>
      </c>
      <c r="O913" t="str">
        <f t="shared" si="29"/>
        <v>Medium</v>
      </c>
      <c r="P913" t="str">
        <f>_xlfn.XLOOKUP(Table1[[#This Row],[Customer ID]],Data_customers!$A$2:$A$1001,Data_customers!$I$2:$I$1001,,0)</f>
        <v>Yes</v>
      </c>
    </row>
    <row r="914" spans="1:16" x14ac:dyDescent="0.2">
      <c r="A914" s="2" t="s">
        <v>5649</v>
      </c>
      <c r="B914" s="3">
        <v>43726</v>
      </c>
      <c r="C914" s="2" t="s">
        <v>5650</v>
      </c>
      <c r="D914" t="s">
        <v>6151</v>
      </c>
      <c r="E914" s="2">
        <v>6</v>
      </c>
      <c r="F914" s="2" t="str">
        <f>_xlfn.XLOOKUP(Data_orders!C914,Data_customers!$A$1:$A$1001,Data_customers!$B$1:$B$1001,,0)</f>
        <v>Paulie Fonzone</v>
      </c>
      <c r="G914" s="2" t="str">
        <f>IF(_xlfn.XLOOKUP(C914,Data_customers!$A$1:$A$1001,Data_customers!$C$1:$C$1001,,0)=0,"",_xlfn.XLOOKUP(C914,Data_customers!$A$1:$A$1001,Data_customers!$C$1:$C$1001,,0))</f>
        <v/>
      </c>
      <c r="H914" s="2" t="str">
        <f>_xlfn.XLOOKUP(C914,Data_customers!$A$1:$A$1001,Data_customers!$G$1:$G$1001,"",0)</f>
        <v>United States</v>
      </c>
      <c r="I914" t="str">
        <f>INDEX(Data_products!$A$1:$G$49, MATCH(Data_orders!$D914,Data_products!$A$1:$A$49,0), MATCH(Data_orders!I$1,Data_products!$A$1:$G$1,0))</f>
        <v>Rob</v>
      </c>
      <c r="J914" t="str">
        <f>INDEX(Data_products!$A$1:$G$49, MATCH(Data_orders!$D914,Data_products!$A$1:$A$49,0), MATCH(Data_orders!J$1,Data_products!$A$1:$G$1,0))</f>
        <v>M</v>
      </c>
      <c r="K914" s="4">
        <f>INDEX(Data_products!$A$1:$G$49, MATCH(Data_orders!$D914,Data_products!$A$1:$A$49,0), MATCH(Data_orders!K$1,Data_products!$A$1:$G$1,0))</f>
        <v>2.5</v>
      </c>
      <c r="L914">
        <f>INDEX(Data_products!$A$1:$G$49, MATCH(Data_orders!$D914,Data_products!$A$1:$A$49,0), MATCH(Data_orders!L$1,Data_products!$A$1:$G$1,0))</f>
        <v>22.884999999999998</v>
      </c>
      <c r="M914">
        <f t="shared" si="28"/>
        <v>137.31</v>
      </c>
      <c r="N914" t="str" cm="1">
        <f t="array" ref="N914">_xlfn.IFS(I914 = "Rob", "Robusta", I914 = "Exc", "Excelsa", I914 = "Ara", "Arabica", I914 = "Lib", "Liberica")</f>
        <v>Robusta</v>
      </c>
      <c r="O914" t="str">
        <f t="shared" si="29"/>
        <v>Medium</v>
      </c>
      <c r="P914" t="str">
        <f>_xlfn.XLOOKUP(Table1[[#This Row],[Customer ID]],Data_customers!$A$2:$A$1001,Data_customers!$I$2:$I$1001,,0)</f>
        <v>Yes</v>
      </c>
    </row>
    <row r="915" spans="1:16" x14ac:dyDescent="0.2">
      <c r="A915" s="2" t="s">
        <v>5654</v>
      </c>
      <c r="B915" s="3">
        <v>44406</v>
      </c>
      <c r="C915" s="2" t="s">
        <v>5655</v>
      </c>
      <c r="D915" t="s">
        <v>6157</v>
      </c>
      <c r="E915" s="2">
        <v>1</v>
      </c>
      <c r="F915" s="2" t="str">
        <f>_xlfn.XLOOKUP(Data_orders!C915,Data_customers!$A$1:$A$1001,Data_customers!$B$1:$B$1001,,0)</f>
        <v>Merrile Cobbledick</v>
      </c>
      <c r="G915" s="2" t="str">
        <f>IF(_xlfn.XLOOKUP(C915,Data_customers!$A$1:$A$1001,Data_customers!$C$1:$C$1001,,0)=0,"",_xlfn.XLOOKUP(C915,Data_customers!$A$1:$A$1001,Data_customers!$C$1:$C$1001,,0))</f>
        <v>mcobbledickpd@ucsd.edu</v>
      </c>
      <c r="H915" s="2" t="str">
        <f>_xlfn.XLOOKUP(C915,Data_customers!$A$1:$A$1001,Data_customers!$G$1:$G$1001,"",0)</f>
        <v>United States</v>
      </c>
      <c r="I915" t="str">
        <f>INDEX(Data_products!$A$1:$G$49, MATCH(Data_orders!$D915,Data_products!$A$1:$A$49,0), MATCH(Data_orders!I$1,Data_products!$A$1:$G$1,0))</f>
        <v>Ara</v>
      </c>
      <c r="J915" t="str">
        <f>INDEX(Data_products!$A$1:$G$49, MATCH(Data_orders!$D915,Data_products!$A$1:$A$49,0), MATCH(Data_orders!J$1,Data_products!$A$1:$G$1,0))</f>
        <v>M</v>
      </c>
      <c r="K915" s="4">
        <f>INDEX(Data_products!$A$1:$G$49, MATCH(Data_orders!$D915,Data_products!$A$1:$A$49,0), MATCH(Data_orders!K$1,Data_products!$A$1:$G$1,0))</f>
        <v>0.5</v>
      </c>
      <c r="L915">
        <f>INDEX(Data_products!$A$1:$G$49, MATCH(Data_orders!$D915,Data_products!$A$1:$A$49,0), MATCH(Data_orders!L$1,Data_products!$A$1:$G$1,0))</f>
        <v>6.75</v>
      </c>
      <c r="M915">
        <f t="shared" si="28"/>
        <v>6.75</v>
      </c>
      <c r="N915" t="str" cm="1">
        <f t="array" ref="N915">_xlfn.IFS(I915 = "Rob", "Robusta", I915 = "Exc", "Excelsa", I915 = "Ara", "Arabica", I915 = "Lib", "Liberica")</f>
        <v>Arabica</v>
      </c>
      <c r="O915" t="str">
        <f t="shared" si="29"/>
        <v>Medium</v>
      </c>
      <c r="P915" t="str">
        <f>_xlfn.XLOOKUP(Table1[[#This Row],[Customer ID]],Data_customers!$A$2:$A$1001,Data_customers!$I$2:$I$1001,,0)</f>
        <v>No</v>
      </c>
    </row>
    <row r="916" spans="1:16" x14ac:dyDescent="0.2">
      <c r="A916" s="2" t="s">
        <v>5660</v>
      </c>
      <c r="B916" s="3">
        <v>44640</v>
      </c>
      <c r="C916" s="2" t="s">
        <v>5661</v>
      </c>
      <c r="D916" t="s">
        <v>6155</v>
      </c>
      <c r="E916" s="2">
        <v>4</v>
      </c>
      <c r="F916" s="2" t="str">
        <f>_xlfn.XLOOKUP(Data_orders!C916,Data_customers!$A$1:$A$1001,Data_customers!$B$1:$B$1001,,0)</f>
        <v>Antonius Lewry</v>
      </c>
      <c r="G916" s="2" t="str">
        <f>IF(_xlfn.XLOOKUP(C916,Data_customers!$A$1:$A$1001,Data_customers!$C$1:$C$1001,,0)=0,"",_xlfn.XLOOKUP(C916,Data_customers!$A$1:$A$1001,Data_customers!$C$1:$C$1001,,0))</f>
        <v>alewrype@whitehouse.gov</v>
      </c>
      <c r="H916" s="2" t="str">
        <f>_xlfn.XLOOKUP(C916,Data_customers!$A$1:$A$1001,Data_customers!$G$1:$G$1001,"",0)</f>
        <v>United States</v>
      </c>
      <c r="I916" t="str">
        <f>INDEX(Data_products!$A$1:$G$49, MATCH(Data_orders!$D916,Data_products!$A$1:$A$49,0), MATCH(Data_orders!I$1,Data_products!$A$1:$G$1,0))</f>
        <v>Ara</v>
      </c>
      <c r="J916" t="str">
        <f>INDEX(Data_products!$A$1:$G$49, MATCH(Data_orders!$D916,Data_products!$A$1:$A$49,0), MATCH(Data_orders!J$1,Data_products!$A$1:$G$1,0))</f>
        <v>M</v>
      </c>
      <c r="K916" s="4">
        <f>INDEX(Data_products!$A$1:$G$49, MATCH(Data_orders!$D916,Data_products!$A$1:$A$49,0), MATCH(Data_orders!K$1,Data_products!$A$1:$G$1,0))</f>
        <v>1</v>
      </c>
      <c r="L916">
        <f>INDEX(Data_products!$A$1:$G$49, MATCH(Data_orders!$D916,Data_products!$A$1:$A$49,0), MATCH(Data_orders!L$1,Data_products!$A$1:$G$1,0))</f>
        <v>11.25</v>
      </c>
      <c r="M916">
        <f t="shared" si="28"/>
        <v>45</v>
      </c>
      <c r="N916" t="str" cm="1">
        <f t="array" ref="N916">_xlfn.IFS(I916 = "Rob", "Robusta", I916 = "Exc", "Excelsa", I916 = "Ara", "Arabica", I916 = "Lib", "Liberica")</f>
        <v>Arabica</v>
      </c>
      <c r="O916" t="str">
        <f t="shared" si="29"/>
        <v>Medium</v>
      </c>
      <c r="P916" t="str">
        <f>_xlfn.XLOOKUP(Table1[[#This Row],[Customer ID]],Data_customers!$A$2:$A$1001,Data_customers!$I$2:$I$1001,,0)</f>
        <v>No</v>
      </c>
    </row>
    <row r="917" spans="1:16" x14ac:dyDescent="0.2">
      <c r="A917" s="2" t="s">
        <v>5666</v>
      </c>
      <c r="B917" s="3">
        <v>43955</v>
      </c>
      <c r="C917" s="2" t="s">
        <v>5667</v>
      </c>
      <c r="D917" t="s">
        <v>6185</v>
      </c>
      <c r="E917" s="2">
        <v>3</v>
      </c>
      <c r="F917" s="2" t="str">
        <f>_xlfn.XLOOKUP(Data_orders!C917,Data_customers!$A$1:$A$1001,Data_customers!$B$1:$B$1001,,0)</f>
        <v>Isis Hessel</v>
      </c>
      <c r="G917" s="2" t="str">
        <f>IF(_xlfn.XLOOKUP(C917,Data_customers!$A$1:$A$1001,Data_customers!$C$1:$C$1001,,0)=0,"",_xlfn.XLOOKUP(C917,Data_customers!$A$1:$A$1001,Data_customers!$C$1:$C$1001,,0))</f>
        <v>ihesselpf@ox.ac.uk</v>
      </c>
      <c r="H917" s="2" t="str">
        <f>_xlfn.XLOOKUP(C917,Data_customers!$A$1:$A$1001,Data_customers!$G$1:$G$1001,"",0)</f>
        <v>United States</v>
      </c>
      <c r="I917" t="str">
        <f>INDEX(Data_products!$A$1:$G$49, MATCH(Data_orders!$D917,Data_products!$A$1:$A$49,0), MATCH(Data_orders!I$1,Data_products!$A$1:$G$1,0))</f>
        <v>Exc</v>
      </c>
      <c r="J917" t="str">
        <f>INDEX(Data_products!$A$1:$G$49, MATCH(Data_orders!$D917,Data_products!$A$1:$A$49,0), MATCH(Data_orders!J$1,Data_products!$A$1:$G$1,0))</f>
        <v>D</v>
      </c>
      <c r="K917" s="4">
        <f>INDEX(Data_products!$A$1:$G$49, MATCH(Data_orders!$D917,Data_products!$A$1:$A$49,0), MATCH(Data_orders!K$1,Data_products!$A$1:$G$1,0))</f>
        <v>2.5</v>
      </c>
      <c r="L917">
        <f>INDEX(Data_products!$A$1:$G$49, MATCH(Data_orders!$D917,Data_products!$A$1:$A$49,0), MATCH(Data_orders!L$1,Data_products!$A$1:$G$1,0))</f>
        <v>27.945</v>
      </c>
      <c r="M917">
        <f t="shared" si="28"/>
        <v>83.835000000000008</v>
      </c>
      <c r="N917" t="str" cm="1">
        <f t="array" ref="N917">_xlfn.IFS(I917 = "Rob", "Robusta", I917 = "Exc", "Excelsa", I917 = "Ara", "Arabica", I917 = "Lib", "Liberica")</f>
        <v>Excelsa</v>
      </c>
      <c r="O917" t="str">
        <f t="shared" si="29"/>
        <v>Dark</v>
      </c>
      <c r="P917" t="str">
        <f>_xlfn.XLOOKUP(Table1[[#This Row],[Customer ID]],Data_customers!$A$2:$A$1001,Data_customers!$I$2:$I$1001,,0)</f>
        <v>Yes</v>
      </c>
    </row>
    <row r="918" spans="1:16" x14ac:dyDescent="0.2">
      <c r="A918" s="2" t="s">
        <v>5672</v>
      </c>
      <c r="B918" s="3">
        <v>44291</v>
      </c>
      <c r="C918" s="2" t="s">
        <v>5673</v>
      </c>
      <c r="D918" t="s">
        <v>6153</v>
      </c>
      <c r="E918" s="2">
        <v>1</v>
      </c>
      <c r="F918" s="2" t="str">
        <f>_xlfn.XLOOKUP(Data_orders!C918,Data_customers!$A$1:$A$1001,Data_customers!$B$1:$B$1001,,0)</f>
        <v>Harland Trematick</v>
      </c>
      <c r="G918" s="2" t="str">
        <f>IF(_xlfn.XLOOKUP(C918,Data_customers!$A$1:$A$1001,Data_customers!$C$1:$C$1001,,0)=0,"",_xlfn.XLOOKUP(C918,Data_customers!$A$1:$A$1001,Data_customers!$C$1:$C$1001,,0))</f>
        <v/>
      </c>
      <c r="H918" s="2" t="str">
        <f>_xlfn.XLOOKUP(C918,Data_customers!$A$1:$A$1001,Data_customers!$G$1:$G$1001,"",0)</f>
        <v>Ireland</v>
      </c>
      <c r="I918" t="str">
        <f>INDEX(Data_products!$A$1:$G$49, MATCH(Data_orders!$D918,Data_products!$A$1:$A$49,0), MATCH(Data_orders!I$1,Data_products!$A$1:$G$1,0))</f>
        <v>Exc</v>
      </c>
      <c r="J918" t="str">
        <f>INDEX(Data_products!$A$1:$G$49, MATCH(Data_orders!$D918,Data_products!$A$1:$A$49,0), MATCH(Data_orders!J$1,Data_products!$A$1:$G$1,0))</f>
        <v>D</v>
      </c>
      <c r="K918" s="4">
        <f>INDEX(Data_products!$A$1:$G$49, MATCH(Data_orders!$D918,Data_products!$A$1:$A$49,0), MATCH(Data_orders!K$1,Data_products!$A$1:$G$1,0))</f>
        <v>0.2</v>
      </c>
      <c r="L918">
        <f>INDEX(Data_products!$A$1:$G$49, MATCH(Data_orders!$D918,Data_products!$A$1:$A$49,0), MATCH(Data_orders!L$1,Data_products!$A$1:$G$1,0))</f>
        <v>3.645</v>
      </c>
      <c r="M918">
        <f t="shared" si="28"/>
        <v>3.645</v>
      </c>
      <c r="N918" t="str" cm="1">
        <f t="array" ref="N918">_xlfn.IFS(I918 = "Rob", "Robusta", I918 = "Exc", "Excelsa", I918 = "Ara", "Arabica", I918 = "Lib", "Liberica")</f>
        <v>Excelsa</v>
      </c>
      <c r="O918" t="str">
        <f t="shared" si="29"/>
        <v>Dark</v>
      </c>
      <c r="P918" t="str">
        <f>_xlfn.XLOOKUP(Table1[[#This Row],[Customer ID]],Data_customers!$A$2:$A$1001,Data_customers!$I$2:$I$1001,,0)</f>
        <v>Yes</v>
      </c>
    </row>
    <row r="919" spans="1:16" x14ac:dyDescent="0.2">
      <c r="A919" s="2" t="s">
        <v>5676</v>
      </c>
      <c r="B919" s="3">
        <v>44573</v>
      </c>
      <c r="C919" s="2" t="s">
        <v>5677</v>
      </c>
      <c r="D919" t="s">
        <v>6157</v>
      </c>
      <c r="E919" s="2">
        <v>1</v>
      </c>
      <c r="F919" s="2" t="str">
        <f>_xlfn.XLOOKUP(Data_orders!C919,Data_customers!$A$1:$A$1001,Data_customers!$B$1:$B$1001,,0)</f>
        <v>Chloris Sorrell</v>
      </c>
      <c r="G919" s="2" t="str">
        <f>IF(_xlfn.XLOOKUP(C919,Data_customers!$A$1:$A$1001,Data_customers!$C$1:$C$1001,,0)=0,"",_xlfn.XLOOKUP(C919,Data_customers!$A$1:$A$1001,Data_customers!$C$1:$C$1001,,0))</f>
        <v>csorrellph@amazon.com</v>
      </c>
      <c r="H919" s="2" t="str">
        <f>_xlfn.XLOOKUP(C919,Data_customers!$A$1:$A$1001,Data_customers!$G$1:$G$1001,"",0)</f>
        <v>United Kingdom</v>
      </c>
      <c r="I919" t="str">
        <f>INDEX(Data_products!$A$1:$G$49, MATCH(Data_orders!$D919,Data_products!$A$1:$A$49,0), MATCH(Data_orders!I$1,Data_products!$A$1:$G$1,0))</f>
        <v>Ara</v>
      </c>
      <c r="J919" t="str">
        <f>INDEX(Data_products!$A$1:$G$49, MATCH(Data_orders!$D919,Data_products!$A$1:$A$49,0), MATCH(Data_orders!J$1,Data_products!$A$1:$G$1,0))</f>
        <v>M</v>
      </c>
      <c r="K919" s="4">
        <f>INDEX(Data_products!$A$1:$G$49, MATCH(Data_orders!$D919,Data_products!$A$1:$A$49,0), MATCH(Data_orders!K$1,Data_products!$A$1:$G$1,0))</f>
        <v>0.5</v>
      </c>
      <c r="L919">
        <f>INDEX(Data_products!$A$1:$G$49, MATCH(Data_orders!$D919,Data_products!$A$1:$A$49,0), MATCH(Data_orders!L$1,Data_products!$A$1:$G$1,0))</f>
        <v>6.75</v>
      </c>
      <c r="M919">
        <f t="shared" si="28"/>
        <v>6.75</v>
      </c>
      <c r="N919" t="str" cm="1">
        <f t="array" ref="N919">_xlfn.IFS(I919 = "Rob", "Robusta", I919 = "Exc", "Excelsa", I919 = "Ara", "Arabica", I919 = "Lib", "Liberica")</f>
        <v>Arabica</v>
      </c>
      <c r="O919" t="str">
        <f t="shared" si="29"/>
        <v>Medium</v>
      </c>
      <c r="P919" t="str">
        <f>_xlfn.XLOOKUP(Table1[[#This Row],[Customer ID]],Data_customers!$A$2:$A$1001,Data_customers!$I$2:$I$1001,,0)</f>
        <v>No</v>
      </c>
    </row>
    <row r="920" spans="1:16" x14ac:dyDescent="0.2">
      <c r="A920" s="2" t="s">
        <v>5676</v>
      </c>
      <c r="B920" s="3">
        <v>44573</v>
      </c>
      <c r="C920" s="2" t="s">
        <v>5677</v>
      </c>
      <c r="D920" t="s">
        <v>6144</v>
      </c>
      <c r="E920" s="2">
        <v>3</v>
      </c>
      <c r="F920" s="2" t="str">
        <f>_xlfn.XLOOKUP(Data_orders!C920,Data_customers!$A$1:$A$1001,Data_customers!$B$1:$B$1001,,0)</f>
        <v>Chloris Sorrell</v>
      </c>
      <c r="G920" s="2" t="str">
        <f>IF(_xlfn.XLOOKUP(C920,Data_customers!$A$1:$A$1001,Data_customers!$C$1:$C$1001,,0)=0,"",_xlfn.XLOOKUP(C920,Data_customers!$A$1:$A$1001,Data_customers!$C$1:$C$1001,,0))</f>
        <v>csorrellph@amazon.com</v>
      </c>
      <c r="H920" s="2" t="str">
        <f>_xlfn.XLOOKUP(C920,Data_customers!$A$1:$A$1001,Data_customers!$G$1:$G$1001,"",0)</f>
        <v>United Kingdom</v>
      </c>
      <c r="I920" t="str">
        <f>INDEX(Data_products!$A$1:$G$49, MATCH(Data_orders!$D920,Data_products!$A$1:$A$49,0), MATCH(Data_orders!I$1,Data_products!$A$1:$G$1,0))</f>
        <v>Exc</v>
      </c>
      <c r="J920" t="str">
        <f>INDEX(Data_products!$A$1:$G$49, MATCH(Data_orders!$D920,Data_products!$A$1:$A$49,0), MATCH(Data_orders!J$1,Data_products!$A$1:$G$1,0))</f>
        <v>D</v>
      </c>
      <c r="K920" s="4">
        <f>INDEX(Data_products!$A$1:$G$49, MATCH(Data_orders!$D920,Data_products!$A$1:$A$49,0), MATCH(Data_orders!K$1,Data_products!$A$1:$G$1,0))</f>
        <v>0.5</v>
      </c>
      <c r="L920">
        <f>INDEX(Data_products!$A$1:$G$49, MATCH(Data_orders!$D920,Data_products!$A$1:$A$49,0), MATCH(Data_orders!L$1,Data_products!$A$1:$G$1,0))</f>
        <v>7.29</v>
      </c>
      <c r="M920">
        <f t="shared" si="28"/>
        <v>21.87</v>
      </c>
      <c r="N920" t="str" cm="1">
        <f t="array" ref="N920">_xlfn.IFS(I920 = "Rob", "Robusta", I920 = "Exc", "Excelsa", I920 = "Ara", "Arabica", I920 = "Lib", "Liberica")</f>
        <v>Excelsa</v>
      </c>
      <c r="O920" t="str">
        <f t="shared" si="29"/>
        <v>Dark</v>
      </c>
      <c r="P920" t="str">
        <f>_xlfn.XLOOKUP(Table1[[#This Row],[Customer ID]],Data_customers!$A$2:$A$1001,Data_customers!$I$2:$I$1001,,0)</f>
        <v>No</v>
      </c>
    </row>
    <row r="921" spans="1:16" x14ac:dyDescent="0.2">
      <c r="A921" s="2" t="s">
        <v>5687</v>
      </c>
      <c r="B921" s="3">
        <v>44181</v>
      </c>
      <c r="C921" s="2" t="s">
        <v>5688</v>
      </c>
      <c r="D921" t="s">
        <v>6163</v>
      </c>
      <c r="E921" s="2">
        <v>5</v>
      </c>
      <c r="F921" s="2" t="str">
        <f>_xlfn.XLOOKUP(Data_orders!C921,Data_customers!$A$1:$A$1001,Data_customers!$B$1:$B$1001,,0)</f>
        <v>Quintina Heavyside</v>
      </c>
      <c r="G921" s="2" t="str">
        <f>IF(_xlfn.XLOOKUP(C921,Data_customers!$A$1:$A$1001,Data_customers!$C$1:$C$1001,,0)=0,"",_xlfn.XLOOKUP(C921,Data_customers!$A$1:$A$1001,Data_customers!$C$1:$C$1001,,0))</f>
        <v>qheavysidepj@unc.edu</v>
      </c>
      <c r="H921" s="2" t="str">
        <f>_xlfn.XLOOKUP(C921,Data_customers!$A$1:$A$1001,Data_customers!$G$1:$G$1001,"",0)</f>
        <v>United States</v>
      </c>
      <c r="I921" t="str">
        <f>INDEX(Data_products!$A$1:$G$49, MATCH(Data_orders!$D921,Data_products!$A$1:$A$49,0), MATCH(Data_orders!I$1,Data_products!$A$1:$G$1,0))</f>
        <v>Rob</v>
      </c>
      <c r="J921" t="str">
        <f>INDEX(Data_products!$A$1:$G$49, MATCH(Data_orders!$D921,Data_products!$A$1:$A$49,0), MATCH(Data_orders!J$1,Data_products!$A$1:$G$1,0))</f>
        <v>D</v>
      </c>
      <c r="K921" s="4">
        <f>INDEX(Data_products!$A$1:$G$49, MATCH(Data_orders!$D921,Data_products!$A$1:$A$49,0), MATCH(Data_orders!K$1,Data_products!$A$1:$G$1,0))</f>
        <v>0.2</v>
      </c>
      <c r="L921">
        <f>INDEX(Data_products!$A$1:$G$49, MATCH(Data_orders!$D921,Data_products!$A$1:$A$49,0), MATCH(Data_orders!L$1,Data_products!$A$1:$G$1,0))</f>
        <v>2.6849999999999996</v>
      </c>
      <c r="M921">
        <f t="shared" si="28"/>
        <v>13.424999999999997</v>
      </c>
      <c r="N921" t="str" cm="1">
        <f t="array" ref="N921">_xlfn.IFS(I921 = "Rob", "Robusta", I921 = "Exc", "Excelsa", I921 = "Ara", "Arabica", I921 = "Lib", "Liberica")</f>
        <v>Robusta</v>
      </c>
      <c r="O921" t="str">
        <f t="shared" si="29"/>
        <v>Dark</v>
      </c>
      <c r="P921" t="str">
        <f>_xlfn.XLOOKUP(Table1[[#This Row],[Customer ID]],Data_customers!$A$2:$A$1001,Data_customers!$I$2:$I$1001,,0)</f>
        <v>Yes</v>
      </c>
    </row>
    <row r="922" spans="1:16" x14ac:dyDescent="0.2">
      <c r="A922" s="2" t="s">
        <v>5693</v>
      </c>
      <c r="B922" s="3">
        <v>44711</v>
      </c>
      <c r="C922" s="2" t="s">
        <v>5694</v>
      </c>
      <c r="D922" t="s">
        <v>6149</v>
      </c>
      <c r="E922" s="2">
        <v>6</v>
      </c>
      <c r="F922" s="2" t="str">
        <f>_xlfn.XLOOKUP(Data_orders!C922,Data_customers!$A$1:$A$1001,Data_customers!$B$1:$B$1001,,0)</f>
        <v>Hadley Reuven</v>
      </c>
      <c r="G922" s="2" t="str">
        <f>IF(_xlfn.XLOOKUP(C922,Data_customers!$A$1:$A$1001,Data_customers!$C$1:$C$1001,,0)=0,"",_xlfn.XLOOKUP(C922,Data_customers!$A$1:$A$1001,Data_customers!$C$1:$C$1001,,0))</f>
        <v>hreuvenpk@whitehouse.gov</v>
      </c>
      <c r="H922" s="2" t="str">
        <f>_xlfn.XLOOKUP(C922,Data_customers!$A$1:$A$1001,Data_customers!$G$1:$G$1001,"",0)</f>
        <v>United States</v>
      </c>
      <c r="I922" t="str">
        <f>INDEX(Data_products!$A$1:$G$49, MATCH(Data_orders!$D922,Data_products!$A$1:$A$49,0), MATCH(Data_orders!I$1,Data_products!$A$1:$G$1,0))</f>
        <v>Rob</v>
      </c>
      <c r="J922" t="str">
        <f>INDEX(Data_products!$A$1:$G$49, MATCH(Data_orders!$D922,Data_products!$A$1:$A$49,0), MATCH(Data_orders!J$1,Data_products!$A$1:$G$1,0))</f>
        <v>D</v>
      </c>
      <c r="K922" s="4">
        <f>INDEX(Data_products!$A$1:$G$49, MATCH(Data_orders!$D922,Data_products!$A$1:$A$49,0), MATCH(Data_orders!K$1,Data_products!$A$1:$G$1,0))</f>
        <v>2.5</v>
      </c>
      <c r="L922">
        <f>INDEX(Data_products!$A$1:$G$49, MATCH(Data_orders!$D922,Data_products!$A$1:$A$49,0), MATCH(Data_orders!L$1,Data_products!$A$1:$G$1,0))</f>
        <v>20.584999999999997</v>
      </c>
      <c r="M922">
        <f t="shared" si="28"/>
        <v>123.50999999999999</v>
      </c>
      <c r="N922" t="str" cm="1">
        <f t="array" ref="N922">_xlfn.IFS(I922 = "Rob", "Robusta", I922 = "Exc", "Excelsa", I922 = "Ara", "Arabica", I922 = "Lib", "Liberica")</f>
        <v>Robusta</v>
      </c>
      <c r="O922" t="str">
        <f t="shared" si="29"/>
        <v>Dark</v>
      </c>
      <c r="P922" t="str">
        <f>_xlfn.XLOOKUP(Table1[[#This Row],[Customer ID]],Data_customers!$A$2:$A$1001,Data_customers!$I$2:$I$1001,,0)</f>
        <v>No</v>
      </c>
    </row>
    <row r="923" spans="1:16" x14ac:dyDescent="0.2">
      <c r="A923" s="2" t="s">
        <v>5699</v>
      </c>
      <c r="B923" s="3">
        <v>44509</v>
      </c>
      <c r="C923" s="2" t="s">
        <v>5700</v>
      </c>
      <c r="D923" t="s">
        <v>6150</v>
      </c>
      <c r="E923" s="2">
        <v>2</v>
      </c>
      <c r="F923" s="2" t="str">
        <f>_xlfn.XLOOKUP(Data_orders!C923,Data_customers!$A$1:$A$1001,Data_customers!$B$1:$B$1001,,0)</f>
        <v>Mitch Attwool</v>
      </c>
      <c r="G923" s="2" t="str">
        <f>IF(_xlfn.XLOOKUP(C923,Data_customers!$A$1:$A$1001,Data_customers!$C$1:$C$1001,,0)=0,"",_xlfn.XLOOKUP(C923,Data_customers!$A$1:$A$1001,Data_customers!$C$1:$C$1001,,0))</f>
        <v>mattwoolpl@nba.com</v>
      </c>
      <c r="H923" s="2" t="str">
        <f>_xlfn.XLOOKUP(C923,Data_customers!$A$1:$A$1001,Data_customers!$G$1:$G$1001,"",0)</f>
        <v>United States</v>
      </c>
      <c r="I923" t="str">
        <f>INDEX(Data_products!$A$1:$G$49, MATCH(Data_orders!$D923,Data_products!$A$1:$A$49,0), MATCH(Data_orders!I$1,Data_products!$A$1:$G$1,0))</f>
        <v>Lib</v>
      </c>
      <c r="J923" t="str">
        <f>INDEX(Data_products!$A$1:$G$49, MATCH(Data_orders!$D923,Data_products!$A$1:$A$49,0), MATCH(Data_orders!J$1,Data_products!$A$1:$G$1,0))</f>
        <v>D</v>
      </c>
      <c r="K923" s="4">
        <f>INDEX(Data_products!$A$1:$G$49, MATCH(Data_orders!$D923,Data_products!$A$1:$A$49,0), MATCH(Data_orders!K$1,Data_products!$A$1:$G$1,0))</f>
        <v>0.2</v>
      </c>
      <c r="L923">
        <f>INDEX(Data_products!$A$1:$G$49, MATCH(Data_orders!$D923,Data_products!$A$1:$A$49,0), MATCH(Data_orders!L$1,Data_products!$A$1:$G$1,0))</f>
        <v>3.8849999999999998</v>
      </c>
      <c r="M923">
        <f t="shared" si="28"/>
        <v>7.77</v>
      </c>
      <c r="N923" t="str" cm="1">
        <f t="array" ref="N923">_xlfn.IFS(I923 = "Rob", "Robusta", I923 = "Exc", "Excelsa", I923 = "Ara", "Arabica", I923 = "Lib", "Liberica")</f>
        <v>Liberica</v>
      </c>
      <c r="O923" t="str">
        <f t="shared" si="29"/>
        <v>Dark</v>
      </c>
      <c r="P923" t="str">
        <f>_xlfn.XLOOKUP(Table1[[#This Row],[Customer ID]],Data_customers!$A$2:$A$1001,Data_customers!$I$2:$I$1001,,0)</f>
        <v>No</v>
      </c>
    </row>
    <row r="924" spans="1:16" x14ac:dyDescent="0.2">
      <c r="A924" s="2" t="s">
        <v>5705</v>
      </c>
      <c r="B924" s="3">
        <v>44659</v>
      </c>
      <c r="C924" s="2" t="s">
        <v>5706</v>
      </c>
      <c r="D924" t="s">
        <v>6155</v>
      </c>
      <c r="E924" s="2">
        <v>6</v>
      </c>
      <c r="F924" s="2" t="str">
        <f>_xlfn.XLOOKUP(Data_orders!C924,Data_customers!$A$1:$A$1001,Data_customers!$B$1:$B$1001,,0)</f>
        <v>Charin Maplethorp</v>
      </c>
      <c r="G924" s="2" t="str">
        <f>IF(_xlfn.XLOOKUP(C924,Data_customers!$A$1:$A$1001,Data_customers!$C$1:$C$1001,,0)=0,"",_xlfn.XLOOKUP(C924,Data_customers!$A$1:$A$1001,Data_customers!$C$1:$C$1001,,0))</f>
        <v/>
      </c>
      <c r="H924" s="2" t="str">
        <f>_xlfn.XLOOKUP(C924,Data_customers!$A$1:$A$1001,Data_customers!$G$1:$G$1001,"",0)</f>
        <v>United States</v>
      </c>
      <c r="I924" t="str">
        <f>INDEX(Data_products!$A$1:$G$49, MATCH(Data_orders!$D924,Data_products!$A$1:$A$49,0), MATCH(Data_orders!I$1,Data_products!$A$1:$G$1,0))</f>
        <v>Ara</v>
      </c>
      <c r="J924" t="str">
        <f>INDEX(Data_products!$A$1:$G$49, MATCH(Data_orders!$D924,Data_products!$A$1:$A$49,0), MATCH(Data_orders!J$1,Data_products!$A$1:$G$1,0))</f>
        <v>M</v>
      </c>
      <c r="K924" s="4">
        <f>INDEX(Data_products!$A$1:$G$49, MATCH(Data_orders!$D924,Data_products!$A$1:$A$49,0), MATCH(Data_orders!K$1,Data_products!$A$1:$G$1,0))</f>
        <v>1</v>
      </c>
      <c r="L924">
        <f>INDEX(Data_products!$A$1:$G$49, MATCH(Data_orders!$D924,Data_products!$A$1:$A$49,0), MATCH(Data_orders!L$1,Data_products!$A$1:$G$1,0))</f>
        <v>11.25</v>
      </c>
      <c r="M924">
        <f t="shared" si="28"/>
        <v>67.5</v>
      </c>
      <c r="N924" t="str" cm="1">
        <f t="array" ref="N924">_xlfn.IFS(I924 = "Rob", "Robusta", I924 = "Exc", "Excelsa", I924 = "Ara", "Arabica", I924 = "Lib", "Liberica")</f>
        <v>Arabica</v>
      </c>
      <c r="O924" t="str">
        <f t="shared" si="29"/>
        <v>Medium</v>
      </c>
      <c r="P924" t="str">
        <f>_xlfn.XLOOKUP(Table1[[#This Row],[Customer ID]],Data_customers!$A$2:$A$1001,Data_customers!$I$2:$I$1001,,0)</f>
        <v>Yes</v>
      </c>
    </row>
    <row r="925" spans="1:16" x14ac:dyDescent="0.2">
      <c r="A925" s="2" t="s">
        <v>5709</v>
      </c>
      <c r="B925" s="3">
        <v>43746</v>
      </c>
      <c r="C925" s="2" t="s">
        <v>5710</v>
      </c>
      <c r="D925" t="s">
        <v>6185</v>
      </c>
      <c r="E925" s="2">
        <v>1</v>
      </c>
      <c r="F925" s="2" t="str">
        <f>_xlfn.XLOOKUP(Data_orders!C925,Data_customers!$A$1:$A$1001,Data_customers!$B$1:$B$1001,,0)</f>
        <v>Goldie Wynes</v>
      </c>
      <c r="G925" s="2" t="str">
        <f>IF(_xlfn.XLOOKUP(C925,Data_customers!$A$1:$A$1001,Data_customers!$C$1:$C$1001,,0)=0,"",_xlfn.XLOOKUP(C925,Data_customers!$A$1:$A$1001,Data_customers!$C$1:$C$1001,,0))</f>
        <v>gwynespn@dagondesign.com</v>
      </c>
      <c r="H925" s="2" t="str">
        <f>_xlfn.XLOOKUP(C925,Data_customers!$A$1:$A$1001,Data_customers!$G$1:$G$1001,"",0)</f>
        <v>United States</v>
      </c>
      <c r="I925" t="str">
        <f>INDEX(Data_products!$A$1:$G$49, MATCH(Data_orders!$D925,Data_products!$A$1:$A$49,0), MATCH(Data_orders!I$1,Data_products!$A$1:$G$1,0))</f>
        <v>Exc</v>
      </c>
      <c r="J925" t="str">
        <f>INDEX(Data_products!$A$1:$G$49, MATCH(Data_orders!$D925,Data_products!$A$1:$A$49,0), MATCH(Data_orders!J$1,Data_products!$A$1:$G$1,0))</f>
        <v>D</v>
      </c>
      <c r="K925" s="4">
        <f>INDEX(Data_products!$A$1:$G$49, MATCH(Data_orders!$D925,Data_products!$A$1:$A$49,0), MATCH(Data_orders!K$1,Data_products!$A$1:$G$1,0))</f>
        <v>2.5</v>
      </c>
      <c r="L925">
        <f>INDEX(Data_products!$A$1:$G$49, MATCH(Data_orders!$D925,Data_products!$A$1:$A$49,0), MATCH(Data_orders!L$1,Data_products!$A$1:$G$1,0))</f>
        <v>27.945</v>
      </c>
      <c r="M925">
        <f t="shared" si="28"/>
        <v>27.945</v>
      </c>
      <c r="N925" t="str" cm="1">
        <f t="array" ref="N925">_xlfn.IFS(I925 = "Rob", "Robusta", I925 = "Exc", "Excelsa", I925 = "Ara", "Arabica", I925 = "Lib", "Liberica")</f>
        <v>Excelsa</v>
      </c>
      <c r="O925" t="str">
        <f t="shared" si="29"/>
        <v>Dark</v>
      </c>
      <c r="P925" t="str">
        <f>_xlfn.XLOOKUP(Table1[[#This Row],[Customer ID]],Data_customers!$A$2:$A$1001,Data_customers!$I$2:$I$1001,,0)</f>
        <v>No</v>
      </c>
    </row>
    <row r="926" spans="1:16" x14ac:dyDescent="0.2">
      <c r="A926" s="2" t="s">
        <v>5715</v>
      </c>
      <c r="B926" s="3">
        <v>44451</v>
      </c>
      <c r="C926" s="2" t="s">
        <v>5716</v>
      </c>
      <c r="D926" t="s">
        <v>6182</v>
      </c>
      <c r="E926" s="2">
        <v>3</v>
      </c>
      <c r="F926" s="2" t="str">
        <f>_xlfn.XLOOKUP(Data_orders!C926,Data_customers!$A$1:$A$1001,Data_customers!$B$1:$B$1001,,0)</f>
        <v>Celie MacCourt</v>
      </c>
      <c r="G926" s="2" t="str">
        <f>IF(_xlfn.XLOOKUP(C926,Data_customers!$A$1:$A$1001,Data_customers!$C$1:$C$1001,,0)=0,"",_xlfn.XLOOKUP(C926,Data_customers!$A$1:$A$1001,Data_customers!$C$1:$C$1001,,0))</f>
        <v>cmaccourtpo@amazon.com</v>
      </c>
      <c r="H926" s="2" t="str">
        <f>_xlfn.XLOOKUP(C926,Data_customers!$A$1:$A$1001,Data_customers!$G$1:$G$1001,"",0)</f>
        <v>United States</v>
      </c>
      <c r="I926" t="str">
        <f>INDEX(Data_products!$A$1:$G$49, MATCH(Data_orders!$D926,Data_products!$A$1:$A$49,0), MATCH(Data_orders!I$1,Data_products!$A$1:$G$1,0))</f>
        <v>Ara</v>
      </c>
      <c r="J926" t="str">
        <f>INDEX(Data_products!$A$1:$G$49, MATCH(Data_orders!$D926,Data_products!$A$1:$A$49,0), MATCH(Data_orders!J$1,Data_products!$A$1:$G$1,0))</f>
        <v>L</v>
      </c>
      <c r="K926" s="4">
        <f>INDEX(Data_products!$A$1:$G$49, MATCH(Data_orders!$D926,Data_products!$A$1:$A$49,0), MATCH(Data_orders!K$1,Data_products!$A$1:$G$1,0))</f>
        <v>2.5</v>
      </c>
      <c r="L926">
        <f>INDEX(Data_products!$A$1:$G$49, MATCH(Data_orders!$D926,Data_products!$A$1:$A$49,0), MATCH(Data_orders!L$1,Data_products!$A$1:$G$1,0))</f>
        <v>29.784999999999997</v>
      </c>
      <c r="M926">
        <f t="shared" si="28"/>
        <v>89.35499999999999</v>
      </c>
      <c r="N926" t="str" cm="1">
        <f t="array" ref="N926">_xlfn.IFS(I926 = "Rob", "Robusta", I926 = "Exc", "Excelsa", I926 = "Ara", "Arabica", I926 = "Lib", "Liberica")</f>
        <v>Arabica</v>
      </c>
      <c r="O926" t="str">
        <f t="shared" si="29"/>
        <v>Light</v>
      </c>
      <c r="P926" t="str">
        <f>_xlfn.XLOOKUP(Table1[[#This Row],[Customer ID]],Data_customers!$A$2:$A$1001,Data_customers!$I$2:$I$1001,,0)</f>
        <v>No</v>
      </c>
    </row>
    <row r="927" spans="1:16" x14ac:dyDescent="0.2">
      <c r="A927" s="2" t="s">
        <v>5720</v>
      </c>
      <c r="B927" s="3">
        <v>44770</v>
      </c>
      <c r="C927" s="2" t="s">
        <v>5554</v>
      </c>
      <c r="D927" t="s">
        <v>6157</v>
      </c>
      <c r="E927" s="2">
        <v>3</v>
      </c>
      <c r="F927" s="2" t="str">
        <f>_xlfn.XLOOKUP(Data_orders!C927,Data_customers!$A$1:$A$1001,Data_customers!$B$1:$B$1001,,0)</f>
        <v>Derick Snow</v>
      </c>
      <c r="G927" s="2" t="str">
        <f>IF(_xlfn.XLOOKUP(C927,Data_customers!$A$1:$A$1001,Data_customers!$C$1:$C$1001,,0)=0,"",_xlfn.XLOOKUP(C927,Data_customers!$A$1:$A$1001,Data_customers!$C$1:$C$1001,,0))</f>
        <v/>
      </c>
      <c r="H927" s="2" t="str">
        <f>_xlfn.XLOOKUP(C927,Data_customers!$A$1:$A$1001,Data_customers!$G$1:$G$1001,"",0)</f>
        <v>United States</v>
      </c>
      <c r="I927" t="str">
        <f>INDEX(Data_products!$A$1:$G$49, MATCH(Data_orders!$D927,Data_products!$A$1:$A$49,0), MATCH(Data_orders!I$1,Data_products!$A$1:$G$1,0))</f>
        <v>Ara</v>
      </c>
      <c r="J927" t="str">
        <f>INDEX(Data_products!$A$1:$G$49, MATCH(Data_orders!$D927,Data_products!$A$1:$A$49,0), MATCH(Data_orders!J$1,Data_products!$A$1:$G$1,0))</f>
        <v>M</v>
      </c>
      <c r="K927" s="4">
        <f>INDEX(Data_products!$A$1:$G$49, MATCH(Data_orders!$D927,Data_products!$A$1:$A$49,0), MATCH(Data_orders!K$1,Data_products!$A$1:$G$1,0))</f>
        <v>0.5</v>
      </c>
      <c r="L927">
        <f>INDEX(Data_products!$A$1:$G$49, MATCH(Data_orders!$D927,Data_products!$A$1:$A$49,0), MATCH(Data_orders!L$1,Data_products!$A$1:$G$1,0))</f>
        <v>6.75</v>
      </c>
      <c r="M927">
        <f t="shared" si="28"/>
        <v>20.25</v>
      </c>
      <c r="N927" t="str" cm="1">
        <f t="array" ref="N927">_xlfn.IFS(I927 = "Rob", "Robusta", I927 = "Exc", "Excelsa", I927 = "Ara", "Arabica", I927 = "Lib", "Liberica")</f>
        <v>Arabica</v>
      </c>
      <c r="O927" t="str">
        <f t="shared" si="29"/>
        <v>Medium</v>
      </c>
      <c r="P927" t="str">
        <f>_xlfn.XLOOKUP(Table1[[#This Row],[Customer ID]],Data_customers!$A$2:$A$1001,Data_customers!$I$2:$I$1001,,0)</f>
        <v>No</v>
      </c>
    </row>
    <row r="928" spans="1:16" x14ac:dyDescent="0.2">
      <c r="A928" s="2" t="s">
        <v>5725</v>
      </c>
      <c r="B928" s="3">
        <v>44012</v>
      </c>
      <c r="C928" s="2" t="s">
        <v>5726</v>
      </c>
      <c r="D928" t="s">
        <v>6157</v>
      </c>
      <c r="E928" s="2">
        <v>5</v>
      </c>
      <c r="F928" s="2" t="str">
        <f>_xlfn.XLOOKUP(Data_orders!C928,Data_customers!$A$1:$A$1001,Data_customers!$B$1:$B$1001,,0)</f>
        <v>Evy Wilsone</v>
      </c>
      <c r="G928" s="2" t="str">
        <f>IF(_xlfn.XLOOKUP(C928,Data_customers!$A$1:$A$1001,Data_customers!$C$1:$C$1001,,0)=0,"",_xlfn.XLOOKUP(C928,Data_customers!$A$1:$A$1001,Data_customers!$C$1:$C$1001,,0))</f>
        <v>ewilsonepq@eepurl.com</v>
      </c>
      <c r="H928" s="2" t="str">
        <f>_xlfn.XLOOKUP(C928,Data_customers!$A$1:$A$1001,Data_customers!$G$1:$G$1001,"",0)</f>
        <v>United States</v>
      </c>
      <c r="I928" t="str">
        <f>INDEX(Data_products!$A$1:$G$49, MATCH(Data_orders!$D928,Data_products!$A$1:$A$49,0), MATCH(Data_orders!I$1,Data_products!$A$1:$G$1,0))</f>
        <v>Ara</v>
      </c>
      <c r="J928" t="str">
        <f>INDEX(Data_products!$A$1:$G$49, MATCH(Data_orders!$D928,Data_products!$A$1:$A$49,0), MATCH(Data_orders!J$1,Data_products!$A$1:$G$1,0))</f>
        <v>M</v>
      </c>
      <c r="K928" s="4">
        <f>INDEX(Data_products!$A$1:$G$49, MATCH(Data_orders!$D928,Data_products!$A$1:$A$49,0), MATCH(Data_orders!K$1,Data_products!$A$1:$G$1,0))</f>
        <v>0.5</v>
      </c>
      <c r="L928">
        <f>INDEX(Data_products!$A$1:$G$49, MATCH(Data_orders!$D928,Data_products!$A$1:$A$49,0), MATCH(Data_orders!L$1,Data_products!$A$1:$G$1,0))</f>
        <v>6.75</v>
      </c>
      <c r="M928">
        <f t="shared" si="28"/>
        <v>33.75</v>
      </c>
      <c r="N928" t="str" cm="1">
        <f t="array" ref="N928">_xlfn.IFS(I928 = "Rob", "Robusta", I928 = "Exc", "Excelsa", I928 = "Ara", "Arabica", I928 = "Lib", "Liberica")</f>
        <v>Arabica</v>
      </c>
      <c r="O928" t="str">
        <f t="shared" si="29"/>
        <v>Medium</v>
      </c>
      <c r="P928" t="str">
        <f>_xlfn.XLOOKUP(Table1[[#This Row],[Customer ID]],Data_customers!$A$2:$A$1001,Data_customers!$I$2:$I$1001,,0)</f>
        <v>Yes</v>
      </c>
    </row>
    <row r="929" spans="1:16" x14ac:dyDescent="0.2">
      <c r="A929" s="2" t="s">
        <v>5731</v>
      </c>
      <c r="B929" s="3">
        <v>43474</v>
      </c>
      <c r="C929" s="2" t="s">
        <v>5732</v>
      </c>
      <c r="D929" t="s">
        <v>6185</v>
      </c>
      <c r="E929" s="2">
        <v>4</v>
      </c>
      <c r="F929" s="2" t="str">
        <f>_xlfn.XLOOKUP(Data_orders!C929,Data_customers!$A$1:$A$1001,Data_customers!$B$1:$B$1001,,0)</f>
        <v>Dolores Duffie</v>
      </c>
      <c r="G929" s="2" t="str">
        <f>IF(_xlfn.XLOOKUP(C929,Data_customers!$A$1:$A$1001,Data_customers!$C$1:$C$1001,,0)=0,"",_xlfn.XLOOKUP(C929,Data_customers!$A$1:$A$1001,Data_customers!$C$1:$C$1001,,0))</f>
        <v>dduffiepr@time.com</v>
      </c>
      <c r="H929" s="2" t="str">
        <f>_xlfn.XLOOKUP(C929,Data_customers!$A$1:$A$1001,Data_customers!$G$1:$G$1001,"",0)</f>
        <v>United States</v>
      </c>
      <c r="I929" t="str">
        <f>INDEX(Data_products!$A$1:$G$49, MATCH(Data_orders!$D929,Data_products!$A$1:$A$49,0), MATCH(Data_orders!I$1,Data_products!$A$1:$G$1,0))</f>
        <v>Exc</v>
      </c>
      <c r="J929" t="str">
        <f>INDEX(Data_products!$A$1:$G$49, MATCH(Data_orders!$D929,Data_products!$A$1:$A$49,0), MATCH(Data_orders!J$1,Data_products!$A$1:$G$1,0))</f>
        <v>D</v>
      </c>
      <c r="K929" s="4">
        <f>INDEX(Data_products!$A$1:$G$49, MATCH(Data_orders!$D929,Data_products!$A$1:$A$49,0), MATCH(Data_orders!K$1,Data_products!$A$1:$G$1,0))</f>
        <v>2.5</v>
      </c>
      <c r="L929">
        <f>INDEX(Data_products!$A$1:$G$49, MATCH(Data_orders!$D929,Data_products!$A$1:$A$49,0), MATCH(Data_orders!L$1,Data_products!$A$1:$G$1,0))</f>
        <v>27.945</v>
      </c>
      <c r="M929">
        <f t="shared" si="28"/>
        <v>111.78</v>
      </c>
      <c r="N929" t="str" cm="1">
        <f t="array" ref="N929">_xlfn.IFS(I929 = "Rob", "Robusta", I929 = "Exc", "Excelsa", I929 = "Ara", "Arabica", I929 = "Lib", "Liberica")</f>
        <v>Excelsa</v>
      </c>
      <c r="O929" t="str">
        <f t="shared" si="29"/>
        <v>Dark</v>
      </c>
      <c r="P929" t="str">
        <f>_xlfn.XLOOKUP(Table1[[#This Row],[Customer ID]],Data_customers!$A$2:$A$1001,Data_customers!$I$2:$I$1001,,0)</f>
        <v>No</v>
      </c>
    </row>
    <row r="930" spans="1:16" x14ac:dyDescent="0.2">
      <c r="A930" s="2" t="s">
        <v>5737</v>
      </c>
      <c r="B930" s="3">
        <v>44754</v>
      </c>
      <c r="C930" s="2" t="s">
        <v>5738</v>
      </c>
      <c r="D930" t="s">
        <v>6166</v>
      </c>
      <c r="E930" s="2">
        <v>2</v>
      </c>
      <c r="F930" s="2" t="str">
        <f>_xlfn.XLOOKUP(Data_orders!C930,Data_customers!$A$1:$A$1001,Data_customers!$B$1:$B$1001,,0)</f>
        <v>Mathilda Matiasek</v>
      </c>
      <c r="G930" s="2" t="str">
        <f>IF(_xlfn.XLOOKUP(C930,Data_customers!$A$1:$A$1001,Data_customers!$C$1:$C$1001,,0)=0,"",_xlfn.XLOOKUP(C930,Data_customers!$A$1:$A$1001,Data_customers!$C$1:$C$1001,,0))</f>
        <v>mmatiasekps@ucoz.ru</v>
      </c>
      <c r="H930" s="2" t="str">
        <f>_xlfn.XLOOKUP(C930,Data_customers!$A$1:$A$1001,Data_customers!$G$1:$G$1001,"",0)</f>
        <v>United States</v>
      </c>
      <c r="I930" t="str">
        <f>INDEX(Data_products!$A$1:$G$49, MATCH(Data_orders!$D930,Data_products!$A$1:$A$49,0), MATCH(Data_orders!I$1,Data_products!$A$1:$G$1,0))</f>
        <v>Exc</v>
      </c>
      <c r="J930" t="str">
        <f>INDEX(Data_products!$A$1:$G$49, MATCH(Data_orders!$D930,Data_products!$A$1:$A$49,0), MATCH(Data_orders!J$1,Data_products!$A$1:$G$1,0))</f>
        <v>M</v>
      </c>
      <c r="K930" s="4">
        <f>INDEX(Data_products!$A$1:$G$49, MATCH(Data_orders!$D930,Data_products!$A$1:$A$49,0), MATCH(Data_orders!K$1,Data_products!$A$1:$G$1,0))</f>
        <v>2.5</v>
      </c>
      <c r="L930">
        <f>INDEX(Data_products!$A$1:$G$49, MATCH(Data_orders!$D930,Data_products!$A$1:$A$49,0), MATCH(Data_orders!L$1,Data_products!$A$1:$G$1,0))</f>
        <v>31.624999999999996</v>
      </c>
      <c r="M930">
        <f t="shared" si="28"/>
        <v>63.249999999999993</v>
      </c>
      <c r="N930" t="str" cm="1">
        <f t="array" ref="N930">_xlfn.IFS(I930 = "Rob", "Robusta", I930 = "Exc", "Excelsa", I930 = "Ara", "Arabica", I930 = "Lib", "Liberica")</f>
        <v>Excelsa</v>
      </c>
      <c r="O930" t="str">
        <f t="shared" si="29"/>
        <v>Medium</v>
      </c>
      <c r="P930" t="str">
        <f>_xlfn.XLOOKUP(Table1[[#This Row],[Customer ID]],Data_customers!$A$2:$A$1001,Data_customers!$I$2:$I$1001,,0)</f>
        <v>Yes</v>
      </c>
    </row>
    <row r="931" spans="1:16" x14ac:dyDescent="0.2">
      <c r="A931" s="2" t="s">
        <v>5742</v>
      </c>
      <c r="B931" s="3">
        <v>44165</v>
      </c>
      <c r="C931" s="2" t="s">
        <v>5743</v>
      </c>
      <c r="D931" t="s">
        <v>6184</v>
      </c>
      <c r="E931" s="2">
        <v>2</v>
      </c>
      <c r="F931" s="2" t="str">
        <f>_xlfn.XLOOKUP(Data_orders!C931,Data_customers!$A$1:$A$1001,Data_customers!$B$1:$B$1001,,0)</f>
        <v>Jarred Camillo</v>
      </c>
      <c r="G931" s="2" t="str">
        <f>IF(_xlfn.XLOOKUP(C931,Data_customers!$A$1:$A$1001,Data_customers!$C$1:$C$1001,,0)=0,"",_xlfn.XLOOKUP(C931,Data_customers!$A$1:$A$1001,Data_customers!$C$1:$C$1001,,0))</f>
        <v>jcamillopt@shinystat.com</v>
      </c>
      <c r="H931" s="2" t="str">
        <f>_xlfn.XLOOKUP(C931,Data_customers!$A$1:$A$1001,Data_customers!$G$1:$G$1001,"",0)</f>
        <v>United States</v>
      </c>
      <c r="I931" t="str">
        <f>INDEX(Data_products!$A$1:$G$49, MATCH(Data_orders!$D931,Data_products!$A$1:$A$49,0), MATCH(Data_orders!I$1,Data_products!$A$1:$G$1,0))</f>
        <v>Exc</v>
      </c>
      <c r="J931" t="str">
        <f>INDEX(Data_products!$A$1:$G$49, MATCH(Data_orders!$D931,Data_products!$A$1:$A$49,0), MATCH(Data_orders!J$1,Data_products!$A$1:$G$1,0))</f>
        <v>L</v>
      </c>
      <c r="K931" s="4">
        <f>INDEX(Data_products!$A$1:$G$49, MATCH(Data_orders!$D931,Data_products!$A$1:$A$49,0), MATCH(Data_orders!K$1,Data_products!$A$1:$G$1,0))</f>
        <v>0.2</v>
      </c>
      <c r="L931">
        <f>INDEX(Data_products!$A$1:$G$49, MATCH(Data_orders!$D931,Data_products!$A$1:$A$49,0), MATCH(Data_orders!L$1,Data_products!$A$1:$G$1,0))</f>
        <v>4.4550000000000001</v>
      </c>
      <c r="M931">
        <f t="shared" si="28"/>
        <v>8.91</v>
      </c>
      <c r="N931" t="str" cm="1">
        <f t="array" ref="N931">_xlfn.IFS(I931 = "Rob", "Robusta", I931 = "Exc", "Excelsa", I931 = "Ara", "Arabica", I931 = "Lib", "Liberica")</f>
        <v>Excelsa</v>
      </c>
      <c r="O931" t="str">
        <f t="shared" si="29"/>
        <v>Light</v>
      </c>
      <c r="P931" t="str">
        <f>_xlfn.XLOOKUP(Table1[[#This Row],[Customer ID]],Data_customers!$A$2:$A$1001,Data_customers!$I$2:$I$1001,,0)</f>
        <v>Yes</v>
      </c>
    </row>
    <row r="932" spans="1:16" x14ac:dyDescent="0.2">
      <c r="A932" s="2" t="s">
        <v>5748</v>
      </c>
      <c r="B932" s="3">
        <v>43546</v>
      </c>
      <c r="C932" s="2" t="s">
        <v>5749</v>
      </c>
      <c r="D932" t="s">
        <v>6183</v>
      </c>
      <c r="E932" s="2">
        <v>1</v>
      </c>
      <c r="F932" s="2" t="str">
        <f>_xlfn.XLOOKUP(Data_orders!C932,Data_customers!$A$1:$A$1001,Data_customers!$B$1:$B$1001,,0)</f>
        <v>Kameko Philbrick</v>
      </c>
      <c r="G932" s="2" t="str">
        <f>IF(_xlfn.XLOOKUP(C932,Data_customers!$A$1:$A$1001,Data_customers!$C$1:$C$1001,,0)=0,"",_xlfn.XLOOKUP(C932,Data_customers!$A$1:$A$1001,Data_customers!$C$1:$C$1001,,0))</f>
        <v>kphilbrickpu@cdc.gov</v>
      </c>
      <c r="H932" s="2" t="str">
        <f>_xlfn.XLOOKUP(C932,Data_customers!$A$1:$A$1001,Data_customers!$G$1:$G$1001,"",0)</f>
        <v>United States</v>
      </c>
      <c r="I932" t="str">
        <f>INDEX(Data_products!$A$1:$G$49, MATCH(Data_orders!$D932,Data_products!$A$1:$A$49,0), MATCH(Data_orders!I$1,Data_products!$A$1:$G$1,0))</f>
        <v>Exc</v>
      </c>
      <c r="J932" t="str">
        <f>INDEX(Data_products!$A$1:$G$49, MATCH(Data_orders!$D932,Data_products!$A$1:$A$49,0), MATCH(Data_orders!J$1,Data_products!$A$1:$G$1,0))</f>
        <v>D</v>
      </c>
      <c r="K932" s="4">
        <f>INDEX(Data_products!$A$1:$G$49, MATCH(Data_orders!$D932,Data_products!$A$1:$A$49,0), MATCH(Data_orders!K$1,Data_products!$A$1:$G$1,0))</f>
        <v>1</v>
      </c>
      <c r="L932">
        <f>INDEX(Data_products!$A$1:$G$49, MATCH(Data_orders!$D932,Data_products!$A$1:$A$49,0), MATCH(Data_orders!L$1,Data_products!$A$1:$G$1,0))</f>
        <v>12.15</v>
      </c>
      <c r="M932">
        <f t="shared" si="28"/>
        <v>12.15</v>
      </c>
      <c r="N932" t="str" cm="1">
        <f t="array" ref="N932">_xlfn.IFS(I932 = "Rob", "Robusta", I932 = "Exc", "Excelsa", I932 = "Ara", "Arabica", I932 = "Lib", "Liberica")</f>
        <v>Excelsa</v>
      </c>
      <c r="O932" t="str">
        <f t="shared" si="29"/>
        <v>Dark</v>
      </c>
      <c r="P932" t="str">
        <f>_xlfn.XLOOKUP(Table1[[#This Row],[Customer ID]],Data_customers!$A$2:$A$1001,Data_customers!$I$2:$I$1001,,0)</f>
        <v>Yes</v>
      </c>
    </row>
    <row r="933" spans="1:16" x14ac:dyDescent="0.2">
      <c r="A933" s="2" t="s">
        <v>5753</v>
      </c>
      <c r="B933" s="3">
        <v>44607</v>
      </c>
      <c r="C933" s="2" t="s">
        <v>5754</v>
      </c>
      <c r="D933" t="s">
        <v>6158</v>
      </c>
      <c r="E933" s="2">
        <v>4</v>
      </c>
      <c r="F933" s="2" t="str">
        <f>_xlfn.XLOOKUP(Data_orders!C933,Data_customers!$A$1:$A$1001,Data_customers!$B$1:$B$1001,,0)</f>
        <v>Mallory Shrimpling</v>
      </c>
      <c r="G933" s="2" t="str">
        <f>IF(_xlfn.XLOOKUP(C933,Data_customers!$A$1:$A$1001,Data_customers!$C$1:$C$1001,,0)=0,"",_xlfn.XLOOKUP(C933,Data_customers!$A$1:$A$1001,Data_customers!$C$1:$C$1001,,0))</f>
        <v/>
      </c>
      <c r="H933" s="2" t="str">
        <f>_xlfn.XLOOKUP(C933,Data_customers!$A$1:$A$1001,Data_customers!$G$1:$G$1001,"",0)</f>
        <v>United States</v>
      </c>
      <c r="I933" t="str">
        <f>INDEX(Data_products!$A$1:$G$49, MATCH(Data_orders!$D933,Data_products!$A$1:$A$49,0), MATCH(Data_orders!I$1,Data_products!$A$1:$G$1,0))</f>
        <v>Ara</v>
      </c>
      <c r="J933" t="str">
        <f>INDEX(Data_products!$A$1:$G$49, MATCH(Data_orders!$D933,Data_products!$A$1:$A$49,0), MATCH(Data_orders!J$1,Data_products!$A$1:$G$1,0))</f>
        <v>D</v>
      </c>
      <c r="K933" s="4">
        <f>INDEX(Data_products!$A$1:$G$49, MATCH(Data_orders!$D933,Data_products!$A$1:$A$49,0), MATCH(Data_orders!K$1,Data_products!$A$1:$G$1,0))</f>
        <v>0.5</v>
      </c>
      <c r="L933">
        <f>INDEX(Data_products!$A$1:$G$49, MATCH(Data_orders!$D933,Data_products!$A$1:$A$49,0), MATCH(Data_orders!L$1,Data_products!$A$1:$G$1,0))</f>
        <v>5.97</v>
      </c>
      <c r="M933">
        <f t="shared" si="28"/>
        <v>23.88</v>
      </c>
      <c r="N933" t="str" cm="1">
        <f t="array" ref="N933">_xlfn.IFS(I933 = "Rob", "Robusta", I933 = "Exc", "Excelsa", I933 = "Ara", "Arabica", I933 = "Lib", "Liberica")</f>
        <v>Arabica</v>
      </c>
      <c r="O933" t="str">
        <f t="shared" si="29"/>
        <v>Dark</v>
      </c>
      <c r="P933" t="str">
        <f>_xlfn.XLOOKUP(Table1[[#This Row],[Customer ID]],Data_customers!$A$2:$A$1001,Data_customers!$I$2:$I$1001,,0)</f>
        <v>Yes</v>
      </c>
    </row>
    <row r="934" spans="1:16" x14ac:dyDescent="0.2">
      <c r="A934" s="2" t="s">
        <v>5757</v>
      </c>
      <c r="B934" s="3">
        <v>44117</v>
      </c>
      <c r="C934" s="2" t="s">
        <v>5758</v>
      </c>
      <c r="D934" t="s">
        <v>6141</v>
      </c>
      <c r="E934" s="2">
        <v>4</v>
      </c>
      <c r="F934" s="2" t="str">
        <f>_xlfn.XLOOKUP(Data_orders!C934,Data_customers!$A$1:$A$1001,Data_customers!$B$1:$B$1001,,0)</f>
        <v>Barnett Sillis</v>
      </c>
      <c r="G934" s="2" t="str">
        <f>IF(_xlfn.XLOOKUP(C934,Data_customers!$A$1:$A$1001,Data_customers!$C$1:$C$1001,,0)=0,"",_xlfn.XLOOKUP(C934,Data_customers!$A$1:$A$1001,Data_customers!$C$1:$C$1001,,0))</f>
        <v>bsillispw@istockphoto.com</v>
      </c>
      <c r="H934" s="2" t="str">
        <f>_xlfn.XLOOKUP(C934,Data_customers!$A$1:$A$1001,Data_customers!$G$1:$G$1001,"",0)</f>
        <v>United States</v>
      </c>
      <c r="I934" t="str">
        <f>INDEX(Data_products!$A$1:$G$49, MATCH(Data_orders!$D934,Data_products!$A$1:$A$49,0), MATCH(Data_orders!I$1,Data_products!$A$1:$G$1,0))</f>
        <v>Exc</v>
      </c>
      <c r="J934" t="str">
        <f>INDEX(Data_products!$A$1:$G$49, MATCH(Data_orders!$D934,Data_products!$A$1:$A$49,0), MATCH(Data_orders!J$1,Data_products!$A$1:$G$1,0))</f>
        <v>M</v>
      </c>
      <c r="K934" s="4">
        <f>INDEX(Data_products!$A$1:$G$49, MATCH(Data_orders!$D934,Data_products!$A$1:$A$49,0), MATCH(Data_orders!K$1,Data_products!$A$1:$G$1,0))</f>
        <v>1</v>
      </c>
      <c r="L934">
        <f>INDEX(Data_products!$A$1:$G$49, MATCH(Data_orders!$D934,Data_products!$A$1:$A$49,0), MATCH(Data_orders!L$1,Data_products!$A$1:$G$1,0))</f>
        <v>13.75</v>
      </c>
      <c r="M934">
        <f t="shared" si="28"/>
        <v>55</v>
      </c>
      <c r="N934" t="str" cm="1">
        <f t="array" ref="N934">_xlfn.IFS(I934 = "Rob", "Robusta", I934 = "Exc", "Excelsa", I934 = "Ara", "Arabica", I934 = "Lib", "Liberica")</f>
        <v>Excelsa</v>
      </c>
      <c r="O934" t="str">
        <f t="shared" si="29"/>
        <v>Medium</v>
      </c>
      <c r="P934" t="str">
        <f>_xlfn.XLOOKUP(Table1[[#This Row],[Customer ID]],Data_customers!$A$2:$A$1001,Data_customers!$I$2:$I$1001,,0)</f>
        <v>No</v>
      </c>
    </row>
    <row r="935" spans="1:16" x14ac:dyDescent="0.2">
      <c r="A935" s="2" t="s">
        <v>5763</v>
      </c>
      <c r="B935" s="3">
        <v>44557</v>
      </c>
      <c r="C935" s="2" t="s">
        <v>5764</v>
      </c>
      <c r="D935" t="s">
        <v>6177</v>
      </c>
      <c r="E935" s="2">
        <v>3</v>
      </c>
      <c r="F935" s="2" t="str">
        <f>_xlfn.XLOOKUP(Data_orders!C935,Data_customers!$A$1:$A$1001,Data_customers!$B$1:$B$1001,,0)</f>
        <v>Brenn Dundredge</v>
      </c>
      <c r="G935" s="2" t="str">
        <f>IF(_xlfn.XLOOKUP(C935,Data_customers!$A$1:$A$1001,Data_customers!$C$1:$C$1001,,0)=0,"",_xlfn.XLOOKUP(C935,Data_customers!$A$1:$A$1001,Data_customers!$C$1:$C$1001,,0))</f>
        <v/>
      </c>
      <c r="H935" s="2" t="str">
        <f>_xlfn.XLOOKUP(C935,Data_customers!$A$1:$A$1001,Data_customers!$G$1:$G$1001,"",0)</f>
        <v>United States</v>
      </c>
      <c r="I935" t="str">
        <f>INDEX(Data_products!$A$1:$G$49, MATCH(Data_orders!$D935,Data_products!$A$1:$A$49,0), MATCH(Data_orders!I$1,Data_products!$A$1:$G$1,0))</f>
        <v>Rob</v>
      </c>
      <c r="J935" t="str">
        <f>INDEX(Data_products!$A$1:$G$49, MATCH(Data_orders!$D935,Data_products!$A$1:$A$49,0), MATCH(Data_orders!J$1,Data_products!$A$1:$G$1,0))</f>
        <v>D</v>
      </c>
      <c r="K935" s="4">
        <f>INDEX(Data_products!$A$1:$G$49, MATCH(Data_orders!$D935,Data_products!$A$1:$A$49,0), MATCH(Data_orders!K$1,Data_products!$A$1:$G$1,0))</f>
        <v>1</v>
      </c>
      <c r="L935">
        <f>INDEX(Data_products!$A$1:$G$49, MATCH(Data_orders!$D935,Data_products!$A$1:$A$49,0), MATCH(Data_orders!L$1,Data_products!$A$1:$G$1,0))</f>
        <v>8.9499999999999993</v>
      </c>
      <c r="M935">
        <f t="shared" si="28"/>
        <v>26.849999999999998</v>
      </c>
      <c r="N935" t="str" cm="1">
        <f t="array" ref="N935">_xlfn.IFS(I935 = "Rob", "Robusta", I935 = "Exc", "Excelsa", I935 = "Ara", "Arabica", I935 = "Lib", "Liberica")</f>
        <v>Robusta</v>
      </c>
      <c r="O935" t="str">
        <f t="shared" si="29"/>
        <v>Dark</v>
      </c>
      <c r="P935" t="str">
        <f>_xlfn.XLOOKUP(Table1[[#This Row],[Customer ID]],Data_customers!$A$2:$A$1001,Data_customers!$I$2:$I$1001,,0)</f>
        <v>Yes</v>
      </c>
    </row>
    <row r="936" spans="1:16" x14ac:dyDescent="0.2">
      <c r="A936" s="2" t="s">
        <v>5768</v>
      </c>
      <c r="B936" s="3">
        <v>44409</v>
      </c>
      <c r="C936" s="2" t="s">
        <v>5769</v>
      </c>
      <c r="D936" t="s">
        <v>6151</v>
      </c>
      <c r="E936" s="2">
        <v>5</v>
      </c>
      <c r="F936" s="2" t="str">
        <f>_xlfn.XLOOKUP(Data_orders!C936,Data_customers!$A$1:$A$1001,Data_customers!$B$1:$B$1001,,0)</f>
        <v>Read Cutts</v>
      </c>
      <c r="G936" s="2" t="str">
        <f>IF(_xlfn.XLOOKUP(C936,Data_customers!$A$1:$A$1001,Data_customers!$C$1:$C$1001,,0)=0,"",_xlfn.XLOOKUP(C936,Data_customers!$A$1:$A$1001,Data_customers!$C$1:$C$1001,,0))</f>
        <v>rcuttspy@techcrunch.com</v>
      </c>
      <c r="H936" s="2" t="str">
        <f>_xlfn.XLOOKUP(C936,Data_customers!$A$1:$A$1001,Data_customers!$G$1:$G$1001,"",0)</f>
        <v>United States</v>
      </c>
      <c r="I936" t="str">
        <f>INDEX(Data_products!$A$1:$G$49, MATCH(Data_orders!$D936,Data_products!$A$1:$A$49,0), MATCH(Data_orders!I$1,Data_products!$A$1:$G$1,0))</f>
        <v>Rob</v>
      </c>
      <c r="J936" t="str">
        <f>INDEX(Data_products!$A$1:$G$49, MATCH(Data_orders!$D936,Data_products!$A$1:$A$49,0), MATCH(Data_orders!J$1,Data_products!$A$1:$G$1,0))</f>
        <v>M</v>
      </c>
      <c r="K936" s="4">
        <f>INDEX(Data_products!$A$1:$G$49, MATCH(Data_orders!$D936,Data_products!$A$1:$A$49,0), MATCH(Data_orders!K$1,Data_products!$A$1:$G$1,0))</f>
        <v>2.5</v>
      </c>
      <c r="L936">
        <f>INDEX(Data_products!$A$1:$G$49, MATCH(Data_orders!$D936,Data_products!$A$1:$A$49,0), MATCH(Data_orders!L$1,Data_products!$A$1:$G$1,0))</f>
        <v>22.884999999999998</v>
      </c>
      <c r="M936">
        <f t="shared" si="28"/>
        <v>114.42499999999998</v>
      </c>
      <c r="N936" t="str" cm="1">
        <f t="array" ref="N936">_xlfn.IFS(I936 = "Rob", "Robusta", I936 = "Exc", "Excelsa", I936 = "Ara", "Arabica", I936 = "Lib", "Liberica")</f>
        <v>Robusta</v>
      </c>
      <c r="O936" t="str">
        <f t="shared" si="29"/>
        <v>Medium</v>
      </c>
      <c r="P936" t="str">
        <f>_xlfn.XLOOKUP(Table1[[#This Row],[Customer ID]],Data_customers!$A$2:$A$1001,Data_customers!$I$2:$I$1001,,0)</f>
        <v>No</v>
      </c>
    </row>
    <row r="937" spans="1:16" x14ac:dyDescent="0.2">
      <c r="A937" s="2" t="s">
        <v>5774</v>
      </c>
      <c r="B937" s="3">
        <v>44153</v>
      </c>
      <c r="C937" s="2" t="s">
        <v>5775</v>
      </c>
      <c r="D937" t="s">
        <v>6175</v>
      </c>
      <c r="E937" s="2">
        <v>6</v>
      </c>
      <c r="F937" s="2" t="str">
        <f>_xlfn.XLOOKUP(Data_orders!C937,Data_customers!$A$1:$A$1001,Data_customers!$B$1:$B$1001,,0)</f>
        <v>Michale Delves</v>
      </c>
      <c r="G937" s="2" t="str">
        <f>IF(_xlfn.XLOOKUP(C937,Data_customers!$A$1:$A$1001,Data_customers!$C$1:$C$1001,,0)=0,"",_xlfn.XLOOKUP(C937,Data_customers!$A$1:$A$1001,Data_customers!$C$1:$C$1001,,0))</f>
        <v>mdelvespz@nature.com</v>
      </c>
      <c r="H937" s="2" t="str">
        <f>_xlfn.XLOOKUP(C937,Data_customers!$A$1:$A$1001,Data_customers!$G$1:$G$1001,"",0)</f>
        <v>United States</v>
      </c>
      <c r="I937" t="str">
        <f>INDEX(Data_products!$A$1:$G$49, MATCH(Data_orders!$D937,Data_products!$A$1:$A$49,0), MATCH(Data_orders!I$1,Data_products!$A$1:$G$1,0))</f>
        <v>Ara</v>
      </c>
      <c r="J937" t="str">
        <f>INDEX(Data_products!$A$1:$G$49, MATCH(Data_orders!$D937,Data_products!$A$1:$A$49,0), MATCH(Data_orders!J$1,Data_products!$A$1:$G$1,0))</f>
        <v>M</v>
      </c>
      <c r="K937" s="4">
        <f>INDEX(Data_products!$A$1:$G$49, MATCH(Data_orders!$D937,Data_products!$A$1:$A$49,0), MATCH(Data_orders!K$1,Data_products!$A$1:$G$1,0))</f>
        <v>2.5</v>
      </c>
      <c r="L937">
        <f>INDEX(Data_products!$A$1:$G$49, MATCH(Data_orders!$D937,Data_products!$A$1:$A$49,0), MATCH(Data_orders!L$1,Data_products!$A$1:$G$1,0))</f>
        <v>25.874999999999996</v>
      </c>
      <c r="M937">
        <f t="shared" si="28"/>
        <v>155.24999999999997</v>
      </c>
      <c r="N937" t="str" cm="1">
        <f t="array" ref="N937">_xlfn.IFS(I937 = "Rob", "Robusta", I937 = "Exc", "Excelsa", I937 = "Ara", "Arabica", I937 = "Lib", "Liberica")</f>
        <v>Arabica</v>
      </c>
      <c r="O937" t="str">
        <f t="shared" si="29"/>
        <v>Medium</v>
      </c>
      <c r="P937" t="str">
        <f>_xlfn.XLOOKUP(Table1[[#This Row],[Customer ID]],Data_customers!$A$2:$A$1001,Data_customers!$I$2:$I$1001,,0)</f>
        <v>Yes</v>
      </c>
    </row>
    <row r="938" spans="1:16" x14ac:dyDescent="0.2">
      <c r="A938" s="2" t="s">
        <v>5780</v>
      </c>
      <c r="B938" s="3">
        <v>44493</v>
      </c>
      <c r="C938" s="2" t="s">
        <v>5781</v>
      </c>
      <c r="D938" t="s">
        <v>6169</v>
      </c>
      <c r="E938" s="2">
        <v>3</v>
      </c>
      <c r="F938" s="2" t="str">
        <f>_xlfn.XLOOKUP(Data_orders!C938,Data_customers!$A$1:$A$1001,Data_customers!$B$1:$B$1001,,0)</f>
        <v>Devland Gritton</v>
      </c>
      <c r="G938" s="2" t="str">
        <f>IF(_xlfn.XLOOKUP(C938,Data_customers!$A$1:$A$1001,Data_customers!$C$1:$C$1001,,0)=0,"",_xlfn.XLOOKUP(C938,Data_customers!$A$1:$A$1001,Data_customers!$C$1:$C$1001,,0))</f>
        <v>dgrittonq0@nydailynews.com</v>
      </c>
      <c r="H938" s="2" t="str">
        <f>_xlfn.XLOOKUP(C938,Data_customers!$A$1:$A$1001,Data_customers!$G$1:$G$1001,"",0)</f>
        <v>United States</v>
      </c>
      <c r="I938" t="str">
        <f>INDEX(Data_products!$A$1:$G$49, MATCH(Data_orders!$D938,Data_products!$A$1:$A$49,0), MATCH(Data_orders!I$1,Data_products!$A$1:$G$1,0))</f>
        <v>Lib</v>
      </c>
      <c r="J938" t="str">
        <f>INDEX(Data_products!$A$1:$G$49, MATCH(Data_orders!$D938,Data_products!$A$1:$A$49,0), MATCH(Data_orders!J$1,Data_products!$A$1:$G$1,0))</f>
        <v>D</v>
      </c>
      <c r="K938" s="4">
        <f>INDEX(Data_products!$A$1:$G$49, MATCH(Data_orders!$D938,Data_products!$A$1:$A$49,0), MATCH(Data_orders!K$1,Data_products!$A$1:$G$1,0))</f>
        <v>0.5</v>
      </c>
      <c r="L938">
        <f>INDEX(Data_products!$A$1:$G$49, MATCH(Data_orders!$D938,Data_products!$A$1:$A$49,0), MATCH(Data_orders!L$1,Data_products!$A$1:$G$1,0))</f>
        <v>7.77</v>
      </c>
      <c r="M938">
        <f t="shared" si="28"/>
        <v>23.31</v>
      </c>
      <c r="N938" t="str" cm="1">
        <f t="array" ref="N938">_xlfn.IFS(I938 = "Rob", "Robusta", I938 = "Exc", "Excelsa", I938 = "Ara", "Arabica", I938 = "Lib", "Liberica")</f>
        <v>Liberica</v>
      </c>
      <c r="O938" t="str">
        <f t="shared" si="29"/>
        <v>Dark</v>
      </c>
      <c r="P938" t="str">
        <f>_xlfn.XLOOKUP(Table1[[#This Row],[Customer ID]],Data_customers!$A$2:$A$1001,Data_customers!$I$2:$I$1001,,0)</f>
        <v>Yes</v>
      </c>
    </row>
    <row r="939" spans="1:16" x14ac:dyDescent="0.2">
      <c r="A939" s="2" t="s">
        <v>5780</v>
      </c>
      <c r="B939" s="3">
        <v>44493</v>
      </c>
      <c r="C939" s="2" t="s">
        <v>5781</v>
      </c>
      <c r="D939" t="s">
        <v>6151</v>
      </c>
      <c r="E939" s="2">
        <v>4</v>
      </c>
      <c r="F939" s="2" t="str">
        <f>_xlfn.XLOOKUP(Data_orders!C939,Data_customers!$A$1:$A$1001,Data_customers!$B$1:$B$1001,,0)</f>
        <v>Devland Gritton</v>
      </c>
      <c r="G939" s="2" t="str">
        <f>IF(_xlfn.XLOOKUP(C939,Data_customers!$A$1:$A$1001,Data_customers!$C$1:$C$1001,,0)=0,"",_xlfn.XLOOKUP(C939,Data_customers!$A$1:$A$1001,Data_customers!$C$1:$C$1001,,0))</f>
        <v>dgrittonq0@nydailynews.com</v>
      </c>
      <c r="H939" s="2" t="str">
        <f>_xlfn.XLOOKUP(C939,Data_customers!$A$1:$A$1001,Data_customers!$G$1:$G$1001,"",0)</f>
        <v>United States</v>
      </c>
      <c r="I939" t="str">
        <f>INDEX(Data_products!$A$1:$G$49, MATCH(Data_orders!$D939,Data_products!$A$1:$A$49,0), MATCH(Data_orders!I$1,Data_products!$A$1:$G$1,0))</f>
        <v>Rob</v>
      </c>
      <c r="J939" t="str">
        <f>INDEX(Data_products!$A$1:$G$49, MATCH(Data_orders!$D939,Data_products!$A$1:$A$49,0), MATCH(Data_orders!J$1,Data_products!$A$1:$G$1,0))</f>
        <v>M</v>
      </c>
      <c r="K939" s="4">
        <f>INDEX(Data_products!$A$1:$G$49, MATCH(Data_orders!$D939,Data_products!$A$1:$A$49,0), MATCH(Data_orders!K$1,Data_products!$A$1:$G$1,0))</f>
        <v>2.5</v>
      </c>
      <c r="L939">
        <f>INDEX(Data_products!$A$1:$G$49, MATCH(Data_orders!$D939,Data_products!$A$1:$A$49,0), MATCH(Data_orders!L$1,Data_products!$A$1:$G$1,0))</f>
        <v>22.884999999999998</v>
      </c>
      <c r="M939">
        <f t="shared" si="28"/>
        <v>91.539999999999992</v>
      </c>
      <c r="N939" t="str" cm="1">
        <f t="array" ref="N939">_xlfn.IFS(I939 = "Rob", "Robusta", I939 = "Exc", "Excelsa", I939 = "Ara", "Arabica", I939 = "Lib", "Liberica")</f>
        <v>Robusta</v>
      </c>
      <c r="O939" t="str">
        <f t="shared" si="29"/>
        <v>Medium</v>
      </c>
      <c r="P939" t="str">
        <f>_xlfn.XLOOKUP(Table1[[#This Row],[Customer ID]],Data_customers!$A$2:$A$1001,Data_customers!$I$2:$I$1001,,0)</f>
        <v>Yes</v>
      </c>
    </row>
    <row r="940" spans="1:16" x14ac:dyDescent="0.2">
      <c r="A940" s="2" t="s">
        <v>5791</v>
      </c>
      <c r="B940" s="3">
        <v>43829</v>
      </c>
      <c r="C940" s="2" t="s">
        <v>5792</v>
      </c>
      <c r="D940" t="s">
        <v>6171</v>
      </c>
      <c r="E940" s="2">
        <v>5</v>
      </c>
      <c r="F940" s="2" t="str">
        <f>_xlfn.XLOOKUP(Data_orders!C940,Data_customers!$A$1:$A$1001,Data_customers!$B$1:$B$1001,,0)</f>
        <v>Dell Gut</v>
      </c>
      <c r="G940" s="2" t="str">
        <f>IF(_xlfn.XLOOKUP(C940,Data_customers!$A$1:$A$1001,Data_customers!$C$1:$C$1001,,0)=0,"",_xlfn.XLOOKUP(C940,Data_customers!$A$1:$A$1001,Data_customers!$C$1:$C$1001,,0))</f>
        <v>dgutq2@umich.edu</v>
      </c>
      <c r="H940" s="2" t="str">
        <f>_xlfn.XLOOKUP(C940,Data_customers!$A$1:$A$1001,Data_customers!$G$1:$G$1001,"",0)</f>
        <v>United States</v>
      </c>
      <c r="I940" t="str">
        <f>INDEX(Data_products!$A$1:$G$49, MATCH(Data_orders!$D940,Data_products!$A$1:$A$49,0), MATCH(Data_orders!I$1,Data_products!$A$1:$G$1,0))</f>
        <v>Exc</v>
      </c>
      <c r="J940" t="str">
        <f>INDEX(Data_products!$A$1:$G$49, MATCH(Data_orders!$D940,Data_products!$A$1:$A$49,0), MATCH(Data_orders!J$1,Data_products!$A$1:$G$1,0))</f>
        <v>L</v>
      </c>
      <c r="K940" s="4">
        <f>INDEX(Data_products!$A$1:$G$49, MATCH(Data_orders!$D940,Data_products!$A$1:$A$49,0), MATCH(Data_orders!K$1,Data_products!$A$1:$G$1,0))</f>
        <v>1</v>
      </c>
      <c r="L940">
        <f>INDEX(Data_products!$A$1:$G$49, MATCH(Data_orders!$D940,Data_products!$A$1:$A$49,0), MATCH(Data_orders!L$1,Data_products!$A$1:$G$1,0))</f>
        <v>14.85</v>
      </c>
      <c r="M940">
        <f t="shared" si="28"/>
        <v>74.25</v>
      </c>
      <c r="N940" t="str" cm="1">
        <f t="array" ref="N940">_xlfn.IFS(I940 = "Rob", "Robusta", I940 = "Exc", "Excelsa", I940 = "Ara", "Arabica", I940 = "Lib", "Liberica")</f>
        <v>Excelsa</v>
      </c>
      <c r="O940" t="str">
        <f t="shared" si="29"/>
        <v>Light</v>
      </c>
      <c r="P940" t="str">
        <f>_xlfn.XLOOKUP(Table1[[#This Row],[Customer ID]],Data_customers!$A$2:$A$1001,Data_customers!$I$2:$I$1001,,0)</f>
        <v>Yes</v>
      </c>
    </row>
    <row r="941" spans="1:16" x14ac:dyDescent="0.2">
      <c r="A941" s="2" t="s">
        <v>5797</v>
      </c>
      <c r="B941" s="3">
        <v>44229</v>
      </c>
      <c r="C941" s="2" t="s">
        <v>5798</v>
      </c>
      <c r="D941" t="s">
        <v>6145</v>
      </c>
      <c r="E941" s="2">
        <v>6</v>
      </c>
      <c r="F941" s="2" t="str">
        <f>_xlfn.XLOOKUP(Data_orders!C941,Data_customers!$A$1:$A$1001,Data_customers!$B$1:$B$1001,,0)</f>
        <v>Willy Pummery</v>
      </c>
      <c r="G941" s="2" t="str">
        <f>IF(_xlfn.XLOOKUP(C941,Data_customers!$A$1:$A$1001,Data_customers!$C$1:$C$1001,,0)=0,"",_xlfn.XLOOKUP(C941,Data_customers!$A$1:$A$1001,Data_customers!$C$1:$C$1001,,0))</f>
        <v>wpummeryq3@topsy.com</v>
      </c>
      <c r="H941" s="2" t="str">
        <f>_xlfn.XLOOKUP(C941,Data_customers!$A$1:$A$1001,Data_customers!$G$1:$G$1001,"",0)</f>
        <v>United States</v>
      </c>
      <c r="I941" t="str">
        <f>INDEX(Data_products!$A$1:$G$49, MATCH(Data_orders!$D941,Data_products!$A$1:$A$49,0), MATCH(Data_orders!I$1,Data_products!$A$1:$G$1,0))</f>
        <v>Lib</v>
      </c>
      <c r="J941" t="str">
        <f>INDEX(Data_products!$A$1:$G$49, MATCH(Data_orders!$D941,Data_products!$A$1:$A$49,0), MATCH(Data_orders!J$1,Data_products!$A$1:$G$1,0))</f>
        <v>L</v>
      </c>
      <c r="K941" s="4">
        <f>INDEX(Data_products!$A$1:$G$49, MATCH(Data_orders!$D941,Data_products!$A$1:$A$49,0), MATCH(Data_orders!K$1,Data_products!$A$1:$G$1,0))</f>
        <v>0.2</v>
      </c>
      <c r="L941">
        <f>INDEX(Data_products!$A$1:$G$49, MATCH(Data_orders!$D941,Data_products!$A$1:$A$49,0), MATCH(Data_orders!L$1,Data_products!$A$1:$G$1,0))</f>
        <v>4.7549999999999999</v>
      </c>
      <c r="M941">
        <f t="shared" si="28"/>
        <v>28.53</v>
      </c>
      <c r="N941" t="str" cm="1">
        <f t="array" ref="N941">_xlfn.IFS(I941 = "Rob", "Robusta", I941 = "Exc", "Excelsa", I941 = "Ara", "Arabica", I941 = "Lib", "Liberica")</f>
        <v>Liberica</v>
      </c>
      <c r="O941" t="str">
        <f t="shared" si="29"/>
        <v>Light</v>
      </c>
      <c r="P941" t="str">
        <f>_xlfn.XLOOKUP(Table1[[#This Row],[Customer ID]],Data_customers!$A$2:$A$1001,Data_customers!$I$2:$I$1001,,0)</f>
        <v>No</v>
      </c>
    </row>
    <row r="942" spans="1:16" x14ac:dyDescent="0.2">
      <c r="A942" s="2" t="s">
        <v>5803</v>
      </c>
      <c r="B942" s="3">
        <v>44332</v>
      </c>
      <c r="C942" s="2" t="s">
        <v>5804</v>
      </c>
      <c r="D942" t="s">
        <v>6173</v>
      </c>
      <c r="E942" s="2">
        <v>2</v>
      </c>
      <c r="F942" s="2" t="str">
        <f>_xlfn.XLOOKUP(Data_orders!C942,Data_customers!$A$1:$A$1001,Data_customers!$B$1:$B$1001,,0)</f>
        <v>Geoffrey Siuda</v>
      </c>
      <c r="G942" s="2" t="str">
        <f>IF(_xlfn.XLOOKUP(C942,Data_customers!$A$1:$A$1001,Data_customers!$C$1:$C$1001,,0)=0,"",_xlfn.XLOOKUP(C942,Data_customers!$A$1:$A$1001,Data_customers!$C$1:$C$1001,,0))</f>
        <v>gsiudaq4@nytimes.com</v>
      </c>
      <c r="H942" s="2" t="str">
        <f>_xlfn.XLOOKUP(C942,Data_customers!$A$1:$A$1001,Data_customers!$G$1:$G$1001,"",0)</f>
        <v>United States</v>
      </c>
      <c r="I942" t="str">
        <f>INDEX(Data_products!$A$1:$G$49, MATCH(Data_orders!$D942,Data_products!$A$1:$A$49,0), MATCH(Data_orders!I$1,Data_products!$A$1:$G$1,0))</f>
        <v>Rob</v>
      </c>
      <c r="J942" t="str">
        <f>INDEX(Data_products!$A$1:$G$49, MATCH(Data_orders!$D942,Data_products!$A$1:$A$49,0), MATCH(Data_orders!J$1,Data_products!$A$1:$G$1,0))</f>
        <v>L</v>
      </c>
      <c r="K942" s="4">
        <f>INDEX(Data_products!$A$1:$G$49, MATCH(Data_orders!$D942,Data_products!$A$1:$A$49,0), MATCH(Data_orders!K$1,Data_products!$A$1:$G$1,0))</f>
        <v>0.5</v>
      </c>
      <c r="L942">
        <f>INDEX(Data_products!$A$1:$G$49, MATCH(Data_orders!$D942,Data_products!$A$1:$A$49,0), MATCH(Data_orders!L$1,Data_products!$A$1:$G$1,0))</f>
        <v>7.169999999999999</v>
      </c>
      <c r="M942">
        <f t="shared" si="28"/>
        <v>14.339999999999998</v>
      </c>
      <c r="N942" t="str" cm="1">
        <f t="array" ref="N942">_xlfn.IFS(I942 = "Rob", "Robusta", I942 = "Exc", "Excelsa", I942 = "Ara", "Arabica", I942 = "Lib", "Liberica")</f>
        <v>Robusta</v>
      </c>
      <c r="O942" t="str">
        <f t="shared" si="29"/>
        <v>Light</v>
      </c>
      <c r="P942" t="str">
        <f>_xlfn.XLOOKUP(Table1[[#This Row],[Customer ID]],Data_customers!$A$2:$A$1001,Data_customers!$I$2:$I$1001,,0)</f>
        <v>Yes</v>
      </c>
    </row>
    <row r="943" spans="1:16" x14ac:dyDescent="0.2">
      <c r="A943" s="2" t="s">
        <v>5809</v>
      </c>
      <c r="B943" s="3">
        <v>44674</v>
      </c>
      <c r="C943" s="2" t="s">
        <v>5810</v>
      </c>
      <c r="D943" t="s">
        <v>6180</v>
      </c>
      <c r="E943" s="2">
        <v>2</v>
      </c>
      <c r="F943" s="2" t="str">
        <f>_xlfn.XLOOKUP(Data_orders!C943,Data_customers!$A$1:$A$1001,Data_customers!$B$1:$B$1001,,0)</f>
        <v>Henderson Crowne</v>
      </c>
      <c r="G943" s="2" t="str">
        <f>IF(_xlfn.XLOOKUP(C943,Data_customers!$A$1:$A$1001,Data_customers!$C$1:$C$1001,,0)=0,"",_xlfn.XLOOKUP(C943,Data_customers!$A$1:$A$1001,Data_customers!$C$1:$C$1001,,0))</f>
        <v>hcrowneq5@wufoo.com</v>
      </c>
      <c r="H943" s="2" t="str">
        <f>_xlfn.XLOOKUP(C943,Data_customers!$A$1:$A$1001,Data_customers!$G$1:$G$1001,"",0)</f>
        <v>Ireland</v>
      </c>
      <c r="I943" t="str">
        <f>INDEX(Data_products!$A$1:$G$49, MATCH(Data_orders!$D943,Data_products!$A$1:$A$49,0), MATCH(Data_orders!I$1,Data_products!$A$1:$G$1,0))</f>
        <v>Ara</v>
      </c>
      <c r="J943" t="str">
        <f>INDEX(Data_products!$A$1:$G$49, MATCH(Data_orders!$D943,Data_products!$A$1:$A$49,0), MATCH(Data_orders!J$1,Data_products!$A$1:$G$1,0))</f>
        <v>L</v>
      </c>
      <c r="K943" s="4">
        <f>INDEX(Data_products!$A$1:$G$49, MATCH(Data_orders!$D943,Data_products!$A$1:$A$49,0), MATCH(Data_orders!K$1,Data_products!$A$1:$G$1,0))</f>
        <v>0.5</v>
      </c>
      <c r="L943">
        <f>INDEX(Data_products!$A$1:$G$49, MATCH(Data_orders!$D943,Data_products!$A$1:$A$49,0), MATCH(Data_orders!L$1,Data_products!$A$1:$G$1,0))</f>
        <v>7.77</v>
      </c>
      <c r="M943">
        <f t="shared" si="28"/>
        <v>15.54</v>
      </c>
      <c r="N943" t="str" cm="1">
        <f t="array" ref="N943">_xlfn.IFS(I943 = "Rob", "Robusta", I943 = "Exc", "Excelsa", I943 = "Ara", "Arabica", I943 = "Lib", "Liberica")</f>
        <v>Arabica</v>
      </c>
      <c r="O943" t="str">
        <f t="shared" si="29"/>
        <v>Light</v>
      </c>
      <c r="P943" t="str">
        <f>_xlfn.XLOOKUP(Table1[[#This Row],[Customer ID]],Data_customers!$A$2:$A$1001,Data_customers!$I$2:$I$1001,,0)</f>
        <v>Yes</v>
      </c>
    </row>
    <row r="944" spans="1:16" x14ac:dyDescent="0.2">
      <c r="A944" s="2" t="s">
        <v>5816</v>
      </c>
      <c r="B944" s="3">
        <v>44464</v>
      </c>
      <c r="C944" s="2" t="s">
        <v>5817</v>
      </c>
      <c r="D944" t="s">
        <v>6179</v>
      </c>
      <c r="E944" s="2">
        <v>3</v>
      </c>
      <c r="F944" s="2" t="str">
        <f>_xlfn.XLOOKUP(Data_orders!C944,Data_customers!$A$1:$A$1001,Data_customers!$B$1:$B$1001,,0)</f>
        <v>Vernor Pawsey</v>
      </c>
      <c r="G944" s="2" t="str">
        <f>IF(_xlfn.XLOOKUP(C944,Data_customers!$A$1:$A$1001,Data_customers!$C$1:$C$1001,,0)=0,"",_xlfn.XLOOKUP(C944,Data_customers!$A$1:$A$1001,Data_customers!$C$1:$C$1001,,0))</f>
        <v>vpawseyq6@tiny.cc</v>
      </c>
      <c r="H944" s="2" t="str">
        <f>_xlfn.XLOOKUP(C944,Data_customers!$A$1:$A$1001,Data_customers!$G$1:$G$1001,"",0)</f>
        <v>United States</v>
      </c>
      <c r="I944" t="str">
        <f>INDEX(Data_products!$A$1:$G$49, MATCH(Data_orders!$D944,Data_products!$A$1:$A$49,0), MATCH(Data_orders!I$1,Data_products!$A$1:$G$1,0))</f>
        <v>Rob</v>
      </c>
      <c r="J944" t="str">
        <f>INDEX(Data_products!$A$1:$G$49, MATCH(Data_orders!$D944,Data_products!$A$1:$A$49,0), MATCH(Data_orders!J$1,Data_products!$A$1:$G$1,0))</f>
        <v>L</v>
      </c>
      <c r="K944" s="4">
        <f>INDEX(Data_products!$A$1:$G$49, MATCH(Data_orders!$D944,Data_products!$A$1:$A$49,0), MATCH(Data_orders!K$1,Data_products!$A$1:$G$1,0))</f>
        <v>1</v>
      </c>
      <c r="L944">
        <f>INDEX(Data_products!$A$1:$G$49, MATCH(Data_orders!$D944,Data_products!$A$1:$A$49,0), MATCH(Data_orders!L$1,Data_products!$A$1:$G$1,0))</f>
        <v>11.95</v>
      </c>
      <c r="M944">
        <f t="shared" si="28"/>
        <v>35.849999999999994</v>
      </c>
      <c r="N944" t="str" cm="1">
        <f t="array" ref="N944">_xlfn.IFS(I944 = "Rob", "Robusta", I944 = "Exc", "Excelsa", I944 = "Ara", "Arabica", I944 = "Lib", "Liberica")</f>
        <v>Robusta</v>
      </c>
      <c r="O944" t="str">
        <f t="shared" si="29"/>
        <v>Light</v>
      </c>
      <c r="P944" t="str">
        <f>_xlfn.XLOOKUP(Table1[[#This Row],[Customer ID]],Data_customers!$A$2:$A$1001,Data_customers!$I$2:$I$1001,,0)</f>
        <v>No</v>
      </c>
    </row>
    <row r="945" spans="1:16" x14ac:dyDescent="0.2">
      <c r="A945" s="2" t="s">
        <v>5822</v>
      </c>
      <c r="B945" s="3">
        <v>44719</v>
      </c>
      <c r="C945" s="2" t="s">
        <v>5823</v>
      </c>
      <c r="D945" t="s">
        <v>6180</v>
      </c>
      <c r="E945" s="2">
        <v>6</v>
      </c>
      <c r="F945" s="2" t="str">
        <f>_xlfn.XLOOKUP(Data_orders!C945,Data_customers!$A$1:$A$1001,Data_customers!$B$1:$B$1001,,0)</f>
        <v>Augustin Waterhouse</v>
      </c>
      <c r="G945" s="2" t="str">
        <f>IF(_xlfn.XLOOKUP(C945,Data_customers!$A$1:$A$1001,Data_customers!$C$1:$C$1001,,0)=0,"",_xlfn.XLOOKUP(C945,Data_customers!$A$1:$A$1001,Data_customers!$C$1:$C$1001,,0))</f>
        <v>awaterhouseq7@istockphoto.com</v>
      </c>
      <c r="H945" s="2" t="str">
        <f>_xlfn.XLOOKUP(C945,Data_customers!$A$1:$A$1001,Data_customers!$G$1:$G$1001,"",0)</f>
        <v>United States</v>
      </c>
      <c r="I945" t="str">
        <f>INDEX(Data_products!$A$1:$G$49, MATCH(Data_orders!$D945,Data_products!$A$1:$A$49,0), MATCH(Data_orders!I$1,Data_products!$A$1:$G$1,0))</f>
        <v>Ara</v>
      </c>
      <c r="J945" t="str">
        <f>INDEX(Data_products!$A$1:$G$49, MATCH(Data_orders!$D945,Data_products!$A$1:$A$49,0), MATCH(Data_orders!J$1,Data_products!$A$1:$G$1,0))</f>
        <v>L</v>
      </c>
      <c r="K945" s="4">
        <f>INDEX(Data_products!$A$1:$G$49, MATCH(Data_orders!$D945,Data_products!$A$1:$A$49,0), MATCH(Data_orders!K$1,Data_products!$A$1:$G$1,0))</f>
        <v>0.5</v>
      </c>
      <c r="L945">
        <f>INDEX(Data_products!$A$1:$G$49, MATCH(Data_orders!$D945,Data_products!$A$1:$A$49,0), MATCH(Data_orders!L$1,Data_products!$A$1:$G$1,0))</f>
        <v>7.77</v>
      </c>
      <c r="M945">
        <f t="shared" si="28"/>
        <v>46.62</v>
      </c>
      <c r="N945" t="str" cm="1">
        <f t="array" ref="N945">_xlfn.IFS(I945 = "Rob", "Robusta", I945 = "Exc", "Excelsa", I945 = "Ara", "Arabica", I945 = "Lib", "Liberica")</f>
        <v>Arabica</v>
      </c>
      <c r="O945" t="str">
        <f t="shared" si="29"/>
        <v>Light</v>
      </c>
      <c r="P945" t="str">
        <f>_xlfn.XLOOKUP(Table1[[#This Row],[Customer ID]],Data_customers!$A$2:$A$1001,Data_customers!$I$2:$I$1001,,0)</f>
        <v>No</v>
      </c>
    </row>
    <row r="946" spans="1:16" x14ac:dyDescent="0.2">
      <c r="A946" s="2" t="s">
        <v>5828</v>
      </c>
      <c r="B946" s="3">
        <v>44054</v>
      </c>
      <c r="C946" s="2" t="s">
        <v>5829</v>
      </c>
      <c r="D946" t="s">
        <v>6173</v>
      </c>
      <c r="E946" s="2">
        <v>5</v>
      </c>
      <c r="F946" s="2" t="str">
        <f>_xlfn.XLOOKUP(Data_orders!C946,Data_customers!$A$1:$A$1001,Data_customers!$B$1:$B$1001,,0)</f>
        <v>Fanchon Haughian</v>
      </c>
      <c r="G946" s="2" t="str">
        <f>IF(_xlfn.XLOOKUP(C946,Data_customers!$A$1:$A$1001,Data_customers!$C$1:$C$1001,,0)=0,"",_xlfn.XLOOKUP(C946,Data_customers!$A$1:$A$1001,Data_customers!$C$1:$C$1001,,0))</f>
        <v>fhaughianq8@1688.com</v>
      </c>
      <c r="H946" s="2" t="str">
        <f>_xlfn.XLOOKUP(C946,Data_customers!$A$1:$A$1001,Data_customers!$G$1:$G$1001,"",0)</f>
        <v>United States</v>
      </c>
      <c r="I946" t="str">
        <f>INDEX(Data_products!$A$1:$G$49, MATCH(Data_orders!$D946,Data_products!$A$1:$A$49,0), MATCH(Data_orders!I$1,Data_products!$A$1:$G$1,0))</f>
        <v>Rob</v>
      </c>
      <c r="J946" t="str">
        <f>INDEX(Data_products!$A$1:$G$49, MATCH(Data_orders!$D946,Data_products!$A$1:$A$49,0), MATCH(Data_orders!J$1,Data_products!$A$1:$G$1,0))</f>
        <v>L</v>
      </c>
      <c r="K946" s="4">
        <f>INDEX(Data_products!$A$1:$G$49, MATCH(Data_orders!$D946,Data_products!$A$1:$A$49,0), MATCH(Data_orders!K$1,Data_products!$A$1:$G$1,0))</f>
        <v>0.5</v>
      </c>
      <c r="L946">
        <f>INDEX(Data_products!$A$1:$G$49, MATCH(Data_orders!$D946,Data_products!$A$1:$A$49,0), MATCH(Data_orders!L$1,Data_products!$A$1:$G$1,0))</f>
        <v>7.169999999999999</v>
      </c>
      <c r="M946">
        <f t="shared" si="28"/>
        <v>35.849999999999994</v>
      </c>
      <c r="N946" t="str" cm="1">
        <f t="array" ref="N946">_xlfn.IFS(I946 = "Rob", "Robusta", I946 = "Exc", "Excelsa", I946 = "Ara", "Arabica", I946 = "Lib", "Liberica")</f>
        <v>Robusta</v>
      </c>
      <c r="O946" t="str">
        <f t="shared" si="29"/>
        <v>Light</v>
      </c>
      <c r="P946" t="str">
        <f>_xlfn.XLOOKUP(Table1[[#This Row],[Customer ID]],Data_customers!$A$2:$A$1001,Data_customers!$I$2:$I$1001,,0)</f>
        <v>No</v>
      </c>
    </row>
    <row r="947" spans="1:16" x14ac:dyDescent="0.2">
      <c r="A947" s="2" t="s">
        <v>5834</v>
      </c>
      <c r="B947" s="3">
        <v>43524</v>
      </c>
      <c r="C947" s="2" t="s">
        <v>5835</v>
      </c>
      <c r="D947" t="s">
        <v>6165</v>
      </c>
      <c r="E947" s="2">
        <v>4</v>
      </c>
      <c r="F947" s="2" t="str">
        <f>_xlfn.XLOOKUP(Data_orders!C947,Data_customers!$A$1:$A$1001,Data_customers!$B$1:$B$1001,,0)</f>
        <v>Jaimie Hatz</v>
      </c>
      <c r="G947" s="2" t="str">
        <f>IF(_xlfn.XLOOKUP(C947,Data_customers!$A$1:$A$1001,Data_customers!$C$1:$C$1001,,0)=0,"",_xlfn.XLOOKUP(C947,Data_customers!$A$1:$A$1001,Data_customers!$C$1:$C$1001,,0))</f>
        <v/>
      </c>
      <c r="H947" s="2" t="str">
        <f>_xlfn.XLOOKUP(C947,Data_customers!$A$1:$A$1001,Data_customers!$G$1:$G$1001,"",0)</f>
        <v>United States</v>
      </c>
      <c r="I947" t="str">
        <f>INDEX(Data_products!$A$1:$G$49, MATCH(Data_orders!$D947,Data_products!$A$1:$A$49,0), MATCH(Data_orders!I$1,Data_products!$A$1:$G$1,0))</f>
        <v>Lib</v>
      </c>
      <c r="J947" t="str">
        <f>INDEX(Data_products!$A$1:$G$49, MATCH(Data_orders!$D947,Data_products!$A$1:$A$49,0), MATCH(Data_orders!J$1,Data_products!$A$1:$G$1,0))</f>
        <v>D</v>
      </c>
      <c r="K947" s="4">
        <f>INDEX(Data_products!$A$1:$G$49, MATCH(Data_orders!$D947,Data_products!$A$1:$A$49,0), MATCH(Data_orders!K$1,Data_products!$A$1:$G$1,0))</f>
        <v>2.5</v>
      </c>
      <c r="L947">
        <f>INDEX(Data_products!$A$1:$G$49, MATCH(Data_orders!$D947,Data_products!$A$1:$A$49,0), MATCH(Data_orders!L$1,Data_products!$A$1:$G$1,0))</f>
        <v>29.784999999999997</v>
      </c>
      <c r="M947">
        <f t="shared" si="28"/>
        <v>119.13999999999999</v>
      </c>
      <c r="N947" t="str" cm="1">
        <f t="array" ref="N947">_xlfn.IFS(I947 = "Rob", "Robusta", I947 = "Exc", "Excelsa", I947 = "Ara", "Arabica", I947 = "Lib", "Liberica")</f>
        <v>Liberica</v>
      </c>
      <c r="O947" t="str">
        <f t="shared" si="29"/>
        <v>Dark</v>
      </c>
      <c r="P947" t="str">
        <f>_xlfn.XLOOKUP(Table1[[#This Row],[Customer ID]],Data_customers!$A$2:$A$1001,Data_customers!$I$2:$I$1001,,0)</f>
        <v>No</v>
      </c>
    </row>
    <row r="948" spans="1:16" x14ac:dyDescent="0.2">
      <c r="A948" s="2" t="s">
        <v>5839</v>
      </c>
      <c r="B948" s="3">
        <v>43719</v>
      </c>
      <c r="C948" s="2" t="s">
        <v>5840</v>
      </c>
      <c r="D948" t="s">
        <v>6169</v>
      </c>
      <c r="E948" s="2">
        <v>3</v>
      </c>
      <c r="F948" s="2" t="str">
        <f>_xlfn.XLOOKUP(Data_orders!C948,Data_customers!$A$1:$A$1001,Data_customers!$B$1:$B$1001,,0)</f>
        <v>Edeline Edney</v>
      </c>
      <c r="G948" s="2" t="str">
        <f>IF(_xlfn.XLOOKUP(C948,Data_customers!$A$1:$A$1001,Data_customers!$C$1:$C$1001,,0)=0,"",_xlfn.XLOOKUP(C948,Data_customers!$A$1:$A$1001,Data_customers!$C$1:$C$1001,,0))</f>
        <v/>
      </c>
      <c r="H948" s="2" t="str">
        <f>_xlfn.XLOOKUP(C948,Data_customers!$A$1:$A$1001,Data_customers!$G$1:$G$1001,"",0)</f>
        <v>United States</v>
      </c>
      <c r="I948" t="str">
        <f>INDEX(Data_products!$A$1:$G$49, MATCH(Data_orders!$D948,Data_products!$A$1:$A$49,0), MATCH(Data_orders!I$1,Data_products!$A$1:$G$1,0))</f>
        <v>Lib</v>
      </c>
      <c r="J948" t="str">
        <f>INDEX(Data_products!$A$1:$G$49, MATCH(Data_orders!$D948,Data_products!$A$1:$A$49,0), MATCH(Data_orders!J$1,Data_products!$A$1:$G$1,0))</f>
        <v>D</v>
      </c>
      <c r="K948" s="4">
        <f>INDEX(Data_products!$A$1:$G$49, MATCH(Data_orders!$D948,Data_products!$A$1:$A$49,0), MATCH(Data_orders!K$1,Data_products!$A$1:$G$1,0))</f>
        <v>0.5</v>
      </c>
      <c r="L948">
        <f>INDEX(Data_products!$A$1:$G$49, MATCH(Data_orders!$D948,Data_products!$A$1:$A$49,0), MATCH(Data_orders!L$1,Data_products!$A$1:$G$1,0))</f>
        <v>7.77</v>
      </c>
      <c r="M948">
        <f t="shared" si="28"/>
        <v>23.31</v>
      </c>
      <c r="N948" t="str" cm="1">
        <f t="array" ref="N948">_xlfn.IFS(I948 = "Rob", "Robusta", I948 = "Exc", "Excelsa", I948 = "Ara", "Arabica", I948 = "Lib", "Liberica")</f>
        <v>Liberica</v>
      </c>
      <c r="O948" t="str">
        <f t="shared" si="29"/>
        <v>Dark</v>
      </c>
      <c r="P948" t="str">
        <f>_xlfn.XLOOKUP(Table1[[#This Row],[Customer ID]],Data_customers!$A$2:$A$1001,Data_customers!$I$2:$I$1001,,0)</f>
        <v>No</v>
      </c>
    </row>
    <row r="949" spans="1:16" x14ac:dyDescent="0.2">
      <c r="A949" s="2" t="s">
        <v>5844</v>
      </c>
      <c r="B949" s="3">
        <v>44294</v>
      </c>
      <c r="C949" s="2" t="s">
        <v>5845</v>
      </c>
      <c r="D949" t="s">
        <v>6155</v>
      </c>
      <c r="E949" s="2">
        <v>1</v>
      </c>
      <c r="F949" s="2" t="str">
        <f>_xlfn.XLOOKUP(Data_orders!C949,Data_customers!$A$1:$A$1001,Data_customers!$B$1:$B$1001,,0)</f>
        <v>Rickie Faltin</v>
      </c>
      <c r="G949" s="2" t="str">
        <f>IF(_xlfn.XLOOKUP(C949,Data_customers!$A$1:$A$1001,Data_customers!$C$1:$C$1001,,0)=0,"",_xlfn.XLOOKUP(C949,Data_customers!$A$1:$A$1001,Data_customers!$C$1:$C$1001,,0))</f>
        <v>rfaltinqb@topsy.com</v>
      </c>
      <c r="H949" s="2" t="str">
        <f>_xlfn.XLOOKUP(C949,Data_customers!$A$1:$A$1001,Data_customers!$G$1:$G$1001,"",0)</f>
        <v>Ireland</v>
      </c>
      <c r="I949" t="str">
        <f>INDEX(Data_products!$A$1:$G$49, MATCH(Data_orders!$D949,Data_products!$A$1:$A$49,0), MATCH(Data_orders!I$1,Data_products!$A$1:$G$1,0))</f>
        <v>Ara</v>
      </c>
      <c r="J949" t="str">
        <f>INDEX(Data_products!$A$1:$G$49, MATCH(Data_orders!$D949,Data_products!$A$1:$A$49,0), MATCH(Data_orders!J$1,Data_products!$A$1:$G$1,0))</f>
        <v>M</v>
      </c>
      <c r="K949" s="4">
        <f>INDEX(Data_products!$A$1:$G$49, MATCH(Data_orders!$D949,Data_products!$A$1:$A$49,0), MATCH(Data_orders!K$1,Data_products!$A$1:$G$1,0))</f>
        <v>1</v>
      </c>
      <c r="L949">
        <f>INDEX(Data_products!$A$1:$G$49, MATCH(Data_orders!$D949,Data_products!$A$1:$A$49,0), MATCH(Data_orders!L$1,Data_products!$A$1:$G$1,0))</f>
        <v>11.25</v>
      </c>
      <c r="M949">
        <f t="shared" si="28"/>
        <v>11.25</v>
      </c>
      <c r="N949" t="str" cm="1">
        <f t="array" ref="N949">_xlfn.IFS(I949 = "Rob", "Robusta", I949 = "Exc", "Excelsa", I949 = "Ara", "Arabica", I949 = "Lib", "Liberica")</f>
        <v>Arabica</v>
      </c>
      <c r="O949" t="str">
        <f t="shared" si="29"/>
        <v>Medium</v>
      </c>
      <c r="P949" t="str">
        <f>_xlfn.XLOOKUP(Table1[[#This Row],[Customer ID]],Data_customers!$A$2:$A$1001,Data_customers!$I$2:$I$1001,,0)</f>
        <v>No</v>
      </c>
    </row>
    <row r="950" spans="1:16" x14ac:dyDescent="0.2">
      <c r="A950" s="2" t="s">
        <v>5849</v>
      </c>
      <c r="B950" s="3">
        <v>44445</v>
      </c>
      <c r="C950" s="2" t="s">
        <v>5850</v>
      </c>
      <c r="D950" t="s">
        <v>6185</v>
      </c>
      <c r="E950" s="2">
        <v>3</v>
      </c>
      <c r="F950" s="2" t="str">
        <f>_xlfn.XLOOKUP(Data_orders!C950,Data_customers!$A$1:$A$1001,Data_customers!$B$1:$B$1001,,0)</f>
        <v>Gnni Cheeke</v>
      </c>
      <c r="G950" s="2" t="str">
        <f>IF(_xlfn.XLOOKUP(C950,Data_customers!$A$1:$A$1001,Data_customers!$C$1:$C$1001,,0)=0,"",_xlfn.XLOOKUP(C950,Data_customers!$A$1:$A$1001,Data_customers!$C$1:$C$1001,,0))</f>
        <v>gcheekeqc@sitemeter.com</v>
      </c>
      <c r="H950" s="2" t="str">
        <f>_xlfn.XLOOKUP(C950,Data_customers!$A$1:$A$1001,Data_customers!$G$1:$G$1001,"",0)</f>
        <v>United Kingdom</v>
      </c>
      <c r="I950" t="str">
        <f>INDEX(Data_products!$A$1:$G$49, MATCH(Data_orders!$D950,Data_products!$A$1:$A$49,0), MATCH(Data_orders!I$1,Data_products!$A$1:$G$1,0))</f>
        <v>Exc</v>
      </c>
      <c r="J950" t="str">
        <f>INDEX(Data_products!$A$1:$G$49, MATCH(Data_orders!$D950,Data_products!$A$1:$A$49,0), MATCH(Data_orders!J$1,Data_products!$A$1:$G$1,0))</f>
        <v>D</v>
      </c>
      <c r="K950" s="4">
        <f>INDEX(Data_products!$A$1:$G$49, MATCH(Data_orders!$D950,Data_products!$A$1:$A$49,0), MATCH(Data_orders!K$1,Data_products!$A$1:$G$1,0))</f>
        <v>2.5</v>
      </c>
      <c r="L950">
        <f>INDEX(Data_products!$A$1:$G$49, MATCH(Data_orders!$D950,Data_products!$A$1:$A$49,0), MATCH(Data_orders!L$1,Data_products!$A$1:$G$1,0))</f>
        <v>27.945</v>
      </c>
      <c r="M950">
        <f t="shared" si="28"/>
        <v>83.835000000000008</v>
      </c>
      <c r="N950" t="str" cm="1">
        <f t="array" ref="N950">_xlfn.IFS(I950 = "Rob", "Robusta", I950 = "Exc", "Excelsa", I950 = "Ara", "Arabica", I950 = "Lib", "Liberica")</f>
        <v>Excelsa</v>
      </c>
      <c r="O950" t="str">
        <f t="shared" si="29"/>
        <v>Dark</v>
      </c>
      <c r="P950" t="str">
        <f>_xlfn.XLOOKUP(Table1[[#This Row],[Customer ID]],Data_customers!$A$2:$A$1001,Data_customers!$I$2:$I$1001,,0)</f>
        <v>Yes</v>
      </c>
    </row>
    <row r="951" spans="1:16" x14ac:dyDescent="0.2">
      <c r="A951" s="2" t="s">
        <v>5855</v>
      </c>
      <c r="B951" s="3">
        <v>44449</v>
      </c>
      <c r="C951" s="2" t="s">
        <v>5856</v>
      </c>
      <c r="D951" t="s">
        <v>6142</v>
      </c>
      <c r="E951" s="2">
        <v>4</v>
      </c>
      <c r="F951" s="2" t="str">
        <f>_xlfn.XLOOKUP(Data_orders!C951,Data_customers!$A$1:$A$1001,Data_customers!$B$1:$B$1001,,0)</f>
        <v>Gwenni Ratt</v>
      </c>
      <c r="G951" s="2" t="str">
        <f>IF(_xlfn.XLOOKUP(C951,Data_customers!$A$1:$A$1001,Data_customers!$C$1:$C$1001,,0)=0,"",_xlfn.XLOOKUP(C951,Data_customers!$A$1:$A$1001,Data_customers!$C$1:$C$1001,,0))</f>
        <v>grattqd@phpbb.com</v>
      </c>
      <c r="H951" s="2" t="str">
        <f>_xlfn.XLOOKUP(C951,Data_customers!$A$1:$A$1001,Data_customers!$G$1:$G$1001,"",0)</f>
        <v>Ireland</v>
      </c>
      <c r="I951" t="str">
        <f>INDEX(Data_products!$A$1:$G$49, MATCH(Data_orders!$D951,Data_products!$A$1:$A$49,0), MATCH(Data_orders!I$1,Data_products!$A$1:$G$1,0))</f>
        <v>Rob</v>
      </c>
      <c r="J951" t="str">
        <f>INDEX(Data_products!$A$1:$G$49, MATCH(Data_orders!$D951,Data_products!$A$1:$A$49,0), MATCH(Data_orders!J$1,Data_products!$A$1:$G$1,0))</f>
        <v>L</v>
      </c>
      <c r="K951" s="4">
        <f>INDEX(Data_products!$A$1:$G$49, MATCH(Data_orders!$D951,Data_products!$A$1:$A$49,0), MATCH(Data_orders!K$1,Data_products!$A$1:$G$1,0))</f>
        <v>2.5</v>
      </c>
      <c r="L951">
        <f>INDEX(Data_products!$A$1:$G$49, MATCH(Data_orders!$D951,Data_products!$A$1:$A$49,0), MATCH(Data_orders!L$1,Data_products!$A$1:$G$1,0))</f>
        <v>27.484999999999996</v>
      </c>
      <c r="M951">
        <f t="shared" si="28"/>
        <v>109.93999999999998</v>
      </c>
      <c r="N951" t="str" cm="1">
        <f t="array" ref="N951">_xlfn.IFS(I951 = "Rob", "Robusta", I951 = "Exc", "Excelsa", I951 = "Ara", "Arabica", I951 = "Lib", "Liberica")</f>
        <v>Robusta</v>
      </c>
      <c r="O951" t="str">
        <f t="shared" si="29"/>
        <v>Light</v>
      </c>
      <c r="P951" t="str">
        <f>_xlfn.XLOOKUP(Table1[[#This Row],[Customer ID]],Data_customers!$A$2:$A$1001,Data_customers!$I$2:$I$1001,,0)</f>
        <v>No</v>
      </c>
    </row>
    <row r="952" spans="1:16" x14ac:dyDescent="0.2">
      <c r="A952" s="2" t="s">
        <v>5861</v>
      </c>
      <c r="B952" s="3">
        <v>44703</v>
      </c>
      <c r="C952" s="2" t="s">
        <v>5862</v>
      </c>
      <c r="D952" t="s">
        <v>6178</v>
      </c>
      <c r="E952" s="2">
        <v>4</v>
      </c>
      <c r="F952" s="2" t="str">
        <f>_xlfn.XLOOKUP(Data_orders!C952,Data_customers!$A$1:$A$1001,Data_customers!$B$1:$B$1001,,0)</f>
        <v>Johnath Fairebrother</v>
      </c>
      <c r="G952" s="2" t="str">
        <f>IF(_xlfn.XLOOKUP(C952,Data_customers!$A$1:$A$1001,Data_customers!$C$1:$C$1001,,0)=0,"",_xlfn.XLOOKUP(C952,Data_customers!$A$1:$A$1001,Data_customers!$C$1:$C$1001,,0))</f>
        <v/>
      </c>
      <c r="H952" s="2" t="str">
        <f>_xlfn.XLOOKUP(C952,Data_customers!$A$1:$A$1001,Data_customers!$G$1:$G$1001,"",0)</f>
        <v>United States</v>
      </c>
      <c r="I952" t="str">
        <f>INDEX(Data_products!$A$1:$G$49, MATCH(Data_orders!$D952,Data_products!$A$1:$A$49,0), MATCH(Data_orders!I$1,Data_products!$A$1:$G$1,0))</f>
        <v>Rob</v>
      </c>
      <c r="J952" t="str">
        <f>INDEX(Data_products!$A$1:$G$49, MATCH(Data_orders!$D952,Data_products!$A$1:$A$49,0), MATCH(Data_orders!J$1,Data_products!$A$1:$G$1,0))</f>
        <v>L</v>
      </c>
      <c r="K952" s="4">
        <f>INDEX(Data_products!$A$1:$G$49, MATCH(Data_orders!$D952,Data_products!$A$1:$A$49,0), MATCH(Data_orders!K$1,Data_products!$A$1:$G$1,0))</f>
        <v>0.2</v>
      </c>
      <c r="L952">
        <f>INDEX(Data_products!$A$1:$G$49, MATCH(Data_orders!$D952,Data_products!$A$1:$A$49,0), MATCH(Data_orders!L$1,Data_products!$A$1:$G$1,0))</f>
        <v>3.5849999999999995</v>
      </c>
      <c r="M952">
        <f t="shared" si="28"/>
        <v>14.339999999999998</v>
      </c>
      <c r="N952" t="str" cm="1">
        <f t="array" ref="N952">_xlfn.IFS(I952 = "Rob", "Robusta", I952 = "Exc", "Excelsa", I952 = "Ara", "Arabica", I952 = "Lib", "Liberica")</f>
        <v>Robusta</v>
      </c>
      <c r="O952" t="str">
        <f t="shared" si="29"/>
        <v>Light</v>
      </c>
      <c r="P952" t="str">
        <f>_xlfn.XLOOKUP(Table1[[#This Row],[Customer ID]],Data_customers!$A$2:$A$1001,Data_customers!$I$2:$I$1001,,0)</f>
        <v>Yes</v>
      </c>
    </row>
    <row r="953" spans="1:16" x14ac:dyDescent="0.2">
      <c r="A953" s="2" t="s">
        <v>5866</v>
      </c>
      <c r="B953" s="3">
        <v>44092</v>
      </c>
      <c r="C953" s="2" t="s">
        <v>5867</v>
      </c>
      <c r="D953" t="s">
        <v>6178</v>
      </c>
      <c r="E953" s="2">
        <v>6</v>
      </c>
      <c r="F953" s="2" t="str">
        <f>_xlfn.XLOOKUP(Data_orders!C953,Data_customers!$A$1:$A$1001,Data_customers!$B$1:$B$1001,,0)</f>
        <v>Ingamar Eberlein</v>
      </c>
      <c r="G953" s="2" t="str">
        <f>IF(_xlfn.XLOOKUP(C953,Data_customers!$A$1:$A$1001,Data_customers!$C$1:$C$1001,,0)=0,"",_xlfn.XLOOKUP(C953,Data_customers!$A$1:$A$1001,Data_customers!$C$1:$C$1001,,0))</f>
        <v>ieberleinqf@hc360.com</v>
      </c>
      <c r="H953" s="2" t="str">
        <f>_xlfn.XLOOKUP(C953,Data_customers!$A$1:$A$1001,Data_customers!$G$1:$G$1001,"",0)</f>
        <v>United States</v>
      </c>
      <c r="I953" t="str">
        <f>INDEX(Data_products!$A$1:$G$49, MATCH(Data_orders!$D953,Data_products!$A$1:$A$49,0), MATCH(Data_orders!I$1,Data_products!$A$1:$G$1,0))</f>
        <v>Rob</v>
      </c>
      <c r="J953" t="str">
        <f>INDEX(Data_products!$A$1:$G$49, MATCH(Data_orders!$D953,Data_products!$A$1:$A$49,0), MATCH(Data_orders!J$1,Data_products!$A$1:$G$1,0))</f>
        <v>L</v>
      </c>
      <c r="K953" s="4">
        <f>INDEX(Data_products!$A$1:$G$49, MATCH(Data_orders!$D953,Data_products!$A$1:$A$49,0), MATCH(Data_orders!K$1,Data_products!$A$1:$G$1,0))</f>
        <v>0.2</v>
      </c>
      <c r="L953">
        <f>INDEX(Data_products!$A$1:$G$49, MATCH(Data_orders!$D953,Data_products!$A$1:$A$49,0), MATCH(Data_orders!L$1,Data_products!$A$1:$G$1,0))</f>
        <v>3.5849999999999995</v>
      </c>
      <c r="M953">
        <f t="shared" si="28"/>
        <v>21.509999999999998</v>
      </c>
      <c r="N953" t="str" cm="1">
        <f t="array" ref="N953">_xlfn.IFS(I953 = "Rob", "Robusta", I953 = "Exc", "Excelsa", I953 = "Ara", "Arabica", I953 = "Lib", "Liberica")</f>
        <v>Robusta</v>
      </c>
      <c r="O953" t="str">
        <f t="shared" si="29"/>
        <v>Light</v>
      </c>
      <c r="P953" t="str">
        <f>_xlfn.XLOOKUP(Table1[[#This Row],[Customer ID]],Data_customers!$A$2:$A$1001,Data_customers!$I$2:$I$1001,,0)</f>
        <v>No</v>
      </c>
    </row>
    <row r="954" spans="1:16" x14ac:dyDescent="0.2">
      <c r="A954" s="2" t="s">
        <v>5872</v>
      </c>
      <c r="B954" s="3">
        <v>44439</v>
      </c>
      <c r="C954" s="2" t="s">
        <v>5873</v>
      </c>
      <c r="D954" t="s">
        <v>6155</v>
      </c>
      <c r="E954" s="2">
        <v>2</v>
      </c>
      <c r="F954" s="2" t="str">
        <f>_xlfn.XLOOKUP(Data_orders!C954,Data_customers!$A$1:$A$1001,Data_customers!$B$1:$B$1001,,0)</f>
        <v>Jilly Dreng</v>
      </c>
      <c r="G954" s="2" t="str">
        <f>IF(_xlfn.XLOOKUP(C954,Data_customers!$A$1:$A$1001,Data_customers!$C$1:$C$1001,,0)=0,"",_xlfn.XLOOKUP(C954,Data_customers!$A$1:$A$1001,Data_customers!$C$1:$C$1001,,0))</f>
        <v>jdrengqg@uiuc.edu</v>
      </c>
      <c r="H954" s="2" t="str">
        <f>_xlfn.XLOOKUP(C954,Data_customers!$A$1:$A$1001,Data_customers!$G$1:$G$1001,"",0)</f>
        <v>Ireland</v>
      </c>
      <c r="I954" t="str">
        <f>INDEX(Data_products!$A$1:$G$49, MATCH(Data_orders!$D954,Data_products!$A$1:$A$49,0), MATCH(Data_orders!I$1,Data_products!$A$1:$G$1,0))</f>
        <v>Ara</v>
      </c>
      <c r="J954" t="str">
        <f>INDEX(Data_products!$A$1:$G$49, MATCH(Data_orders!$D954,Data_products!$A$1:$A$49,0), MATCH(Data_orders!J$1,Data_products!$A$1:$G$1,0))</f>
        <v>M</v>
      </c>
      <c r="K954" s="4">
        <f>INDEX(Data_products!$A$1:$G$49, MATCH(Data_orders!$D954,Data_products!$A$1:$A$49,0), MATCH(Data_orders!K$1,Data_products!$A$1:$G$1,0))</f>
        <v>1</v>
      </c>
      <c r="L954">
        <f>INDEX(Data_products!$A$1:$G$49, MATCH(Data_orders!$D954,Data_products!$A$1:$A$49,0), MATCH(Data_orders!L$1,Data_products!$A$1:$G$1,0))</f>
        <v>11.25</v>
      </c>
      <c r="M954">
        <f t="shared" si="28"/>
        <v>22.5</v>
      </c>
      <c r="N954" t="str" cm="1">
        <f t="array" ref="N954">_xlfn.IFS(I954 = "Rob", "Robusta", I954 = "Exc", "Excelsa", I954 = "Ara", "Arabica", I954 = "Lib", "Liberica")</f>
        <v>Arabica</v>
      </c>
      <c r="O954" t="str">
        <f t="shared" si="29"/>
        <v>Medium</v>
      </c>
      <c r="P954" t="str">
        <f>_xlfn.XLOOKUP(Table1[[#This Row],[Customer ID]],Data_customers!$A$2:$A$1001,Data_customers!$I$2:$I$1001,,0)</f>
        <v>Yes</v>
      </c>
    </row>
    <row r="955" spans="1:16" x14ac:dyDescent="0.2">
      <c r="A955" s="2" t="s">
        <v>5878</v>
      </c>
      <c r="B955" s="3">
        <v>44582</v>
      </c>
      <c r="C955" s="2" t="s">
        <v>5764</v>
      </c>
      <c r="D955" t="s">
        <v>6167</v>
      </c>
      <c r="E955" s="2">
        <v>1</v>
      </c>
      <c r="F955" s="2" t="str">
        <f>_xlfn.XLOOKUP(Data_orders!C955,Data_customers!$A$1:$A$1001,Data_customers!$B$1:$B$1001,,0)</f>
        <v>Brenn Dundredge</v>
      </c>
      <c r="G955" s="2" t="str">
        <f>IF(_xlfn.XLOOKUP(C955,Data_customers!$A$1:$A$1001,Data_customers!$C$1:$C$1001,,0)=0,"",_xlfn.XLOOKUP(C955,Data_customers!$A$1:$A$1001,Data_customers!$C$1:$C$1001,,0))</f>
        <v/>
      </c>
      <c r="H955" s="2" t="str">
        <f>_xlfn.XLOOKUP(C955,Data_customers!$A$1:$A$1001,Data_customers!$G$1:$G$1001,"",0)</f>
        <v>United States</v>
      </c>
      <c r="I955" t="str">
        <f>INDEX(Data_products!$A$1:$G$49, MATCH(Data_orders!$D955,Data_products!$A$1:$A$49,0), MATCH(Data_orders!I$1,Data_products!$A$1:$G$1,0))</f>
        <v>Ara</v>
      </c>
      <c r="J955" t="str">
        <f>INDEX(Data_products!$A$1:$G$49, MATCH(Data_orders!$D955,Data_products!$A$1:$A$49,0), MATCH(Data_orders!J$1,Data_products!$A$1:$G$1,0))</f>
        <v>L</v>
      </c>
      <c r="K955" s="4">
        <f>INDEX(Data_products!$A$1:$G$49, MATCH(Data_orders!$D955,Data_products!$A$1:$A$49,0), MATCH(Data_orders!K$1,Data_products!$A$1:$G$1,0))</f>
        <v>0.2</v>
      </c>
      <c r="L955">
        <f>INDEX(Data_products!$A$1:$G$49, MATCH(Data_orders!$D955,Data_products!$A$1:$A$49,0), MATCH(Data_orders!L$1,Data_products!$A$1:$G$1,0))</f>
        <v>3.8849999999999998</v>
      </c>
      <c r="M955">
        <f t="shared" si="28"/>
        <v>3.8849999999999998</v>
      </c>
      <c r="N955" t="str" cm="1">
        <f t="array" ref="N955">_xlfn.IFS(I955 = "Rob", "Robusta", I955 = "Exc", "Excelsa", I955 = "Ara", "Arabica", I955 = "Lib", "Liberica")</f>
        <v>Arabica</v>
      </c>
      <c r="O955" t="str">
        <f t="shared" si="29"/>
        <v>Light</v>
      </c>
      <c r="P955" t="str">
        <f>_xlfn.XLOOKUP(Table1[[#This Row],[Customer ID]],Data_customers!$A$2:$A$1001,Data_customers!$I$2:$I$1001,,0)</f>
        <v>Yes</v>
      </c>
    </row>
    <row r="956" spans="1:16" x14ac:dyDescent="0.2">
      <c r="A956" s="2" t="s">
        <v>5884</v>
      </c>
      <c r="B956" s="3">
        <v>44722</v>
      </c>
      <c r="C956" s="2" t="s">
        <v>5764</v>
      </c>
      <c r="D956" t="s">
        <v>6185</v>
      </c>
      <c r="E956" s="2">
        <v>1</v>
      </c>
      <c r="F956" s="2" t="str">
        <f>_xlfn.XLOOKUP(Data_orders!C956,Data_customers!$A$1:$A$1001,Data_customers!$B$1:$B$1001,,0)</f>
        <v>Brenn Dundredge</v>
      </c>
      <c r="G956" s="2" t="str">
        <f>IF(_xlfn.XLOOKUP(C956,Data_customers!$A$1:$A$1001,Data_customers!$C$1:$C$1001,,0)=0,"",_xlfn.XLOOKUP(C956,Data_customers!$A$1:$A$1001,Data_customers!$C$1:$C$1001,,0))</f>
        <v/>
      </c>
      <c r="H956" s="2" t="str">
        <f>_xlfn.XLOOKUP(C956,Data_customers!$A$1:$A$1001,Data_customers!$G$1:$G$1001,"",0)</f>
        <v>United States</v>
      </c>
      <c r="I956" t="str">
        <f>INDEX(Data_products!$A$1:$G$49, MATCH(Data_orders!$D956,Data_products!$A$1:$A$49,0), MATCH(Data_orders!I$1,Data_products!$A$1:$G$1,0))</f>
        <v>Exc</v>
      </c>
      <c r="J956" t="str">
        <f>INDEX(Data_products!$A$1:$G$49, MATCH(Data_orders!$D956,Data_products!$A$1:$A$49,0), MATCH(Data_orders!J$1,Data_products!$A$1:$G$1,0))</f>
        <v>D</v>
      </c>
      <c r="K956" s="4">
        <f>INDEX(Data_products!$A$1:$G$49, MATCH(Data_orders!$D956,Data_products!$A$1:$A$49,0), MATCH(Data_orders!K$1,Data_products!$A$1:$G$1,0))</f>
        <v>2.5</v>
      </c>
      <c r="L956">
        <f>INDEX(Data_products!$A$1:$G$49, MATCH(Data_orders!$D956,Data_products!$A$1:$A$49,0), MATCH(Data_orders!L$1,Data_products!$A$1:$G$1,0))</f>
        <v>27.945</v>
      </c>
      <c r="M956">
        <f t="shared" si="28"/>
        <v>27.945</v>
      </c>
      <c r="N956" t="str" cm="1">
        <f t="array" ref="N956">_xlfn.IFS(I956 = "Rob", "Robusta", I956 = "Exc", "Excelsa", I956 = "Ara", "Arabica", I956 = "Lib", "Liberica")</f>
        <v>Excelsa</v>
      </c>
      <c r="O956" t="str">
        <f t="shared" si="29"/>
        <v>Dark</v>
      </c>
      <c r="P956" t="str">
        <f>_xlfn.XLOOKUP(Table1[[#This Row],[Customer ID]],Data_customers!$A$2:$A$1001,Data_customers!$I$2:$I$1001,,0)</f>
        <v>Yes</v>
      </c>
    </row>
    <row r="957" spans="1:16" x14ac:dyDescent="0.2">
      <c r="A957" s="2" t="s">
        <v>5890</v>
      </c>
      <c r="B957" s="3">
        <v>43582</v>
      </c>
      <c r="C957" s="2" t="s">
        <v>5764</v>
      </c>
      <c r="D957" t="s">
        <v>6148</v>
      </c>
      <c r="E957" s="2">
        <v>5</v>
      </c>
      <c r="F957" s="2" t="str">
        <f>_xlfn.XLOOKUP(Data_orders!C957,Data_customers!$A$1:$A$1001,Data_customers!$B$1:$B$1001,,0)</f>
        <v>Brenn Dundredge</v>
      </c>
      <c r="G957" s="2" t="str">
        <f>IF(_xlfn.XLOOKUP(C957,Data_customers!$A$1:$A$1001,Data_customers!$C$1:$C$1001,,0)=0,"",_xlfn.XLOOKUP(C957,Data_customers!$A$1:$A$1001,Data_customers!$C$1:$C$1001,,0))</f>
        <v/>
      </c>
      <c r="H957" s="2" t="str">
        <f>_xlfn.XLOOKUP(C957,Data_customers!$A$1:$A$1001,Data_customers!$G$1:$G$1001,"",0)</f>
        <v>United States</v>
      </c>
      <c r="I957" t="str">
        <f>INDEX(Data_products!$A$1:$G$49, MATCH(Data_orders!$D957,Data_products!$A$1:$A$49,0), MATCH(Data_orders!I$1,Data_products!$A$1:$G$1,0))</f>
        <v>Exc</v>
      </c>
      <c r="J957" t="str">
        <f>INDEX(Data_products!$A$1:$G$49, MATCH(Data_orders!$D957,Data_products!$A$1:$A$49,0), MATCH(Data_orders!J$1,Data_products!$A$1:$G$1,0))</f>
        <v>L</v>
      </c>
      <c r="K957" s="4">
        <f>INDEX(Data_products!$A$1:$G$49, MATCH(Data_orders!$D957,Data_products!$A$1:$A$49,0), MATCH(Data_orders!K$1,Data_products!$A$1:$G$1,0))</f>
        <v>2.5</v>
      </c>
      <c r="L957">
        <f>INDEX(Data_products!$A$1:$G$49, MATCH(Data_orders!$D957,Data_products!$A$1:$A$49,0), MATCH(Data_orders!L$1,Data_products!$A$1:$G$1,0))</f>
        <v>34.154999999999994</v>
      </c>
      <c r="M957">
        <f t="shared" si="28"/>
        <v>170.77499999999998</v>
      </c>
      <c r="N957" t="str" cm="1">
        <f t="array" ref="N957">_xlfn.IFS(I957 = "Rob", "Robusta", I957 = "Exc", "Excelsa", I957 = "Ara", "Arabica", I957 = "Lib", "Liberica")</f>
        <v>Excelsa</v>
      </c>
      <c r="O957" t="str">
        <f t="shared" si="29"/>
        <v>Light</v>
      </c>
      <c r="P957" t="str">
        <f>_xlfn.XLOOKUP(Table1[[#This Row],[Customer ID]],Data_customers!$A$2:$A$1001,Data_customers!$I$2:$I$1001,,0)</f>
        <v>Yes</v>
      </c>
    </row>
    <row r="958" spans="1:16" x14ac:dyDescent="0.2">
      <c r="A958" s="2" t="s">
        <v>5890</v>
      </c>
      <c r="B958" s="3">
        <v>43582</v>
      </c>
      <c r="C958" s="2" t="s">
        <v>5764</v>
      </c>
      <c r="D958" t="s">
        <v>6142</v>
      </c>
      <c r="E958" s="2">
        <v>2</v>
      </c>
      <c r="F958" s="2" t="str">
        <f>_xlfn.XLOOKUP(Data_orders!C958,Data_customers!$A$1:$A$1001,Data_customers!$B$1:$B$1001,,0)</f>
        <v>Brenn Dundredge</v>
      </c>
      <c r="G958" s="2" t="str">
        <f>IF(_xlfn.XLOOKUP(C958,Data_customers!$A$1:$A$1001,Data_customers!$C$1:$C$1001,,0)=0,"",_xlfn.XLOOKUP(C958,Data_customers!$A$1:$A$1001,Data_customers!$C$1:$C$1001,,0))</f>
        <v/>
      </c>
      <c r="H958" s="2" t="str">
        <f>_xlfn.XLOOKUP(C958,Data_customers!$A$1:$A$1001,Data_customers!$G$1:$G$1001,"",0)</f>
        <v>United States</v>
      </c>
      <c r="I958" t="str">
        <f>INDEX(Data_products!$A$1:$G$49, MATCH(Data_orders!$D958,Data_products!$A$1:$A$49,0), MATCH(Data_orders!I$1,Data_products!$A$1:$G$1,0))</f>
        <v>Rob</v>
      </c>
      <c r="J958" t="str">
        <f>INDEX(Data_products!$A$1:$G$49, MATCH(Data_orders!$D958,Data_products!$A$1:$A$49,0), MATCH(Data_orders!J$1,Data_products!$A$1:$G$1,0))</f>
        <v>L</v>
      </c>
      <c r="K958" s="4">
        <f>INDEX(Data_products!$A$1:$G$49, MATCH(Data_orders!$D958,Data_products!$A$1:$A$49,0), MATCH(Data_orders!K$1,Data_products!$A$1:$G$1,0))</f>
        <v>2.5</v>
      </c>
      <c r="L958">
        <f>INDEX(Data_products!$A$1:$G$49, MATCH(Data_orders!$D958,Data_products!$A$1:$A$49,0), MATCH(Data_orders!L$1,Data_products!$A$1:$G$1,0))</f>
        <v>27.484999999999996</v>
      </c>
      <c r="M958">
        <f t="shared" si="28"/>
        <v>54.969999999999992</v>
      </c>
      <c r="N958" t="str" cm="1">
        <f t="array" ref="N958">_xlfn.IFS(I958 = "Rob", "Robusta", I958 = "Exc", "Excelsa", I958 = "Ara", "Arabica", I958 = "Lib", "Liberica")</f>
        <v>Robusta</v>
      </c>
      <c r="O958" t="str">
        <f t="shared" si="29"/>
        <v>Light</v>
      </c>
      <c r="P958" t="str">
        <f>_xlfn.XLOOKUP(Table1[[#This Row],[Customer ID]],Data_customers!$A$2:$A$1001,Data_customers!$I$2:$I$1001,,0)</f>
        <v>Yes</v>
      </c>
    </row>
    <row r="959" spans="1:16" x14ac:dyDescent="0.2">
      <c r="A959" s="2" t="s">
        <v>5890</v>
      </c>
      <c r="B959" s="3">
        <v>43582</v>
      </c>
      <c r="C959" s="2" t="s">
        <v>5764</v>
      </c>
      <c r="D959" t="s">
        <v>6171</v>
      </c>
      <c r="E959" s="2">
        <v>1</v>
      </c>
      <c r="F959" s="2" t="str">
        <f>_xlfn.XLOOKUP(Data_orders!C959,Data_customers!$A$1:$A$1001,Data_customers!$B$1:$B$1001,,0)</f>
        <v>Brenn Dundredge</v>
      </c>
      <c r="G959" s="2" t="str">
        <f>IF(_xlfn.XLOOKUP(C959,Data_customers!$A$1:$A$1001,Data_customers!$C$1:$C$1001,,0)=0,"",_xlfn.XLOOKUP(C959,Data_customers!$A$1:$A$1001,Data_customers!$C$1:$C$1001,,0))</f>
        <v/>
      </c>
      <c r="H959" s="2" t="str">
        <f>_xlfn.XLOOKUP(C959,Data_customers!$A$1:$A$1001,Data_customers!$G$1:$G$1001,"",0)</f>
        <v>United States</v>
      </c>
      <c r="I959" t="str">
        <f>INDEX(Data_products!$A$1:$G$49, MATCH(Data_orders!$D959,Data_products!$A$1:$A$49,0), MATCH(Data_orders!I$1,Data_products!$A$1:$G$1,0))</f>
        <v>Exc</v>
      </c>
      <c r="J959" t="str">
        <f>INDEX(Data_products!$A$1:$G$49, MATCH(Data_orders!$D959,Data_products!$A$1:$A$49,0), MATCH(Data_orders!J$1,Data_products!$A$1:$G$1,0))</f>
        <v>L</v>
      </c>
      <c r="K959" s="4">
        <f>INDEX(Data_products!$A$1:$G$49, MATCH(Data_orders!$D959,Data_products!$A$1:$A$49,0), MATCH(Data_orders!K$1,Data_products!$A$1:$G$1,0))</f>
        <v>1</v>
      </c>
      <c r="L959">
        <f>INDEX(Data_products!$A$1:$G$49, MATCH(Data_orders!$D959,Data_products!$A$1:$A$49,0), MATCH(Data_orders!L$1,Data_products!$A$1:$G$1,0))</f>
        <v>14.85</v>
      </c>
      <c r="M959">
        <f t="shared" si="28"/>
        <v>14.85</v>
      </c>
      <c r="N959" t="str" cm="1">
        <f t="array" ref="N959">_xlfn.IFS(I959 = "Rob", "Robusta", I959 = "Exc", "Excelsa", I959 = "Ara", "Arabica", I959 = "Lib", "Liberica")</f>
        <v>Excelsa</v>
      </c>
      <c r="O959" t="str">
        <f t="shared" si="29"/>
        <v>Light</v>
      </c>
      <c r="P959" t="str">
        <f>_xlfn.XLOOKUP(Table1[[#This Row],[Customer ID]],Data_customers!$A$2:$A$1001,Data_customers!$I$2:$I$1001,,0)</f>
        <v>Yes</v>
      </c>
    </row>
    <row r="960" spans="1:16" x14ac:dyDescent="0.2">
      <c r="A960" s="2" t="s">
        <v>5890</v>
      </c>
      <c r="B960" s="3">
        <v>43582</v>
      </c>
      <c r="C960" s="2" t="s">
        <v>5764</v>
      </c>
      <c r="D960" t="s">
        <v>6167</v>
      </c>
      <c r="E960" s="2">
        <v>2</v>
      </c>
      <c r="F960" s="2" t="str">
        <f>_xlfn.XLOOKUP(Data_orders!C960,Data_customers!$A$1:$A$1001,Data_customers!$B$1:$B$1001,,0)</f>
        <v>Brenn Dundredge</v>
      </c>
      <c r="G960" s="2" t="str">
        <f>IF(_xlfn.XLOOKUP(C960,Data_customers!$A$1:$A$1001,Data_customers!$C$1:$C$1001,,0)=0,"",_xlfn.XLOOKUP(C960,Data_customers!$A$1:$A$1001,Data_customers!$C$1:$C$1001,,0))</f>
        <v/>
      </c>
      <c r="H960" s="2" t="str">
        <f>_xlfn.XLOOKUP(C960,Data_customers!$A$1:$A$1001,Data_customers!$G$1:$G$1001,"",0)</f>
        <v>United States</v>
      </c>
      <c r="I960" t="str">
        <f>INDEX(Data_products!$A$1:$G$49, MATCH(Data_orders!$D960,Data_products!$A$1:$A$49,0), MATCH(Data_orders!I$1,Data_products!$A$1:$G$1,0))</f>
        <v>Ara</v>
      </c>
      <c r="J960" t="str">
        <f>INDEX(Data_products!$A$1:$G$49, MATCH(Data_orders!$D960,Data_products!$A$1:$A$49,0), MATCH(Data_orders!J$1,Data_products!$A$1:$G$1,0))</f>
        <v>L</v>
      </c>
      <c r="K960" s="4">
        <f>INDEX(Data_products!$A$1:$G$49, MATCH(Data_orders!$D960,Data_products!$A$1:$A$49,0), MATCH(Data_orders!K$1,Data_products!$A$1:$G$1,0))</f>
        <v>0.2</v>
      </c>
      <c r="L960">
        <f>INDEX(Data_products!$A$1:$G$49, MATCH(Data_orders!$D960,Data_products!$A$1:$A$49,0), MATCH(Data_orders!L$1,Data_products!$A$1:$G$1,0))</f>
        <v>3.8849999999999998</v>
      </c>
      <c r="M960">
        <f t="shared" si="28"/>
        <v>7.77</v>
      </c>
      <c r="N960" t="str" cm="1">
        <f t="array" ref="N960">_xlfn.IFS(I960 = "Rob", "Robusta", I960 = "Exc", "Excelsa", I960 = "Ara", "Arabica", I960 = "Lib", "Liberica")</f>
        <v>Arabica</v>
      </c>
      <c r="O960" t="str">
        <f t="shared" si="29"/>
        <v>Light</v>
      </c>
      <c r="P960" t="str">
        <f>_xlfn.XLOOKUP(Table1[[#This Row],[Customer ID]],Data_customers!$A$2:$A$1001,Data_customers!$I$2:$I$1001,,0)</f>
        <v>Yes</v>
      </c>
    </row>
    <row r="961" spans="1:16" x14ac:dyDescent="0.2">
      <c r="A961" s="2" t="s">
        <v>5910</v>
      </c>
      <c r="B961" s="3">
        <v>44598</v>
      </c>
      <c r="C961" s="2" t="s">
        <v>5911</v>
      </c>
      <c r="D961" t="s">
        <v>6145</v>
      </c>
      <c r="E961" s="2">
        <v>5</v>
      </c>
      <c r="F961" s="2" t="str">
        <f>_xlfn.XLOOKUP(Data_orders!C961,Data_customers!$A$1:$A$1001,Data_customers!$B$1:$B$1001,,0)</f>
        <v>Rhodie Strathern</v>
      </c>
      <c r="G961" s="2" t="str">
        <f>IF(_xlfn.XLOOKUP(C961,Data_customers!$A$1:$A$1001,Data_customers!$C$1:$C$1001,,0)=0,"",_xlfn.XLOOKUP(C961,Data_customers!$A$1:$A$1001,Data_customers!$C$1:$C$1001,,0))</f>
        <v>rstrathernqn@devhub.com</v>
      </c>
      <c r="H961" s="2" t="str">
        <f>_xlfn.XLOOKUP(C961,Data_customers!$A$1:$A$1001,Data_customers!$G$1:$G$1001,"",0)</f>
        <v>United States</v>
      </c>
      <c r="I961" t="str">
        <f>INDEX(Data_products!$A$1:$G$49, MATCH(Data_orders!$D961,Data_products!$A$1:$A$49,0), MATCH(Data_orders!I$1,Data_products!$A$1:$G$1,0))</f>
        <v>Lib</v>
      </c>
      <c r="J961" t="str">
        <f>INDEX(Data_products!$A$1:$G$49, MATCH(Data_orders!$D961,Data_products!$A$1:$A$49,0), MATCH(Data_orders!J$1,Data_products!$A$1:$G$1,0))</f>
        <v>L</v>
      </c>
      <c r="K961" s="4">
        <f>INDEX(Data_products!$A$1:$G$49, MATCH(Data_orders!$D961,Data_products!$A$1:$A$49,0), MATCH(Data_orders!K$1,Data_products!$A$1:$G$1,0))</f>
        <v>0.2</v>
      </c>
      <c r="L961">
        <f>INDEX(Data_products!$A$1:$G$49, MATCH(Data_orders!$D961,Data_products!$A$1:$A$49,0), MATCH(Data_orders!L$1,Data_products!$A$1:$G$1,0))</f>
        <v>4.7549999999999999</v>
      </c>
      <c r="M961">
        <f t="shared" si="28"/>
        <v>23.774999999999999</v>
      </c>
      <c r="N961" t="str" cm="1">
        <f t="array" ref="N961">_xlfn.IFS(I961 = "Rob", "Robusta", I961 = "Exc", "Excelsa", I961 = "Ara", "Arabica", I961 = "Lib", "Liberica")</f>
        <v>Liberica</v>
      </c>
      <c r="O961" t="str">
        <f t="shared" si="29"/>
        <v>Light</v>
      </c>
      <c r="P961" t="str">
        <f>_xlfn.XLOOKUP(Table1[[#This Row],[Customer ID]],Data_customers!$A$2:$A$1001,Data_customers!$I$2:$I$1001,,0)</f>
        <v>Yes</v>
      </c>
    </row>
    <row r="962" spans="1:16" x14ac:dyDescent="0.2">
      <c r="A962" s="2" t="s">
        <v>5915</v>
      </c>
      <c r="B962" s="3">
        <v>44591</v>
      </c>
      <c r="C962" s="2" t="s">
        <v>5916</v>
      </c>
      <c r="D962" t="s">
        <v>6170</v>
      </c>
      <c r="E962" s="2">
        <v>5</v>
      </c>
      <c r="F962" s="2" t="str">
        <f>_xlfn.XLOOKUP(Data_orders!C962,Data_customers!$A$1:$A$1001,Data_customers!$B$1:$B$1001,,0)</f>
        <v>Chad Miguel</v>
      </c>
      <c r="G962" s="2" t="str">
        <f>IF(_xlfn.XLOOKUP(C962,Data_customers!$A$1:$A$1001,Data_customers!$C$1:$C$1001,,0)=0,"",_xlfn.XLOOKUP(C962,Data_customers!$A$1:$A$1001,Data_customers!$C$1:$C$1001,,0))</f>
        <v>cmiguelqo@exblog.jp</v>
      </c>
      <c r="H962" s="2" t="str">
        <f>_xlfn.XLOOKUP(C962,Data_customers!$A$1:$A$1001,Data_customers!$G$1:$G$1001,"",0)</f>
        <v>United States</v>
      </c>
      <c r="I962" t="str">
        <f>INDEX(Data_products!$A$1:$G$49, MATCH(Data_orders!$D962,Data_products!$A$1:$A$49,0), MATCH(Data_orders!I$1,Data_products!$A$1:$G$1,0))</f>
        <v>Lib</v>
      </c>
      <c r="J962" t="str">
        <f>INDEX(Data_products!$A$1:$G$49, MATCH(Data_orders!$D962,Data_products!$A$1:$A$49,0), MATCH(Data_orders!J$1,Data_products!$A$1:$G$1,0))</f>
        <v>L</v>
      </c>
      <c r="K962" s="4">
        <f>INDEX(Data_products!$A$1:$G$49, MATCH(Data_orders!$D962,Data_products!$A$1:$A$49,0), MATCH(Data_orders!K$1,Data_products!$A$1:$G$1,0))</f>
        <v>1</v>
      </c>
      <c r="L962">
        <f>INDEX(Data_products!$A$1:$G$49, MATCH(Data_orders!$D962,Data_products!$A$1:$A$49,0), MATCH(Data_orders!L$1,Data_products!$A$1:$G$1,0))</f>
        <v>15.85</v>
      </c>
      <c r="M962">
        <f t="shared" si="28"/>
        <v>79.25</v>
      </c>
      <c r="N962" t="str" cm="1">
        <f t="array" ref="N962">_xlfn.IFS(I962 = "Rob", "Robusta", I962 = "Exc", "Excelsa", I962 = "Ara", "Arabica", I962 = "Lib", "Liberica")</f>
        <v>Liberica</v>
      </c>
      <c r="O962" t="str">
        <f t="shared" si="29"/>
        <v>Light</v>
      </c>
      <c r="P962" t="str">
        <f>_xlfn.XLOOKUP(Table1[[#This Row],[Customer ID]],Data_customers!$A$2:$A$1001,Data_customers!$I$2:$I$1001,,0)</f>
        <v>Yes</v>
      </c>
    </row>
    <row r="963" spans="1:16" x14ac:dyDescent="0.2">
      <c r="A963" s="2" t="s">
        <v>5921</v>
      </c>
      <c r="B963" s="3">
        <v>44158</v>
      </c>
      <c r="C963" s="2" t="s">
        <v>5922</v>
      </c>
      <c r="D963" t="s">
        <v>6168</v>
      </c>
      <c r="E963" s="2">
        <v>2</v>
      </c>
      <c r="F963" s="2" t="str">
        <f>_xlfn.XLOOKUP(Data_orders!C963,Data_customers!$A$1:$A$1001,Data_customers!$B$1:$B$1001,,0)</f>
        <v>Florinda Matusovsky</v>
      </c>
      <c r="G963" s="2" t="str">
        <f>IF(_xlfn.XLOOKUP(C963,Data_customers!$A$1:$A$1001,Data_customers!$C$1:$C$1001,,0)=0,"",_xlfn.XLOOKUP(C963,Data_customers!$A$1:$A$1001,Data_customers!$C$1:$C$1001,,0))</f>
        <v/>
      </c>
      <c r="H963" s="2" t="str">
        <f>_xlfn.XLOOKUP(C963,Data_customers!$A$1:$A$1001,Data_customers!$G$1:$G$1001,"",0)</f>
        <v>United States</v>
      </c>
      <c r="I963" t="str">
        <f>INDEX(Data_products!$A$1:$G$49, MATCH(Data_orders!$D963,Data_products!$A$1:$A$49,0), MATCH(Data_orders!I$1,Data_products!$A$1:$G$1,0))</f>
        <v>Ara</v>
      </c>
      <c r="J963" t="str">
        <f>INDEX(Data_products!$A$1:$G$49, MATCH(Data_orders!$D963,Data_products!$A$1:$A$49,0), MATCH(Data_orders!J$1,Data_products!$A$1:$G$1,0))</f>
        <v>D</v>
      </c>
      <c r="K963" s="4">
        <f>INDEX(Data_products!$A$1:$G$49, MATCH(Data_orders!$D963,Data_products!$A$1:$A$49,0), MATCH(Data_orders!K$1,Data_products!$A$1:$G$1,0))</f>
        <v>2.5</v>
      </c>
      <c r="L963">
        <f>INDEX(Data_products!$A$1:$G$49, MATCH(Data_orders!$D963,Data_products!$A$1:$A$49,0), MATCH(Data_orders!L$1,Data_products!$A$1:$G$1,0))</f>
        <v>22.884999999999998</v>
      </c>
      <c r="M963">
        <f t="shared" ref="M963:M1001" si="30">L963*E963</f>
        <v>45.769999999999996</v>
      </c>
      <c r="N963" t="str" cm="1">
        <f t="array" ref="N963">_xlfn.IFS(I963 = "Rob", "Robusta", I963 = "Exc", "Excelsa", I963 = "Ara", "Arabica", I963 = "Lib", "Liberica")</f>
        <v>Arabica</v>
      </c>
      <c r="O963" t="str">
        <f t="shared" ref="O963:O1001" si="31">IF(J963 = "M", "Medium", IF(J963 =  "L", "Light", IF(J963 = "D", "Dark", "")))</f>
        <v>Dark</v>
      </c>
      <c r="P963" t="str">
        <f>_xlfn.XLOOKUP(Table1[[#This Row],[Customer ID]],Data_customers!$A$2:$A$1001,Data_customers!$I$2:$I$1001,,0)</f>
        <v>Yes</v>
      </c>
    </row>
    <row r="964" spans="1:16" x14ac:dyDescent="0.2">
      <c r="A964" s="2" t="s">
        <v>5926</v>
      </c>
      <c r="B964" s="3">
        <v>44664</v>
      </c>
      <c r="C964" s="2" t="s">
        <v>5927</v>
      </c>
      <c r="D964" t="s">
        <v>6177</v>
      </c>
      <c r="E964" s="2">
        <v>1</v>
      </c>
      <c r="F964" s="2" t="str">
        <f>_xlfn.XLOOKUP(Data_orders!C964,Data_customers!$A$1:$A$1001,Data_customers!$B$1:$B$1001,,0)</f>
        <v>Morly Rocks</v>
      </c>
      <c r="G964" s="2" t="str">
        <f>IF(_xlfn.XLOOKUP(C964,Data_customers!$A$1:$A$1001,Data_customers!$C$1:$C$1001,,0)=0,"",_xlfn.XLOOKUP(C964,Data_customers!$A$1:$A$1001,Data_customers!$C$1:$C$1001,,0))</f>
        <v>mrocksqq@exblog.jp</v>
      </c>
      <c r="H964" s="2" t="str">
        <f>_xlfn.XLOOKUP(C964,Data_customers!$A$1:$A$1001,Data_customers!$G$1:$G$1001,"",0)</f>
        <v>Ireland</v>
      </c>
      <c r="I964" t="str">
        <f>INDEX(Data_products!$A$1:$G$49, MATCH(Data_orders!$D964,Data_products!$A$1:$A$49,0), MATCH(Data_orders!I$1,Data_products!$A$1:$G$1,0))</f>
        <v>Rob</v>
      </c>
      <c r="J964" t="str">
        <f>INDEX(Data_products!$A$1:$G$49, MATCH(Data_orders!$D964,Data_products!$A$1:$A$49,0), MATCH(Data_orders!J$1,Data_products!$A$1:$G$1,0))</f>
        <v>D</v>
      </c>
      <c r="K964" s="4">
        <f>INDEX(Data_products!$A$1:$G$49, MATCH(Data_orders!$D964,Data_products!$A$1:$A$49,0), MATCH(Data_orders!K$1,Data_products!$A$1:$G$1,0))</f>
        <v>1</v>
      </c>
      <c r="L964">
        <f>INDEX(Data_products!$A$1:$G$49, MATCH(Data_orders!$D964,Data_products!$A$1:$A$49,0), MATCH(Data_orders!L$1,Data_products!$A$1:$G$1,0))</f>
        <v>8.9499999999999993</v>
      </c>
      <c r="M964">
        <f t="shared" si="30"/>
        <v>8.9499999999999993</v>
      </c>
      <c r="N964" t="str" cm="1">
        <f t="array" ref="N964">_xlfn.IFS(I964 = "Rob", "Robusta", I964 = "Exc", "Excelsa", I964 = "Ara", "Arabica", I964 = "Lib", "Liberica")</f>
        <v>Robusta</v>
      </c>
      <c r="O964" t="str">
        <f t="shared" si="31"/>
        <v>Dark</v>
      </c>
      <c r="P964" t="str">
        <f>_xlfn.XLOOKUP(Table1[[#This Row],[Customer ID]],Data_customers!$A$2:$A$1001,Data_customers!$I$2:$I$1001,,0)</f>
        <v>Yes</v>
      </c>
    </row>
    <row r="965" spans="1:16" x14ac:dyDescent="0.2">
      <c r="A965" s="2" t="s">
        <v>5932</v>
      </c>
      <c r="B965" s="3">
        <v>44203</v>
      </c>
      <c r="C965" s="2" t="s">
        <v>5933</v>
      </c>
      <c r="D965" t="s">
        <v>6146</v>
      </c>
      <c r="E965" s="2">
        <v>4</v>
      </c>
      <c r="F965" s="2" t="str">
        <f>_xlfn.XLOOKUP(Data_orders!C965,Data_customers!$A$1:$A$1001,Data_customers!$B$1:$B$1001,,0)</f>
        <v>Yuri Burrells</v>
      </c>
      <c r="G965" s="2" t="str">
        <f>IF(_xlfn.XLOOKUP(C965,Data_customers!$A$1:$A$1001,Data_customers!$C$1:$C$1001,,0)=0,"",_xlfn.XLOOKUP(C965,Data_customers!$A$1:$A$1001,Data_customers!$C$1:$C$1001,,0))</f>
        <v>yburrellsqr@vinaora.com</v>
      </c>
      <c r="H965" s="2" t="str">
        <f>_xlfn.XLOOKUP(C965,Data_customers!$A$1:$A$1001,Data_customers!$G$1:$G$1001,"",0)</f>
        <v>United States</v>
      </c>
      <c r="I965" t="str">
        <f>INDEX(Data_products!$A$1:$G$49, MATCH(Data_orders!$D965,Data_products!$A$1:$A$49,0), MATCH(Data_orders!I$1,Data_products!$A$1:$G$1,0))</f>
        <v>Rob</v>
      </c>
      <c r="J965" t="str">
        <f>INDEX(Data_products!$A$1:$G$49, MATCH(Data_orders!$D965,Data_products!$A$1:$A$49,0), MATCH(Data_orders!J$1,Data_products!$A$1:$G$1,0))</f>
        <v>M</v>
      </c>
      <c r="K965" s="4">
        <f>INDEX(Data_products!$A$1:$G$49, MATCH(Data_orders!$D965,Data_products!$A$1:$A$49,0), MATCH(Data_orders!K$1,Data_products!$A$1:$G$1,0))</f>
        <v>0.5</v>
      </c>
      <c r="L965">
        <f>INDEX(Data_products!$A$1:$G$49, MATCH(Data_orders!$D965,Data_products!$A$1:$A$49,0), MATCH(Data_orders!L$1,Data_products!$A$1:$G$1,0))</f>
        <v>5.97</v>
      </c>
      <c r="M965">
        <f t="shared" si="30"/>
        <v>23.88</v>
      </c>
      <c r="N965" t="str" cm="1">
        <f t="array" ref="N965">_xlfn.IFS(I965 = "Rob", "Robusta", I965 = "Exc", "Excelsa", I965 = "Ara", "Arabica", I965 = "Lib", "Liberica")</f>
        <v>Robusta</v>
      </c>
      <c r="O965" t="str">
        <f t="shared" si="31"/>
        <v>Medium</v>
      </c>
      <c r="P965" t="str">
        <f>_xlfn.XLOOKUP(Table1[[#This Row],[Customer ID]],Data_customers!$A$2:$A$1001,Data_customers!$I$2:$I$1001,,0)</f>
        <v>Yes</v>
      </c>
    </row>
    <row r="966" spans="1:16" x14ac:dyDescent="0.2">
      <c r="A966" s="2" t="s">
        <v>5938</v>
      </c>
      <c r="B966" s="3">
        <v>43865</v>
      </c>
      <c r="C966" s="2" t="s">
        <v>5939</v>
      </c>
      <c r="D966" t="s">
        <v>6184</v>
      </c>
      <c r="E966" s="2">
        <v>5</v>
      </c>
      <c r="F966" s="2" t="str">
        <f>_xlfn.XLOOKUP(Data_orders!C966,Data_customers!$A$1:$A$1001,Data_customers!$B$1:$B$1001,,0)</f>
        <v>Cleopatra Goodrum</v>
      </c>
      <c r="G966" s="2" t="str">
        <f>IF(_xlfn.XLOOKUP(C966,Data_customers!$A$1:$A$1001,Data_customers!$C$1:$C$1001,,0)=0,"",_xlfn.XLOOKUP(C966,Data_customers!$A$1:$A$1001,Data_customers!$C$1:$C$1001,,0))</f>
        <v>cgoodrumqs@goodreads.com</v>
      </c>
      <c r="H966" s="2" t="str">
        <f>_xlfn.XLOOKUP(C966,Data_customers!$A$1:$A$1001,Data_customers!$G$1:$G$1001,"",0)</f>
        <v>United States</v>
      </c>
      <c r="I966" t="str">
        <f>INDEX(Data_products!$A$1:$G$49, MATCH(Data_orders!$D966,Data_products!$A$1:$A$49,0), MATCH(Data_orders!I$1,Data_products!$A$1:$G$1,0))</f>
        <v>Exc</v>
      </c>
      <c r="J966" t="str">
        <f>INDEX(Data_products!$A$1:$G$49, MATCH(Data_orders!$D966,Data_products!$A$1:$A$49,0), MATCH(Data_orders!J$1,Data_products!$A$1:$G$1,0))</f>
        <v>L</v>
      </c>
      <c r="K966" s="4">
        <f>INDEX(Data_products!$A$1:$G$49, MATCH(Data_orders!$D966,Data_products!$A$1:$A$49,0), MATCH(Data_orders!K$1,Data_products!$A$1:$G$1,0))</f>
        <v>0.2</v>
      </c>
      <c r="L966">
        <f>INDEX(Data_products!$A$1:$G$49, MATCH(Data_orders!$D966,Data_products!$A$1:$A$49,0), MATCH(Data_orders!L$1,Data_products!$A$1:$G$1,0))</f>
        <v>4.4550000000000001</v>
      </c>
      <c r="M966">
        <f t="shared" si="30"/>
        <v>22.274999999999999</v>
      </c>
      <c r="N966" t="str" cm="1">
        <f t="array" ref="N966">_xlfn.IFS(I966 = "Rob", "Robusta", I966 = "Exc", "Excelsa", I966 = "Ara", "Arabica", I966 = "Lib", "Liberica")</f>
        <v>Excelsa</v>
      </c>
      <c r="O966" t="str">
        <f t="shared" si="31"/>
        <v>Light</v>
      </c>
      <c r="P966" t="str">
        <f>_xlfn.XLOOKUP(Table1[[#This Row],[Customer ID]],Data_customers!$A$2:$A$1001,Data_customers!$I$2:$I$1001,,0)</f>
        <v>No</v>
      </c>
    </row>
    <row r="967" spans="1:16" x14ac:dyDescent="0.2">
      <c r="A967" s="2" t="s">
        <v>5944</v>
      </c>
      <c r="B967" s="3">
        <v>43724</v>
      </c>
      <c r="C967" s="2" t="s">
        <v>5945</v>
      </c>
      <c r="D967" t="s">
        <v>6138</v>
      </c>
      <c r="E967" s="2">
        <v>3</v>
      </c>
      <c r="F967" s="2" t="str">
        <f>_xlfn.XLOOKUP(Data_orders!C967,Data_customers!$A$1:$A$1001,Data_customers!$B$1:$B$1001,,0)</f>
        <v>Joey Jefferys</v>
      </c>
      <c r="G967" s="2" t="str">
        <f>IF(_xlfn.XLOOKUP(C967,Data_customers!$A$1:$A$1001,Data_customers!$C$1:$C$1001,,0)=0,"",_xlfn.XLOOKUP(C967,Data_customers!$A$1:$A$1001,Data_customers!$C$1:$C$1001,,0))</f>
        <v>jjefferysqt@blog.com</v>
      </c>
      <c r="H967" s="2" t="str">
        <f>_xlfn.XLOOKUP(C967,Data_customers!$A$1:$A$1001,Data_customers!$G$1:$G$1001,"",0)</f>
        <v>United States</v>
      </c>
      <c r="I967" t="str">
        <f>INDEX(Data_products!$A$1:$G$49, MATCH(Data_orders!$D967,Data_products!$A$1:$A$49,0), MATCH(Data_orders!I$1,Data_products!$A$1:$G$1,0))</f>
        <v>Rob</v>
      </c>
      <c r="J967" t="str">
        <f>INDEX(Data_products!$A$1:$G$49, MATCH(Data_orders!$D967,Data_products!$A$1:$A$49,0), MATCH(Data_orders!J$1,Data_products!$A$1:$G$1,0))</f>
        <v>M</v>
      </c>
      <c r="K967" s="4">
        <f>INDEX(Data_products!$A$1:$G$49, MATCH(Data_orders!$D967,Data_products!$A$1:$A$49,0), MATCH(Data_orders!K$1,Data_products!$A$1:$G$1,0))</f>
        <v>1</v>
      </c>
      <c r="L967">
        <f>INDEX(Data_products!$A$1:$G$49, MATCH(Data_orders!$D967,Data_products!$A$1:$A$49,0), MATCH(Data_orders!L$1,Data_products!$A$1:$G$1,0))</f>
        <v>9.9499999999999993</v>
      </c>
      <c r="M967">
        <f t="shared" si="30"/>
        <v>29.849999999999998</v>
      </c>
      <c r="N967" t="str" cm="1">
        <f t="array" ref="N967">_xlfn.IFS(I967 = "Rob", "Robusta", I967 = "Exc", "Excelsa", I967 = "Ara", "Arabica", I967 = "Lib", "Liberica")</f>
        <v>Robusta</v>
      </c>
      <c r="O967" t="str">
        <f t="shared" si="31"/>
        <v>Medium</v>
      </c>
      <c r="P967" t="str">
        <f>_xlfn.XLOOKUP(Table1[[#This Row],[Customer ID]],Data_customers!$A$2:$A$1001,Data_customers!$I$2:$I$1001,,0)</f>
        <v>Yes</v>
      </c>
    </row>
    <row r="968" spans="1:16" x14ac:dyDescent="0.2">
      <c r="A968" s="2" t="s">
        <v>5949</v>
      </c>
      <c r="B968" s="3">
        <v>43491</v>
      </c>
      <c r="C968" s="2" t="s">
        <v>5950</v>
      </c>
      <c r="D968" t="s">
        <v>6176</v>
      </c>
      <c r="E968" s="2">
        <v>6</v>
      </c>
      <c r="F968" s="2" t="str">
        <f>_xlfn.XLOOKUP(Data_orders!C968,Data_customers!$A$1:$A$1001,Data_customers!$B$1:$B$1001,,0)</f>
        <v>Bearnard Wardell</v>
      </c>
      <c r="G968" s="2" t="str">
        <f>IF(_xlfn.XLOOKUP(C968,Data_customers!$A$1:$A$1001,Data_customers!$C$1:$C$1001,,0)=0,"",_xlfn.XLOOKUP(C968,Data_customers!$A$1:$A$1001,Data_customers!$C$1:$C$1001,,0))</f>
        <v>bwardellqu@adobe.com</v>
      </c>
      <c r="H968" s="2" t="str">
        <f>_xlfn.XLOOKUP(C968,Data_customers!$A$1:$A$1001,Data_customers!$G$1:$G$1001,"",0)</f>
        <v>United States</v>
      </c>
      <c r="I968" t="str">
        <f>INDEX(Data_products!$A$1:$G$49, MATCH(Data_orders!$D968,Data_products!$A$1:$A$49,0), MATCH(Data_orders!I$1,Data_products!$A$1:$G$1,0))</f>
        <v>Exc</v>
      </c>
      <c r="J968" t="str">
        <f>INDEX(Data_products!$A$1:$G$49, MATCH(Data_orders!$D968,Data_products!$A$1:$A$49,0), MATCH(Data_orders!J$1,Data_products!$A$1:$G$1,0))</f>
        <v>L</v>
      </c>
      <c r="K968" s="4">
        <f>INDEX(Data_products!$A$1:$G$49, MATCH(Data_orders!$D968,Data_products!$A$1:$A$49,0), MATCH(Data_orders!K$1,Data_products!$A$1:$G$1,0))</f>
        <v>0.5</v>
      </c>
      <c r="L968">
        <f>INDEX(Data_products!$A$1:$G$49, MATCH(Data_orders!$D968,Data_products!$A$1:$A$49,0), MATCH(Data_orders!L$1,Data_products!$A$1:$G$1,0))</f>
        <v>8.91</v>
      </c>
      <c r="M968">
        <f t="shared" si="30"/>
        <v>53.46</v>
      </c>
      <c r="N968" t="str" cm="1">
        <f t="array" ref="N968">_xlfn.IFS(I968 = "Rob", "Robusta", I968 = "Exc", "Excelsa", I968 = "Ara", "Arabica", I968 = "Lib", "Liberica")</f>
        <v>Excelsa</v>
      </c>
      <c r="O968" t="str">
        <f t="shared" si="31"/>
        <v>Light</v>
      </c>
      <c r="P968" t="str">
        <f>_xlfn.XLOOKUP(Table1[[#This Row],[Customer ID]],Data_customers!$A$2:$A$1001,Data_customers!$I$2:$I$1001,,0)</f>
        <v>Yes</v>
      </c>
    </row>
    <row r="969" spans="1:16" x14ac:dyDescent="0.2">
      <c r="A969" s="2" t="s">
        <v>5955</v>
      </c>
      <c r="B969" s="3">
        <v>44246</v>
      </c>
      <c r="C969" s="2" t="s">
        <v>5956</v>
      </c>
      <c r="D969" t="s">
        <v>6163</v>
      </c>
      <c r="E969" s="2">
        <v>1</v>
      </c>
      <c r="F969" s="2" t="str">
        <f>_xlfn.XLOOKUP(Data_orders!C969,Data_customers!$A$1:$A$1001,Data_customers!$B$1:$B$1001,,0)</f>
        <v>Zeke Walisiak</v>
      </c>
      <c r="G969" s="2" t="str">
        <f>IF(_xlfn.XLOOKUP(C969,Data_customers!$A$1:$A$1001,Data_customers!$C$1:$C$1001,,0)=0,"",_xlfn.XLOOKUP(C969,Data_customers!$A$1:$A$1001,Data_customers!$C$1:$C$1001,,0))</f>
        <v>zwalisiakqv@ucsd.edu</v>
      </c>
      <c r="H969" s="2" t="str">
        <f>_xlfn.XLOOKUP(C969,Data_customers!$A$1:$A$1001,Data_customers!$G$1:$G$1001,"",0)</f>
        <v>Ireland</v>
      </c>
      <c r="I969" t="str">
        <f>INDEX(Data_products!$A$1:$G$49, MATCH(Data_orders!$D969,Data_products!$A$1:$A$49,0), MATCH(Data_orders!I$1,Data_products!$A$1:$G$1,0))</f>
        <v>Rob</v>
      </c>
      <c r="J969" t="str">
        <f>INDEX(Data_products!$A$1:$G$49, MATCH(Data_orders!$D969,Data_products!$A$1:$A$49,0), MATCH(Data_orders!J$1,Data_products!$A$1:$G$1,0))</f>
        <v>D</v>
      </c>
      <c r="K969" s="4">
        <f>INDEX(Data_products!$A$1:$G$49, MATCH(Data_orders!$D969,Data_products!$A$1:$A$49,0), MATCH(Data_orders!K$1,Data_products!$A$1:$G$1,0))</f>
        <v>0.2</v>
      </c>
      <c r="L969">
        <f>INDEX(Data_products!$A$1:$G$49, MATCH(Data_orders!$D969,Data_products!$A$1:$A$49,0), MATCH(Data_orders!L$1,Data_products!$A$1:$G$1,0))</f>
        <v>2.6849999999999996</v>
      </c>
      <c r="M969">
        <f t="shared" si="30"/>
        <v>2.6849999999999996</v>
      </c>
      <c r="N969" t="str" cm="1">
        <f t="array" ref="N969">_xlfn.IFS(I969 = "Rob", "Robusta", I969 = "Exc", "Excelsa", I969 = "Ara", "Arabica", I969 = "Lib", "Liberica")</f>
        <v>Robusta</v>
      </c>
      <c r="O969" t="str">
        <f t="shared" si="31"/>
        <v>Dark</v>
      </c>
      <c r="P969" t="str">
        <f>_xlfn.XLOOKUP(Table1[[#This Row],[Customer ID]],Data_customers!$A$2:$A$1001,Data_customers!$I$2:$I$1001,,0)</f>
        <v>Yes</v>
      </c>
    </row>
    <row r="970" spans="1:16" x14ac:dyDescent="0.2">
      <c r="A970" s="2" t="s">
        <v>5961</v>
      </c>
      <c r="B970" s="3">
        <v>44642</v>
      </c>
      <c r="C970" s="2" t="s">
        <v>5962</v>
      </c>
      <c r="D970" t="s">
        <v>6174</v>
      </c>
      <c r="E970" s="2">
        <v>2</v>
      </c>
      <c r="F970" s="2" t="str">
        <f>_xlfn.XLOOKUP(Data_orders!C970,Data_customers!$A$1:$A$1001,Data_customers!$B$1:$B$1001,,0)</f>
        <v>Wiley Leopold</v>
      </c>
      <c r="G970" s="2" t="str">
        <f>IF(_xlfn.XLOOKUP(C970,Data_customers!$A$1:$A$1001,Data_customers!$C$1:$C$1001,,0)=0,"",_xlfn.XLOOKUP(C970,Data_customers!$A$1:$A$1001,Data_customers!$C$1:$C$1001,,0))</f>
        <v>wleopoldqw@blogspot.com</v>
      </c>
      <c r="H970" s="2" t="str">
        <f>_xlfn.XLOOKUP(C970,Data_customers!$A$1:$A$1001,Data_customers!$G$1:$G$1001,"",0)</f>
        <v>United States</v>
      </c>
      <c r="I970" t="str">
        <f>INDEX(Data_products!$A$1:$G$49, MATCH(Data_orders!$D970,Data_products!$A$1:$A$49,0), MATCH(Data_orders!I$1,Data_products!$A$1:$G$1,0))</f>
        <v>Rob</v>
      </c>
      <c r="J970" t="str">
        <f>INDEX(Data_products!$A$1:$G$49, MATCH(Data_orders!$D970,Data_products!$A$1:$A$49,0), MATCH(Data_orders!J$1,Data_products!$A$1:$G$1,0))</f>
        <v>M</v>
      </c>
      <c r="K970" s="4">
        <f>INDEX(Data_products!$A$1:$G$49, MATCH(Data_orders!$D970,Data_products!$A$1:$A$49,0), MATCH(Data_orders!K$1,Data_products!$A$1:$G$1,0))</f>
        <v>0.2</v>
      </c>
      <c r="L970">
        <f>INDEX(Data_products!$A$1:$G$49, MATCH(Data_orders!$D970,Data_products!$A$1:$A$49,0), MATCH(Data_orders!L$1,Data_products!$A$1:$G$1,0))</f>
        <v>2.9849999999999999</v>
      </c>
      <c r="M970">
        <f t="shared" si="30"/>
        <v>5.97</v>
      </c>
      <c r="N970" t="str" cm="1">
        <f t="array" ref="N970">_xlfn.IFS(I970 = "Rob", "Robusta", I970 = "Exc", "Excelsa", I970 = "Ara", "Arabica", I970 = "Lib", "Liberica")</f>
        <v>Robusta</v>
      </c>
      <c r="O970" t="str">
        <f t="shared" si="31"/>
        <v>Medium</v>
      </c>
      <c r="P970" t="str">
        <f>_xlfn.XLOOKUP(Table1[[#This Row],[Customer ID]],Data_customers!$A$2:$A$1001,Data_customers!$I$2:$I$1001,,0)</f>
        <v>No</v>
      </c>
    </row>
    <row r="971" spans="1:16" x14ac:dyDescent="0.2">
      <c r="A971" s="2" t="s">
        <v>5967</v>
      </c>
      <c r="B971" s="3">
        <v>43649</v>
      </c>
      <c r="C971" s="2" t="s">
        <v>5968</v>
      </c>
      <c r="D971" t="s">
        <v>6143</v>
      </c>
      <c r="E971" s="2">
        <v>1</v>
      </c>
      <c r="F971" s="2" t="str">
        <f>_xlfn.XLOOKUP(Data_orders!C971,Data_customers!$A$1:$A$1001,Data_customers!$B$1:$B$1001,,0)</f>
        <v>Chiarra Shalders</v>
      </c>
      <c r="G971" s="2" t="str">
        <f>IF(_xlfn.XLOOKUP(C971,Data_customers!$A$1:$A$1001,Data_customers!$C$1:$C$1001,,0)=0,"",_xlfn.XLOOKUP(C971,Data_customers!$A$1:$A$1001,Data_customers!$C$1:$C$1001,,0))</f>
        <v>cshaldersqx@cisco.com</v>
      </c>
      <c r="H971" s="2" t="str">
        <f>_xlfn.XLOOKUP(C971,Data_customers!$A$1:$A$1001,Data_customers!$G$1:$G$1001,"",0)</f>
        <v>United States</v>
      </c>
      <c r="I971" t="str">
        <f>INDEX(Data_products!$A$1:$G$49, MATCH(Data_orders!$D971,Data_products!$A$1:$A$49,0), MATCH(Data_orders!I$1,Data_products!$A$1:$G$1,0))</f>
        <v>Lib</v>
      </c>
      <c r="J971" t="str">
        <f>INDEX(Data_products!$A$1:$G$49, MATCH(Data_orders!$D971,Data_products!$A$1:$A$49,0), MATCH(Data_orders!J$1,Data_products!$A$1:$G$1,0))</f>
        <v>D</v>
      </c>
      <c r="K971" s="4">
        <f>INDEX(Data_products!$A$1:$G$49, MATCH(Data_orders!$D971,Data_products!$A$1:$A$49,0), MATCH(Data_orders!K$1,Data_products!$A$1:$G$1,0))</f>
        <v>1</v>
      </c>
      <c r="L971">
        <f>INDEX(Data_products!$A$1:$G$49, MATCH(Data_orders!$D971,Data_products!$A$1:$A$49,0), MATCH(Data_orders!L$1,Data_products!$A$1:$G$1,0))</f>
        <v>12.95</v>
      </c>
      <c r="M971">
        <f t="shared" si="30"/>
        <v>12.95</v>
      </c>
      <c r="N971" t="str" cm="1">
        <f t="array" ref="N971">_xlfn.IFS(I971 = "Rob", "Robusta", I971 = "Exc", "Excelsa", I971 = "Ara", "Arabica", I971 = "Lib", "Liberica")</f>
        <v>Liberica</v>
      </c>
      <c r="O971" t="str">
        <f t="shared" si="31"/>
        <v>Dark</v>
      </c>
      <c r="P971" t="str">
        <f>_xlfn.XLOOKUP(Table1[[#This Row],[Customer ID]],Data_customers!$A$2:$A$1001,Data_customers!$I$2:$I$1001,,0)</f>
        <v>Yes</v>
      </c>
    </row>
    <row r="972" spans="1:16" x14ac:dyDescent="0.2">
      <c r="A972" s="2" t="s">
        <v>5973</v>
      </c>
      <c r="B972" s="3">
        <v>43729</v>
      </c>
      <c r="C972" s="2" t="s">
        <v>5974</v>
      </c>
      <c r="D972" t="s">
        <v>6139</v>
      </c>
      <c r="E972" s="2">
        <v>1</v>
      </c>
      <c r="F972" s="2" t="str">
        <f>_xlfn.XLOOKUP(Data_orders!C972,Data_customers!$A$1:$A$1001,Data_customers!$B$1:$B$1001,,0)</f>
        <v>Sharl Southerill</v>
      </c>
      <c r="G972" s="2" t="str">
        <f>IF(_xlfn.XLOOKUP(C972,Data_customers!$A$1:$A$1001,Data_customers!$C$1:$C$1001,,0)=0,"",_xlfn.XLOOKUP(C972,Data_customers!$A$1:$A$1001,Data_customers!$C$1:$C$1001,,0))</f>
        <v/>
      </c>
      <c r="H972" s="2" t="str">
        <f>_xlfn.XLOOKUP(C972,Data_customers!$A$1:$A$1001,Data_customers!$G$1:$G$1001,"",0)</f>
        <v>United States</v>
      </c>
      <c r="I972" t="str">
        <f>INDEX(Data_products!$A$1:$G$49, MATCH(Data_orders!$D972,Data_products!$A$1:$A$49,0), MATCH(Data_orders!I$1,Data_products!$A$1:$G$1,0))</f>
        <v>Exc</v>
      </c>
      <c r="J972" t="str">
        <f>INDEX(Data_products!$A$1:$G$49, MATCH(Data_orders!$D972,Data_products!$A$1:$A$49,0), MATCH(Data_orders!J$1,Data_products!$A$1:$G$1,0))</f>
        <v>M</v>
      </c>
      <c r="K972" s="4">
        <f>INDEX(Data_products!$A$1:$G$49, MATCH(Data_orders!$D972,Data_products!$A$1:$A$49,0), MATCH(Data_orders!K$1,Data_products!$A$1:$G$1,0))</f>
        <v>0.5</v>
      </c>
      <c r="L972">
        <f>INDEX(Data_products!$A$1:$G$49, MATCH(Data_orders!$D972,Data_products!$A$1:$A$49,0), MATCH(Data_orders!L$1,Data_products!$A$1:$G$1,0))</f>
        <v>8.25</v>
      </c>
      <c r="M972">
        <f t="shared" si="30"/>
        <v>8.25</v>
      </c>
      <c r="N972" t="str" cm="1">
        <f t="array" ref="N972">_xlfn.IFS(I972 = "Rob", "Robusta", I972 = "Exc", "Excelsa", I972 = "Ara", "Arabica", I972 = "Lib", "Liberica")</f>
        <v>Excelsa</v>
      </c>
      <c r="O972" t="str">
        <f t="shared" si="31"/>
        <v>Medium</v>
      </c>
      <c r="P972" t="str">
        <f>_xlfn.XLOOKUP(Table1[[#This Row],[Customer ID]],Data_customers!$A$2:$A$1001,Data_customers!$I$2:$I$1001,,0)</f>
        <v>No</v>
      </c>
    </row>
    <row r="973" spans="1:16" x14ac:dyDescent="0.2">
      <c r="A973" s="2" t="s">
        <v>5978</v>
      </c>
      <c r="B973" s="3">
        <v>43703</v>
      </c>
      <c r="C973" s="2" t="s">
        <v>5979</v>
      </c>
      <c r="D973" t="s">
        <v>6182</v>
      </c>
      <c r="E973" s="2">
        <v>5</v>
      </c>
      <c r="F973" s="2" t="str">
        <f>_xlfn.XLOOKUP(Data_orders!C973,Data_customers!$A$1:$A$1001,Data_customers!$B$1:$B$1001,,0)</f>
        <v>Noni Furber</v>
      </c>
      <c r="G973" s="2" t="str">
        <f>IF(_xlfn.XLOOKUP(C973,Data_customers!$A$1:$A$1001,Data_customers!$C$1:$C$1001,,0)=0,"",_xlfn.XLOOKUP(C973,Data_customers!$A$1:$A$1001,Data_customers!$C$1:$C$1001,,0))</f>
        <v>nfurberqz@jugem.jp</v>
      </c>
      <c r="H973" s="2" t="str">
        <f>_xlfn.XLOOKUP(C973,Data_customers!$A$1:$A$1001,Data_customers!$G$1:$G$1001,"",0)</f>
        <v>United States</v>
      </c>
      <c r="I973" t="str">
        <f>INDEX(Data_products!$A$1:$G$49, MATCH(Data_orders!$D973,Data_products!$A$1:$A$49,0), MATCH(Data_orders!I$1,Data_products!$A$1:$G$1,0))</f>
        <v>Ara</v>
      </c>
      <c r="J973" t="str">
        <f>INDEX(Data_products!$A$1:$G$49, MATCH(Data_orders!$D973,Data_products!$A$1:$A$49,0), MATCH(Data_orders!J$1,Data_products!$A$1:$G$1,0))</f>
        <v>L</v>
      </c>
      <c r="K973" s="4">
        <f>INDEX(Data_products!$A$1:$G$49, MATCH(Data_orders!$D973,Data_products!$A$1:$A$49,0), MATCH(Data_orders!K$1,Data_products!$A$1:$G$1,0))</f>
        <v>2.5</v>
      </c>
      <c r="L973">
        <f>INDEX(Data_products!$A$1:$G$49, MATCH(Data_orders!$D973,Data_products!$A$1:$A$49,0), MATCH(Data_orders!L$1,Data_products!$A$1:$G$1,0))</f>
        <v>29.784999999999997</v>
      </c>
      <c r="M973">
        <f t="shared" si="30"/>
        <v>148.92499999999998</v>
      </c>
      <c r="N973" t="str" cm="1">
        <f t="array" ref="N973">_xlfn.IFS(I973 = "Rob", "Robusta", I973 = "Exc", "Excelsa", I973 = "Ara", "Arabica", I973 = "Lib", "Liberica")</f>
        <v>Arabica</v>
      </c>
      <c r="O973" t="str">
        <f t="shared" si="31"/>
        <v>Light</v>
      </c>
      <c r="P973" t="str">
        <f>_xlfn.XLOOKUP(Table1[[#This Row],[Customer ID]],Data_customers!$A$2:$A$1001,Data_customers!$I$2:$I$1001,,0)</f>
        <v>No</v>
      </c>
    </row>
    <row r="974" spans="1:16" x14ac:dyDescent="0.2">
      <c r="A974" s="2" t="s">
        <v>5984</v>
      </c>
      <c r="B974" s="3">
        <v>44411</v>
      </c>
      <c r="C974" s="2" t="s">
        <v>5985</v>
      </c>
      <c r="D974" t="s">
        <v>6182</v>
      </c>
      <c r="E974" s="2">
        <v>3</v>
      </c>
      <c r="F974" s="2" t="str">
        <f>_xlfn.XLOOKUP(Data_orders!C974,Data_customers!$A$1:$A$1001,Data_customers!$B$1:$B$1001,,0)</f>
        <v>Dinah Crutcher</v>
      </c>
      <c r="G974" s="2" t="str">
        <f>IF(_xlfn.XLOOKUP(C974,Data_customers!$A$1:$A$1001,Data_customers!$C$1:$C$1001,,0)=0,"",_xlfn.XLOOKUP(C974,Data_customers!$A$1:$A$1001,Data_customers!$C$1:$C$1001,,0))</f>
        <v/>
      </c>
      <c r="H974" s="2" t="str">
        <f>_xlfn.XLOOKUP(C974,Data_customers!$A$1:$A$1001,Data_customers!$G$1:$G$1001,"",0)</f>
        <v>Ireland</v>
      </c>
      <c r="I974" t="str">
        <f>INDEX(Data_products!$A$1:$G$49, MATCH(Data_orders!$D974,Data_products!$A$1:$A$49,0), MATCH(Data_orders!I$1,Data_products!$A$1:$G$1,0))</f>
        <v>Ara</v>
      </c>
      <c r="J974" t="str">
        <f>INDEX(Data_products!$A$1:$G$49, MATCH(Data_orders!$D974,Data_products!$A$1:$A$49,0), MATCH(Data_orders!J$1,Data_products!$A$1:$G$1,0))</f>
        <v>L</v>
      </c>
      <c r="K974" s="4">
        <f>INDEX(Data_products!$A$1:$G$49, MATCH(Data_orders!$D974,Data_products!$A$1:$A$49,0), MATCH(Data_orders!K$1,Data_products!$A$1:$G$1,0))</f>
        <v>2.5</v>
      </c>
      <c r="L974">
        <f>INDEX(Data_products!$A$1:$G$49, MATCH(Data_orders!$D974,Data_products!$A$1:$A$49,0), MATCH(Data_orders!L$1,Data_products!$A$1:$G$1,0))</f>
        <v>29.784999999999997</v>
      </c>
      <c r="M974">
        <f t="shared" si="30"/>
        <v>89.35499999999999</v>
      </c>
      <c r="N974" t="str" cm="1">
        <f t="array" ref="N974">_xlfn.IFS(I974 = "Rob", "Robusta", I974 = "Exc", "Excelsa", I974 = "Ara", "Arabica", I974 = "Lib", "Liberica")</f>
        <v>Arabica</v>
      </c>
      <c r="O974" t="str">
        <f t="shared" si="31"/>
        <v>Light</v>
      </c>
      <c r="P974" t="str">
        <f>_xlfn.XLOOKUP(Table1[[#This Row],[Customer ID]],Data_customers!$A$2:$A$1001,Data_customers!$I$2:$I$1001,,0)</f>
        <v>Yes</v>
      </c>
    </row>
    <row r="975" spans="1:16" x14ac:dyDescent="0.2">
      <c r="A975" s="2" t="s">
        <v>5989</v>
      </c>
      <c r="B975" s="3">
        <v>44493</v>
      </c>
      <c r="C975" s="2" t="s">
        <v>5990</v>
      </c>
      <c r="D975" t="s">
        <v>6162</v>
      </c>
      <c r="E975" s="2">
        <v>6</v>
      </c>
      <c r="F975" s="2" t="str">
        <f>_xlfn.XLOOKUP(Data_orders!C975,Data_customers!$A$1:$A$1001,Data_customers!$B$1:$B$1001,,0)</f>
        <v>Charlean Keave</v>
      </c>
      <c r="G975" s="2" t="str">
        <f>IF(_xlfn.XLOOKUP(C975,Data_customers!$A$1:$A$1001,Data_customers!$C$1:$C$1001,,0)=0,"",_xlfn.XLOOKUP(C975,Data_customers!$A$1:$A$1001,Data_customers!$C$1:$C$1001,,0))</f>
        <v>ckeaver1@ucoz.com</v>
      </c>
      <c r="H975" s="2" t="str">
        <f>_xlfn.XLOOKUP(C975,Data_customers!$A$1:$A$1001,Data_customers!$G$1:$G$1001,"",0)</f>
        <v>United States</v>
      </c>
      <c r="I975" t="str">
        <f>INDEX(Data_products!$A$1:$G$49, MATCH(Data_orders!$D975,Data_products!$A$1:$A$49,0), MATCH(Data_orders!I$1,Data_products!$A$1:$G$1,0))</f>
        <v>Lib</v>
      </c>
      <c r="J975" t="str">
        <f>INDEX(Data_products!$A$1:$G$49, MATCH(Data_orders!$D975,Data_products!$A$1:$A$49,0), MATCH(Data_orders!J$1,Data_products!$A$1:$G$1,0))</f>
        <v>M</v>
      </c>
      <c r="K975" s="4">
        <f>INDEX(Data_products!$A$1:$G$49, MATCH(Data_orders!$D975,Data_products!$A$1:$A$49,0), MATCH(Data_orders!K$1,Data_products!$A$1:$G$1,0))</f>
        <v>1</v>
      </c>
      <c r="L975">
        <f>INDEX(Data_products!$A$1:$G$49, MATCH(Data_orders!$D975,Data_products!$A$1:$A$49,0), MATCH(Data_orders!L$1,Data_products!$A$1:$G$1,0))</f>
        <v>14.55</v>
      </c>
      <c r="M975">
        <f t="shared" si="30"/>
        <v>87.300000000000011</v>
      </c>
      <c r="N975" t="str" cm="1">
        <f t="array" ref="N975">_xlfn.IFS(I975 = "Rob", "Robusta", I975 = "Exc", "Excelsa", I975 = "Ara", "Arabica", I975 = "Lib", "Liberica")</f>
        <v>Liberica</v>
      </c>
      <c r="O975" t="str">
        <f t="shared" si="31"/>
        <v>Medium</v>
      </c>
      <c r="P975" t="str">
        <f>_xlfn.XLOOKUP(Table1[[#This Row],[Customer ID]],Data_customers!$A$2:$A$1001,Data_customers!$I$2:$I$1001,,0)</f>
        <v>No</v>
      </c>
    </row>
    <row r="976" spans="1:16" x14ac:dyDescent="0.2">
      <c r="A976" s="2" t="s">
        <v>5995</v>
      </c>
      <c r="B976" s="3">
        <v>43556</v>
      </c>
      <c r="C976" s="2" t="s">
        <v>5996</v>
      </c>
      <c r="D976" t="s">
        <v>6172</v>
      </c>
      <c r="E976" s="2">
        <v>1</v>
      </c>
      <c r="F976" s="2" t="str">
        <f>_xlfn.XLOOKUP(Data_orders!C976,Data_customers!$A$1:$A$1001,Data_customers!$B$1:$B$1001,,0)</f>
        <v>Sada Roseborough</v>
      </c>
      <c r="G976" s="2" t="str">
        <f>IF(_xlfn.XLOOKUP(C976,Data_customers!$A$1:$A$1001,Data_customers!$C$1:$C$1001,,0)=0,"",_xlfn.XLOOKUP(C976,Data_customers!$A$1:$A$1001,Data_customers!$C$1:$C$1001,,0))</f>
        <v>sroseboroughr2@virginia.edu</v>
      </c>
      <c r="H976" s="2" t="str">
        <f>_xlfn.XLOOKUP(C976,Data_customers!$A$1:$A$1001,Data_customers!$G$1:$G$1001,"",0)</f>
        <v>United States</v>
      </c>
      <c r="I976" t="str">
        <f>INDEX(Data_products!$A$1:$G$49, MATCH(Data_orders!$D976,Data_products!$A$1:$A$49,0), MATCH(Data_orders!I$1,Data_products!$A$1:$G$1,0))</f>
        <v>Rob</v>
      </c>
      <c r="J976" t="str">
        <f>INDEX(Data_products!$A$1:$G$49, MATCH(Data_orders!$D976,Data_products!$A$1:$A$49,0), MATCH(Data_orders!J$1,Data_products!$A$1:$G$1,0))</f>
        <v>D</v>
      </c>
      <c r="K976" s="4">
        <f>INDEX(Data_products!$A$1:$G$49, MATCH(Data_orders!$D976,Data_products!$A$1:$A$49,0), MATCH(Data_orders!K$1,Data_products!$A$1:$G$1,0))</f>
        <v>0.5</v>
      </c>
      <c r="L976">
        <f>INDEX(Data_products!$A$1:$G$49, MATCH(Data_orders!$D976,Data_products!$A$1:$A$49,0), MATCH(Data_orders!L$1,Data_products!$A$1:$G$1,0))</f>
        <v>5.3699999999999992</v>
      </c>
      <c r="M976">
        <f t="shared" si="30"/>
        <v>5.3699999999999992</v>
      </c>
      <c r="N976" t="str" cm="1">
        <f t="array" ref="N976">_xlfn.IFS(I976 = "Rob", "Robusta", I976 = "Exc", "Excelsa", I976 = "Ara", "Arabica", I976 = "Lib", "Liberica")</f>
        <v>Robusta</v>
      </c>
      <c r="O976" t="str">
        <f t="shared" si="31"/>
        <v>Dark</v>
      </c>
      <c r="P976" t="str">
        <f>_xlfn.XLOOKUP(Table1[[#This Row],[Customer ID]],Data_customers!$A$2:$A$1001,Data_customers!$I$2:$I$1001,,0)</f>
        <v>Yes</v>
      </c>
    </row>
    <row r="977" spans="1:16" x14ac:dyDescent="0.2">
      <c r="A977" s="2" t="s">
        <v>6001</v>
      </c>
      <c r="B977" s="3">
        <v>44538</v>
      </c>
      <c r="C977" s="2" t="s">
        <v>6002</v>
      </c>
      <c r="D977" t="s">
        <v>6154</v>
      </c>
      <c r="E977" s="2">
        <v>3</v>
      </c>
      <c r="F977" s="2" t="str">
        <f>_xlfn.XLOOKUP(Data_orders!C977,Data_customers!$A$1:$A$1001,Data_customers!$B$1:$B$1001,,0)</f>
        <v>Clayton Kingwell</v>
      </c>
      <c r="G977" s="2" t="str">
        <f>IF(_xlfn.XLOOKUP(C977,Data_customers!$A$1:$A$1001,Data_customers!$C$1:$C$1001,,0)=0,"",_xlfn.XLOOKUP(C977,Data_customers!$A$1:$A$1001,Data_customers!$C$1:$C$1001,,0))</f>
        <v>ckingwellr3@squarespace.com</v>
      </c>
      <c r="H977" s="2" t="str">
        <f>_xlfn.XLOOKUP(C977,Data_customers!$A$1:$A$1001,Data_customers!$G$1:$G$1001,"",0)</f>
        <v>Ireland</v>
      </c>
      <c r="I977" t="str">
        <f>INDEX(Data_products!$A$1:$G$49, MATCH(Data_orders!$D977,Data_products!$A$1:$A$49,0), MATCH(Data_orders!I$1,Data_products!$A$1:$G$1,0))</f>
        <v>Ara</v>
      </c>
      <c r="J977" t="str">
        <f>INDEX(Data_products!$A$1:$G$49, MATCH(Data_orders!$D977,Data_products!$A$1:$A$49,0), MATCH(Data_orders!J$1,Data_products!$A$1:$G$1,0))</f>
        <v>D</v>
      </c>
      <c r="K977" s="4">
        <f>INDEX(Data_products!$A$1:$G$49, MATCH(Data_orders!$D977,Data_products!$A$1:$A$49,0), MATCH(Data_orders!K$1,Data_products!$A$1:$G$1,0))</f>
        <v>0.2</v>
      </c>
      <c r="L977">
        <f>INDEX(Data_products!$A$1:$G$49, MATCH(Data_orders!$D977,Data_products!$A$1:$A$49,0), MATCH(Data_orders!L$1,Data_products!$A$1:$G$1,0))</f>
        <v>2.9849999999999999</v>
      </c>
      <c r="M977">
        <f t="shared" si="30"/>
        <v>8.9550000000000001</v>
      </c>
      <c r="N977" t="str" cm="1">
        <f t="array" ref="N977">_xlfn.IFS(I977 = "Rob", "Robusta", I977 = "Exc", "Excelsa", I977 = "Ara", "Arabica", I977 = "Lib", "Liberica")</f>
        <v>Arabica</v>
      </c>
      <c r="O977" t="str">
        <f t="shared" si="31"/>
        <v>Dark</v>
      </c>
      <c r="P977" t="str">
        <f>_xlfn.XLOOKUP(Table1[[#This Row],[Customer ID]],Data_customers!$A$2:$A$1001,Data_customers!$I$2:$I$1001,,0)</f>
        <v>Yes</v>
      </c>
    </row>
    <row r="978" spans="1:16" x14ac:dyDescent="0.2">
      <c r="A978" s="2" t="s">
        <v>6007</v>
      </c>
      <c r="B978" s="3">
        <v>43643</v>
      </c>
      <c r="C978" s="2" t="s">
        <v>6008</v>
      </c>
      <c r="D978" t="s">
        <v>6142</v>
      </c>
      <c r="E978" s="2">
        <v>5</v>
      </c>
      <c r="F978" s="2" t="str">
        <f>_xlfn.XLOOKUP(Data_orders!C978,Data_customers!$A$1:$A$1001,Data_customers!$B$1:$B$1001,,0)</f>
        <v>Kacy Canto</v>
      </c>
      <c r="G978" s="2" t="str">
        <f>IF(_xlfn.XLOOKUP(C978,Data_customers!$A$1:$A$1001,Data_customers!$C$1:$C$1001,,0)=0,"",_xlfn.XLOOKUP(C978,Data_customers!$A$1:$A$1001,Data_customers!$C$1:$C$1001,,0))</f>
        <v>kcantor4@gmpg.org</v>
      </c>
      <c r="H978" s="2" t="str">
        <f>_xlfn.XLOOKUP(C978,Data_customers!$A$1:$A$1001,Data_customers!$G$1:$G$1001,"",0)</f>
        <v>United States</v>
      </c>
      <c r="I978" t="str">
        <f>INDEX(Data_products!$A$1:$G$49, MATCH(Data_orders!$D978,Data_products!$A$1:$A$49,0), MATCH(Data_orders!I$1,Data_products!$A$1:$G$1,0))</f>
        <v>Rob</v>
      </c>
      <c r="J978" t="str">
        <f>INDEX(Data_products!$A$1:$G$49, MATCH(Data_orders!$D978,Data_products!$A$1:$A$49,0), MATCH(Data_orders!J$1,Data_products!$A$1:$G$1,0))</f>
        <v>L</v>
      </c>
      <c r="K978" s="4">
        <f>INDEX(Data_products!$A$1:$G$49, MATCH(Data_orders!$D978,Data_products!$A$1:$A$49,0), MATCH(Data_orders!K$1,Data_products!$A$1:$G$1,0))</f>
        <v>2.5</v>
      </c>
      <c r="L978">
        <f>INDEX(Data_products!$A$1:$G$49, MATCH(Data_orders!$D978,Data_products!$A$1:$A$49,0), MATCH(Data_orders!L$1,Data_products!$A$1:$G$1,0))</f>
        <v>27.484999999999996</v>
      </c>
      <c r="M978">
        <f t="shared" si="30"/>
        <v>137.42499999999998</v>
      </c>
      <c r="N978" t="str" cm="1">
        <f t="array" ref="N978">_xlfn.IFS(I978 = "Rob", "Robusta", I978 = "Exc", "Excelsa", I978 = "Ara", "Arabica", I978 = "Lib", "Liberica")</f>
        <v>Robusta</v>
      </c>
      <c r="O978" t="str">
        <f t="shared" si="31"/>
        <v>Light</v>
      </c>
      <c r="P978" t="str">
        <f>_xlfn.XLOOKUP(Table1[[#This Row],[Customer ID]],Data_customers!$A$2:$A$1001,Data_customers!$I$2:$I$1001,,0)</f>
        <v>Yes</v>
      </c>
    </row>
    <row r="979" spans="1:16" x14ac:dyDescent="0.2">
      <c r="A979" s="2" t="s">
        <v>6013</v>
      </c>
      <c r="B979" s="3">
        <v>44026</v>
      </c>
      <c r="C979" s="2" t="s">
        <v>6014</v>
      </c>
      <c r="D979" t="s">
        <v>6179</v>
      </c>
      <c r="E979" s="2">
        <v>5</v>
      </c>
      <c r="F979" s="2" t="str">
        <f>_xlfn.XLOOKUP(Data_orders!C979,Data_customers!$A$1:$A$1001,Data_customers!$B$1:$B$1001,,0)</f>
        <v>Mab Blakemore</v>
      </c>
      <c r="G979" s="2" t="str">
        <f>IF(_xlfn.XLOOKUP(C979,Data_customers!$A$1:$A$1001,Data_customers!$C$1:$C$1001,,0)=0,"",_xlfn.XLOOKUP(C979,Data_customers!$A$1:$A$1001,Data_customers!$C$1:$C$1001,,0))</f>
        <v>mblakemorer5@nsw.gov.au</v>
      </c>
      <c r="H979" s="2" t="str">
        <f>_xlfn.XLOOKUP(C979,Data_customers!$A$1:$A$1001,Data_customers!$G$1:$G$1001,"",0)</f>
        <v>United States</v>
      </c>
      <c r="I979" t="str">
        <f>INDEX(Data_products!$A$1:$G$49, MATCH(Data_orders!$D979,Data_products!$A$1:$A$49,0), MATCH(Data_orders!I$1,Data_products!$A$1:$G$1,0))</f>
        <v>Rob</v>
      </c>
      <c r="J979" t="str">
        <f>INDEX(Data_products!$A$1:$G$49, MATCH(Data_orders!$D979,Data_products!$A$1:$A$49,0), MATCH(Data_orders!J$1,Data_products!$A$1:$G$1,0))</f>
        <v>L</v>
      </c>
      <c r="K979" s="4">
        <f>INDEX(Data_products!$A$1:$G$49, MATCH(Data_orders!$D979,Data_products!$A$1:$A$49,0), MATCH(Data_orders!K$1,Data_products!$A$1:$G$1,0))</f>
        <v>1</v>
      </c>
      <c r="L979">
        <f>INDEX(Data_products!$A$1:$G$49, MATCH(Data_orders!$D979,Data_products!$A$1:$A$49,0), MATCH(Data_orders!L$1,Data_products!$A$1:$G$1,0))</f>
        <v>11.95</v>
      </c>
      <c r="M979">
        <f t="shared" si="30"/>
        <v>59.75</v>
      </c>
      <c r="N979" t="str" cm="1">
        <f t="array" ref="N979">_xlfn.IFS(I979 = "Rob", "Robusta", I979 = "Exc", "Excelsa", I979 = "Ara", "Arabica", I979 = "Lib", "Liberica")</f>
        <v>Robusta</v>
      </c>
      <c r="O979" t="str">
        <f t="shared" si="31"/>
        <v>Light</v>
      </c>
      <c r="P979" t="str">
        <f>_xlfn.XLOOKUP(Table1[[#This Row],[Customer ID]],Data_customers!$A$2:$A$1001,Data_customers!$I$2:$I$1001,,0)</f>
        <v>No</v>
      </c>
    </row>
    <row r="980" spans="1:16" x14ac:dyDescent="0.2">
      <c r="A980" s="2" t="s">
        <v>6019</v>
      </c>
      <c r="B980" s="3">
        <v>43913</v>
      </c>
      <c r="C980" s="2" t="s">
        <v>5990</v>
      </c>
      <c r="D980" t="s">
        <v>6180</v>
      </c>
      <c r="E980" s="2">
        <v>3</v>
      </c>
      <c r="F980" s="2" t="str">
        <f>_xlfn.XLOOKUP(Data_orders!C980,Data_customers!$A$1:$A$1001,Data_customers!$B$1:$B$1001,,0)</f>
        <v>Charlean Keave</v>
      </c>
      <c r="G980" s="2" t="str">
        <f>IF(_xlfn.XLOOKUP(C980,Data_customers!$A$1:$A$1001,Data_customers!$C$1:$C$1001,,0)=0,"",_xlfn.XLOOKUP(C980,Data_customers!$A$1:$A$1001,Data_customers!$C$1:$C$1001,,0))</f>
        <v>ckeaver1@ucoz.com</v>
      </c>
      <c r="H980" s="2" t="str">
        <f>_xlfn.XLOOKUP(C980,Data_customers!$A$1:$A$1001,Data_customers!$G$1:$G$1001,"",0)</f>
        <v>United States</v>
      </c>
      <c r="I980" t="str">
        <f>INDEX(Data_products!$A$1:$G$49, MATCH(Data_orders!$D980,Data_products!$A$1:$A$49,0), MATCH(Data_orders!I$1,Data_products!$A$1:$G$1,0))</f>
        <v>Ara</v>
      </c>
      <c r="J980" t="str">
        <f>INDEX(Data_products!$A$1:$G$49, MATCH(Data_orders!$D980,Data_products!$A$1:$A$49,0), MATCH(Data_orders!J$1,Data_products!$A$1:$G$1,0))</f>
        <v>L</v>
      </c>
      <c r="K980" s="4">
        <f>INDEX(Data_products!$A$1:$G$49, MATCH(Data_orders!$D980,Data_products!$A$1:$A$49,0), MATCH(Data_orders!K$1,Data_products!$A$1:$G$1,0))</f>
        <v>0.5</v>
      </c>
      <c r="L980">
        <f>INDEX(Data_products!$A$1:$G$49, MATCH(Data_orders!$D980,Data_products!$A$1:$A$49,0), MATCH(Data_orders!L$1,Data_products!$A$1:$G$1,0))</f>
        <v>7.77</v>
      </c>
      <c r="M980">
        <f t="shared" si="30"/>
        <v>23.31</v>
      </c>
      <c r="N980" t="str" cm="1">
        <f t="array" ref="N980">_xlfn.IFS(I980 = "Rob", "Robusta", I980 = "Exc", "Excelsa", I980 = "Ara", "Arabica", I980 = "Lib", "Liberica")</f>
        <v>Arabica</v>
      </c>
      <c r="O980" t="str">
        <f t="shared" si="31"/>
        <v>Light</v>
      </c>
      <c r="P980" t="str">
        <f>_xlfn.XLOOKUP(Table1[[#This Row],[Customer ID]],Data_customers!$A$2:$A$1001,Data_customers!$I$2:$I$1001,,0)</f>
        <v>No</v>
      </c>
    </row>
    <row r="981" spans="1:16" x14ac:dyDescent="0.2">
      <c r="A981" s="2" t="s">
        <v>6025</v>
      </c>
      <c r="B981" s="3">
        <v>43856</v>
      </c>
      <c r="C981" s="2" t="s">
        <v>6026</v>
      </c>
      <c r="D981" t="s">
        <v>6172</v>
      </c>
      <c r="E981" s="2">
        <v>2</v>
      </c>
      <c r="F981" s="2" t="str">
        <f>_xlfn.XLOOKUP(Data_orders!C981,Data_customers!$A$1:$A$1001,Data_customers!$B$1:$B$1001,,0)</f>
        <v>Javier Causnett</v>
      </c>
      <c r="G981" s="2" t="str">
        <f>IF(_xlfn.XLOOKUP(C981,Data_customers!$A$1:$A$1001,Data_customers!$C$1:$C$1001,,0)=0,"",_xlfn.XLOOKUP(C981,Data_customers!$A$1:$A$1001,Data_customers!$C$1:$C$1001,,0))</f>
        <v/>
      </c>
      <c r="H981" s="2" t="str">
        <f>_xlfn.XLOOKUP(C981,Data_customers!$A$1:$A$1001,Data_customers!$G$1:$G$1001,"",0)</f>
        <v>United States</v>
      </c>
      <c r="I981" t="str">
        <f>INDEX(Data_products!$A$1:$G$49, MATCH(Data_orders!$D981,Data_products!$A$1:$A$49,0), MATCH(Data_orders!I$1,Data_products!$A$1:$G$1,0))</f>
        <v>Rob</v>
      </c>
      <c r="J981" t="str">
        <f>INDEX(Data_products!$A$1:$G$49, MATCH(Data_orders!$D981,Data_products!$A$1:$A$49,0), MATCH(Data_orders!J$1,Data_products!$A$1:$G$1,0))</f>
        <v>D</v>
      </c>
      <c r="K981" s="4">
        <f>INDEX(Data_products!$A$1:$G$49, MATCH(Data_orders!$D981,Data_products!$A$1:$A$49,0), MATCH(Data_orders!K$1,Data_products!$A$1:$G$1,0))</f>
        <v>0.5</v>
      </c>
      <c r="L981">
        <f>INDEX(Data_products!$A$1:$G$49, MATCH(Data_orders!$D981,Data_products!$A$1:$A$49,0), MATCH(Data_orders!L$1,Data_products!$A$1:$G$1,0))</f>
        <v>5.3699999999999992</v>
      </c>
      <c r="M981">
        <f t="shared" si="30"/>
        <v>10.739999999999998</v>
      </c>
      <c r="N981" t="str" cm="1">
        <f t="array" ref="N981">_xlfn.IFS(I981 = "Rob", "Robusta", I981 = "Exc", "Excelsa", I981 = "Ara", "Arabica", I981 = "Lib", "Liberica")</f>
        <v>Robusta</v>
      </c>
      <c r="O981" t="str">
        <f t="shared" si="31"/>
        <v>Dark</v>
      </c>
      <c r="P981" t="str">
        <f>_xlfn.XLOOKUP(Table1[[#This Row],[Customer ID]],Data_customers!$A$2:$A$1001,Data_customers!$I$2:$I$1001,,0)</f>
        <v>No</v>
      </c>
    </row>
    <row r="982" spans="1:16" x14ac:dyDescent="0.2">
      <c r="A982" s="2" t="s">
        <v>6030</v>
      </c>
      <c r="B982" s="3">
        <v>43982</v>
      </c>
      <c r="C982" s="2" t="s">
        <v>6031</v>
      </c>
      <c r="D982" t="s">
        <v>6185</v>
      </c>
      <c r="E982" s="2">
        <v>6</v>
      </c>
      <c r="F982" s="2" t="str">
        <f>_xlfn.XLOOKUP(Data_orders!C982,Data_customers!$A$1:$A$1001,Data_customers!$B$1:$B$1001,,0)</f>
        <v>Demetris Micheli</v>
      </c>
      <c r="G982" s="2" t="str">
        <f>IF(_xlfn.XLOOKUP(C982,Data_customers!$A$1:$A$1001,Data_customers!$C$1:$C$1001,,0)=0,"",_xlfn.XLOOKUP(C982,Data_customers!$A$1:$A$1001,Data_customers!$C$1:$C$1001,,0))</f>
        <v/>
      </c>
      <c r="H982" s="2" t="str">
        <f>_xlfn.XLOOKUP(C982,Data_customers!$A$1:$A$1001,Data_customers!$G$1:$G$1001,"",0)</f>
        <v>United States</v>
      </c>
      <c r="I982" t="str">
        <f>INDEX(Data_products!$A$1:$G$49, MATCH(Data_orders!$D982,Data_products!$A$1:$A$49,0), MATCH(Data_orders!I$1,Data_products!$A$1:$G$1,0))</f>
        <v>Exc</v>
      </c>
      <c r="J982" t="str">
        <f>INDEX(Data_products!$A$1:$G$49, MATCH(Data_orders!$D982,Data_products!$A$1:$A$49,0), MATCH(Data_orders!J$1,Data_products!$A$1:$G$1,0))</f>
        <v>D</v>
      </c>
      <c r="K982" s="4">
        <f>INDEX(Data_products!$A$1:$G$49, MATCH(Data_orders!$D982,Data_products!$A$1:$A$49,0), MATCH(Data_orders!K$1,Data_products!$A$1:$G$1,0))</f>
        <v>2.5</v>
      </c>
      <c r="L982">
        <f>INDEX(Data_products!$A$1:$G$49, MATCH(Data_orders!$D982,Data_products!$A$1:$A$49,0), MATCH(Data_orders!L$1,Data_products!$A$1:$G$1,0))</f>
        <v>27.945</v>
      </c>
      <c r="M982">
        <f t="shared" si="30"/>
        <v>167.67000000000002</v>
      </c>
      <c r="N982" t="str" cm="1">
        <f t="array" ref="N982">_xlfn.IFS(I982 = "Rob", "Robusta", I982 = "Exc", "Excelsa", I982 = "Ara", "Arabica", I982 = "Lib", "Liberica")</f>
        <v>Excelsa</v>
      </c>
      <c r="O982" t="str">
        <f t="shared" si="31"/>
        <v>Dark</v>
      </c>
      <c r="P982" t="str">
        <f>_xlfn.XLOOKUP(Table1[[#This Row],[Customer ID]],Data_customers!$A$2:$A$1001,Data_customers!$I$2:$I$1001,,0)</f>
        <v>Yes</v>
      </c>
    </row>
    <row r="983" spans="1:16" x14ac:dyDescent="0.2">
      <c r="A983" s="2" t="s">
        <v>6035</v>
      </c>
      <c r="B983" s="3">
        <v>44397</v>
      </c>
      <c r="C983" s="2" t="s">
        <v>6036</v>
      </c>
      <c r="D983" t="s">
        <v>6153</v>
      </c>
      <c r="E983" s="2">
        <v>6</v>
      </c>
      <c r="F983" s="2" t="str">
        <f>_xlfn.XLOOKUP(Data_orders!C983,Data_customers!$A$1:$A$1001,Data_customers!$B$1:$B$1001,,0)</f>
        <v>Chloette Bernardot</v>
      </c>
      <c r="G983" s="2" t="str">
        <f>IF(_xlfn.XLOOKUP(C983,Data_customers!$A$1:$A$1001,Data_customers!$C$1:$C$1001,,0)=0,"",_xlfn.XLOOKUP(C983,Data_customers!$A$1:$A$1001,Data_customers!$C$1:$C$1001,,0))</f>
        <v>cbernardotr9@wix.com</v>
      </c>
      <c r="H983" s="2" t="str">
        <f>_xlfn.XLOOKUP(C983,Data_customers!$A$1:$A$1001,Data_customers!$G$1:$G$1001,"",0)</f>
        <v>United States</v>
      </c>
      <c r="I983" t="str">
        <f>INDEX(Data_products!$A$1:$G$49, MATCH(Data_orders!$D983,Data_products!$A$1:$A$49,0), MATCH(Data_orders!I$1,Data_products!$A$1:$G$1,0))</f>
        <v>Exc</v>
      </c>
      <c r="J983" t="str">
        <f>INDEX(Data_products!$A$1:$G$49, MATCH(Data_orders!$D983,Data_products!$A$1:$A$49,0), MATCH(Data_orders!J$1,Data_products!$A$1:$G$1,0))</f>
        <v>D</v>
      </c>
      <c r="K983" s="4">
        <f>INDEX(Data_products!$A$1:$G$49, MATCH(Data_orders!$D983,Data_products!$A$1:$A$49,0), MATCH(Data_orders!K$1,Data_products!$A$1:$G$1,0))</f>
        <v>0.2</v>
      </c>
      <c r="L983">
        <f>INDEX(Data_products!$A$1:$G$49, MATCH(Data_orders!$D983,Data_products!$A$1:$A$49,0), MATCH(Data_orders!L$1,Data_products!$A$1:$G$1,0))</f>
        <v>3.645</v>
      </c>
      <c r="M983">
        <f t="shared" si="30"/>
        <v>21.87</v>
      </c>
      <c r="N983" t="str" cm="1">
        <f t="array" ref="N983">_xlfn.IFS(I983 = "Rob", "Robusta", I983 = "Exc", "Excelsa", I983 = "Ara", "Arabica", I983 = "Lib", "Liberica")</f>
        <v>Excelsa</v>
      </c>
      <c r="O983" t="str">
        <f t="shared" si="31"/>
        <v>Dark</v>
      </c>
      <c r="P983" t="str">
        <f>_xlfn.XLOOKUP(Table1[[#This Row],[Customer ID]],Data_customers!$A$2:$A$1001,Data_customers!$I$2:$I$1001,,0)</f>
        <v>Yes</v>
      </c>
    </row>
    <row r="984" spans="1:16" x14ac:dyDescent="0.2">
      <c r="A984" s="2" t="s">
        <v>6041</v>
      </c>
      <c r="B984" s="3">
        <v>44785</v>
      </c>
      <c r="C984" s="2" t="s">
        <v>6042</v>
      </c>
      <c r="D984" t="s">
        <v>6179</v>
      </c>
      <c r="E984" s="2">
        <v>2</v>
      </c>
      <c r="F984" s="2" t="str">
        <f>_xlfn.XLOOKUP(Data_orders!C984,Data_customers!$A$1:$A$1001,Data_customers!$B$1:$B$1001,,0)</f>
        <v>Kim Kemery</v>
      </c>
      <c r="G984" s="2" t="str">
        <f>IF(_xlfn.XLOOKUP(C984,Data_customers!$A$1:$A$1001,Data_customers!$C$1:$C$1001,,0)=0,"",_xlfn.XLOOKUP(C984,Data_customers!$A$1:$A$1001,Data_customers!$C$1:$C$1001,,0))</f>
        <v>kkemeryra@t.co</v>
      </c>
      <c r="H984" s="2" t="str">
        <f>_xlfn.XLOOKUP(C984,Data_customers!$A$1:$A$1001,Data_customers!$G$1:$G$1001,"",0)</f>
        <v>United States</v>
      </c>
      <c r="I984" t="str">
        <f>INDEX(Data_products!$A$1:$G$49, MATCH(Data_orders!$D984,Data_products!$A$1:$A$49,0), MATCH(Data_orders!I$1,Data_products!$A$1:$G$1,0))</f>
        <v>Rob</v>
      </c>
      <c r="J984" t="str">
        <f>INDEX(Data_products!$A$1:$G$49, MATCH(Data_orders!$D984,Data_products!$A$1:$A$49,0), MATCH(Data_orders!J$1,Data_products!$A$1:$G$1,0))</f>
        <v>L</v>
      </c>
      <c r="K984" s="4">
        <f>INDEX(Data_products!$A$1:$G$49, MATCH(Data_orders!$D984,Data_products!$A$1:$A$49,0), MATCH(Data_orders!K$1,Data_products!$A$1:$G$1,0))</f>
        <v>1</v>
      </c>
      <c r="L984">
        <f>INDEX(Data_products!$A$1:$G$49, MATCH(Data_orders!$D984,Data_products!$A$1:$A$49,0), MATCH(Data_orders!L$1,Data_products!$A$1:$G$1,0))</f>
        <v>11.95</v>
      </c>
      <c r="M984">
        <f t="shared" si="30"/>
        <v>23.9</v>
      </c>
      <c r="N984" t="str" cm="1">
        <f t="array" ref="N984">_xlfn.IFS(I984 = "Rob", "Robusta", I984 = "Exc", "Excelsa", I984 = "Ara", "Arabica", I984 = "Lib", "Liberica")</f>
        <v>Robusta</v>
      </c>
      <c r="O984" t="str">
        <f t="shared" si="31"/>
        <v>Light</v>
      </c>
      <c r="P984" t="str">
        <f>_xlfn.XLOOKUP(Table1[[#This Row],[Customer ID]],Data_customers!$A$2:$A$1001,Data_customers!$I$2:$I$1001,,0)</f>
        <v>Yes</v>
      </c>
    </row>
    <row r="985" spans="1:16" x14ac:dyDescent="0.2">
      <c r="A985" s="2" t="s">
        <v>6047</v>
      </c>
      <c r="B985" s="3">
        <v>43831</v>
      </c>
      <c r="C985" s="2" t="s">
        <v>6048</v>
      </c>
      <c r="D985" t="s">
        <v>6152</v>
      </c>
      <c r="E985" s="2">
        <v>2</v>
      </c>
      <c r="F985" s="2" t="str">
        <f>_xlfn.XLOOKUP(Data_orders!C985,Data_customers!$A$1:$A$1001,Data_customers!$B$1:$B$1001,,0)</f>
        <v>Fanchette Parlot</v>
      </c>
      <c r="G985" s="2" t="str">
        <f>IF(_xlfn.XLOOKUP(C985,Data_customers!$A$1:$A$1001,Data_customers!$C$1:$C$1001,,0)=0,"",_xlfn.XLOOKUP(C985,Data_customers!$A$1:$A$1001,Data_customers!$C$1:$C$1001,,0))</f>
        <v>fparlotrb@forbes.com</v>
      </c>
      <c r="H985" s="2" t="str">
        <f>_xlfn.XLOOKUP(C985,Data_customers!$A$1:$A$1001,Data_customers!$G$1:$G$1001,"",0)</f>
        <v>United States</v>
      </c>
      <c r="I985" t="str">
        <f>INDEX(Data_products!$A$1:$G$49, MATCH(Data_orders!$D985,Data_products!$A$1:$A$49,0), MATCH(Data_orders!I$1,Data_products!$A$1:$G$1,0))</f>
        <v>Ara</v>
      </c>
      <c r="J985" t="str">
        <f>INDEX(Data_products!$A$1:$G$49, MATCH(Data_orders!$D985,Data_products!$A$1:$A$49,0), MATCH(Data_orders!J$1,Data_products!$A$1:$G$1,0))</f>
        <v>M</v>
      </c>
      <c r="K985" s="4">
        <f>INDEX(Data_products!$A$1:$G$49, MATCH(Data_orders!$D985,Data_products!$A$1:$A$49,0), MATCH(Data_orders!K$1,Data_products!$A$1:$G$1,0))</f>
        <v>0.2</v>
      </c>
      <c r="L985">
        <f>INDEX(Data_products!$A$1:$G$49, MATCH(Data_orders!$D985,Data_products!$A$1:$A$49,0), MATCH(Data_orders!L$1,Data_products!$A$1:$G$1,0))</f>
        <v>3.375</v>
      </c>
      <c r="M985">
        <f t="shared" si="30"/>
        <v>6.75</v>
      </c>
      <c r="N985" t="str" cm="1">
        <f t="array" ref="N985">_xlfn.IFS(I985 = "Rob", "Robusta", I985 = "Exc", "Excelsa", I985 = "Ara", "Arabica", I985 = "Lib", "Liberica")</f>
        <v>Arabica</v>
      </c>
      <c r="O985" t="str">
        <f t="shared" si="31"/>
        <v>Medium</v>
      </c>
      <c r="P985" t="str">
        <f>_xlfn.XLOOKUP(Table1[[#This Row],[Customer ID]],Data_customers!$A$2:$A$1001,Data_customers!$I$2:$I$1001,,0)</f>
        <v>Yes</v>
      </c>
    </row>
    <row r="986" spans="1:16" x14ac:dyDescent="0.2">
      <c r="A986" s="2" t="s">
        <v>6053</v>
      </c>
      <c r="B986" s="3">
        <v>44214</v>
      </c>
      <c r="C986" s="2" t="s">
        <v>6054</v>
      </c>
      <c r="D986" t="s">
        <v>6166</v>
      </c>
      <c r="E986" s="2">
        <v>1</v>
      </c>
      <c r="F986" s="2" t="str">
        <f>_xlfn.XLOOKUP(Data_orders!C986,Data_customers!$A$1:$A$1001,Data_customers!$B$1:$B$1001,,0)</f>
        <v>Ramon Cheak</v>
      </c>
      <c r="G986" s="2" t="str">
        <f>IF(_xlfn.XLOOKUP(C986,Data_customers!$A$1:$A$1001,Data_customers!$C$1:$C$1001,,0)=0,"",_xlfn.XLOOKUP(C986,Data_customers!$A$1:$A$1001,Data_customers!$C$1:$C$1001,,0))</f>
        <v>rcheakrc@tripadvisor.com</v>
      </c>
      <c r="H986" s="2" t="str">
        <f>_xlfn.XLOOKUP(C986,Data_customers!$A$1:$A$1001,Data_customers!$G$1:$G$1001,"",0)</f>
        <v>Ireland</v>
      </c>
      <c r="I986" t="str">
        <f>INDEX(Data_products!$A$1:$G$49, MATCH(Data_orders!$D986,Data_products!$A$1:$A$49,0), MATCH(Data_orders!I$1,Data_products!$A$1:$G$1,0))</f>
        <v>Exc</v>
      </c>
      <c r="J986" t="str">
        <f>INDEX(Data_products!$A$1:$G$49, MATCH(Data_orders!$D986,Data_products!$A$1:$A$49,0), MATCH(Data_orders!J$1,Data_products!$A$1:$G$1,0))</f>
        <v>M</v>
      </c>
      <c r="K986" s="4">
        <f>INDEX(Data_products!$A$1:$G$49, MATCH(Data_orders!$D986,Data_products!$A$1:$A$49,0), MATCH(Data_orders!K$1,Data_products!$A$1:$G$1,0))</f>
        <v>2.5</v>
      </c>
      <c r="L986">
        <f>INDEX(Data_products!$A$1:$G$49, MATCH(Data_orders!$D986,Data_products!$A$1:$A$49,0), MATCH(Data_orders!L$1,Data_products!$A$1:$G$1,0))</f>
        <v>31.624999999999996</v>
      </c>
      <c r="M986">
        <f t="shared" si="30"/>
        <v>31.624999999999996</v>
      </c>
      <c r="N986" t="str" cm="1">
        <f t="array" ref="N986">_xlfn.IFS(I986 = "Rob", "Robusta", I986 = "Exc", "Excelsa", I986 = "Ara", "Arabica", I986 = "Lib", "Liberica")</f>
        <v>Excelsa</v>
      </c>
      <c r="O986" t="str">
        <f t="shared" si="31"/>
        <v>Medium</v>
      </c>
      <c r="P986" t="str">
        <f>_xlfn.XLOOKUP(Table1[[#This Row],[Customer ID]],Data_customers!$A$2:$A$1001,Data_customers!$I$2:$I$1001,,0)</f>
        <v>Yes</v>
      </c>
    </row>
    <row r="987" spans="1:16" x14ac:dyDescent="0.2">
      <c r="A987" s="2" t="s">
        <v>6058</v>
      </c>
      <c r="B987" s="3">
        <v>44561</v>
      </c>
      <c r="C987" s="2" t="s">
        <v>6059</v>
      </c>
      <c r="D987" t="s">
        <v>6179</v>
      </c>
      <c r="E987" s="2">
        <v>4</v>
      </c>
      <c r="F987" s="2" t="str">
        <f>_xlfn.XLOOKUP(Data_orders!C987,Data_customers!$A$1:$A$1001,Data_customers!$B$1:$B$1001,,0)</f>
        <v>Koressa O'Geneay</v>
      </c>
      <c r="G987" s="2" t="str">
        <f>IF(_xlfn.XLOOKUP(C987,Data_customers!$A$1:$A$1001,Data_customers!$C$1:$C$1001,,0)=0,"",_xlfn.XLOOKUP(C987,Data_customers!$A$1:$A$1001,Data_customers!$C$1:$C$1001,,0))</f>
        <v>kogeneayrd@utexas.edu</v>
      </c>
      <c r="H987" s="2" t="str">
        <f>_xlfn.XLOOKUP(C987,Data_customers!$A$1:$A$1001,Data_customers!$G$1:$G$1001,"",0)</f>
        <v>United States</v>
      </c>
      <c r="I987" t="str">
        <f>INDEX(Data_products!$A$1:$G$49, MATCH(Data_orders!$D987,Data_products!$A$1:$A$49,0), MATCH(Data_orders!I$1,Data_products!$A$1:$G$1,0))</f>
        <v>Rob</v>
      </c>
      <c r="J987" t="str">
        <f>INDEX(Data_products!$A$1:$G$49, MATCH(Data_orders!$D987,Data_products!$A$1:$A$49,0), MATCH(Data_orders!J$1,Data_products!$A$1:$G$1,0))</f>
        <v>L</v>
      </c>
      <c r="K987" s="4">
        <f>INDEX(Data_products!$A$1:$G$49, MATCH(Data_orders!$D987,Data_products!$A$1:$A$49,0), MATCH(Data_orders!K$1,Data_products!$A$1:$G$1,0))</f>
        <v>1</v>
      </c>
      <c r="L987">
        <f>INDEX(Data_products!$A$1:$G$49, MATCH(Data_orders!$D987,Data_products!$A$1:$A$49,0), MATCH(Data_orders!L$1,Data_products!$A$1:$G$1,0))</f>
        <v>11.95</v>
      </c>
      <c r="M987">
        <f t="shared" si="30"/>
        <v>47.8</v>
      </c>
      <c r="N987" t="str" cm="1">
        <f t="array" ref="N987">_xlfn.IFS(I987 = "Rob", "Robusta", I987 = "Exc", "Excelsa", I987 = "Ara", "Arabica", I987 = "Lib", "Liberica")</f>
        <v>Robusta</v>
      </c>
      <c r="O987" t="str">
        <f t="shared" si="31"/>
        <v>Light</v>
      </c>
      <c r="P987" t="str">
        <f>_xlfn.XLOOKUP(Table1[[#This Row],[Customer ID]],Data_customers!$A$2:$A$1001,Data_customers!$I$2:$I$1001,,0)</f>
        <v>No</v>
      </c>
    </row>
    <row r="988" spans="1:16" x14ac:dyDescent="0.2">
      <c r="A988" s="2" t="s">
        <v>6064</v>
      </c>
      <c r="B988" s="3">
        <v>43955</v>
      </c>
      <c r="C988" s="2" t="s">
        <v>6065</v>
      </c>
      <c r="D988" t="s">
        <v>6181</v>
      </c>
      <c r="E988" s="2">
        <v>1</v>
      </c>
      <c r="F988" s="2" t="str">
        <f>_xlfn.XLOOKUP(Data_orders!C988,Data_customers!$A$1:$A$1001,Data_customers!$B$1:$B$1001,,0)</f>
        <v>Claudell Ayre</v>
      </c>
      <c r="G988" s="2" t="str">
        <f>IF(_xlfn.XLOOKUP(C988,Data_customers!$A$1:$A$1001,Data_customers!$C$1:$C$1001,,0)=0,"",_xlfn.XLOOKUP(C988,Data_customers!$A$1:$A$1001,Data_customers!$C$1:$C$1001,,0))</f>
        <v>cayrere@symantec.com</v>
      </c>
      <c r="H988" s="2" t="str">
        <f>_xlfn.XLOOKUP(C988,Data_customers!$A$1:$A$1001,Data_customers!$G$1:$G$1001,"",0)</f>
        <v>United States</v>
      </c>
      <c r="I988" t="str">
        <f>INDEX(Data_products!$A$1:$G$49, MATCH(Data_orders!$D988,Data_products!$A$1:$A$49,0), MATCH(Data_orders!I$1,Data_products!$A$1:$G$1,0))</f>
        <v>Lib</v>
      </c>
      <c r="J988" t="str">
        <f>INDEX(Data_products!$A$1:$G$49, MATCH(Data_orders!$D988,Data_products!$A$1:$A$49,0), MATCH(Data_orders!J$1,Data_products!$A$1:$G$1,0))</f>
        <v>M</v>
      </c>
      <c r="K988" s="4">
        <f>INDEX(Data_products!$A$1:$G$49, MATCH(Data_orders!$D988,Data_products!$A$1:$A$49,0), MATCH(Data_orders!K$1,Data_products!$A$1:$G$1,0))</f>
        <v>2.5</v>
      </c>
      <c r="L988">
        <f>INDEX(Data_products!$A$1:$G$49, MATCH(Data_orders!$D988,Data_products!$A$1:$A$49,0), MATCH(Data_orders!L$1,Data_products!$A$1:$G$1,0))</f>
        <v>33.464999999999996</v>
      </c>
      <c r="M988">
        <f t="shared" si="30"/>
        <v>33.464999999999996</v>
      </c>
      <c r="N988" t="str" cm="1">
        <f t="array" ref="N988">_xlfn.IFS(I988 = "Rob", "Robusta", I988 = "Exc", "Excelsa", I988 = "Ara", "Arabica", I988 = "Lib", "Liberica")</f>
        <v>Liberica</v>
      </c>
      <c r="O988" t="str">
        <f t="shared" si="31"/>
        <v>Medium</v>
      </c>
      <c r="P988" t="str">
        <f>_xlfn.XLOOKUP(Table1[[#This Row],[Customer ID]],Data_customers!$A$2:$A$1001,Data_customers!$I$2:$I$1001,,0)</f>
        <v>No</v>
      </c>
    </row>
    <row r="989" spans="1:16" x14ac:dyDescent="0.2">
      <c r="A989" s="2" t="s">
        <v>6070</v>
      </c>
      <c r="B989" s="3">
        <v>44247</v>
      </c>
      <c r="C989" s="2" t="s">
        <v>6071</v>
      </c>
      <c r="D989" t="s">
        <v>6158</v>
      </c>
      <c r="E989" s="2">
        <v>5</v>
      </c>
      <c r="F989" s="2" t="str">
        <f>_xlfn.XLOOKUP(Data_orders!C989,Data_customers!$A$1:$A$1001,Data_customers!$B$1:$B$1001,,0)</f>
        <v>Lorianne Kyneton</v>
      </c>
      <c r="G989" s="2" t="str">
        <f>IF(_xlfn.XLOOKUP(C989,Data_customers!$A$1:$A$1001,Data_customers!$C$1:$C$1001,,0)=0,"",_xlfn.XLOOKUP(C989,Data_customers!$A$1:$A$1001,Data_customers!$C$1:$C$1001,,0))</f>
        <v>lkynetonrf@macromedia.com</v>
      </c>
      <c r="H989" s="2" t="str">
        <f>_xlfn.XLOOKUP(C989,Data_customers!$A$1:$A$1001,Data_customers!$G$1:$G$1001,"",0)</f>
        <v>United Kingdom</v>
      </c>
      <c r="I989" t="str">
        <f>INDEX(Data_products!$A$1:$G$49, MATCH(Data_orders!$D989,Data_products!$A$1:$A$49,0), MATCH(Data_orders!I$1,Data_products!$A$1:$G$1,0))</f>
        <v>Ara</v>
      </c>
      <c r="J989" t="str">
        <f>INDEX(Data_products!$A$1:$G$49, MATCH(Data_orders!$D989,Data_products!$A$1:$A$49,0), MATCH(Data_orders!J$1,Data_products!$A$1:$G$1,0))</f>
        <v>D</v>
      </c>
      <c r="K989" s="4">
        <f>INDEX(Data_products!$A$1:$G$49, MATCH(Data_orders!$D989,Data_products!$A$1:$A$49,0), MATCH(Data_orders!K$1,Data_products!$A$1:$G$1,0))</f>
        <v>0.5</v>
      </c>
      <c r="L989">
        <f>INDEX(Data_products!$A$1:$G$49, MATCH(Data_orders!$D989,Data_products!$A$1:$A$49,0), MATCH(Data_orders!L$1,Data_products!$A$1:$G$1,0))</f>
        <v>5.97</v>
      </c>
      <c r="M989">
        <f t="shared" si="30"/>
        <v>29.849999999999998</v>
      </c>
      <c r="N989" t="str" cm="1">
        <f t="array" ref="N989">_xlfn.IFS(I989 = "Rob", "Robusta", I989 = "Exc", "Excelsa", I989 = "Ara", "Arabica", I989 = "Lib", "Liberica")</f>
        <v>Arabica</v>
      </c>
      <c r="O989" t="str">
        <f t="shared" si="31"/>
        <v>Dark</v>
      </c>
      <c r="P989" t="str">
        <f>_xlfn.XLOOKUP(Table1[[#This Row],[Customer ID]],Data_customers!$A$2:$A$1001,Data_customers!$I$2:$I$1001,,0)</f>
        <v>Yes</v>
      </c>
    </row>
    <row r="990" spans="1:16" x14ac:dyDescent="0.2">
      <c r="A990" s="2" t="s">
        <v>6076</v>
      </c>
      <c r="B990" s="3">
        <v>43897</v>
      </c>
      <c r="C990" s="2" t="s">
        <v>6077</v>
      </c>
      <c r="D990" t="s">
        <v>6138</v>
      </c>
      <c r="E990" s="2">
        <v>3</v>
      </c>
      <c r="F990" s="2" t="str">
        <f>_xlfn.XLOOKUP(Data_orders!C990,Data_customers!$A$1:$A$1001,Data_customers!$B$1:$B$1001,,0)</f>
        <v>Adele McFayden</v>
      </c>
      <c r="G990" s="2" t="str">
        <f>IF(_xlfn.XLOOKUP(C990,Data_customers!$A$1:$A$1001,Data_customers!$C$1:$C$1001,,0)=0,"",_xlfn.XLOOKUP(C990,Data_customers!$A$1:$A$1001,Data_customers!$C$1:$C$1001,,0))</f>
        <v/>
      </c>
      <c r="H990" s="2" t="str">
        <f>_xlfn.XLOOKUP(C990,Data_customers!$A$1:$A$1001,Data_customers!$G$1:$G$1001,"",0)</f>
        <v>United Kingdom</v>
      </c>
      <c r="I990" t="str">
        <f>INDEX(Data_products!$A$1:$G$49, MATCH(Data_orders!$D990,Data_products!$A$1:$A$49,0), MATCH(Data_orders!I$1,Data_products!$A$1:$G$1,0))</f>
        <v>Rob</v>
      </c>
      <c r="J990" t="str">
        <f>INDEX(Data_products!$A$1:$G$49, MATCH(Data_orders!$D990,Data_products!$A$1:$A$49,0), MATCH(Data_orders!J$1,Data_products!$A$1:$G$1,0))</f>
        <v>M</v>
      </c>
      <c r="K990" s="4">
        <f>INDEX(Data_products!$A$1:$G$49, MATCH(Data_orders!$D990,Data_products!$A$1:$A$49,0), MATCH(Data_orders!K$1,Data_products!$A$1:$G$1,0))</f>
        <v>1</v>
      </c>
      <c r="L990">
        <f>INDEX(Data_products!$A$1:$G$49, MATCH(Data_orders!$D990,Data_products!$A$1:$A$49,0), MATCH(Data_orders!L$1,Data_products!$A$1:$G$1,0))</f>
        <v>9.9499999999999993</v>
      </c>
      <c r="M990">
        <f t="shared" si="30"/>
        <v>29.849999999999998</v>
      </c>
      <c r="N990" t="str" cm="1">
        <f t="array" ref="N990">_xlfn.IFS(I990 = "Rob", "Robusta", I990 = "Exc", "Excelsa", I990 = "Ara", "Arabica", I990 = "Lib", "Liberica")</f>
        <v>Robusta</v>
      </c>
      <c r="O990" t="str">
        <f t="shared" si="31"/>
        <v>Medium</v>
      </c>
      <c r="P990" t="str">
        <f>_xlfn.XLOOKUP(Table1[[#This Row],[Customer ID]],Data_customers!$A$2:$A$1001,Data_customers!$I$2:$I$1001,,0)</f>
        <v>Yes</v>
      </c>
    </row>
    <row r="991" spans="1:16" x14ac:dyDescent="0.2">
      <c r="A991" s="2" t="s">
        <v>6081</v>
      </c>
      <c r="B991" s="3">
        <v>43560</v>
      </c>
      <c r="C991" s="2" t="s">
        <v>6082</v>
      </c>
      <c r="D991" t="s">
        <v>6175</v>
      </c>
      <c r="E991" s="2">
        <v>6</v>
      </c>
      <c r="F991" s="2" t="str">
        <f>_xlfn.XLOOKUP(Data_orders!C991,Data_customers!$A$1:$A$1001,Data_customers!$B$1:$B$1001,,0)</f>
        <v>Herta Layne</v>
      </c>
      <c r="G991" s="2" t="str">
        <f>IF(_xlfn.XLOOKUP(C991,Data_customers!$A$1:$A$1001,Data_customers!$C$1:$C$1001,,0)=0,"",_xlfn.XLOOKUP(C991,Data_customers!$A$1:$A$1001,Data_customers!$C$1:$C$1001,,0))</f>
        <v/>
      </c>
      <c r="H991" s="2" t="str">
        <f>_xlfn.XLOOKUP(C991,Data_customers!$A$1:$A$1001,Data_customers!$G$1:$G$1001,"",0)</f>
        <v>United States</v>
      </c>
      <c r="I991" t="str">
        <f>INDEX(Data_products!$A$1:$G$49, MATCH(Data_orders!$D991,Data_products!$A$1:$A$49,0), MATCH(Data_orders!I$1,Data_products!$A$1:$G$1,0))</f>
        <v>Ara</v>
      </c>
      <c r="J991" t="str">
        <f>INDEX(Data_products!$A$1:$G$49, MATCH(Data_orders!$D991,Data_products!$A$1:$A$49,0), MATCH(Data_orders!J$1,Data_products!$A$1:$G$1,0))</f>
        <v>M</v>
      </c>
      <c r="K991" s="4">
        <f>INDEX(Data_products!$A$1:$G$49, MATCH(Data_orders!$D991,Data_products!$A$1:$A$49,0), MATCH(Data_orders!K$1,Data_products!$A$1:$G$1,0))</f>
        <v>2.5</v>
      </c>
      <c r="L991">
        <f>INDEX(Data_products!$A$1:$G$49, MATCH(Data_orders!$D991,Data_products!$A$1:$A$49,0), MATCH(Data_orders!L$1,Data_products!$A$1:$G$1,0))</f>
        <v>25.874999999999996</v>
      </c>
      <c r="M991">
        <f t="shared" si="30"/>
        <v>155.24999999999997</v>
      </c>
      <c r="N991" t="str" cm="1">
        <f t="array" ref="N991">_xlfn.IFS(I991 = "Rob", "Robusta", I991 = "Exc", "Excelsa", I991 = "Ara", "Arabica", I991 = "Lib", "Liberica")</f>
        <v>Arabica</v>
      </c>
      <c r="O991" t="str">
        <f t="shared" si="31"/>
        <v>Medium</v>
      </c>
      <c r="P991" t="str">
        <f>_xlfn.XLOOKUP(Table1[[#This Row],[Customer ID]],Data_customers!$A$2:$A$1001,Data_customers!$I$2:$I$1001,,0)</f>
        <v>Yes</v>
      </c>
    </row>
    <row r="992" spans="1:16" x14ac:dyDescent="0.2">
      <c r="A992" s="2" t="s">
        <v>6086</v>
      </c>
      <c r="B992" s="3">
        <v>44718</v>
      </c>
      <c r="C992" s="2" t="s">
        <v>6118</v>
      </c>
      <c r="D992" t="s">
        <v>6153</v>
      </c>
      <c r="E992" s="2">
        <v>5</v>
      </c>
      <c r="F992" s="2" t="str">
        <f>_xlfn.XLOOKUP(Data_orders!C992,Data_customers!$A$1:$A$1001,Data_customers!$B$1:$B$1001,,0)</f>
        <v>Marguerite Graves</v>
      </c>
      <c r="G992" s="2" t="str">
        <f>IF(_xlfn.XLOOKUP(C992,Data_customers!$A$1:$A$1001,Data_customers!$C$1:$C$1001,,0)=0,"",_xlfn.XLOOKUP(C992,Data_customers!$A$1:$A$1001,Data_customers!$C$1:$C$1001,,0))</f>
        <v/>
      </c>
      <c r="H992" s="2" t="str">
        <f>_xlfn.XLOOKUP(C992,Data_customers!$A$1:$A$1001,Data_customers!$G$1:$G$1001,"",0)</f>
        <v>United States</v>
      </c>
      <c r="I992" t="str">
        <f>INDEX(Data_products!$A$1:$G$49, MATCH(Data_orders!$D992,Data_products!$A$1:$A$49,0), MATCH(Data_orders!I$1,Data_products!$A$1:$G$1,0))</f>
        <v>Exc</v>
      </c>
      <c r="J992" t="str">
        <f>INDEX(Data_products!$A$1:$G$49, MATCH(Data_orders!$D992,Data_products!$A$1:$A$49,0), MATCH(Data_orders!J$1,Data_products!$A$1:$G$1,0))</f>
        <v>D</v>
      </c>
      <c r="K992" s="4">
        <f>INDEX(Data_products!$A$1:$G$49, MATCH(Data_orders!$D992,Data_products!$A$1:$A$49,0), MATCH(Data_orders!K$1,Data_products!$A$1:$G$1,0))</f>
        <v>0.2</v>
      </c>
      <c r="L992">
        <f>INDEX(Data_products!$A$1:$G$49, MATCH(Data_orders!$D992,Data_products!$A$1:$A$49,0), MATCH(Data_orders!L$1,Data_products!$A$1:$G$1,0))</f>
        <v>3.645</v>
      </c>
      <c r="M992">
        <f t="shared" si="30"/>
        <v>18.225000000000001</v>
      </c>
      <c r="N992" t="str" cm="1">
        <f t="array" ref="N992">_xlfn.IFS(I992 = "Rob", "Robusta", I992 = "Exc", "Excelsa", I992 = "Ara", "Arabica", I992 = "Lib", "Liberica")</f>
        <v>Excelsa</v>
      </c>
      <c r="O992" t="str">
        <f t="shared" si="31"/>
        <v>Dark</v>
      </c>
      <c r="P992" t="str">
        <f>_xlfn.XLOOKUP(Table1[[#This Row],[Customer ID]],Data_customers!$A$2:$A$1001,Data_customers!$I$2:$I$1001,,0)</f>
        <v>No</v>
      </c>
    </row>
    <row r="993" spans="1:16" x14ac:dyDescent="0.2">
      <c r="A993" s="2" t="s">
        <v>6086</v>
      </c>
      <c r="B993" s="3">
        <v>44718</v>
      </c>
      <c r="C993" s="2" t="s">
        <v>6118</v>
      </c>
      <c r="D993" t="s">
        <v>6169</v>
      </c>
      <c r="E993" s="2">
        <v>2</v>
      </c>
      <c r="F993" s="2" t="str">
        <f>_xlfn.XLOOKUP(Data_orders!C993,Data_customers!$A$1:$A$1001,Data_customers!$B$1:$B$1001,,0)</f>
        <v>Marguerite Graves</v>
      </c>
      <c r="G993" s="2" t="str">
        <f>IF(_xlfn.XLOOKUP(C993,Data_customers!$A$1:$A$1001,Data_customers!$C$1:$C$1001,,0)=0,"",_xlfn.XLOOKUP(C993,Data_customers!$A$1:$A$1001,Data_customers!$C$1:$C$1001,,0))</f>
        <v/>
      </c>
      <c r="H993" s="2" t="str">
        <f>_xlfn.XLOOKUP(C993,Data_customers!$A$1:$A$1001,Data_customers!$G$1:$G$1001,"",0)</f>
        <v>United States</v>
      </c>
      <c r="I993" t="str">
        <f>INDEX(Data_products!$A$1:$G$49, MATCH(Data_orders!$D993,Data_products!$A$1:$A$49,0), MATCH(Data_orders!I$1,Data_products!$A$1:$G$1,0))</f>
        <v>Lib</v>
      </c>
      <c r="J993" t="str">
        <f>INDEX(Data_products!$A$1:$G$49, MATCH(Data_orders!$D993,Data_products!$A$1:$A$49,0), MATCH(Data_orders!J$1,Data_products!$A$1:$G$1,0))</f>
        <v>D</v>
      </c>
      <c r="K993" s="4">
        <f>INDEX(Data_products!$A$1:$G$49, MATCH(Data_orders!$D993,Data_products!$A$1:$A$49,0), MATCH(Data_orders!K$1,Data_products!$A$1:$G$1,0))</f>
        <v>0.5</v>
      </c>
      <c r="L993">
        <f>INDEX(Data_products!$A$1:$G$49, MATCH(Data_orders!$D993,Data_products!$A$1:$A$49,0), MATCH(Data_orders!L$1,Data_products!$A$1:$G$1,0))</f>
        <v>7.77</v>
      </c>
      <c r="M993">
        <f t="shared" si="30"/>
        <v>15.54</v>
      </c>
      <c r="N993" t="str" cm="1">
        <f t="array" ref="N993">_xlfn.IFS(I993 = "Rob", "Robusta", I993 = "Exc", "Excelsa", I993 = "Ara", "Arabica", I993 = "Lib", "Liberica")</f>
        <v>Liberica</v>
      </c>
      <c r="O993" t="str">
        <f t="shared" si="31"/>
        <v>Dark</v>
      </c>
      <c r="P993" t="str">
        <f>_xlfn.XLOOKUP(Table1[[#This Row],[Customer ID]],Data_customers!$A$2:$A$1001,Data_customers!$I$2:$I$1001,,0)</f>
        <v>No</v>
      </c>
    </row>
    <row r="994" spans="1:16" x14ac:dyDescent="0.2">
      <c r="A994" s="2" t="s">
        <v>6096</v>
      </c>
      <c r="B994" s="3">
        <v>44276</v>
      </c>
      <c r="C994" s="2" t="s">
        <v>6097</v>
      </c>
      <c r="D994" t="s">
        <v>6164</v>
      </c>
      <c r="E994" s="2">
        <v>3</v>
      </c>
      <c r="F994" s="2" t="str">
        <f>_xlfn.XLOOKUP(Data_orders!C994,Data_customers!$A$1:$A$1001,Data_customers!$B$1:$B$1001,,0)</f>
        <v>Desdemona Eye</v>
      </c>
      <c r="G994" s="2" t="str">
        <f>IF(_xlfn.XLOOKUP(C994,Data_customers!$A$1:$A$1001,Data_customers!$C$1:$C$1001,,0)=0,"",_xlfn.XLOOKUP(C994,Data_customers!$A$1:$A$1001,Data_customers!$C$1:$C$1001,,0))</f>
        <v/>
      </c>
      <c r="H994" s="2" t="str">
        <f>_xlfn.XLOOKUP(C994,Data_customers!$A$1:$A$1001,Data_customers!$G$1:$G$1001,"",0)</f>
        <v>Ireland</v>
      </c>
      <c r="I994" t="str">
        <f>INDEX(Data_products!$A$1:$G$49, MATCH(Data_orders!$D994,Data_products!$A$1:$A$49,0), MATCH(Data_orders!I$1,Data_products!$A$1:$G$1,0))</f>
        <v>Lib</v>
      </c>
      <c r="J994" t="str">
        <f>INDEX(Data_products!$A$1:$G$49, MATCH(Data_orders!$D994,Data_products!$A$1:$A$49,0), MATCH(Data_orders!J$1,Data_products!$A$1:$G$1,0))</f>
        <v>L</v>
      </c>
      <c r="K994" s="4">
        <f>INDEX(Data_products!$A$1:$G$49, MATCH(Data_orders!$D994,Data_products!$A$1:$A$49,0), MATCH(Data_orders!K$1,Data_products!$A$1:$G$1,0))</f>
        <v>2.5</v>
      </c>
      <c r="L994">
        <f>INDEX(Data_products!$A$1:$G$49, MATCH(Data_orders!$D994,Data_products!$A$1:$A$49,0), MATCH(Data_orders!L$1,Data_products!$A$1:$G$1,0))</f>
        <v>36.454999999999998</v>
      </c>
      <c r="M994">
        <f t="shared" si="30"/>
        <v>109.36499999999999</v>
      </c>
      <c r="N994" t="str" cm="1">
        <f t="array" ref="N994">_xlfn.IFS(I994 = "Rob", "Robusta", I994 = "Exc", "Excelsa", I994 = "Ara", "Arabica", I994 = "Lib", "Liberica")</f>
        <v>Liberica</v>
      </c>
      <c r="O994" t="str">
        <f t="shared" si="31"/>
        <v>Light</v>
      </c>
      <c r="P994" t="str">
        <f>_xlfn.XLOOKUP(Table1[[#This Row],[Customer ID]],Data_customers!$A$2:$A$1001,Data_customers!$I$2:$I$1001,,0)</f>
        <v>No</v>
      </c>
    </row>
    <row r="995" spans="1:16" x14ac:dyDescent="0.2">
      <c r="A995" s="2" t="s">
        <v>6101</v>
      </c>
      <c r="B995" s="3">
        <v>44549</v>
      </c>
      <c r="C995" s="2" t="s">
        <v>6102</v>
      </c>
      <c r="D995" t="s">
        <v>6140</v>
      </c>
      <c r="E995" s="2">
        <v>6</v>
      </c>
      <c r="F995" s="2" t="str">
        <f>_xlfn.XLOOKUP(Data_orders!C995,Data_customers!$A$1:$A$1001,Data_customers!$B$1:$B$1001,,0)</f>
        <v>Margarette Sterland</v>
      </c>
      <c r="G995" s="2" t="str">
        <f>IF(_xlfn.XLOOKUP(C995,Data_customers!$A$1:$A$1001,Data_customers!$C$1:$C$1001,,0)=0,"",_xlfn.XLOOKUP(C995,Data_customers!$A$1:$A$1001,Data_customers!$C$1:$C$1001,,0))</f>
        <v/>
      </c>
      <c r="H995" s="2" t="str">
        <f>_xlfn.XLOOKUP(C995,Data_customers!$A$1:$A$1001,Data_customers!$G$1:$G$1001,"",0)</f>
        <v>United States</v>
      </c>
      <c r="I995" t="str">
        <f>INDEX(Data_products!$A$1:$G$49, MATCH(Data_orders!$D995,Data_products!$A$1:$A$49,0), MATCH(Data_orders!I$1,Data_products!$A$1:$G$1,0))</f>
        <v>Ara</v>
      </c>
      <c r="J995" t="str">
        <f>INDEX(Data_products!$A$1:$G$49, MATCH(Data_orders!$D995,Data_products!$A$1:$A$49,0), MATCH(Data_orders!J$1,Data_products!$A$1:$G$1,0))</f>
        <v>L</v>
      </c>
      <c r="K995" s="4">
        <f>INDEX(Data_products!$A$1:$G$49, MATCH(Data_orders!$D995,Data_products!$A$1:$A$49,0), MATCH(Data_orders!K$1,Data_products!$A$1:$G$1,0))</f>
        <v>1</v>
      </c>
      <c r="L995">
        <f>INDEX(Data_products!$A$1:$G$49, MATCH(Data_orders!$D995,Data_products!$A$1:$A$49,0), MATCH(Data_orders!L$1,Data_products!$A$1:$G$1,0))</f>
        <v>12.95</v>
      </c>
      <c r="M995">
        <f t="shared" si="30"/>
        <v>77.699999999999989</v>
      </c>
      <c r="N995" t="str" cm="1">
        <f t="array" ref="N995">_xlfn.IFS(I995 = "Rob", "Robusta", I995 = "Exc", "Excelsa", I995 = "Ara", "Arabica", I995 = "Lib", "Liberica")</f>
        <v>Arabica</v>
      </c>
      <c r="O995" t="str">
        <f t="shared" si="31"/>
        <v>Light</v>
      </c>
      <c r="P995" t="str">
        <f>_xlfn.XLOOKUP(Table1[[#This Row],[Customer ID]],Data_customers!$A$2:$A$1001,Data_customers!$I$2:$I$1001,,0)</f>
        <v>No</v>
      </c>
    </row>
    <row r="996" spans="1:16" x14ac:dyDescent="0.2">
      <c r="A996" s="2" t="s">
        <v>6106</v>
      </c>
      <c r="B996" s="3">
        <v>44244</v>
      </c>
      <c r="C996" s="2" t="s">
        <v>6107</v>
      </c>
      <c r="D996" t="s">
        <v>6154</v>
      </c>
      <c r="E996" s="2">
        <v>3</v>
      </c>
      <c r="F996" s="2" t="str">
        <f>_xlfn.XLOOKUP(Data_orders!C996,Data_customers!$A$1:$A$1001,Data_customers!$B$1:$B$1001,,0)</f>
        <v>Catharine Scoines</v>
      </c>
      <c r="G996" s="2" t="str">
        <f>IF(_xlfn.XLOOKUP(C996,Data_customers!$A$1:$A$1001,Data_customers!$C$1:$C$1001,,0)=0,"",_xlfn.XLOOKUP(C996,Data_customers!$A$1:$A$1001,Data_customers!$C$1:$C$1001,,0))</f>
        <v/>
      </c>
      <c r="H996" s="2" t="str">
        <f>_xlfn.XLOOKUP(C996,Data_customers!$A$1:$A$1001,Data_customers!$G$1:$G$1001,"",0)</f>
        <v>Ireland</v>
      </c>
      <c r="I996" t="str">
        <f>INDEX(Data_products!$A$1:$G$49, MATCH(Data_orders!$D996,Data_products!$A$1:$A$49,0), MATCH(Data_orders!I$1,Data_products!$A$1:$G$1,0))</f>
        <v>Ara</v>
      </c>
      <c r="J996" t="str">
        <f>INDEX(Data_products!$A$1:$G$49, MATCH(Data_orders!$D996,Data_products!$A$1:$A$49,0), MATCH(Data_orders!J$1,Data_products!$A$1:$G$1,0))</f>
        <v>D</v>
      </c>
      <c r="K996" s="4">
        <f>INDEX(Data_products!$A$1:$G$49, MATCH(Data_orders!$D996,Data_products!$A$1:$A$49,0), MATCH(Data_orders!K$1,Data_products!$A$1:$G$1,0))</f>
        <v>0.2</v>
      </c>
      <c r="L996">
        <f>INDEX(Data_products!$A$1:$G$49, MATCH(Data_orders!$D996,Data_products!$A$1:$A$49,0), MATCH(Data_orders!L$1,Data_products!$A$1:$G$1,0))</f>
        <v>2.9849999999999999</v>
      </c>
      <c r="M996">
        <f t="shared" si="30"/>
        <v>8.9550000000000001</v>
      </c>
      <c r="N996" t="str" cm="1">
        <f t="array" ref="N996">_xlfn.IFS(I996 = "Rob", "Robusta", I996 = "Exc", "Excelsa", I996 = "Ara", "Arabica", I996 = "Lib", "Liberica")</f>
        <v>Arabica</v>
      </c>
      <c r="O996" t="str">
        <f t="shared" si="31"/>
        <v>Dark</v>
      </c>
      <c r="P996" t="str">
        <f>_xlfn.XLOOKUP(Table1[[#This Row],[Customer ID]],Data_customers!$A$2:$A$1001,Data_customers!$I$2:$I$1001,,0)</f>
        <v>No</v>
      </c>
    </row>
    <row r="997" spans="1:16" x14ac:dyDescent="0.2">
      <c r="A997" s="2" t="s">
        <v>6111</v>
      </c>
      <c r="B997" s="3">
        <v>43836</v>
      </c>
      <c r="C997" s="2" t="s">
        <v>6112</v>
      </c>
      <c r="D997" t="s">
        <v>6142</v>
      </c>
      <c r="E997" s="2">
        <v>1</v>
      </c>
      <c r="F997" s="2" t="str">
        <f>_xlfn.XLOOKUP(Data_orders!C997,Data_customers!$A$1:$A$1001,Data_customers!$B$1:$B$1001,,0)</f>
        <v>Jennica Tewelson</v>
      </c>
      <c r="G997" s="2" t="str">
        <f>IF(_xlfn.XLOOKUP(C997,Data_customers!$A$1:$A$1001,Data_customers!$C$1:$C$1001,,0)=0,"",_xlfn.XLOOKUP(C997,Data_customers!$A$1:$A$1001,Data_customers!$C$1:$C$1001,,0))</f>
        <v>jtewelsonrn@samsung.com</v>
      </c>
      <c r="H997" s="2" t="str">
        <f>_xlfn.XLOOKUP(C997,Data_customers!$A$1:$A$1001,Data_customers!$G$1:$G$1001,"",0)</f>
        <v>United States</v>
      </c>
      <c r="I997" t="str">
        <f>INDEX(Data_products!$A$1:$G$49, MATCH(Data_orders!$D997,Data_products!$A$1:$A$49,0), MATCH(Data_orders!I$1,Data_products!$A$1:$G$1,0))</f>
        <v>Rob</v>
      </c>
      <c r="J997" t="str">
        <f>INDEX(Data_products!$A$1:$G$49, MATCH(Data_orders!$D997,Data_products!$A$1:$A$49,0), MATCH(Data_orders!J$1,Data_products!$A$1:$G$1,0))</f>
        <v>L</v>
      </c>
      <c r="K997" s="4">
        <f>INDEX(Data_products!$A$1:$G$49, MATCH(Data_orders!$D997,Data_products!$A$1:$A$49,0), MATCH(Data_orders!K$1,Data_products!$A$1:$G$1,0))</f>
        <v>2.5</v>
      </c>
      <c r="L997">
        <f>INDEX(Data_products!$A$1:$G$49, MATCH(Data_orders!$D997,Data_products!$A$1:$A$49,0), MATCH(Data_orders!L$1,Data_products!$A$1:$G$1,0))</f>
        <v>27.484999999999996</v>
      </c>
      <c r="M997">
        <f t="shared" si="30"/>
        <v>27.484999999999996</v>
      </c>
      <c r="N997" t="str" cm="1">
        <f t="array" ref="N997">_xlfn.IFS(I997 = "Rob", "Robusta", I997 = "Exc", "Excelsa", I997 = "Ara", "Arabica", I997 = "Lib", "Liberica")</f>
        <v>Robusta</v>
      </c>
      <c r="O997" t="str">
        <f t="shared" si="31"/>
        <v>Light</v>
      </c>
      <c r="P997" t="str">
        <f>_xlfn.XLOOKUP(Table1[[#This Row],[Customer ID]],Data_customers!$A$2:$A$1001,Data_customers!$I$2:$I$1001,,0)</f>
        <v>No</v>
      </c>
    </row>
    <row r="998" spans="1:16" x14ac:dyDescent="0.2">
      <c r="A998" s="2" t="s">
        <v>6117</v>
      </c>
      <c r="B998" s="3">
        <v>44685</v>
      </c>
      <c r="C998" s="2" t="s">
        <v>6118</v>
      </c>
      <c r="D998" t="s">
        <v>6146</v>
      </c>
      <c r="E998" s="2">
        <v>5</v>
      </c>
      <c r="F998" s="2" t="str">
        <f>_xlfn.XLOOKUP(Data_orders!C998,Data_customers!$A$1:$A$1001,Data_customers!$B$1:$B$1001,,0)</f>
        <v>Marguerite Graves</v>
      </c>
      <c r="G998" s="2" t="str">
        <f>IF(_xlfn.XLOOKUP(C998,Data_customers!$A$1:$A$1001,Data_customers!$C$1:$C$1001,,0)=0,"",_xlfn.XLOOKUP(C998,Data_customers!$A$1:$A$1001,Data_customers!$C$1:$C$1001,,0))</f>
        <v/>
      </c>
      <c r="H998" s="2" t="str">
        <f>_xlfn.XLOOKUP(C998,Data_customers!$A$1:$A$1001,Data_customers!$G$1:$G$1001,"",0)</f>
        <v>United States</v>
      </c>
      <c r="I998" t="str">
        <f>INDEX(Data_products!$A$1:$G$49, MATCH(Data_orders!$D998,Data_products!$A$1:$A$49,0), MATCH(Data_orders!I$1,Data_products!$A$1:$G$1,0))</f>
        <v>Rob</v>
      </c>
      <c r="J998" t="str">
        <f>INDEX(Data_products!$A$1:$G$49, MATCH(Data_orders!$D998,Data_products!$A$1:$A$49,0), MATCH(Data_orders!J$1,Data_products!$A$1:$G$1,0))</f>
        <v>M</v>
      </c>
      <c r="K998" s="4">
        <f>INDEX(Data_products!$A$1:$G$49, MATCH(Data_orders!$D998,Data_products!$A$1:$A$49,0), MATCH(Data_orders!K$1,Data_products!$A$1:$G$1,0))</f>
        <v>0.5</v>
      </c>
      <c r="L998">
        <f>INDEX(Data_products!$A$1:$G$49, MATCH(Data_orders!$D998,Data_products!$A$1:$A$49,0), MATCH(Data_orders!L$1,Data_products!$A$1:$G$1,0))</f>
        <v>5.97</v>
      </c>
      <c r="M998">
        <f t="shared" si="30"/>
        <v>29.849999999999998</v>
      </c>
      <c r="N998" t="str" cm="1">
        <f t="array" ref="N998">_xlfn.IFS(I998 = "Rob", "Robusta", I998 = "Exc", "Excelsa", I998 = "Ara", "Arabica", I998 = "Lib", "Liberica")</f>
        <v>Robusta</v>
      </c>
      <c r="O998" t="str">
        <f t="shared" si="31"/>
        <v>Medium</v>
      </c>
      <c r="P998" t="str">
        <f>_xlfn.XLOOKUP(Table1[[#This Row],[Customer ID]],Data_customers!$A$2:$A$1001,Data_customers!$I$2:$I$1001,,0)</f>
        <v>No</v>
      </c>
    </row>
    <row r="999" spans="1:16" x14ac:dyDescent="0.2">
      <c r="A999" s="2" t="s">
        <v>6122</v>
      </c>
      <c r="B999" s="3">
        <v>43749</v>
      </c>
      <c r="C999" s="2" t="s">
        <v>6118</v>
      </c>
      <c r="D999" t="s">
        <v>6157</v>
      </c>
      <c r="E999" s="2">
        <v>4</v>
      </c>
      <c r="F999" s="2" t="str">
        <f>_xlfn.XLOOKUP(Data_orders!C999,Data_customers!$A$1:$A$1001,Data_customers!$B$1:$B$1001,,0)</f>
        <v>Marguerite Graves</v>
      </c>
      <c r="G999" s="2" t="str">
        <f>IF(_xlfn.XLOOKUP(C999,Data_customers!$A$1:$A$1001,Data_customers!$C$1:$C$1001,,0)=0,"",_xlfn.XLOOKUP(C999,Data_customers!$A$1:$A$1001,Data_customers!$C$1:$C$1001,,0))</f>
        <v/>
      </c>
      <c r="H999" s="2" t="str">
        <f>_xlfn.XLOOKUP(C999,Data_customers!$A$1:$A$1001,Data_customers!$G$1:$G$1001,"",0)</f>
        <v>United States</v>
      </c>
      <c r="I999" t="str">
        <f>INDEX(Data_products!$A$1:$G$49, MATCH(Data_orders!$D999,Data_products!$A$1:$A$49,0), MATCH(Data_orders!I$1,Data_products!$A$1:$G$1,0))</f>
        <v>Ara</v>
      </c>
      <c r="J999" t="str">
        <f>INDEX(Data_products!$A$1:$G$49, MATCH(Data_orders!$D999,Data_products!$A$1:$A$49,0), MATCH(Data_orders!J$1,Data_products!$A$1:$G$1,0))</f>
        <v>M</v>
      </c>
      <c r="K999" s="4">
        <f>INDEX(Data_products!$A$1:$G$49, MATCH(Data_orders!$D999,Data_products!$A$1:$A$49,0), MATCH(Data_orders!K$1,Data_products!$A$1:$G$1,0))</f>
        <v>0.5</v>
      </c>
      <c r="L999">
        <f>INDEX(Data_products!$A$1:$G$49, MATCH(Data_orders!$D999,Data_products!$A$1:$A$49,0), MATCH(Data_orders!L$1,Data_products!$A$1:$G$1,0))</f>
        <v>6.75</v>
      </c>
      <c r="M999">
        <f t="shared" si="30"/>
        <v>27</v>
      </c>
      <c r="N999" t="str" cm="1">
        <f t="array" ref="N999">_xlfn.IFS(I999 = "Rob", "Robusta", I999 = "Exc", "Excelsa", I999 = "Ara", "Arabica", I999 = "Lib", "Liberica")</f>
        <v>Arabica</v>
      </c>
      <c r="O999" t="str">
        <f t="shared" si="31"/>
        <v>Medium</v>
      </c>
      <c r="P999" t="str">
        <f>_xlfn.XLOOKUP(Table1[[#This Row],[Customer ID]],Data_customers!$A$2:$A$1001,Data_customers!$I$2:$I$1001,,0)</f>
        <v>No</v>
      </c>
    </row>
    <row r="1000" spans="1:16" x14ac:dyDescent="0.2">
      <c r="A1000" s="2" t="s">
        <v>6127</v>
      </c>
      <c r="B1000" s="3">
        <v>44411</v>
      </c>
      <c r="C1000" s="2" t="s">
        <v>6128</v>
      </c>
      <c r="D1000" t="s">
        <v>6147</v>
      </c>
      <c r="E1000" s="2">
        <v>1</v>
      </c>
      <c r="F1000" s="2" t="str">
        <f>_xlfn.XLOOKUP(Data_orders!C1000,Data_customers!$A$1:$A$1001,Data_customers!$B$1:$B$1001,,0)</f>
        <v>Nicolina Jenny</v>
      </c>
      <c r="G1000" s="2" t="str">
        <f>IF(_xlfn.XLOOKUP(C1000,Data_customers!$A$1:$A$1001,Data_customers!$C$1:$C$1001,,0)=0,"",_xlfn.XLOOKUP(C1000,Data_customers!$A$1:$A$1001,Data_customers!$C$1:$C$1001,,0))</f>
        <v>njennyrq@bigcartel.com</v>
      </c>
      <c r="H1000" s="2" t="str">
        <f>_xlfn.XLOOKUP(C1000,Data_customers!$A$1:$A$1001,Data_customers!$G$1:$G$1001,"",0)</f>
        <v>United States</v>
      </c>
      <c r="I1000" t="str">
        <f>INDEX(Data_products!$A$1:$G$49, MATCH(Data_orders!$D1000,Data_products!$A$1:$A$49,0), MATCH(Data_orders!I$1,Data_products!$A$1:$G$1,0))</f>
        <v>Ara</v>
      </c>
      <c r="J1000" t="str">
        <f>INDEX(Data_products!$A$1:$G$49, MATCH(Data_orders!$D1000,Data_products!$A$1:$A$49,0), MATCH(Data_orders!J$1,Data_products!$A$1:$G$1,0))</f>
        <v>D</v>
      </c>
      <c r="K1000" s="4">
        <f>INDEX(Data_products!$A$1:$G$49, MATCH(Data_orders!$D1000,Data_products!$A$1:$A$49,0), MATCH(Data_orders!K$1,Data_products!$A$1:$G$1,0))</f>
        <v>1</v>
      </c>
      <c r="L1000">
        <f>INDEX(Data_products!$A$1:$G$49, MATCH(Data_orders!$D1000,Data_products!$A$1:$A$49,0), MATCH(Data_orders!L$1,Data_products!$A$1:$G$1,0))</f>
        <v>9.9499999999999993</v>
      </c>
      <c r="M1000">
        <f t="shared" si="30"/>
        <v>9.9499999999999993</v>
      </c>
      <c r="N1000" t="str" cm="1">
        <f t="array" ref="N1000">_xlfn.IFS(I1000 = "Rob", "Robusta", I1000 = "Exc", "Excelsa", I1000 = "Ara", "Arabica", I1000 = "Lib", "Liberica")</f>
        <v>Arabica</v>
      </c>
      <c r="O1000" t="str">
        <f t="shared" si="31"/>
        <v>Dark</v>
      </c>
      <c r="P1000" t="str">
        <f>_xlfn.XLOOKUP(Table1[[#This Row],[Customer ID]],Data_customers!$A$2:$A$1001,Data_customers!$I$2:$I$1001,,0)</f>
        <v>No</v>
      </c>
    </row>
    <row r="1001" spans="1:16" x14ac:dyDescent="0.2">
      <c r="A1001" s="2" t="s">
        <v>6133</v>
      </c>
      <c r="B1001" s="3">
        <v>44119</v>
      </c>
      <c r="C1001" s="2" t="s">
        <v>6134</v>
      </c>
      <c r="D1001" t="s">
        <v>6156</v>
      </c>
      <c r="E1001" s="2">
        <v>3</v>
      </c>
      <c r="F1001" s="2" t="str">
        <f>_xlfn.XLOOKUP(Data_orders!C1001,Data_customers!$A$1:$A$1001,Data_customers!$B$1:$B$1001,,0)</f>
        <v>Vidovic Antonelli</v>
      </c>
      <c r="G1001" s="2" t="str">
        <f>IF(_xlfn.XLOOKUP(C1001,Data_customers!$A$1:$A$1001,Data_customers!$C$1:$C$1001,,0)=0,"",_xlfn.XLOOKUP(C1001,Data_customers!$A$1:$A$1001,Data_customers!$C$1:$C$1001,,0))</f>
        <v/>
      </c>
      <c r="H1001" s="2" t="str">
        <f>_xlfn.XLOOKUP(C1001,Data_customers!$A$1:$A$1001,Data_customers!$G$1:$G$1001,"",0)</f>
        <v>United Kingdom</v>
      </c>
      <c r="I1001" t="str">
        <f>INDEX(Data_products!$A$1:$G$49, MATCH(Data_orders!$D1001,Data_products!$A$1:$A$49,0), MATCH(Data_orders!I$1,Data_products!$A$1:$G$1,0))</f>
        <v>Exc</v>
      </c>
      <c r="J1001" t="str">
        <f>INDEX(Data_products!$A$1:$G$49, MATCH(Data_orders!$D1001,Data_products!$A$1:$A$49,0), MATCH(Data_orders!J$1,Data_products!$A$1:$G$1,0))</f>
        <v>M</v>
      </c>
      <c r="K1001" s="4">
        <f>INDEX(Data_products!$A$1:$G$49, MATCH(Data_orders!$D1001,Data_products!$A$1:$A$49,0), MATCH(Data_orders!K$1,Data_products!$A$1:$G$1,0))</f>
        <v>0.2</v>
      </c>
      <c r="L1001">
        <f>INDEX(Data_products!$A$1:$G$49, MATCH(Data_orders!$D1001,Data_products!$A$1:$A$49,0), MATCH(Data_orders!L$1,Data_products!$A$1:$G$1,0))</f>
        <v>4.125</v>
      </c>
      <c r="M1001">
        <f t="shared" si="30"/>
        <v>12.375</v>
      </c>
      <c r="N1001" t="str" cm="1">
        <f t="array" ref="N1001">_xlfn.IFS(I1001 = "Rob", "Robusta", I1001 = "Exc", "Excelsa", I1001 = "Ara", "Arabica", I1001 = "Lib", "Liberica")</f>
        <v>Excelsa</v>
      </c>
      <c r="O1001" t="str">
        <f t="shared" si="31"/>
        <v>Medium</v>
      </c>
      <c r="P1001" t="str">
        <f>_xlfn.XLOOKUP(Table1[[#This Row],[Customer ID]],Data_customers!$A$2:$A$1001,Data_customers!$I$2:$I$1001,,0)</f>
        <v>Yes</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tabColor theme="1"/>
  </sheetPr>
  <dimension ref="A1:I1001"/>
  <sheetViews>
    <sheetView showGridLines="0" topLeftCell="C1" zoomScale="184" workbookViewId="0">
      <selection activeCell="E11" sqref="A1:I1001"/>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tabColor theme="1"/>
  </sheetPr>
  <dimension ref="A1:G49"/>
  <sheetViews>
    <sheetView showGridLines="0" zoomScale="125" workbookViewId="0">
      <selection activeCell="F17" sqref="F17"/>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Dasboard</vt:lpstr>
      <vt:lpstr>Analysis (Coffee type)</vt:lpstr>
      <vt:lpstr>Analyis (Country)</vt:lpstr>
      <vt:lpstr>Analysis (Customer)</vt:lpstr>
      <vt:lpstr>Analysis (Size)</vt:lpstr>
      <vt:lpstr>Analysis (Loyalty)</vt:lpstr>
      <vt:lpstr>Analysis (Roast)</vt:lpstr>
      <vt:lpstr>Analysis (sale per cus)</vt:lpstr>
      <vt:lpstr>Data_orders</vt:lpstr>
      <vt:lpstr>Data_customers</vt:lpstr>
      <vt:lpstr>Data_products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Chi Vi Nguyen</cp:lastModifiedBy>
  <cp:revision/>
  <dcterms:created xsi:type="dcterms:W3CDTF">2022-11-26T09:51:45Z</dcterms:created>
  <dcterms:modified xsi:type="dcterms:W3CDTF">2024-09-09T10:17:49Z</dcterms:modified>
  <cp:category/>
  <cp:contentStatus/>
</cp:coreProperties>
</file>