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y Drive\campingReport\"/>
    </mc:Choice>
  </mc:AlternateContent>
  <xr:revisionPtr revIDLastSave="0" documentId="13_ncr:1_{432F96F5-1865-455D-9A29-CF697801DEBB}" xr6:coauthVersionLast="47" xr6:coauthVersionMax="47" xr10:uidLastSave="{00000000-0000-0000-0000-000000000000}"/>
  <bookViews>
    <workbookView xWindow="-120" yWindow="-120" windowWidth="29040" windowHeight="16440" firstSheet="1" activeTab="2" xr2:uid="{EDF68695-C68B-4C5E-B474-619E9651D145}"/>
  </bookViews>
  <sheets>
    <sheet name="Sheet6" sheetId="6" r:id="rId1"/>
    <sheet name="Sheet1" sheetId="1" r:id="rId2"/>
    <sheet name="Sheet2" sheetId="2" r:id="rId3"/>
    <sheet name="Sheet7" sheetId="7" r:id="rId4"/>
    <sheet name="Sheet8" sheetId="8" r:id="rId5"/>
    <sheet name="Sheet9" sheetId="9" r:id="rId6"/>
    <sheet name="Sheet10" sheetId="10" r:id="rId7"/>
    <sheet name="Sheet11" sheetId="11" r:id="rId8"/>
    <sheet name="Sheet12" sheetId="12" r:id="rId9"/>
    <sheet name="Sheet14" sheetId="14" r:id="rId10"/>
    <sheet name="Sheet16" sheetId="16" r:id="rId11"/>
    <sheet name="Sheet13" sheetId="13" r:id="rId12"/>
    <sheet name="Sheet15" sheetId="15" r:id="rId13"/>
    <sheet name="Sheet5" sheetId="19" r:id="rId14"/>
    <sheet name="Sheet17" sheetId="20" r:id="rId15"/>
  </sheets>
  <definedNames>
    <definedName name="_xlnm._FilterDatabase" localSheetId="0" hidden="1">Sheet6!$B$3:$M$32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" i="2" l="1"/>
  <c r="Q7" i="2" s="1"/>
  <c r="K7" i="2" s="1"/>
  <c r="M7" i="2" s="1"/>
  <c r="P9" i="2"/>
  <c r="Q8" i="2" s="1"/>
  <c r="K8" i="2" s="1"/>
  <c r="M8" i="2" s="1"/>
  <c r="P10" i="2"/>
  <c r="P11" i="2"/>
  <c r="Q10" i="2" s="1"/>
  <c r="K10" i="2" s="1"/>
  <c r="M10" i="2" s="1"/>
  <c r="P12" i="2"/>
  <c r="P13" i="2"/>
  <c r="P14" i="2"/>
  <c r="P15" i="2"/>
  <c r="Q14" i="2" s="1"/>
  <c r="P16" i="2"/>
  <c r="P17" i="2"/>
  <c r="Q16" i="2" s="1"/>
  <c r="K16" i="2" s="1"/>
  <c r="M16" i="2" s="1"/>
  <c r="P18" i="2"/>
  <c r="P19" i="2"/>
  <c r="Q18" i="2" s="1"/>
  <c r="K18" i="2" s="1"/>
  <c r="M18" i="2" s="1"/>
  <c r="P20" i="2"/>
  <c r="P21" i="2"/>
  <c r="P22" i="2"/>
  <c r="P23" i="2"/>
  <c r="Q22" i="2" s="1"/>
  <c r="P24" i="2"/>
  <c r="P25" i="2"/>
  <c r="Q24" i="2" s="1"/>
  <c r="K24" i="2" s="1"/>
  <c r="M24" i="2" s="1"/>
  <c r="P26" i="2"/>
  <c r="P27" i="2"/>
  <c r="Q26" i="2" s="1"/>
  <c r="K26" i="2" s="1"/>
  <c r="M26" i="2" s="1"/>
  <c r="P28" i="2"/>
  <c r="P29" i="2"/>
  <c r="P30" i="2"/>
  <c r="P31" i="2"/>
  <c r="Q30" i="2" s="1"/>
  <c r="P32" i="2"/>
  <c r="P33" i="2"/>
  <c r="Q32" i="2" s="1"/>
  <c r="K32" i="2" s="1"/>
  <c r="M32" i="2" s="1"/>
  <c r="P34" i="2"/>
  <c r="P35" i="2"/>
  <c r="Q34" i="2" s="1"/>
  <c r="K34" i="2" s="1"/>
  <c r="M34" i="2" s="1"/>
  <c r="Q9" i="2"/>
  <c r="K9" i="2" s="1"/>
  <c r="M9" i="2" s="1"/>
  <c r="Q11" i="2"/>
  <c r="K11" i="2" s="1"/>
  <c r="M11" i="2" s="1"/>
  <c r="Q12" i="2"/>
  <c r="J12" i="2" s="1"/>
  <c r="L12" i="2" s="1"/>
  <c r="Q13" i="2"/>
  <c r="K13" i="2" s="1"/>
  <c r="M13" i="2" s="1"/>
  <c r="Q15" i="2"/>
  <c r="K15" i="2" s="1"/>
  <c r="M15" i="2" s="1"/>
  <c r="Q17" i="2"/>
  <c r="K17" i="2" s="1"/>
  <c r="M17" i="2" s="1"/>
  <c r="Q19" i="2"/>
  <c r="K19" i="2" s="1"/>
  <c r="M19" i="2" s="1"/>
  <c r="Q20" i="2"/>
  <c r="J20" i="2" s="1"/>
  <c r="L20" i="2" s="1"/>
  <c r="Q21" i="2"/>
  <c r="K21" i="2" s="1"/>
  <c r="M21" i="2" s="1"/>
  <c r="Q23" i="2"/>
  <c r="K23" i="2" s="1"/>
  <c r="M23" i="2" s="1"/>
  <c r="Q25" i="2"/>
  <c r="K25" i="2" s="1"/>
  <c r="M25" i="2" s="1"/>
  <c r="Q27" i="2"/>
  <c r="K27" i="2" s="1"/>
  <c r="M27" i="2" s="1"/>
  <c r="Q28" i="2"/>
  <c r="J28" i="2" s="1"/>
  <c r="L28" i="2" s="1"/>
  <c r="Q29" i="2"/>
  <c r="K29" i="2" s="1"/>
  <c r="M29" i="2" s="1"/>
  <c r="Q31" i="2"/>
  <c r="K31" i="2" s="1"/>
  <c r="M31" i="2" s="1"/>
  <c r="Q33" i="2"/>
  <c r="K33" i="2" s="1"/>
  <c r="M33" i="2" s="1"/>
  <c r="Q35" i="2"/>
  <c r="M35" i="2"/>
  <c r="K12" i="2"/>
  <c r="M12" i="2" s="1"/>
  <c r="K20" i="2"/>
  <c r="M20" i="2" s="1"/>
  <c r="K28" i="2"/>
  <c r="M28" i="2" s="1"/>
  <c r="K35" i="2"/>
  <c r="L35" i="2"/>
  <c r="J13" i="2"/>
  <c r="L13" i="2" s="1"/>
  <c r="J21" i="2"/>
  <c r="L21" i="2" s="1"/>
  <c r="J29" i="2"/>
  <c r="L29" i="2" s="1"/>
  <c r="J35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P7" i="2"/>
  <c r="I7" i="2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M8" i="20"/>
  <c r="L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J21" i="20" s="1"/>
  <c r="Q22" i="20"/>
  <c r="Q23" i="20"/>
  <c r="Q24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2" i="20"/>
  <c r="J23" i="20"/>
  <c r="J24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Q8" i="20"/>
  <c r="K8" i="20"/>
  <c r="P8" i="20"/>
  <c r="I8" i="20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7" i="6"/>
  <c r="Q8" i="19"/>
  <c r="Q9" i="19"/>
  <c r="J9" i="19" s="1"/>
  <c r="L9" i="19" s="1"/>
  <c r="Q10" i="19"/>
  <c r="K10" i="19" s="1"/>
  <c r="M10" i="19" s="1"/>
  <c r="Q11" i="19"/>
  <c r="Q12" i="19"/>
  <c r="Q13" i="19"/>
  <c r="K13" i="19" s="1"/>
  <c r="M13" i="19" s="1"/>
  <c r="Q14" i="19"/>
  <c r="Q15" i="19"/>
  <c r="K15" i="19" s="1"/>
  <c r="M15" i="19" s="1"/>
  <c r="Q16" i="19"/>
  <c r="Q17" i="19"/>
  <c r="J17" i="19" s="1"/>
  <c r="L17" i="19" s="1"/>
  <c r="Q18" i="19"/>
  <c r="K18" i="19" s="1"/>
  <c r="M18" i="19" s="1"/>
  <c r="Q19" i="19"/>
  <c r="Q20" i="19"/>
  <c r="Q21" i="19"/>
  <c r="J21" i="19" s="1"/>
  <c r="L21" i="19" s="1"/>
  <c r="Q22" i="19"/>
  <c r="Q23" i="19"/>
  <c r="K23" i="19" s="1"/>
  <c r="M23" i="19" s="1"/>
  <c r="Q24" i="19"/>
  <c r="J24" i="19" s="1"/>
  <c r="L24" i="19" s="1"/>
  <c r="Q25" i="19"/>
  <c r="Q26" i="19"/>
  <c r="K26" i="19" s="1"/>
  <c r="M26" i="19" s="1"/>
  <c r="Q27" i="19"/>
  <c r="Q28" i="19"/>
  <c r="Q29" i="19"/>
  <c r="K29" i="19" s="1"/>
  <c r="M29" i="19" s="1"/>
  <c r="Q30" i="19"/>
  <c r="Q31" i="19"/>
  <c r="J31" i="19" s="1"/>
  <c r="L31" i="19" s="1"/>
  <c r="Q32" i="19"/>
  <c r="J32" i="19" s="1"/>
  <c r="L32" i="19" s="1"/>
  <c r="Q33" i="19"/>
  <c r="Q7" i="19"/>
  <c r="J7" i="19" s="1"/>
  <c r="L7" i="19" s="1"/>
  <c r="Q8" i="15"/>
  <c r="K8" i="15" s="1"/>
  <c r="M8" i="15" s="1"/>
  <c r="Q9" i="15"/>
  <c r="K9" i="15" s="1"/>
  <c r="M9" i="15" s="1"/>
  <c r="Q10" i="15"/>
  <c r="Q11" i="15"/>
  <c r="Q12" i="15"/>
  <c r="Q13" i="15"/>
  <c r="Q14" i="15"/>
  <c r="J14" i="15" s="1"/>
  <c r="L14" i="15" s="1"/>
  <c r="Q15" i="15"/>
  <c r="J15" i="15" s="1"/>
  <c r="L15" i="15" s="1"/>
  <c r="Q16" i="15"/>
  <c r="J16" i="15" s="1"/>
  <c r="L16" i="15" s="1"/>
  <c r="Q17" i="15"/>
  <c r="K17" i="15" s="1"/>
  <c r="M17" i="15" s="1"/>
  <c r="Q18" i="15"/>
  <c r="J18" i="15" s="1"/>
  <c r="L18" i="15" s="1"/>
  <c r="Q19" i="15"/>
  <c r="Q20" i="15"/>
  <c r="Q21" i="15"/>
  <c r="Q22" i="15"/>
  <c r="K22" i="15" s="1"/>
  <c r="M22" i="15" s="1"/>
  <c r="Q23" i="15"/>
  <c r="J23" i="15" s="1"/>
  <c r="L23" i="15" s="1"/>
  <c r="Q24" i="15"/>
  <c r="Q25" i="15"/>
  <c r="J25" i="15" s="1"/>
  <c r="L25" i="15" s="1"/>
  <c r="Q26" i="15"/>
  <c r="Q27" i="15"/>
  <c r="Q28" i="15"/>
  <c r="Q7" i="15"/>
  <c r="K7" i="15"/>
  <c r="M7" i="15" s="1"/>
  <c r="Q8" i="16"/>
  <c r="Q9" i="16"/>
  <c r="Q10" i="16"/>
  <c r="J10" i="16" s="1"/>
  <c r="L10" i="16" s="1"/>
  <c r="Q11" i="16"/>
  <c r="Q12" i="16"/>
  <c r="J12" i="16" s="1"/>
  <c r="L12" i="16" s="1"/>
  <c r="Q13" i="16"/>
  <c r="Q14" i="16"/>
  <c r="Q15" i="16"/>
  <c r="J15" i="16" s="1"/>
  <c r="L15" i="16" s="1"/>
  <c r="Q16" i="16"/>
  <c r="Q17" i="16"/>
  <c r="K17" i="16" s="1"/>
  <c r="M17" i="16" s="1"/>
  <c r="Q18" i="16"/>
  <c r="Q19" i="16"/>
  <c r="Q20" i="16"/>
  <c r="K20" i="16" s="1"/>
  <c r="M20" i="16" s="1"/>
  <c r="Q21" i="16"/>
  <c r="J21" i="16" s="1"/>
  <c r="L21" i="16" s="1"/>
  <c r="Q22" i="16"/>
  <c r="Q23" i="16"/>
  <c r="J23" i="16" s="1"/>
  <c r="L23" i="16" s="1"/>
  <c r="Q24" i="16"/>
  <c r="Q25" i="16"/>
  <c r="K25" i="16" s="1"/>
  <c r="M25" i="16" s="1"/>
  <c r="Q26" i="16"/>
  <c r="Q27" i="16"/>
  <c r="Q28" i="16"/>
  <c r="K28" i="16" s="1"/>
  <c r="M28" i="16" s="1"/>
  <c r="Q29" i="16"/>
  <c r="J29" i="16" s="1"/>
  <c r="L29" i="16" s="1"/>
  <c r="Q30" i="16"/>
  <c r="Q7" i="16"/>
  <c r="K7" i="16"/>
  <c r="M7" i="16" s="1"/>
  <c r="Q8" i="14"/>
  <c r="Q9" i="14"/>
  <c r="Q10" i="14"/>
  <c r="Q11" i="14"/>
  <c r="Q12" i="14"/>
  <c r="Q13" i="14"/>
  <c r="J13" i="14" s="1"/>
  <c r="L13" i="14" s="1"/>
  <c r="Q14" i="14"/>
  <c r="Q15" i="14"/>
  <c r="Q16" i="14"/>
  <c r="Q17" i="14"/>
  <c r="Q18" i="14"/>
  <c r="Q19" i="14"/>
  <c r="Q20" i="14"/>
  <c r="Q21" i="14"/>
  <c r="J21" i="14" s="1"/>
  <c r="L21" i="14" s="1"/>
  <c r="Q7" i="14"/>
  <c r="K7" i="14" s="1"/>
  <c r="M7" i="14" s="1"/>
  <c r="Q8" i="13"/>
  <c r="K8" i="13" s="1"/>
  <c r="M8" i="13" s="1"/>
  <c r="Q9" i="13"/>
  <c r="K9" i="13" s="1"/>
  <c r="M9" i="13" s="1"/>
  <c r="Q10" i="13"/>
  <c r="J10" i="13" s="1"/>
  <c r="L10" i="13" s="1"/>
  <c r="Q11" i="13"/>
  <c r="Q12" i="13"/>
  <c r="Q13" i="13"/>
  <c r="Q14" i="13"/>
  <c r="Q15" i="13"/>
  <c r="K15" i="13" s="1"/>
  <c r="M15" i="13" s="1"/>
  <c r="Q16" i="13"/>
  <c r="Q17" i="13"/>
  <c r="Q18" i="13"/>
  <c r="Q19" i="13"/>
  <c r="Q20" i="13"/>
  <c r="Q21" i="13"/>
  <c r="Q22" i="13"/>
  <c r="Q23" i="13"/>
  <c r="Q24" i="13"/>
  <c r="J24" i="13" s="1"/>
  <c r="L24" i="13" s="1"/>
  <c r="Q25" i="13"/>
  <c r="K25" i="13" s="1"/>
  <c r="M25" i="13" s="1"/>
  <c r="Q26" i="13"/>
  <c r="Q27" i="13"/>
  <c r="Q28" i="13"/>
  <c r="Q29" i="13"/>
  <c r="K29" i="13" s="1"/>
  <c r="M29" i="13" s="1"/>
  <c r="Q30" i="13"/>
  <c r="Q31" i="13"/>
  <c r="Q32" i="13"/>
  <c r="K32" i="13" s="1"/>
  <c r="M32" i="13" s="1"/>
  <c r="Q33" i="13"/>
  <c r="J33" i="13" s="1"/>
  <c r="L33" i="13" s="1"/>
  <c r="Q34" i="13"/>
  <c r="J34" i="13" s="1"/>
  <c r="L34" i="13" s="1"/>
  <c r="Q35" i="13"/>
  <c r="Q7" i="13"/>
  <c r="K7" i="13"/>
  <c r="M7" i="13" s="1"/>
  <c r="Q8" i="12"/>
  <c r="Q9" i="12"/>
  <c r="K9" i="12" s="1"/>
  <c r="M9" i="12" s="1"/>
  <c r="Q10" i="12"/>
  <c r="Q11" i="12"/>
  <c r="K11" i="12" s="1"/>
  <c r="M11" i="12" s="1"/>
  <c r="Q12" i="12"/>
  <c r="Q13" i="12"/>
  <c r="Q14" i="12"/>
  <c r="Q15" i="12"/>
  <c r="J15" i="12" s="1"/>
  <c r="L15" i="12" s="1"/>
  <c r="Q16" i="12"/>
  <c r="Q17" i="12"/>
  <c r="K17" i="12" s="1"/>
  <c r="M17" i="12" s="1"/>
  <c r="Q18" i="12"/>
  <c r="Q19" i="12"/>
  <c r="K19" i="12" s="1"/>
  <c r="M19" i="12" s="1"/>
  <c r="Q20" i="12"/>
  <c r="Q21" i="12"/>
  <c r="Q22" i="12"/>
  <c r="Q23" i="12"/>
  <c r="J23" i="12" s="1"/>
  <c r="L23" i="12" s="1"/>
  <c r="Q24" i="12"/>
  <c r="Q25" i="12"/>
  <c r="K25" i="12" s="1"/>
  <c r="M25" i="12" s="1"/>
  <c r="Q7" i="12"/>
  <c r="K7" i="12"/>
  <c r="M7" i="12" s="1"/>
  <c r="Q8" i="11"/>
  <c r="Q9" i="11"/>
  <c r="Q10" i="11"/>
  <c r="K10" i="11" s="1"/>
  <c r="M10" i="11" s="1"/>
  <c r="Q11" i="11"/>
  <c r="Q12" i="11"/>
  <c r="Q13" i="11"/>
  <c r="Q14" i="11"/>
  <c r="Q15" i="11"/>
  <c r="K15" i="11" s="1"/>
  <c r="M15" i="11" s="1"/>
  <c r="Q16" i="11"/>
  <c r="Q17" i="11"/>
  <c r="Q18" i="11"/>
  <c r="K18" i="11" s="1"/>
  <c r="M18" i="11" s="1"/>
  <c r="Q19" i="11"/>
  <c r="Q20" i="11"/>
  <c r="Q21" i="11"/>
  <c r="Q22" i="11"/>
  <c r="Q23" i="11"/>
  <c r="K23" i="11" s="1"/>
  <c r="M23" i="11" s="1"/>
  <c r="Q24" i="11"/>
  <c r="Q25" i="11"/>
  <c r="Q26" i="11"/>
  <c r="K26" i="11" s="1"/>
  <c r="M26" i="11" s="1"/>
  <c r="Q27" i="11"/>
  <c r="Q28" i="11"/>
  <c r="Q29" i="11"/>
  <c r="Q30" i="11"/>
  <c r="Q31" i="11"/>
  <c r="K31" i="11" s="1"/>
  <c r="M31" i="11" s="1"/>
  <c r="Q7" i="11"/>
  <c r="K7" i="11"/>
  <c r="M7" i="11" s="1"/>
  <c r="Q8" i="10"/>
  <c r="Q9" i="10"/>
  <c r="K9" i="10" s="1"/>
  <c r="M9" i="10" s="1"/>
  <c r="Q10" i="10"/>
  <c r="Q11" i="10"/>
  <c r="Q12" i="10"/>
  <c r="Q13" i="10"/>
  <c r="Q14" i="10"/>
  <c r="Q15" i="10"/>
  <c r="K15" i="10" s="1"/>
  <c r="M15" i="10" s="1"/>
  <c r="Q16" i="10"/>
  <c r="Q17" i="10"/>
  <c r="K17" i="10" s="1"/>
  <c r="M17" i="10" s="1"/>
  <c r="Q18" i="10"/>
  <c r="Q19" i="10"/>
  <c r="Q20" i="10"/>
  <c r="Q21" i="10"/>
  <c r="Q22" i="10"/>
  <c r="Q23" i="10"/>
  <c r="K23" i="10" s="1"/>
  <c r="M23" i="10" s="1"/>
  <c r="Q24" i="10"/>
  <c r="Q25" i="10"/>
  <c r="K25" i="10" s="1"/>
  <c r="M25" i="10" s="1"/>
  <c r="Q26" i="10"/>
  <c r="Q27" i="10"/>
  <c r="Q28" i="10"/>
  <c r="Q29" i="10"/>
  <c r="Q30" i="10"/>
  <c r="Q31" i="10"/>
  <c r="K31" i="10" s="1"/>
  <c r="M31" i="10" s="1"/>
  <c r="Q32" i="10"/>
  <c r="Q33" i="10"/>
  <c r="K33" i="10" s="1"/>
  <c r="M33" i="10" s="1"/>
  <c r="Q7" i="10"/>
  <c r="K7" i="10" s="1"/>
  <c r="M7" i="10" s="1"/>
  <c r="Q8" i="9"/>
  <c r="Q9" i="9"/>
  <c r="K9" i="9" s="1"/>
  <c r="M9" i="9" s="1"/>
  <c r="Q10" i="9"/>
  <c r="J10" i="9" s="1"/>
  <c r="L10" i="9" s="1"/>
  <c r="Q11" i="9"/>
  <c r="Q12" i="9"/>
  <c r="Q13" i="9"/>
  <c r="Q14" i="9"/>
  <c r="Q15" i="9"/>
  <c r="K15" i="9" s="1"/>
  <c r="M15" i="9" s="1"/>
  <c r="Q16" i="9"/>
  <c r="Q17" i="9"/>
  <c r="J17" i="9" s="1"/>
  <c r="L17" i="9" s="1"/>
  <c r="Q18" i="9"/>
  <c r="Q19" i="9"/>
  <c r="Q20" i="9"/>
  <c r="Q21" i="9"/>
  <c r="Q22" i="9"/>
  <c r="Q23" i="9"/>
  <c r="K23" i="9" s="1"/>
  <c r="M23" i="9" s="1"/>
  <c r="Q24" i="9"/>
  <c r="Q25" i="9"/>
  <c r="J25" i="9" s="1"/>
  <c r="L25" i="9" s="1"/>
  <c r="Q26" i="9"/>
  <c r="J26" i="9" s="1"/>
  <c r="L26" i="9" s="1"/>
  <c r="Q27" i="9"/>
  <c r="Q28" i="9"/>
  <c r="Q29" i="9"/>
  <c r="Q30" i="9"/>
  <c r="Q31" i="9"/>
  <c r="K31" i="9" s="1"/>
  <c r="M31" i="9" s="1"/>
  <c r="Q32" i="9"/>
  <c r="Q7" i="9"/>
  <c r="J7" i="9" s="1"/>
  <c r="L7" i="9" s="1"/>
  <c r="K25" i="9"/>
  <c r="M25" i="9" s="1"/>
  <c r="L9" i="8"/>
  <c r="J24" i="8"/>
  <c r="J9" i="8"/>
  <c r="J10" i="8"/>
  <c r="J11" i="8"/>
  <c r="J12" i="8"/>
  <c r="J13" i="8"/>
  <c r="J14" i="8"/>
  <c r="L14" i="8" s="1"/>
  <c r="J15" i="8"/>
  <c r="J16" i="8"/>
  <c r="J17" i="8"/>
  <c r="J18" i="8"/>
  <c r="J19" i="8"/>
  <c r="J20" i="8"/>
  <c r="J21" i="8"/>
  <c r="J22" i="8"/>
  <c r="J23" i="8"/>
  <c r="J8" i="8"/>
  <c r="K8" i="7"/>
  <c r="K9" i="7"/>
  <c r="K10" i="7"/>
  <c r="K11" i="7"/>
  <c r="K12" i="7"/>
  <c r="M12" i="7" s="1"/>
  <c r="K13" i="7"/>
  <c r="K14" i="7"/>
  <c r="K15" i="7"/>
  <c r="K16" i="7"/>
  <c r="K17" i="7"/>
  <c r="K18" i="7"/>
  <c r="K19" i="7"/>
  <c r="K20" i="7"/>
  <c r="M20" i="7" s="1"/>
  <c r="K21" i="7"/>
  <c r="K22" i="7"/>
  <c r="K23" i="7"/>
  <c r="K24" i="7"/>
  <c r="K25" i="7"/>
  <c r="K26" i="7"/>
  <c r="K27" i="7"/>
  <c r="K28" i="7"/>
  <c r="K29" i="7"/>
  <c r="M29" i="7" s="1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L23" i="7" s="1"/>
  <c r="J24" i="7"/>
  <c r="J25" i="7"/>
  <c r="J26" i="7"/>
  <c r="J27" i="7"/>
  <c r="J28" i="7"/>
  <c r="J29" i="7"/>
  <c r="K7" i="7"/>
  <c r="J7" i="7"/>
  <c r="L10" i="7"/>
  <c r="L22" i="7"/>
  <c r="L11" i="1"/>
  <c r="L12" i="1"/>
  <c r="L13" i="1"/>
  <c r="L14" i="1"/>
  <c r="L15" i="1"/>
  <c r="L16" i="1"/>
  <c r="N16" i="1" s="1"/>
  <c r="L17" i="1"/>
  <c r="L18" i="1"/>
  <c r="L19" i="1"/>
  <c r="L20" i="1"/>
  <c r="L21" i="1"/>
  <c r="L22" i="1"/>
  <c r="L23" i="1"/>
  <c r="L24" i="1"/>
  <c r="N24" i="1" s="1"/>
  <c r="L25" i="1"/>
  <c r="L26" i="1"/>
  <c r="L27" i="1"/>
  <c r="L28" i="1"/>
  <c r="N28" i="1" s="1"/>
  <c r="L29" i="1"/>
  <c r="L30" i="1"/>
  <c r="L31" i="1"/>
  <c r="L32" i="1"/>
  <c r="L33" i="1"/>
  <c r="L34" i="1"/>
  <c r="L35" i="1"/>
  <c r="L36" i="1"/>
  <c r="L37" i="1"/>
  <c r="L38" i="1"/>
  <c r="L10" i="1"/>
  <c r="N18" i="1"/>
  <c r="N30" i="1"/>
  <c r="L9" i="1"/>
  <c r="N9" i="1" s="1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8" i="8"/>
  <c r="Q8" i="7"/>
  <c r="Q9" i="7"/>
  <c r="Q10" i="7"/>
  <c r="Q11" i="7"/>
  <c r="Q12" i="7"/>
  <c r="Q13" i="7"/>
  <c r="Q14" i="7"/>
  <c r="Q15" i="7"/>
  <c r="Q16" i="7"/>
  <c r="Q17" i="7"/>
  <c r="Q18" i="7"/>
  <c r="M18" i="7" s="1"/>
  <c r="Q19" i="7"/>
  <c r="Q20" i="7"/>
  <c r="Q21" i="7"/>
  <c r="Q22" i="7"/>
  <c r="Q23" i="7"/>
  <c r="Q24" i="7"/>
  <c r="Q25" i="7"/>
  <c r="Q26" i="7"/>
  <c r="Q27" i="7"/>
  <c r="Q28" i="7"/>
  <c r="Q29" i="7"/>
  <c r="Q7" i="7"/>
  <c r="M7" i="7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N26" i="1" s="1"/>
  <c r="U27" i="1"/>
  <c r="U28" i="1"/>
  <c r="U29" i="1"/>
  <c r="U30" i="1"/>
  <c r="U31" i="1"/>
  <c r="U32" i="1"/>
  <c r="U33" i="1"/>
  <c r="U34" i="1"/>
  <c r="U35" i="1"/>
  <c r="U36" i="1"/>
  <c r="U37" i="1"/>
  <c r="U38" i="1"/>
  <c r="U9" i="1"/>
  <c r="N20" i="1"/>
  <c r="N21" i="1"/>
  <c r="N29" i="1"/>
  <c r="N32" i="1"/>
  <c r="N37" i="1"/>
  <c r="N14" i="1"/>
  <c r="M11" i="1"/>
  <c r="O11" i="1" s="1"/>
  <c r="N13" i="1"/>
  <c r="N22" i="1"/>
  <c r="N23" i="1"/>
  <c r="N34" i="1"/>
  <c r="N38" i="1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7" i="16"/>
  <c r="K8" i="19"/>
  <c r="M8" i="19" s="1"/>
  <c r="K7" i="19"/>
  <c r="M7" i="19" s="1"/>
  <c r="J25" i="19"/>
  <c r="L25" i="19" s="1"/>
  <c r="J33" i="19"/>
  <c r="L33" i="19" s="1"/>
  <c r="P8" i="19"/>
  <c r="P9" i="19"/>
  <c r="P10" i="19"/>
  <c r="P11" i="19"/>
  <c r="P12" i="19"/>
  <c r="P13" i="19"/>
  <c r="P14" i="19"/>
  <c r="P15" i="19"/>
  <c r="P16" i="19"/>
  <c r="P17" i="19"/>
  <c r="P18" i="19"/>
  <c r="P19" i="19"/>
  <c r="P20" i="19"/>
  <c r="P21" i="19"/>
  <c r="P22" i="19"/>
  <c r="P23" i="19"/>
  <c r="P24" i="19"/>
  <c r="P25" i="19"/>
  <c r="P26" i="19"/>
  <c r="P27" i="19"/>
  <c r="P28" i="19"/>
  <c r="P29" i="19"/>
  <c r="P30" i="19"/>
  <c r="P31" i="19"/>
  <c r="P32" i="19"/>
  <c r="P33" i="19"/>
  <c r="M25" i="19"/>
  <c r="M27" i="19"/>
  <c r="K9" i="19"/>
  <c r="M9" i="19" s="1"/>
  <c r="K11" i="19"/>
  <c r="M11" i="19" s="1"/>
  <c r="K12" i="19"/>
  <c r="M12" i="19" s="1"/>
  <c r="K14" i="19"/>
  <c r="M14" i="19" s="1"/>
  <c r="K16" i="19"/>
  <c r="M16" i="19" s="1"/>
  <c r="K17" i="19"/>
  <c r="M17" i="19" s="1"/>
  <c r="K19" i="19"/>
  <c r="M19" i="19" s="1"/>
  <c r="K20" i="19"/>
  <c r="M20" i="19" s="1"/>
  <c r="K22" i="19"/>
  <c r="M22" i="19" s="1"/>
  <c r="K24" i="19"/>
  <c r="M24" i="19" s="1"/>
  <c r="K25" i="19"/>
  <c r="K27" i="19"/>
  <c r="K28" i="19"/>
  <c r="M28" i="19" s="1"/>
  <c r="K30" i="19"/>
  <c r="M30" i="19" s="1"/>
  <c r="K32" i="19"/>
  <c r="M32" i="19" s="1"/>
  <c r="K33" i="19"/>
  <c r="M33" i="19" s="1"/>
  <c r="J11" i="19"/>
  <c r="L11" i="19" s="1"/>
  <c r="J12" i="19"/>
  <c r="L12" i="19" s="1"/>
  <c r="J14" i="19"/>
  <c r="L14" i="19" s="1"/>
  <c r="J16" i="19"/>
  <c r="L16" i="19" s="1"/>
  <c r="J18" i="19"/>
  <c r="L18" i="19" s="1"/>
  <c r="J19" i="19"/>
  <c r="L19" i="19" s="1"/>
  <c r="J20" i="19"/>
  <c r="L20" i="19" s="1"/>
  <c r="J22" i="19"/>
  <c r="L22" i="19" s="1"/>
  <c r="J26" i="19"/>
  <c r="L26" i="19" s="1"/>
  <c r="J27" i="19"/>
  <c r="L27" i="19" s="1"/>
  <c r="J28" i="19"/>
  <c r="L28" i="19" s="1"/>
  <c r="J29" i="19"/>
  <c r="L29" i="19" s="1"/>
  <c r="J30" i="19"/>
  <c r="L30" i="19" s="1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7" i="19"/>
  <c r="P7" i="19"/>
  <c r="J13" i="16"/>
  <c r="L13" i="16" s="1"/>
  <c r="K11" i="16"/>
  <c r="M11" i="16" s="1"/>
  <c r="J10" i="15"/>
  <c r="L10" i="15" s="1"/>
  <c r="J13" i="15"/>
  <c r="L13" i="15" s="1"/>
  <c r="K16" i="15"/>
  <c r="M16" i="15" s="1"/>
  <c r="J21" i="15"/>
  <c r="L21" i="15" s="1"/>
  <c r="K24" i="15"/>
  <c r="M24" i="15" s="1"/>
  <c r="K25" i="15"/>
  <c r="M25" i="15" s="1"/>
  <c r="J26" i="15"/>
  <c r="L26" i="15" s="1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M21" i="15"/>
  <c r="L8" i="15"/>
  <c r="L11" i="15"/>
  <c r="K11" i="15"/>
  <c r="M11" i="15" s="1"/>
  <c r="K12" i="15"/>
  <c r="M12" i="15" s="1"/>
  <c r="K13" i="15"/>
  <c r="M13" i="15" s="1"/>
  <c r="K14" i="15"/>
  <c r="M14" i="15" s="1"/>
  <c r="K19" i="15"/>
  <c r="M19" i="15" s="1"/>
  <c r="K20" i="15"/>
  <c r="M20" i="15" s="1"/>
  <c r="K21" i="15"/>
  <c r="K27" i="15"/>
  <c r="M27" i="15" s="1"/>
  <c r="K28" i="15"/>
  <c r="M28" i="15" s="1"/>
  <c r="J8" i="15"/>
  <c r="J9" i="15"/>
  <c r="L9" i="15" s="1"/>
  <c r="J11" i="15"/>
  <c r="J12" i="15"/>
  <c r="L12" i="15" s="1"/>
  <c r="J17" i="15"/>
  <c r="L17" i="15" s="1"/>
  <c r="J19" i="15"/>
  <c r="L19" i="15" s="1"/>
  <c r="J20" i="15"/>
  <c r="L20" i="15" s="1"/>
  <c r="J22" i="15"/>
  <c r="L22" i="15" s="1"/>
  <c r="J24" i="15"/>
  <c r="L24" i="15" s="1"/>
  <c r="J27" i="15"/>
  <c r="L27" i="15" s="1"/>
  <c r="J28" i="15"/>
  <c r="L28" i="15" s="1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7" i="15"/>
  <c r="P7" i="15"/>
  <c r="K8" i="16"/>
  <c r="M8" i="16" s="1"/>
  <c r="K9" i="16"/>
  <c r="M9" i="16" s="1"/>
  <c r="K10" i="16"/>
  <c r="M10" i="16" s="1"/>
  <c r="K13" i="16"/>
  <c r="M13" i="16" s="1"/>
  <c r="K14" i="16"/>
  <c r="K16" i="16"/>
  <c r="M16" i="16" s="1"/>
  <c r="K18" i="16"/>
  <c r="M18" i="16" s="1"/>
  <c r="K19" i="16"/>
  <c r="K21" i="16"/>
  <c r="K22" i="16"/>
  <c r="M22" i="16" s="1"/>
  <c r="K24" i="16"/>
  <c r="M24" i="16" s="1"/>
  <c r="K26" i="16"/>
  <c r="M26" i="16" s="1"/>
  <c r="K27" i="16"/>
  <c r="K29" i="16"/>
  <c r="M29" i="16" s="1"/>
  <c r="K30" i="16"/>
  <c r="M30" i="16" s="1"/>
  <c r="L9" i="16"/>
  <c r="L14" i="16"/>
  <c r="M14" i="16"/>
  <c r="M19" i="16"/>
  <c r="M21" i="16"/>
  <c r="M27" i="16"/>
  <c r="J8" i="16"/>
  <c r="L8" i="16" s="1"/>
  <c r="J9" i="16"/>
  <c r="J11" i="16"/>
  <c r="L11" i="16" s="1"/>
  <c r="J14" i="16"/>
  <c r="J16" i="16"/>
  <c r="L16" i="16" s="1"/>
  <c r="J17" i="16"/>
  <c r="L17" i="16" s="1"/>
  <c r="J18" i="16"/>
  <c r="L18" i="16" s="1"/>
  <c r="J19" i="16"/>
  <c r="L19" i="16" s="1"/>
  <c r="J20" i="16"/>
  <c r="L20" i="16" s="1"/>
  <c r="J22" i="16"/>
  <c r="L22" i="16" s="1"/>
  <c r="J24" i="16"/>
  <c r="L24" i="16" s="1"/>
  <c r="J25" i="16"/>
  <c r="L25" i="16" s="1"/>
  <c r="J26" i="16"/>
  <c r="L26" i="16" s="1"/>
  <c r="J27" i="16"/>
  <c r="L27" i="16" s="1"/>
  <c r="J28" i="16"/>
  <c r="L28" i="16" s="1"/>
  <c r="J30" i="16"/>
  <c r="L30" i="16" s="1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P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7" i="16"/>
  <c r="M10" i="14"/>
  <c r="M18" i="14"/>
  <c r="L12" i="14"/>
  <c r="L15" i="14"/>
  <c r="L20" i="14"/>
  <c r="K8" i="14"/>
  <c r="M8" i="14" s="1"/>
  <c r="K9" i="14"/>
  <c r="M9" i="14" s="1"/>
  <c r="K10" i="14"/>
  <c r="K11" i="14"/>
  <c r="M11" i="14" s="1"/>
  <c r="K12" i="14"/>
  <c r="M12" i="14" s="1"/>
  <c r="K14" i="14"/>
  <c r="M14" i="14" s="1"/>
  <c r="K15" i="14"/>
  <c r="M15" i="14" s="1"/>
  <c r="K16" i="14"/>
  <c r="M16" i="14" s="1"/>
  <c r="K17" i="14"/>
  <c r="M17" i="14" s="1"/>
  <c r="K18" i="14"/>
  <c r="K19" i="14"/>
  <c r="M19" i="14" s="1"/>
  <c r="K20" i="14"/>
  <c r="M20" i="14" s="1"/>
  <c r="J8" i="14"/>
  <c r="L8" i="14" s="1"/>
  <c r="J9" i="14"/>
  <c r="L9" i="14" s="1"/>
  <c r="J10" i="14"/>
  <c r="L10" i="14" s="1"/>
  <c r="J11" i="14"/>
  <c r="L11" i="14" s="1"/>
  <c r="J12" i="14"/>
  <c r="J14" i="14"/>
  <c r="L14" i="14" s="1"/>
  <c r="J15" i="14"/>
  <c r="J16" i="14"/>
  <c r="L16" i="14" s="1"/>
  <c r="J17" i="14"/>
  <c r="L17" i="14" s="1"/>
  <c r="J18" i="14"/>
  <c r="L18" i="14" s="1"/>
  <c r="J19" i="14"/>
  <c r="L19" i="14" s="1"/>
  <c r="J20" i="14"/>
  <c r="J7" i="14"/>
  <c r="L7" i="14" s="1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7" i="14"/>
  <c r="K10" i="13"/>
  <c r="M10" i="13" s="1"/>
  <c r="J16" i="13"/>
  <c r="L16" i="13" s="1"/>
  <c r="K18" i="13"/>
  <c r="M18" i="13" s="1"/>
  <c r="K22" i="13"/>
  <c r="M22" i="13" s="1"/>
  <c r="K30" i="13"/>
  <c r="M30" i="13" s="1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7" i="14"/>
  <c r="M35" i="13"/>
  <c r="K35" i="13"/>
  <c r="J35" i="13"/>
  <c r="L35" i="13" s="1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K19" i="13"/>
  <c r="M19" i="13" s="1"/>
  <c r="K20" i="13"/>
  <c r="M20" i="13" s="1"/>
  <c r="K28" i="13"/>
  <c r="M28" i="13" s="1"/>
  <c r="J9" i="13"/>
  <c r="L9" i="13" s="1"/>
  <c r="J17" i="13"/>
  <c r="L17" i="13" s="1"/>
  <c r="K12" i="13"/>
  <c r="M12" i="13" s="1"/>
  <c r="K13" i="13"/>
  <c r="M13" i="13" s="1"/>
  <c r="K14" i="13"/>
  <c r="M14" i="13" s="1"/>
  <c r="K16" i="13"/>
  <c r="M16" i="13" s="1"/>
  <c r="K17" i="13"/>
  <c r="M17" i="13" s="1"/>
  <c r="J19" i="13"/>
  <c r="L19" i="13" s="1"/>
  <c r="J20" i="13"/>
  <c r="L20" i="13" s="1"/>
  <c r="K11" i="13"/>
  <c r="M11" i="13" s="1"/>
  <c r="K21" i="13"/>
  <c r="M21" i="13" s="1"/>
  <c r="J26" i="13"/>
  <c r="L26" i="13" s="1"/>
  <c r="J27" i="13"/>
  <c r="L27" i="13" s="1"/>
  <c r="J28" i="13"/>
  <c r="L28" i="13" s="1"/>
  <c r="P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7" i="13"/>
  <c r="M12" i="12"/>
  <c r="M13" i="12"/>
  <c r="M14" i="12"/>
  <c r="M20" i="12"/>
  <c r="M21" i="12"/>
  <c r="M22" i="12"/>
  <c r="L10" i="12"/>
  <c r="L12" i="12"/>
  <c r="L18" i="12"/>
  <c r="L20" i="12"/>
  <c r="K8" i="12"/>
  <c r="M8" i="12" s="1"/>
  <c r="K10" i="12"/>
  <c r="M10" i="12" s="1"/>
  <c r="K12" i="12"/>
  <c r="K13" i="12"/>
  <c r="K14" i="12"/>
  <c r="K16" i="12"/>
  <c r="M16" i="12" s="1"/>
  <c r="K18" i="12"/>
  <c r="M18" i="12" s="1"/>
  <c r="K20" i="12"/>
  <c r="K21" i="12"/>
  <c r="K22" i="12"/>
  <c r="K24" i="12"/>
  <c r="M24" i="12" s="1"/>
  <c r="J8" i="12"/>
  <c r="L8" i="12" s="1"/>
  <c r="J10" i="12"/>
  <c r="J12" i="12"/>
  <c r="J13" i="12"/>
  <c r="L13" i="12" s="1"/>
  <c r="J14" i="12"/>
  <c r="L14" i="12" s="1"/>
  <c r="J16" i="12"/>
  <c r="L16" i="12" s="1"/>
  <c r="J18" i="12"/>
  <c r="J20" i="12"/>
  <c r="J21" i="12"/>
  <c r="L21" i="12" s="1"/>
  <c r="J22" i="12"/>
  <c r="L22" i="12" s="1"/>
  <c r="J24" i="12"/>
  <c r="L24" i="12" s="1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7" i="12"/>
  <c r="K8" i="11"/>
  <c r="M8" i="11" s="1"/>
  <c r="K9" i="11"/>
  <c r="M9" i="11" s="1"/>
  <c r="K11" i="11"/>
  <c r="M11" i="11" s="1"/>
  <c r="K12" i="11"/>
  <c r="M12" i="11" s="1"/>
  <c r="K13" i="11"/>
  <c r="M13" i="11" s="1"/>
  <c r="K14" i="11"/>
  <c r="M14" i="11" s="1"/>
  <c r="K16" i="11"/>
  <c r="M16" i="11" s="1"/>
  <c r="K17" i="11"/>
  <c r="M17" i="11" s="1"/>
  <c r="K19" i="11"/>
  <c r="M19" i="11" s="1"/>
  <c r="K20" i="11"/>
  <c r="M20" i="11" s="1"/>
  <c r="K21" i="11"/>
  <c r="M21" i="11" s="1"/>
  <c r="K22" i="11"/>
  <c r="M22" i="11" s="1"/>
  <c r="K24" i="11"/>
  <c r="M24" i="11" s="1"/>
  <c r="K25" i="11"/>
  <c r="M25" i="11" s="1"/>
  <c r="K27" i="11"/>
  <c r="M27" i="11" s="1"/>
  <c r="K28" i="11"/>
  <c r="M28" i="11" s="1"/>
  <c r="K29" i="11"/>
  <c r="M29" i="11" s="1"/>
  <c r="K30" i="11"/>
  <c r="M30" i="11" s="1"/>
  <c r="J8" i="11"/>
  <c r="L8" i="11" s="1"/>
  <c r="J9" i="11"/>
  <c r="L9" i="11" s="1"/>
  <c r="J11" i="11"/>
  <c r="L11" i="11" s="1"/>
  <c r="J12" i="11"/>
  <c r="L12" i="11" s="1"/>
  <c r="J13" i="11"/>
  <c r="L13" i="11" s="1"/>
  <c r="J14" i="11"/>
  <c r="L14" i="11" s="1"/>
  <c r="J16" i="11"/>
  <c r="L16" i="11" s="1"/>
  <c r="J17" i="11"/>
  <c r="L17" i="11" s="1"/>
  <c r="J19" i="11"/>
  <c r="L19" i="11" s="1"/>
  <c r="J20" i="11"/>
  <c r="L20" i="11" s="1"/>
  <c r="J21" i="11"/>
  <c r="L21" i="11" s="1"/>
  <c r="J22" i="11"/>
  <c r="L22" i="11" s="1"/>
  <c r="J24" i="11"/>
  <c r="L24" i="11" s="1"/>
  <c r="J25" i="11"/>
  <c r="L25" i="11" s="1"/>
  <c r="J27" i="11"/>
  <c r="L27" i="11" s="1"/>
  <c r="J28" i="11"/>
  <c r="L28" i="11" s="1"/>
  <c r="J29" i="11"/>
  <c r="L29" i="11" s="1"/>
  <c r="J30" i="11"/>
  <c r="L30" i="11" s="1"/>
  <c r="P31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7" i="11"/>
  <c r="M8" i="10"/>
  <c r="M14" i="10"/>
  <c r="M16" i="10"/>
  <c r="M22" i="10"/>
  <c r="M24" i="10"/>
  <c r="M30" i="10"/>
  <c r="M32" i="10"/>
  <c r="L12" i="10"/>
  <c r="L13" i="10"/>
  <c r="L14" i="10"/>
  <c r="L20" i="10"/>
  <c r="L21" i="10"/>
  <c r="L22" i="10"/>
  <c r="L28" i="10"/>
  <c r="L29" i="10"/>
  <c r="L30" i="10"/>
  <c r="K8" i="10"/>
  <c r="K10" i="10"/>
  <c r="M10" i="10" s="1"/>
  <c r="K11" i="10"/>
  <c r="M11" i="10" s="1"/>
  <c r="K12" i="10"/>
  <c r="M12" i="10" s="1"/>
  <c r="K13" i="10"/>
  <c r="M13" i="10" s="1"/>
  <c r="K14" i="10"/>
  <c r="K16" i="10"/>
  <c r="K18" i="10"/>
  <c r="M18" i="10" s="1"/>
  <c r="K19" i="10"/>
  <c r="M19" i="10" s="1"/>
  <c r="K20" i="10"/>
  <c r="M20" i="10" s="1"/>
  <c r="K21" i="10"/>
  <c r="M21" i="10" s="1"/>
  <c r="K22" i="10"/>
  <c r="K24" i="10"/>
  <c r="K26" i="10"/>
  <c r="M26" i="10" s="1"/>
  <c r="K27" i="10"/>
  <c r="M27" i="10" s="1"/>
  <c r="K28" i="10"/>
  <c r="M28" i="10" s="1"/>
  <c r="K29" i="10"/>
  <c r="M29" i="10" s="1"/>
  <c r="K30" i="10"/>
  <c r="K32" i="10"/>
  <c r="J8" i="10"/>
  <c r="L8" i="10" s="1"/>
  <c r="J9" i="10"/>
  <c r="L9" i="10" s="1"/>
  <c r="J10" i="10"/>
  <c r="L10" i="10" s="1"/>
  <c r="J11" i="10"/>
  <c r="L11" i="10" s="1"/>
  <c r="J12" i="10"/>
  <c r="J13" i="10"/>
  <c r="J14" i="10"/>
  <c r="J16" i="10"/>
  <c r="L16" i="10" s="1"/>
  <c r="J17" i="10"/>
  <c r="L17" i="10" s="1"/>
  <c r="J18" i="10"/>
  <c r="L18" i="10" s="1"/>
  <c r="J19" i="10"/>
  <c r="L19" i="10" s="1"/>
  <c r="J20" i="10"/>
  <c r="J21" i="10"/>
  <c r="J22" i="10"/>
  <c r="J24" i="10"/>
  <c r="L24" i="10" s="1"/>
  <c r="J25" i="10"/>
  <c r="L25" i="10" s="1"/>
  <c r="J26" i="10"/>
  <c r="L26" i="10" s="1"/>
  <c r="J27" i="10"/>
  <c r="L27" i="10" s="1"/>
  <c r="J28" i="10"/>
  <c r="J29" i="10"/>
  <c r="J30" i="10"/>
  <c r="J32" i="10"/>
  <c r="L32" i="10" s="1"/>
  <c r="J33" i="10"/>
  <c r="L33" i="10" s="1"/>
  <c r="J7" i="10"/>
  <c r="L7" i="10" s="1"/>
  <c r="P33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7" i="10"/>
  <c r="M14" i="9"/>
  <c r="M22" i="9"/>
  <c r="M28" i="9"/>
  <c r="L14" i="9"/>
  <c r="L16" i="9"/>
  <c r="L19" i="9"/>
  <c r="L21" i="9"/>
  <c r="L30" i="9"/>
  <c r="K8" i="9"/>
  <c r="M8" i="9" s="1"/>
  <c r="K10" i="9"/>
  <c r="M10" i="9" s="1"/>
  <c r="K11" i="9"/>
  <c r="M11" i="9" s="1"/>
  <c r="K12" i="9"/>
  <c r="M12" i="9" s="1"/>
  <c r="K13" i="9"/>
  <c r="M13" i="9" s="1"/>
  <c r="K14" i="9"/>
  <c r="K16" i="9"/>
  <c r="M16" i="9" s="1"/>
  <c r="K18" i="9"/>
  <c r="M18" i="9" s="1"/>
  <c r="K19" i="9"/>
  <c r="M19" i="9" s="1"/>
  <c r="K20" i="9"/>
  <c r="M20" i="9" s="1"/>
  <c r="K21" i="9"/>
  <c r="M21" i="9" s="1"/>
  <c r="K22" i="9"/>
  <c r="K24" i="9"/>
  <c r="M24" i="9" s="1"/>
  <c r="K27" i="9"/>
  <c r="M27" i="9" s="1"/>
  <c r="K28" i="9"/>
  <c r="K29" i="9"/>
  <c r="M29" i="9" s="1"/>
  <c r="K30" i="9"/>
  <c r="M30" i="9" s="1"/>
  <c r="K32" i="9"/>
  <c r="M32" i="9" s="1"/>
  <c r="J8" i="9"/>
  <c r="L8" i="9" s="1"/>
  <c r="J9" i="9"/>
  <c r="L9" i="9" s="1"/>
  <c r="J11" i="9"/>
  <c r="L11" i="9" s="1"/>
  <c r="J12" i="9"/>
  <c r="L12" i="9" s="1"/>
  <c r="J13" i="9"/>
  <c r="L13" i="9" s="1"/>
  <c r="J14" i="9"/>
  <c r="J16" i="9"/>
  <c r="J18" i="9"/>
  <c r="L18" i="9" s="1"/>
  <c r="J19" i="9"/>
  <c r="J20" i="9"/>
  <c r="L20" i="9" s="1"/>
  <c r="J21" i="9"/>
  <c r="J22" i="9"/>
  <c r="L22" i="9" s="1"/>
  <c r="J24" i="9"/>
  <c r="L24" i="9" s="1"/>
  <c r="J27" i="9"/>
  <c r="L27" i="9" s="1"/>
  <c r="J28" i="9"/>
  <c r="L28" i="9" s="1"/>
  <c r="J29" i="9"/>
  <c r="L29" i="9" s="1"/>
  <c r="J30" i="9"/>
  <c r="J32" i="9"/>
  <c r="L32" i="9" s="1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7" i="9"/>
  <c r="K14" i="8"/>
  <c r="M14" i="8" s="1"/>
  <c r="L22" i="8"/>
  <c r="M8" i="7"/>
  <c r="M9" i="7"/>
  <c r="M11" i="7"/>
  <c r="L13" i="7"/>
  <c r="M16" i="7"/>
  <c r="M19" i="7"/>
  <c r="L21" i="7"/>
  <c r="M24" i="7"/>
  <c r="M25" i="7"/>
  <c r="M27" i="7"/>
  <c r="P9" i="8"/>
  <c r="K8" i="8" s="1"/>
  <c r="M8" i="8" s="1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8" i="8"/>
  <c r="L8" i="7"/>
  <c r="L24" i="7"/>
  <c r="M10" i="7"/>
  <c r="M14" i="7"/>
  <c r="M22" i="7"/>
  <c r="M26" i="7"/>
  <c r="M28" i="7"/>
  <c r="L11" i="7"/>
  <c r="L12" i="7"/>
  <c r="L14" i="7"/>
  <c r="L16" i="7"/>
  <c r="L18" i="7"/>
  <c r="L19" i="7"/>
  <c r="L20" i="7"/>
  <c r="L28" i="7"/>
  <c r="L29" i="7"/>
  <c r="L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7" i="7"/>
  <c r="P8" i="6"/>
  <c r="P7" i="6"/>
  <c r="K11" i="6"/>
  <c r="M11" i="6" s="1"/>
  <c r="J13" i="6"/>
  <c r="L13" i="6" s="1"/>
  <c r="J21" i="6"/>
  <c r="L21" i="6" s="1"/>
  <c r="K21" i="6"/>
  <c r="M21" i="6" s="1"/>
  <c r="K19" i="6"/>
  <c r="M19" i="6" s="1"/>
  <c r="J8" i="6"/>
  <c r="L8" i="6" s="1"/>
  <c r="J11" i="6"/>
  <c r="L11" i="6" s="1"/>
  <c r="K13" i="6"/>
  <c r="M13" i="6" s="1"/>
  <c r="J14" i="6"/>
  <c r="L14" i="6" s="1"/>
  <c r="J32" i="6"/>
  <c r="L32" i="6" s="1"/>
  <c r="J7" i="6"/>
  <c r="L7" i="6" s="1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7" i="6"/>
  <c r="I10" i="1"/>
  <c r="T10" i="1"/>
  <c r="M10" i="1"/>
  <c r="O10" i="1" s="1"/>
  <c r="I11" i="1"/>
  <c r="T11" i="1"/>
  <c r="I12" i="1"/>
  <c r="T12" i="1"/>
  <c r="M12" i="1"/>
  <c r="O12" i="1" s="1"/>
  <c r="I13" i="1"/>
  <c r="T13" i="1"/>
  <c r="M13" i="1"/>
  <c r="O13" i="1" s="1"/>
  <c r="I14" i="1"/>
  <c r="T14" i="1"/>
  <c r="M14" i="1"/>
  <c r="O14" i="1" s="1"/>
  <c r="I15" i="1"/>
  <c r="T15" i="1"/>
  <c r="M15" i="1"/>
  <c r="O15" i="1"/>
  <c r="I16" i="1"/>
  <c r="T16" i="1"/>
  <c r="I17" i="1"/>
  <c r="T17" i="1"/>
  <c r="I18" i="1"/>
  <c r="T18" i="1"/>
  <c r="M18" i="1"/>
  <c r="O18" i="1"/>
  <c r="I19" i="1"/>
  <c r="T19" i="1"/>
  <c r="M19" i="1"/>
  <c r="O19" i="1" s="1"/>
  <c r="I20" i="1"/>
  <c r="T20" i="1"/>
  <c r="M20" i="1"/>
  <c r="O20" i="1"/>
  <c r="I21" i="1"/>
  <c r="T21" i="1"/>
  <c r="M21" i="1"/>
  <c r="O21" i="1" s="1"/>
  <c r="I22" i="1"/>
  <c r="T22" i="1"/>
  <c r="M22" i="1"/>
  <c r="O22" i="1"/>
  <c r="I23" i="1"/>
  <c r="T23" i="1"/>
  <c r="M23" i="1"/>
  <c r="O23" i="1" s="1"/>
  <c r="I24" i="1"/>
  <c r="T24" i="1"/>
  <c r="I25" i="1"/>
  <c r="T25" i="1"/>
  <c r="I26" i="1"/>
  <c r="T26" i="1"/>
  <c r="M26" i="1"/>
  <c r="O26" i="1" s="1"/>
  <c r="I27" i="1"/>
  <c r="T27" i="1"/>
  <c r="M27" i="1"/>
  <c r="O27" i="1"/>
  <c r="I28" i="1"/>
  <c r="T28" i="1"/>
  <c r="M28" i="1"/>
  <c r="O28" i="1" s="1"/>
  <c r="I29" i="1"/>
  <c r="T29" i="1"/>
  <c r="M29" i="1"/>
  <c r="O29" i="1"/>
  <c r="I30" i="1"/>
  <c r="T30" i="1"/>
  <c r="M30" i="1"/>
  <c r="O30" i="1" s="1"/>
  <c r="I31" i="1"/>
  <c r="T31" i="1"/>
  <c r="M31" i="1"/>
  <c r="O31" i="1"/>
  <c r="I32" i="1"/>
  <c r="T32" i="1"/>
  <c r="I33" i="1"/>
  <c r="T33" i="1"/>
  <c r="I34" i="1"/>
  <c r="T34" i="1"/>
  <c r="M34" i="1"/>
  <c r="O34" i="1"/>
  <c r="I35" i="1"/>
  <c r="T35" i="1"/>
  <c r="M35" i="1"/>
  <c r="O35" i="1" s="1"/>
  <c r="I36" i="1"/>
  <c r="T36" i="1"/>
  <c r="M36" i="1"/>
  <c r="O36" i="1"/>
  <c r="I37" i="1"/>
  <c r="T37" i="1"/>
  <c r="M37" i="1"/>
  <c r="O37" i="1" s="1"/>
  <c r="I38" i="1"/>
  <c r="T38" i="1"/>
  <c r="M38" i="1"/>
  <c r="O38" i="1"/>
  <c r="I9" i="1"/>
  <c r="T9" i="1"/>
  <c r="M9" i="1"/>
  <c r="O9" i="1" s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9" i="1"/>
  <c r="J30" i="2" l="1"/>
  <c r="L30" i="2" s="1"/>
  <c r="K30" i="2"/>
  <c r="M30" i="2" s="1"/>
  <c r="K22" i="2"/>
  <c r="M22" i="2" s="1"/>
  <c r="J22" i="2"/>
  <c r="L22" i="2" s="1"/>
  <c r="J14" i="2"/>
  <c r="L14" i="2" s="1"/>
  <c r="K14" i="2"/>
  <c r="M14" i="2" s="1"/>
  <c r="J27" i="2"/>
  <c r="L27" i="2" s="1"/>
  <c r="J11" i="2"/>
  <c r="L11" i="2" s="1"/>
  <c r="J19" i="2"/>
  <c r="L19" i="2" s="1"/>
  <c r="J34" i="2"/>
  <c r="L34" i="2" s="1"/>
  <c r="J26" i="2"/>
  <c r="L26" i="2" s="1"/>
  <c r="J18" i="2"/>
  <c r="L18" i="2" s="1"/>
  <c r="J10" i="2"/>
  <c r="L10" i="2" s="1"/>
  <c r="J33" i="2"/>
  <c r="L33" i="2" s="1"/>
  <c r="J25" i="2"/>
  <c r="L25" i="2" s="1"/>
  <c r="J17" i="2"/>
  <c r="L17" i="2" s="1"/>
  <c r="J9" i="2"/>
  <c r="L9" i="2" s="1"/>
  <c r="J32" i="2"/>
  <c r="L32" i="2" s="1"/>
  <c r="J24" i="2"/>
  <c r="L24" i="2" s="1"/>
  <c r="J16" i="2"/>
  <c r="L16" i="2" s="1"/>
  <c r="J8" i="2"/>
  <c r="L8" i="2" s="1"/>
  <c r="J31" i="2"/>
  <c r="L31" i="2" s="1"/>
  <c r="J23" i="2"/>
  <c r="L23" i="2" s="1"/>
  <c r="J15" i="2"/>
  <c r="L15" i="2" s="1"/>
  <c r="J7" i="2"/>
  <c r="L7" i="2" s="1"/>
  <c r="J8" i="20"/>
  <c r="J13" i="19"/>
  <c r="L13" i="19" s="1"/>
  <c r="K21" i="19"/>
  <c r="M21" i="19" s="1"/>
  <c r="J23" i="19"/>
  <c r="L23" i="19" s="1"/>
  <c r="J15" i="19"/>
  <c r="L15" i="19" s="1"/>
  <c r="J10" i="19"/>
  <c r="L10" i="19" s="1"/>
  <c r="K31" i="19"/>
  <c r="M31" i="19" s="1"/>
  <c r="K23" i="16"/>
  <c r="M23" i="16" s="1"/>
  <c r="K15" i="16"/>
  <c r="M15" i="16" s="1"/>
  <c r="K12" i="16"/>
  <c r="M12" i="16" s="1"/>
  <c r="J7" i="16"/>
  <c r="L7" i="16" s="1"/>
  <c r="K21" i="14"/>
  <c r="M21" i="14" s="1"/>
  <c r="K13" i="14"/>
  <c r="M13" i="14" s="1"/>
  <c r="K33" i="13"/>
  <c r="M33" i="13" s="1"/>
  <c r="J25" i="13"/>
  <c r="L25" i="13" s="1"/>
  <c r="K23" i="12"/>
  <c r="M23" i="12" s="1"/>
  <c r="K15" i="12"/>
  <c r="M15" i="12" s="1"/>
  <c r="J19" i="12"/>
  <c r="L19" i="12" s="1"/>
  <c r="J11" i="12"/>
  <c r="L11" i="12" s="1"/>
  <c r="J25" i="12"/>
  <c r="L25" i="12" s="1"/>
  <c r="J17" i="12"/>
  <c r="L17" i="12" s="1"/>
  <c r="J9" i="12"/>
  <c r="L9" i="12" s="1"/>
  <c r="J7" i="12"/>
  <c r="L7" i="12" s="1"/>
  <c r="J26" i="11"/>
  <c r="L26" i="11" s="1"/>
  <c r="J18" i="11"/>
  <c r="L18" i="11" s="1"/>
  <c r="J10" i="11"/>
  <c r="L10" i="11" s="1"/>
  <c r="J31" i="11"/>
  <c r="L31" i="11" s="1"/>
  <c r="J23" i="11"/>
  <c r="L23" i="11" s="1"/>
  <c r="J15" i="11"/>
  <c r="L15" i="11" s="1"/>
  <c r="J7" i="11"/>
  <c r="L7" i="11" s="1"/>
  <c r="J31" i="10"/>
  <c r="L31" i="10" s="1"/>
  <c r="J23" i="10"/>
  <c r="L23" i="10" s="1"/>
  <c r="J15" i="10"/>
  <c r="L15" i="10" s="1"/>
  <c r="K26" i="9"/>
  <c r="M26" i="9" s="1"/>
  <c r="K17" i="9"/>
  <c r="M17" i="9" s="1"/>
  <c r="J31" i="9"/>
  <c r="L31" i="9" s="1"/>
  <c r="J23" i="9"/>
  <c r="L23" i="9" s="1"/>
  <c r="J15" i="9"/>
  <c r="L15" i="9" s="1"/>
  <c r="K7" i="9"/>
  <c r="M7" i="9" s="1"/>
  <c r="L15" i="7"/>
  <c r="L26" i="7"/>
  <c r="M17" i="7"/>
  <c r="J25" i="6"/>
  <c r="L25" i="6" s="1"/>
  <c r="K25" i="6"/>
  <c r="M25" i="6" s="1"/>
  <c r="J16" i="6"/>
  <c r="L16" i="6" s="1"/>
  <c r="K16" i="6"/>
  <c r="M16" i="6" s="1"/>
  <c r="J17" i="6"/>
  <c r="L17" i="6" s="1"/>
  <c r="K17" i="6"/>
  <c r="M17" i="6" s="1"/>
  <c r="J24" i="6"/>
  <c r="L24" i="6" s="1"/>
  <c r="K24" i="6"/>
  <c r="M24" i="6" s="1"/>
  <c r="J31" i="6"/>
  <c r="L31" i="6" s="1"/>
  <c r="K31" i="6"/>
  <c r="M31" i="6" s="1"/>
  <c r="J23" i="6"/>
  <c r="L23" i="6" s="1"/>
  <c r="K23" i="6"/>
  <c r="M23" i="6" s="1"/>
  <c r="J15" i="6"/>
  <c r="L15" i="6" s="1"/>
  <c r="K15" i="6"/>
  <c r="M15" i="6" s="1"/>
  <c r="J9" i="6"/>
  <c r="L9" i="6" s="1"/>
  <c r="K9" i="6"/>
  <c r="M9" i="6" s="1"/>
  <c r="J22" i="6"/>
  <c r="L22" i="6" s="1"/>
  <c r="K22" i="6"/>
  <c r="M22" i="6" s="1"/>
  <c r="K29" i="6"/>
  <c r="M29" i="6" s="1"/>
  <c r="J29" i="6"/>
  <c r="L29" i="6" s="1"/>
  <c r="K28" i="6"/>
  <c r="M28" i="6" s="1"/>
  <c r="J28" i="6"/>
  <c r="L28" i="6" s="1"/>
  <c r="K20" i="6"/>
  <c r="M20" i="6" s="1"/>
  <c r="J20" i="6"/>
  <c r="L20" i="6" s="1"/>
  <c r="K12" i="6"/>
  <c r="M12" i="6" s="1"/>
  <c r="J12" i="6"/>
  <c r="L12" i="6" s="1"/>
  <c r="J30" i="6"/>
  <c r="L30" i="6" s="1"/>
  <c r="K30" i="6"/>
  <c r="M30" i="6" s="1"/>
  <c r="K27" i="6"/>
  <c r="M27" i="6" s="1"/>
  <c r="J27" i="6"/>
  <c r="L27" i="6" s="1"/>
  <c r="K26" i="6"/>
  <c r="M26" i="6" s="1"/>
  <c r="J26" i="6"/>
  <c r="L26" i="6" s="1"/>
  <c r="K18" i="6"/>
  <c r="M18" i="6" s="1"/>
  <c r="J18" i="6"/>
  <c r="L18" i="6" s="1"/>
  <c r="K10" i="6"/>
  <c r="M10" i="6" s="1"/>
  <c r="J10" i="6"/>
  <c r="L10" i="6" s="1"/>
  <c r="J19" i="6"/>
  <c r="L19" i="6" s="1"/>
  <c r="K7" i="6"/>
  <c r="M7" i="6" s="1"/>
  <c r="K32" i="6"/>
  <c r="M32" i="6" s="1"/>
  <c r="K8" i="6"/>
  <c r="M8" i="6" s="1"/>
  <c r="K14" i="6"/>
  <c r="M14" i="6" s="1"/>
  <c r="N36" i="1"/>
  <c r="N33" i="1"/>
  <c r="N25" i="1"/>
  <c r="N17" i="1"/>
  <c r="N31" i="1"/>
  <c r="N15" i="1"/>
  <c r="N35" i="1"/>
  <c r="N19" i="1"/>
  <c r="K16" i="8"/>
  <c r="M16" i="8" s="1"/>
  <c r="L16" i="8"/>
  <c r="K23" i="8"/>
  <c r="M23" i="8" s="1"/>
  <c r="L23" i="8"/>
  <c r="K21" i="8"/>
  <c r="M21" i="8" s="1"/>
  <c r="L21" i="8"/>
  <c r="K13" i="8"/>
  <c r="M13" i="8" s="1"/>
  <c r="L13" i="8"/>
  <c r="K24" i="8"/>
  <c r="M24" i="8" s="1"/>
  <c r="L24" i="8"/>
  <c r="K20" i="8"/>
  <c r="M20" i="8" s="1"/>
  <c r="L20" i="8"/>
  <c r="K12" i="8"/>
  <c r="M12" i="8" s="1"/>
  <c r="L12" i="8"/>
  <c r="K19" i="8"/>
  <c r="M19" i="8" s="1"/>
  <c r="L19" i="8"/>
  <c r="K11" i="8"/>
  <c r="M11" i="8" s="1"/>
  <c r="L11" i="8"/>
  <c r="K18" i="8"/>
  <c r="M18" i="8" s="1"/>
  <c r="L18" i="8"/>
  <c r="K10" i="8"/>
  <c r="M10" i="8" s="1"/>
  <c r="L10" i="8"/>
  <c r="K15" i="8"/>
  <c r="M15" i="8" s="1"/>
  <c r="L15" i="8"/>
  <c r="K17" i="8"/>
  <c r="M17" i="8" s="1"/>
  <c r="L17" i="8"/>
  <c r="K22" i="8"/>
  <c r="M22" i="8" s="1"/>
  <c r="L8" i="8"/>
  <c r="N27" i="1"/>
  <c r="M33" i="1"/>
  <c r="O33" i="1" s="1"/>
  <c r="M25" i="1"/>
  <c r="O25" i="1" s="1"/>
  <c r="M17" i="1"/>
  <c r="O17" i="1" s="1"/>
  <c r="M32" i="1"/>
  <c r="O32" i="1" s="1"/>
  <c r="M24" i="1"/>
  <c r="O24" i="1" s="1"/>
  <c r="M16" i="1"/>
  <c r="O16" i="1" s="1"/>
  <c r="N12" i="1"/>
  <c r="N11" i="1"/>
  <c r="N10" i="1"/>
  <c r="J7" i="15"/>
  <c r="L7" i="15" s="1"/>
  <c r="J8" i="19"/>
  <c r="L8" i="19" s="1"/>
  <c r="K26" i="15"/>
  <c r="M26" i="15" s="1"/>
  <c r="K18" i="15"/>
  <c r="M18" i="15" s="1"/>
  <c r="K10" i="15"/>
  <c r="M10" i="15" s="1"/>
  <c r="K23" i="15"/>
  <c r="M23" i="15" s="1"/>
  <c r="K15" i="15"/>
  <c r="M15" i="15" s="1"/>
  <c r="K24" i="13"/>
  <c r="M24" i="13" s="1"/>
  <c r="J32" i="13"/>
  <c r="L32" i="13" s="1"/>
  <c r="J18" i="13"/>
  <c r="L18" i="13" s="1"/>
  <c r="J7" i="13"/>
  <c r="L7" i="13" s="1"/>
  <c r="K23" i="13"/>
  <c r="M23" i="13" s="1"/>
  <c r="J23" i="13"/>
  <c r="L23" i="13" s="1"/>
  <c r="K31" i="13"/>
  <c r="M31" i="13" s="1"/>
  <c r="J31" i="13"/>
  <c r="L31" i="13" s="1"/>
  <c r="K27" i="13"/>
  <c r="M27" i="13" s="1"/>
  <c r="J15" i="13"/>
  <c r="L15" i="13" s="1"/>
  <c r="K34" i="13"/>
  <c r="M34" i="13" s="1"/>
  <c r="K26" i="13"/>
  <c r="M26" i="13" s="1"/>
  <c r="J30" i="13"/>
  <c r="L30" i="13" s="1"/>
  <c r="J22" i="13"/>
  <c r="L22" i="13" s="1"/>
  <c r="J14" i="13"/>
  <c r="L14" i="13" s="1"/>
  <c r="J8" i="13"/>
  <c r="L8" i="13" s="1"/>
  <c r="J29" i="13"/>
  <c r="L29" i="13" s="1"/>
  <c r="J21" i="13"/>
  <c r="L21" i="13" s="1"/>
  <c r="J13" i="13"/>
  <c r="L13" i="13" s="1"/>
  <c r="J12" i="13"/>
  <c r="L12" i="13" s="1"/>
  <c r="J11" i="13"/>
  <c r="L11" i="13" s="1"/>
  <c r="L25" i="7"/>
  <c r="L17" i="7"/>
  <c r="L9" i="7"/>
  <c r="M23" i="7"/>
  <c r="M15" i="7"/>
  <c r="L27" i="7"/>
  <c r="M21" i="7"/>
  <c r="M13" i="7"/>
  <c r="K9" i="8" l="1"/>
  <c r="M9" i="8" s="1"/>
</calcChain>
</file>

<file path=xl/sharedStrings.xml><?xml version="1.0" encoding="utf-8"?>
<sst xmlns="http://schemas.openxmlformats.org/spreadsheetml/2006/main" count="485" uniqueCount="188">
  <si>
    <t>TARGET HEIGHT</t>
  </si>
  <si>
    <t>SIGHTED TO</t>
  </si>
  <si>
    <t>D</t>
  </si>
  <si>
    <t xml:space="preserve">M </t>
  </si>
  <si>
    <t>S</t>
  </si>
  <si>
    <t>H DIST</t>
  </si>
  <si>
    <t>(m)</t>
  </si>
  <si>
    <t>V</t>
  </si>
  <si>
    <t>RL OF POINT</t>
  </si>
  <si>
    <t xml:space="preserve">                    HZ. ANGLE</t>
  </si>
  <si>
    <t>INS AT:</t>
  </si>
  <si>
    <t>INS HT.:</t>
  </si>
  <si>
    <t>CP1</t>
  </si>
  <si>
    <t>t1</t>
  </si>
  <si>
    <t>T2</t>
  </si>
  <si>
    <t>T1</t>
  </si>
  <si>
    <t>B1</t>
  </si>
  <si>
    <t>B2</t>
  </si>
  <si>
    <t>t2</t>
  </si>
  <si>
    <t>W1</t>
  </si>
  <si>
    <t>W2</t>
  </si>
  <si>
    <t>W3</t>
  </si>
  <si>
    <t>W2'</t>
  </si>
  <si>
    <t>t3</t>
  </si>
  <si>
    <t>G1</t>
  </si>
  <si>
    <t>G2</t>
  </si>
  <si>
    <t>t4</t>
  </si>
  <si>
    <t>G8</t>
  </si>
  <si>
    <t>R1</t>
  </si>
  <si>
    <t>R2</t>
  </si>
  <si>
    <t>t5</t>
  </si>
  <si>
    <t>R6</t>
  </si>
  <si>
    <t>R7</t>
  </si>
  <si>
    <t>R8</t>
  </si>
  <si>
    <t>COORDINATE</t>
  </si>
  <si>
    <t>LAT</t>
  </si>
  <si>
    <t>DEP</t>
  </si>
  <si>
    <t>ANG</t>
  </si>
  <si>
    <t>IND CORD</t>
  </si>
  <si>
    <t>INS HT:</t>
  </si>
  <si>
    <r>
      <t>H</t>
    </r>
    <r>
      <rPr>
        <vertAlign val="subscript"/>
        <sz val="11"/>
        <color theme="1"/>
        <rFont val="Calibri"/>
        <family val="2"/>
        <scheme val="minor"/>
      </rPr>
      <t>12</t>
    </r>
  </si>
  <si>
    <t>M</t>
  </si>
  <si>
    <t xml:space="preserve">   HZ. ANGLE</t>
  </si>
  <si>
    <t>HZ. DST</t>
  </si>
  <si>
    <t>RL OF POINTS(m)</t>
  </si>
  <si>
    <t>DEPT</t>
  </si>
  <si>
    <t>IND COORDINATE</t>
  </si>
  <si>
    <t>BEARING</t>
  </si>
  <si>
    <t>W4</t>
  </si>
  <si>
    <t>W5</t>
  </si>
  <si>
    <t>t6</t>
  </si>
  <si>
    <t>W6</t>
  </si>
  <si>
    <t>t7</t>
  </si>
  <si>
    <t>G10</t>
  </si>
  <si>
    <t>T11</t>
  </si>
  <si>
    <t>G12</t>
  </si>
  <si>
    <t>t15</t>
  </si>
  <si>
    <t>R9</t>
  </si>
  <si>
    <t>R13</t>
  </si>
  <si>
    <t>T18</t>
  </si>
  <si>
    <t>R14</t>
  </si>
  <si>
    <t>OB2</t>
  </si>
  <si>
    <t>H11</t>
  </si>
  <si>
    <t>R15</t>
  </si>
  <si>
    <t>TL1</t>
  </si>
  <si>
    <t>TL2</t>
  </si>
  <si>
    <t>BM</t>
  </si>
  <si>
    <t>BM2</t>
  </si>
  <si>
    <t>G14</t>
  </si>
  <si>
    <t>T19</t>
  </si>
  <si>
    <t>TL3</t>
  </si>
  <si>
    <t>TL4</t>
  </si>
  <si>
    <t>C</t>
  </si>
  <si>
    <t>G19</t>
  </si>
  <si>
    <t>T21</t>
  </si>
  <si>
    <t>T22</t>
  </si>
  <si>
    <t>H10</t>
  </si>
  <si>
    <t>M2</t>
  </si>
  <si>
    <t>CH2</t>
  </si>
  <si>
    <t>M22</t>
  </si>
  <si>
    <t>M21</t>
  </si>
  <si>
    <t>T28</t>
  </si>
  <si>
    <t>G23</t>
  </si>
  <si>
    <t>T29</t>
  </si>
  <si>
    <t>G24</t>
  </si>
  <si>
    <t>T32</t>
  </si>
  <si>
    <t>G33</t>
  </si>
  <si>
    <t>H9</t>
  </si>
  <si>
    <t>BC1</t>
  </si>
  <si>
    <t>BP1</t>
  </si>
  <si>
    <t>BC2</t>
  </si>
  <si>
    <t>WP1</t>
  </si>
  <si>
    <t>G39</t>
  </si>
  <si>
    <t>WP4</t>
  </si>
  <si>
    <t>H4</t>
  </si>
  <si>
    <t>Rd10</t>
  </si>
  <si>
    <t>Rd11</t>
  </si>
  <si>
    <t>G62</t>
  </si>
  <si>
    <t>Rd12</t>
  </si>
  <si>
    <t>G78</t>
  </si>
  <si>
    <t>Rd16</t>
  </si>
  <si>
    <t>G79</t>
  </si>
  <si>
    <t>G80</t>
  </si>
  <si>
    <t>H5</t>
  </si>
  <si>
    <t>Rd17</t>
  </si>
  <si>
    <t>T25</t>
  </si>
  <si>
    <t>F1</t>
  </si>
  <si>
    <t>F2</t>
  </si>
  <si>
    <t>Rd27</t>
  </si>
  <si>
    <t>Pw1</t>
  </si>
  <si>
    <t>Bd4</t>
  </si>
  <si>
    <t>Gd1</t>
  </si>
  <si>
    <t>Rd28</t>
  </si>
  <si>
    <t>T27</t>
  </si>
  <si>
    <t>G81</t>
  </si>
  <si>
    <t>H6</t>
  </si>
  <si>
    <t>S1</t>
  </si>
  <si>
    <t>S2</t>
  </si>
  <si>
    <t>G85</t>
  </si>
  <si>
    <t>G90</t>
  </si>
  <si>
    <t>G91</t>
  </si>
  <si>
    <t>S3</t>
  </si>
  <si>
    <t>G92</t>
  </si>
  <si>
    <t>G93</t>
  </si>
  <si>
    <r>
      <t>H</t>
    </r>
    <r>
      <rPr>
        <vertAlign val="subscript"/>
        <sz val="11"/>
        <color theme="1"/>
        <rFont val="Calibri"/>
        <family val="2"/>
        <scheme val="minor"/>
      </rPr>
      <t>7</t>
    </r>
  </si>
  <si>
    <t>G103</t>
  </si>
  <si>
    <t>T31</t>
  </si>
  <si>
    <t>G115</t>
  </si>
  <si>
    <t>G119</t>
  </si>
  <si>
    <t>H8</t>
  </si>
  <si>
    <t>G120</t>
  </si>
  <si>
    <t>CH1</t>
  </si>
  <si>
    <t>DW3</t>
  </si>
  <si>
    <t>DN1</t>
  </si>
  <si>
    <t>TP3</t>
  </si>
  <si>
    <t>G128</t>
  </si>
  <si>
    <t>h2</t>
  </si>
  <si>
    <t>WP3</t>
  </si>
  <si>
    <t>BD5</t>
  </si>
  <si>
    <t>RD30</t>
  </si>
  <si>
    <t>G153</t>
  </si>
  <si>
    <t>RD31</t>
  </si>
  <si>
    <t>G154</t>
  </si>
  <si>
    <t>T33</t>
  </si>
  <si>
    <t>RD32</t>
  </si>
  <si>
    <t>G157</t>
  </si>
  <si>
    <t>h1</t>
  </si>
  <si>
    <t>WP5</t>
  </si>
  <si>
    <t>T34</t>
  </si>
  <si>
    <t>GT1</t>
  </si>
  <si>
    <t>BD7</t>
  </si>
  <si>
    <t>G160</t>
  </si>
  <si>
    <t>RD35</t>
  </si>
  <si>
    <t>G162</t>
  </si>
  <si>
    <t>RD36</t>
  </si>
  <si>
    <t>G163</t>
  </si>
  <si>
    <t>RD38</t>
  </si>
  <si>
    <t>G164</t>
  </si>
  <si>
    <t>RD40</t>
  </si>
  <si>
    <t>GT2</t>
  </si>
  <si>
    <t>H1</t>
  </si>
  <si>
    <t>R47</t>
  </si>
  <si>
    <t>G165</t>
  </si>
  <si>
    <t>GH3</t>
  </si>
  <si>
    <t>G167</t>
  </si>
  <si>
    <t>YD51</t>
  </si>
  <si>
    <t>G169</t>
  </si>
  <si>
    <t>YD52</t>
  </si>
  <si>
    <t>G170</t>
  </si>
  <si>
    <t>T36</t>
  </si>
  <si>
    <t>G172</t>
  </si>
  <si>
    <t>H2</t>
  </si>
  <si>
    <t>G180</t>
  </si>
  <si>
    <t>RD51</t>
  </si>
  <si>
    <t>G181</t>
  </si>
  <si>
    <t>RD52</t>
  </si>
  <si>
    <t>G182</t>
  </si>
  <si>
    <t>T37</t>
  </si>
  <si>
    <t>G188</t>
  </si>
  <si>
    <t>G189</t>
  </si>
  <si>
    <t>BD9</t>
  </si>
  <si>
    <t>BD10</t>
  </si>
  <si>
    <t>BEAR IN RADIAN</t>
  </si>
  <si>
    <t>BEARING ®</t>
  </si>
  <si>
    <t>h5</t>
  </si>
  <si>
    <t>G140</t>
  </si>
  <si>
    <t>RD1</t>
  </si>
  <si>
    <t>G145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</si>
</sst>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398A8-8518-47BE-AB78-8C348ED8F261}">
  <dimension ref="B3:Q33"/>
  <sheetViews>
    <sheetView workbookViewId="0">
      <selection activeCell="T14" sqref="T14"/>
    </sheetView>
  </sheetViews>
  <sheetFormatPr defaultColWidth="9.140625" defaultRowHeight="15" x14ac:dyDescent="0.25"/>
  <cols>
    <col min="1" max="1" width="9.140625" style="1"/>
    <col min="2" max="2" width="11.28515625" style="1" customWidth="1"/>
    <col min="3" max="3" width="14.28515625" style="1" customWidth="1"/>
    <col min="4" max="8" width="9.140625" style="1"/>
    <col min="9" max="9" width="15.7109375" style="1" customWidth="1"/>
    <col min="10" max="12" width="9.140625" style="1"/>
    <col min="13" max="13" width="16.28515625" style="1" customWidth="1"/>
    <col min="14" max="16384" width="9.140625" style="1"/>
  </cols>
  <sheetData>
    <row r="3" spans="2:17" x14ac:dyDescent="0.25">
      <c r="B3" s="1" t="s">
        <v>10</v>
      </c>
      <c r="C3" s="1" t="s">
        <v>62</v>
      </c>
    </row>
    <row r="4" spans="2:17" x14ac:dyDescent="0.25">
      <c r="B4" s="1" t="s">
        <v>39</v>
      </c>
      <c r="C4" s="1">
        <v>1.4350000000000001</v>
      </c>
    </row>
    <row r="5" spans="2:17" x14ac:dyDescent="0.25">
      <c r="B5" s="1" t="s">
        <v>1</v>
      </c>
      <c r="C5" s="1" t="s">
        <v>0</v>
      </c>
      <c r="D5" s="6" t="s">
        <v>42</v>
      </c>
      <c r="E5" s="6"/>
      <c r="F5" s="6"/>
      <c r="G5" s="1" t="s">
        <v>43</v>
      </c>
      <c r="H5" s="1" t="s">
        <v>7</v>
      </c>
      <c r="I5" s="1" t="s">
        <v>44</v>
      </c>
      <c r="J5" s="6" t="s">
        <v>34</v>
      </c>
      <c r="K5" s="6"/>
      <c r="L5" s="6" t="s">
        <v>46</v>
      </c>
      <c r="M5" s="6"/>
      <c r="P5" s="1" t="s">
        <v>37</v>
      </c>
      <c r="Q5" s="1" t="s">
        <v>47</v>
      </c>
    </row>
    <row r="6" spans="2:17" x14ac:dyDescent="0.25">
      <c r="D6" s="1" t="s">
        <v>2</v>
      </c>
      <c r="E6" s="1" t="s">
        <v>41</v>
      </c>
      <c r="F6" s="1" t="s">
        <v>4</v>
      </c>
      <c r="G6" s="1" t="s">
        <v>6</v>
      </c>
      <c r="H6" s="1" t="s">
        <v>6</v>
      </c>
      <c r="J6" s="1" t="s">
        <v>35</v>
      </c>
      <c r="K6" s="1" t="s">
        <v>45</v>
      </c>
      <c r="L6" s="1" t="s">
        <v>35</v>
      </c>
      <c r="M6" s="1" t="s">
        <v>45</v>
      </c>
    </row>
    <row r="7" spans="2:17" x14ac:dyDescent="0.25">
      <c r="B7" s="1" t="s">
        <v>63</v>
      </c>
      <c r="C7" s="1">
        <v>1.63</v>
      </c>
      <c r="D7" s="1">
        <v>350</v>
      </c>
      <c r="E7" s="1">
        <v>30</v>
      </c>
      <c r="F7" s="1">
        <v>16</v>
      </c>
      <c r="G7" s="1">
        <v>13.552</v>
      </c>
      <c r="H7" s="1">
        <v>-0.248</v>
      </c>
      <c r="I7" s="1">
        <f>297.274+1.435+H7-C7</f>
        <v>296.83100000000002</v>
      </c>
      <c r="J7" s="1">
        <f>G7*COS(Q7)</f>
        <v>-11.706669758455593</v>
      </c>
      <c r="K7" s="1">
        <f>G7*SIN(Q7)</f>
        <v>-6.8271946776447843</v>
      </c>
      <c r="L7" s="1">
        <f>891.707+J7</f>
        <v>880.00033024154436</v>
      </c>
      <c r="M7" s="1">
        <f>903.55+K7</f>
        <v>896.72280532235516</v>
      </c>
      <c r="P7" s="1">
        <f>D7+E7/60+F7/3600</f>
        <v>350.50444444444446</v>
      </c>
      <c r="Q7" s="3">
        <f>IF((39.752+P7-180)&gt;0, (39.752+P7-180)*3.1415/180, (39.752+P7+180)*3.1415/180)</f>
        <v>3.6695590012345685</v>
      </c>
    </row>
    <row r="8" spans="2:17" x14ac:dyDescent="0.25">
      <c r="B8" s="1" t="s">
        <v>64</v>
      </c>
      <c r="C8" s="1">
        <v>1.5</v>
      </c>
      <c r="D8" s="1">
        <v>255</v>
      </c>
      <c r="E8" s="1">
        <v>37</v>
      </c>
      <c r="F8" s="1">
        <v>3</v>
      </c>
      <c r="G8" s="1">
        <v>6.1139999999999999</v>
      </c>
      <c r="H8" s="1">
        <v>5.3800000000000001E-2</v>
      </c>
      <c r="I8" s="3">
        <f t="shared" ref="I8:I32" si="0">297.274+1.435+H8-C8</f>
        <v>297.26280000000003</v>
      </c>
      <c r="J8" s="3">
        <f t="shared" ref="J8:J32" si="1">G8*COS(Q8)</f>
        <v>-2.6192409317868472</v>
      </c>
      <c r="K8" s="3">
        <f t="shared" ref="K8:K32" si="2">G8*SIN(Q8)</f>
        <v>5.5245427811948717</v>
      </c>
      <c r="L8" s="3">
        <f t="shared" ref="L8:L33" si="3">891.707+J8</f>
        <v>889.08775906821313</v>
      </c>
      <c r="M8" s="3">
        <f t="shared" ref="M8:M32" si="4">903.55+K8</f>
        <v>909.07454278119485</v>
      </c>
      <c r="P8" s="3">
        <f>D8+E8/60+F8/3600</f>
        <v>255.61750000000001</v>
      </c>
      <c r="Q8" s="3">
        <f t="shared" ref="Q8:Q32" si="5">IF((39.752+P8-180)&gt;0, (39.752+P8-180)*3.1415/180, (39.752+P8+180)*3.1415/180)</f>
        <v>2.0135182458333341</v>
      </c>
    </row>
    <row r="9" spans="2:17" x14ac:dyDescent="0.25">
      <c r="B9" s="1" t="s">
        <v>65</v>
      </c>
      <c r="C9" s="1">
        <v>1.5</v>
      </c>
      <c r="D9" s="1">
        <v>236</v>
      </c>
      <c r="E9" s="1">
        <v>11</v>
      </c>
      <c r="F9" s="1">
        <v>36</v>
      </c>
      <c r="G9" s="1">
        <v>9.2550000000000008</v>
      </c>
      <c r="H9" s="1">
        <v>9.98E-2</v>
      </c>
      <c r="I9" s="3">
        <f t="shared" si="0"/>
        <v>297.30880000000002</v>
      </c>
      <c r="J9" s="3">
        <f t="shared" si="1"/>
        <v>-0.95817392281636482</v>
      </c>
      <c r="K9" s="3">
        <f t="shared" si="2"/>
        <v>9.2052663043300758</v>
      </c>
      <c r="L9" s="3">
        <f t="shared" si="3"/>
        <v>890.74882607718359</v>
      </c>
      <c r="M9" s="3">
        <f t="shared" si="4"/>
        <v>912.75526630433001</v>
      </c>
      <c r="P9" s="3">
        <f t="shared" ref="P8:P32" si="6">D9+E9/60+F9/3600</f>
        <v>236.19333333333333</v>
      </c>
      <c r="Q9" s="3">
        <f t="shared" si="5"/>
        <v>1.6745125814814819</v>
      </c>
    </row>
    <row r="10" spans="2:17" x14ac:dyDescent="0.25">
      <c r="B10" s="1" t="s">
        <v>66</v>
      </c>
      <c r="C10" s="1">
        <v>2</v>
      </c>
      <c r="D10" s="1">
        <v>220</v>
      </c>
      <c r="E10" s="1">
        <v>52</v>
      </c>
      <c r="F10" s="1">
        <v>18</v>
      </c>
      <c r="G10" s="1">
        <v>3.6920000000000002</v>
      </c>
      <c r="H10" s="1">
        <v>0.54900000000000004</v>
      </c>
      <c r="I10" s="3">
        <f t="shared" si="0"/>
        <v>297.25799999999998</v>
      </c>
      <c r="J10" s="3">
        <f t="shared" si="1"/>
        <v>0.60164602866896699</v>
      </c>
      <c r="K10" s="3">
        <f t="shared" si="2"/>
        <v>3.6426482202083226</v>
      </c>
      <c r="L10" s="3">
        <f t="shared" si="3"/>
        <v>892.30864602866893</v>
      </c>
      <c r="M10" s="3">
        <f t="shared" si="4"/>
        <v>907.1926482202083</v>
      </c>
      <c r="P10" s="3">
        <f t="shared" si="6"/>
        <v>220.87166666666667</v>
      </c>
      <c r="Q10" s="3">
        <f t="shared" si="5"/>
        <v>1.4071069379629633</v>
      </c>
    </row>
    <row r="11" spans="2:17" x14ac:dyDescent="0.25">
      <c r="B11" s="1" t="s">
        <v>67</v>
      </c>
      <c r="C11" s="1">
        <v>2</v>
      </c>
      <c r="D11" s="1">
        <v>177</v>
      </c>
      <c r="E11" s="1">
        <v>36</v>
      </c>
      <c r="F11" s="1">
        <v>6</v>
      </c>
      <c r="G11" s="1">
        <v>14.311</v>
      </c>
      <c r="H11" s="1">
        <v>0.79200000000000004</v>
      </c>
      <c r="I11" s="3">
        <f t="shared" si="0"/>
        <v>297.50099999999998</v>
      </c>
      <c r="J11" s="3">
        <f t="shared" si="1"/>
        <v>11.376059944685696</v>
      </c>
      <c r="K11" s="3">
        <f t="shared" si="2"/>
        <v>8.6827404161887536</v>
      </c>
      <c r="L11" s="3">
        <f t="shared" si="3"/>
        <v>903.08305994468571</v>
      </c>
      <c r="M11" s="3">
        <f t="shared" si="4"/>
        <v>912.23274041618868</v>
      </c>
      <c r="P11" s="3">
        <f t="shared" si="6"/>
        <v>177.60166666666666</v>
      </c>
      <c r="Q11" s="3">
        <f t="shared" si="5"/>
        <v>0.65192524351851855</v>
      </c>
    </row>
    <row r="12" spans="2:17" x14ac:dyDescent="0.25">
      <c r="B12" s="1" t="s">
        <v>12</v>
      </c>
      <c r="C12" s="1">
        <v>2</v>
      </c>
      <c r="D12" s="1">
        <v>155</v>
      </c>
      <c r="E12" s="1">
        <v>47</v>
      </c>
      <c r="F12" s="1">
        <v>16</v>
      </c>
      <c r="G12" s="1">
        <v>17.875</v>
      </c>
      <c r="H12" s="1">
        <v>1.0980000000000001</v>
      </c>
      <c r="I12" s="3">
        <f t="shared" si="0"/>
        <v>297.80700000000002</v>
      </c>
      <c r="J12" s="3">
        <f t="shared" si="1"/>
        <v>17.221612137252894</v>
      </c>
      <c r="K12" s="3">
        <f t="shared" si="2"/>
        <v>4.7887055029541958</v>
      </c>
      <c r="L12" s="3">
        <f t="shared" si="3"/>
        <v>908.92861213725291</v>
      </c>
      <c r="M12" s="3">
        <f t="shared" si="4"/>
        <v>908.3387055029541</v>
      </c>
      <c r="P12" s="3">
        <f t="shared" si="6"/>
        <v>155.78777777777776</v>
      </c>
      <c r="Q12" s="3">
        <f t="shared" si="5"/>
        <v>0.27121228827160487</v>
      </c>
    </row>
    <row r="13" spans="2:17" x14ac:dyDescent="0.25">
      <c r="B13" s="1" t="s">
        <v>68</v>
      </c>
      <c r="C13" s="1">
        <v>2</v>
      </c>
      <c r="D13" s="1">
        <v>166</v>
      </c>
      <c r="E13" s="1">
        <v>55</v>
      </c>
      <c r="F13" s="1">
        <v>35</v>
      </c>
      <c r="G13" s="1">
        <v>16.087</v>
      </c>
      <c r="H13" s="1">
        <v>0.78100000000000003</v>
      </c>
      <c r="I13" s="3">
        <f t="shared" si="0"/>
        <v>297.49</v>
      </c>
      <c r="J13" s="3">
        <f t="shared" si="1"/>
        <v>14.374490053914792</v>
      </c>
      <c r="K13" s="3">
        <f t="shared" si="2"/>
        <v>7.2225760425145209</v>
      </c>
      <c r="L13" s="3">
        <f t="shared" si="3"/>
        <v>906.08149005391476</v>
      </c>
      <c r="M13" s="3">
        <f t="shared" si="4"/>
        <v>910.77257604251452</v>
      </c>
      <c r="P13" s="3">
        <f t="shared" si="6"/>
        <v>166.92638888888888</v>
      </c>
      <c r="Q13" s="3">
        <f t="shared" si="5"/>
        <v>0.46561199274691362</v>
      </c>
    </row>
    <row r="14" spans="2:17" x14ac:dyDescent="0.25">
      <c r="B14" s="1">
        <v>15</v>
      </c>
      <c r="C14" s="1">
        <v>2</v>
      </c>
      <c r="D14" s="1">
        <v>173</v>
      </c>
      <c r="E14" s="1">
        <v>32</v>
      </c>
      <c r="F14" s="1">
        <v>52</v>
      </c>
      <c r="G14" s="1">
        <v>16.484000000000002</v>
      </c>
      <c r="H14" s="1">
        <v>0.77400000000000002</v>
      </c>
      <c r="I14" s="3">
        <f t="shared" si="0"/>
        <v>297.483</v>
      </c>
      <c r="J14" s="3">
        <f t="shared" si="1"/>
        <v>13.777638768435605</v>
      </c>
      <c r="K14" s="3">
        <f t="shared" si="2"/>
        <v>9.0498025374314288</v>
      </c>
      <c r="L14" s="3">
        <f t="shared" si="3"/>
        <v>905.48463876843562</v>
      </c>
      <c r="M14" s="3">
        <f t="shared" si="4"/>
        <v>912.5998025374314</v>
      </c>
      <c r="P14" s="3">
        <f t="shared" si="6"/>
        <v>173.54777777777778</v>
      </c>
      <c r="Q14" s="3">
        <f t="shared" si="5"/>
        <v>0.58117362160493857</v>
      </c>
    </row>
    <row r="15" spans="2:17" x14ac:dyDescent="0.25">
      <c r="B15" s="1">
        <v>16</v>
      </c>
      <c r="C15" s="1">
        <v>2</v>
      </c>
      <c r="D15" s="1">
        <v>144</v>
      </c>
      <c r="E15" s="1">
        <v>18</v>
      </c>
      <c r="F15" s="1">
        <v>33</v>
      </c>
      <c r="G15" s="1">
        <v>6.782</v>
      </c>
      <c r="H15" s="1">
        <v>0.55100000000000005</v>
      </c>
      <c r="I15" s="3">
        <f t="shared" si="0"/>
        <v>297.26</v>
      </c>
      <c r="J15" s="3">
        <f t="shared" si="1"/>
        <v>6.7649714876295386</v>
      </c>
      <c r="K15" s="3">
        <f t="shared" si="2"/>
        <v>0.48029654543770023</v>
      </c>
      <c r="L15" s="3">
        <f t="shared" si="3"/>
        <v>898.4719714876295</v>
      </c>
      <c r="M15" s="3">
        <f t="shared" si="4"/>
        <v>904.03029654543764</v>
      </c>
      <c r="P15" s="3">
        <f t="shared" si="6"/>
        <v>144.30916666666667</v>
      </c>
      <c r="Q15" s="3">
        <f t="shared" si="5"/>
        <v>7.0878639351852082E-2</v>
      </c>
    </row>
    <row r="16" spans="2:17" x14ac:dyDescent="0.25">
      <c r="B16" s="1">
        <v>17</v>
      </c>
      <c r="C16" s="1">
        <v>2</v>
      </c>
      <c r="D16" s="1">
        <v>144</v>
      </c>
      <c r="E16" s="1">
        <v>18</v>
      </c>
      <c r="F16" s="1">
        <v>13</v>
      </c>
      <c r="G16" s="1">
        <v>6.7030000000000003</v>
      </c>
      <c r="H16" s="1">
        <v>0.435</v>
      </c>
      <c r="I16" s="3">
        <f t="shared" si="0"/>
        <v>297.14400000000001</v>
      </c>
      <c r="J16" s="3">
        <f t="shared" si="1"/>
        <v>6.6862158395377422</v>
      </c>
      <c r="K16" s="3">
        <f t="shared" si="2"/>
        <v>0.47405352768923387</v>
      </c>
      <c r="L16" s="3">
        <f t="shared" si="3"/>
        <v>898.39321583953779</v>
      </c>
      <c r="M16" s="3">
        <f t="shared" si="4"/>
        <v>904.02405352768915</v>
      </c>
      <c r="P16" s="3">
        <f t="shared" si="6"/>
        <v>144.30361111111111</v>
      </c>
      <c r="Q16" s="3">
        <f t="shared" si="5"/>
        <v>7.0781679475308792E-2</v>
      </c>
    </row>
    <row r="17" spans="2:17" x14ac:dyDescent="0.25">
      <c r="B17" s="1">
        <v>18</v>
      </c>
      <c r="C17" s="1">
        <v>2</v>
      </c>
      <c r="D17" s="1">
        <v>103</v>
      </c>
      <c r="E17" s="1">
        <v>13</v>
      </c>
      <c r="F17" s="1">
        <v>58</v>
      </c>
      <c r="G17" s="1">
        <v>3.9860000000000002</v>
      </c>
      <c r="H17" s="1">
        <v>0.317</v>
      </c>
      <c r="I17" s="3">
        <f t="shared" si="0"/>
        <v>297.02600000000001</v>
      </c>
      <c r="J17" s="3">
        <f t="shared" si="1"/>
        <v>3.1823247131916457</v>
      </c>
      <c r="K17" s="3">
        <f t="shared" si="2"/>
        <v>-2.4002094533206288</v>
      </c>
      <c r="L17" s="3">
        <f t="shared" si="3"/>
        <v>894.88932471319163</v>
      </c>
      <c r="M17" s="3">
        <f t="shared" si="4"/>
        <v>901.14979054667936</v>
      </c>
      <c r="P17" s="3">
        <f t="shared" si="6"/>
        <v>103.23277777777778</v>
      </c>
      <c r="Q17" s="3">
        <f t="shared" si="5"/>
        <v>5.6369815521604947</v>
      </c>
    </row>
    <row r="18" spans="2:17" x14ac:dyDescent="0.25">
      <c r="B18" s="1" t="s">
        <v>69</v>
      </c>
      <c r="C18" s="1">
        <v>2</v>
      </c>
      <c r="D18" s="1">
        <v>151</v>
      </c>
      <c r="E18" s="1">
        <v>58</v>
      </c>
      <c r="F18" s="1">
        <v>32</v>
      </c>
      <c r="G18" s="1">
        <v>18.125</v>
      </c>
      <c r="H18" s="1">
        <v>0.92400000000000004</v>
      </c>
      <c r="I18" s="3">
        <f t="shared" si="0"/>
        <v>297.63299999999998</v>
      </c>
      <c r="J18" s="3">
        <f t="shared" si="1"/>
        <v>17.74666594237625</v>
      </c>
      <c r="K18" s="3">
        <f t="shared" si="2"/>
        <v>3.6839480085504581</v>
      </c>
      <c r="L18" s="3">
        <f t="shared" si="3"/>
        <v>909.45366594237623</v>
      </c>
      <c r="M18" s="3">
        <f t="shared" si="4"/>
        <v>907.23394800855044</v>
      </c>
      <c r="P18" s="3">
        <f t="shared" si="6"/>
        <v>151.97555555555556</v>
      </c>
      <c r="Q18" s="3">
        <f t="shared" si="5"/>
        <v>0.20467842098765457</v>
      </c>
    </row>
    <row r="19" spans="2:17" x14ac:dyDescent="0.25">
      <c r="B19" s="1">
        <v>20</v>
      </c>
      <c r="C19" s="1">
        <v>2</v>
      </c>
      <c r="D19" s="1">
        <v>104</v>
      </c>
      <c r="E19" s="1">
        <v>1</v>
      </c>
      <c r="F19" s="1">
        <v>15</v>
      </c>
      <c r="G19" s="1">
        <v>8.39</v>
      </c>
      <c r="H19" s="1">
        <v>0.874</v>
      </c>
      <c r="I19" s="3">
        <f t="shared" si="0"/>
        <v>297.58300000000003</v>
      </c>
      <c r="J19" s="3">
        <f t="shared" si="1"/>
        <v>6.7672203124682815</v>
      </c>
      <c r="K19" s="3">
        <f t="shared" si="2"/>
        <v>-4.9595190535491138</v>
      </c>
      <c r="L19" s="3">
        <f t="shared" si="3"/>
        <v>898.47422031246822</v>
      </c>
      <c r="M19" s="3">
        <f t="shared" si="4"/>
        <v>898.59048094645084</v>
      </c>
      <c r="P19" s="3">
        <f t="shared" si="6"/>
        <v>104.02083333333333</v>
      </c>
      <c r="Q19" s="3">
        <f t="shared" si="5"/>
        <v>5.6507353106481482</v>
      </c>
    </row>
    <row r="20" spans="2:17" x14ac:dyDescent="0.25">
      <c r="B20" s="1" t="s">
        <v>70</v>
      </c>
      <c r="C20" s="1">
        <v>2</v>
      </c>
      <c r="D20" s="1">
        <v>106</v>
      </c>
      <c r="E20" s="1">
        <v>28</v>
      </c>
      <c r="F20" s="1">
        <v>53</v>
      </c>
      <c r="G20" s="1">
        <v>16.751000000000001</v>
      </c>
      <c r="H20" s="1">
        <v>0.53400000000000003</v>
      </c>
      <c r="I20" s="3">
        <f t="shared" si="0"/>
        <v>297.24299999999999</v>
      </c>
      <c r="J20" s="3">
        <f t="shared" si="1"/>
        <v>13.923685150162283</v>
      </c>
      <c r="K20" s="3">
        <f t="shared" si="2"/>
        <v>-9.3127328340906654</v>
      </c>
      <c r="L20" s="3">
        <f t="shared" si="3"/>
        <v>905.63068515016232</v>
      </c>
      <c r="M20" s="3">
        <f t="shared" si="4"/>
        <v>894.23726716590932</v>
      </c>
      <c r="P20" s="3">
        <f t="shared" si="6"/>
        <v>106.48138888888889</v>
      </c>
      <c r="Q20" s="3">
        <f t="shared" si="5"/>
        <v>5.6936788399691363</v>
      </c>
    </row>
    <row r="21" spans="2:17" x14ac:dyDescent="0.25">
      <c r="B21" s="1" t="s">
        <v>71</v>
      </c>
      <c r="C21" s="1">
        <v>2</v>
      </c>
      <c r="D21" s="1">
        <v>96</v>
      </c>
      <c r="E21" s="1">
        <v>56</v>
      </c>
      <c r="F21" s="1">
        <v>2</v>
      </c>
      <c r="G21" s="1">
        <v>16.585000000000001</v>
      </c>
      <c r="H21" s="1">
        <v>0.46500000000000002</v>
      </c>
      <c r="I21" s="3">
        <f t="shared" si="0"/>
        <v>297.17399999999998</v>
      </c>
      <c r="J21" s="3">
        <f t="shared" si="1"/>
        <v>12.065454709855706</v>
      </c>
      <c r="K21" s="3">
        <f t="shared" si="2"/>
        <v>-11.379236689884818</v>
      </c>
      <c r="L21" s="3">
        <f t="shared" si="3"/>
        <v>903.77245470985565</v>
      </c>
      <c r="M21" s="3">
        <f t="shared" si="4"/>
        <v>892.17076331011515</v>
      </c>
      <c r="P21" s="3">
        <f t="shared" si="6"/>
        <v>96.933888888888887</v>
      </c>
      <c r="Q21" s="3">
        <f t="shared" si="5"/>
        <v>5.5270484441358025</v>
      </c>
    </row>
    <row r="22" spans="2:17" x14ac:dyDescent="0.25">
      <c r="B22" s="1" t="s">
        <v>72</v>
      </c>
      <c r="C22" s="1">
        <v>1.5</v>
      </c>
      <c r="D22" s="1">
        <v>336</v>
      </c>
      <c r="E22" s="1">
        <v>22</v>
      </c>
      <c r="F22" s="1">
        <v>10</v>
      </c>
      <c r="G22" s="1">
        <v>43.558999999999997</v>
      </c>
      <c r="H22" s="1">
        <v>-1.202</v>
      </c>
      <c r="I22" s="3">
        <f t="shared" si="0"/>
        <v>296.00700000000001</v>
      </c>
      <c r="J22" s="3">
        <f t="shared" si="1"/>
        <v>-41.847275979866197</v>
      </c>
      <c r="K22" s="3">
        <f t="shared" si="2"/>
        <v>-12.090987307284431</v>
      </c>
      <c r="L22" s="3">
        <f t="shared" si="3"/>
        <v>849.85972402013385</v>
      </c>
      <c r="M22" s="3">
        <f t="shared" si="4"/>
        <v>891.45901269271553</v>
      </c>
      <c r="P22" s="3">
        <f t="shared" si="6"/>
        <v>336.36944444444447</v>
      </c>
      <c r="Q22" s="3">
        <f t="shared" si="5"/>
        <v>3.4228639873456794</v>
      </c>
    </row>
    <row r="23" spans="2:17" x14ac:dyDescent="0.25">
      <c r="B23" s="1" t="s">
        <v>73</v>
      </c>
      <c r="C23" s="1">
        <v>2</v>
      </c>
      <c r="D23" s="1">
        <v>334</v>
      </c>
      <c r="E23" s="1">
        <v>58</v>
      </c>
      <c r="F23" s="1">
        <v>50</v>
      </c>
      <c r="G23" s="1">
        <v>32.962000000000003</v>
      </c>
      <c r="H23" s="1">
        <v>-0.60799999999999998</v>
      </c>
      <c r="I23" s="3">
        <f t="shared" si="0"/>
        <v>296.101</v>
      </c>
      <c r="J23" s="3">
        <f t="shared" si="1"/>
        <v>-31.87916194751697</v>
      </c>
      <c r="K23" s="3">
        <f t="shared" si="2"/>
        <v>-8.3792886048868329</v>
      </c>
      <c r="L23" s="3">
        <f t="shared" si="3"/>
        <v>859.827838052483</v>
      </c>
      <c r="M23" s="3">
        <f t="shared" si="4"/>
        <v>895.17071139511313</v>
      </c>
      <c r="P23" s="3">
        <f t="shared" si="6"/>
        <v>334.98055555555555</v>
      </c>
      <c r="Q23" s="3">
        <f t="shared" si="5"/>
        <v>3.3986240182098766</v>
      </c>
    </row>
    <row r="24" spans="2:17" x14ac:dyDescent="0.25">
      <c r="B24" s="1">
        <v>20</v>
      </c>
      <c r="C24" s="1">
        <v>2</v>
      </c>
      <c r="D24" s="1">
        <v>327</v>
      </c>
      <c r="E24" s="1">
        <v>31</v>
      </c>
      <c r="F24" s="1">
        <v>34</v>
      </c>
      <c r="G24" s="1">
        <v>34.962000000000003</v>
      </c>
      <c r="H24" s="1">
        <v>-0.58399999999999996</v>
      </c>
      <c r="I24" s="3">
        <f t="shared" si="0"/>
        <v>296.125</v>
      </c>
      <c r="J24" s="3">
        <f t="shared" si="1"/>
        <v>-34.680734939826728</v>
      </c>
      <c r="K24" s="3">
        <f t="shared" si="2"/>
        <v>-4.4258409408249015</v>
      </c>
      <c r="L24" s="3">
        <f t="shared" si="3"/>
        <v>857.02626506017327</v>
      </c>
      <c r="M24" s="3">
        <f t="shared" si="4"/>
        <v>899.1241590591751</v>
      </c>
      <c r="P24" s="3">
        <f t="shared" si="6"/>
        <v>327.52611111111111</v>
      </c>
      <c r="Q24" s="3">
        <f t="shared" si="5"/>
        <v>3.2685232558641979</v>
      </c>
    </row>
    <row r="25" spans="2:17" x14ac:dyDescent="0.25">
      <c r="B25" s="1">
        <v>21</v>
      </c>
      <c r="C25" s="1">
        <v>2</v>
      </c>
      <c r="D25" s="1">
        <v>327</v>
      </c>
      <c r="E25" s="1">
        <v>36</v>
      </c>
      <c r="F25" s="1">
        <v>29</v>
      </c>
      <c r="G25" s="1">
        <v>36.276000000000003</v>
      </c>
      <c r="H25" s="1">
        <v>-0.61899999999999999</v>
      </c>
      <c r="I25" s="3">
        <f t="shared" si="0"/>
        <v>296.08999999999997</v>
      </c>
      <c r="J25" s="3">
        <f t="shared" si="1"/>
        <v>-35.977559626748977</v>
      </c>
      <c r="K25" s="3">
        <f t="shared" si="2"/>
        <v>-4.6436385845285475</v>
      </c>
      <c r="L25" s="3">
        <f t="shared" si="3"/>
        <v>855.72944037325101</v>
      </c>
      <c r="M25" s="3">
        <f t="shared" si="4"/>
        <v>898.90636141547145</v>
      </c>
      <c r="P25" s="3">
        <f t="shared" si="6"/>
        <v>327.60805555555555</v>
      </c>
      <c r="Q25" s="3">
        <f t="shared" si="5"/>
        <v>3.26995341404321</v>
      </c>
    </row>
    <row r="26" spans="2:17" x14ac:dyDescent="0.25">
      <c r="B26" s="1" t="s">
        <v>74</v>
      </c>
      <c r="C26" s="1">
        <v>2</v>
      </c>
      <c r="D26" s="1">
        <v>339</v>
      </c>
      <c r="E26" s="1">
        <v>57</v>
      </c>
      <c r="F26" s="1">
        <v>1</v>
      </c>
      <c r="G26" s="1">
        <v>27.841999999999999</v>
      </c>
      <c r="H26" s="1">
        <v>-0.23599999999999999</v>
      </c>
      <c r="I26" s="3">
        <f t="shared" si="0"/>
        <v>296.47300000000001</v>
      </c>
      <c r="J26" s="3">
        <f t="shared" si="1"/>
        <v>-26.21301451690422</v>
      </c>
      <c r="K26" s="3">
        <f t="shared" si="2"/>
        <v>-9.3837537231413233</v>
      </c>
      <c r="L26" s="3">
        <f t="shared" si="3"/>
        <v>865.4939854830958</v>
      </c>
      <c r="M26" s="3">
        <f t="shared" si="4"/>
        <v>894.1662462768586</v>
      </c>
      <c r="P26" s="3">
        <f t="shared" si="6"/>
        <v>339.95027777777779</v>
      </c>
      <c r="Q26" s="3">
        <f t="shared" si="5"/>
        <v>3.4853594757716051</v>
      </c>
    </row>
    <row r="27" spans="2:17" x14ac:dyDescent="0.25">
      <c r="B27" s="1" t="s">
        <v>75</v>
      </c>
      <c r="C27" s="1">
        <v>2</v>
      </c>
      <c r="D27" s="1">
        <v>337</v>
      </c>
      <c r="E27" s="1">
        <v>52</v>
      </c>
      <c r="F27" s="1">
        <v>37</v>
      </c>
      <c r="G27" s="1">
        <v>25.481000000000002</v>
      </c>
      <c r="H27" s="1">
        <v>-0.17399999999999999</v>
      </c>
      <c r="I27" s="3">
        <f t="shared" si="0"/>
        <v>296.53500000000003</v>
      </c>
      <c r="J27" s="3">
        <f t="shared" si="1"/>
        <v>-24.285140989511458</v>
      </c>
      <c r="K27" s="3">
        <f t="shared" si="2"/>
        <v>-7.7144856030425313</v>
      </c>
      <c r="L27" s="3">
        <f t="shared" si="3"/>
        <v>867.42185901048856</v>
      </c>
      <c r="M27" s="3">
        <f t="shared" si="4"/>
        <v>895.83551439695748</v>
      </c>
      <c r="P27" s="3">
        <f t="shared" si="6"/>
        <v>337.87694444444446</v>
      </c>
      <c r="Q27" s="3">
        <f t="shared" si="5"/>
        <v>3.4491740498456793</v>
      </c>
    </row>
    <row r="28" spans="2:17" x14ac:dyDescent="0.25">
      <c r="B28" s="1">
        <v>23</v>
      </c>
      <c r="C28" s="1">
        <v>2</v>
      </c>
      <c r="D28" s="1">
        <v>336</v>
      </c>
      <c r="E28" s="1">
        <v>8</v>
      </c>
      <c r="F28" s="1">
        <v>41</v>
      </c>
      <c r="G28" s="1">
        <v>17.149999999999999</v>
      </c>
      <c r="H28" s="1">
        <v>0.14799999999999999</v>
      </c>
      <c r="I28" s="3">
        <f t="shared" si="0"/>
        <v>296.85700000000003</v>
      </c>
      <c r="J28" s="3">
        <f t="shared" si="1"/>
        <v>-16.494605808289688</v>
      </c>
      <c r="K28" s="3">
        <f t="shared" si="2"/>
        <v>-4.6957937805163494</v>
      </c>
      <c r="L28" s="3">
        <f t="shared" si="3"/>
        <v>875.21239419171036</v>
      </c>
      <c r="M28" s="3">
        <f t="shared" si="4"/>
        <v>898.85420621948356</v>
      </c>
      <c r="P28" s="3">
        <f t="shared" si="6"/>
        <v>336.14472222222224</v>
      </c>
      <c r="Q28" s="3">
        <f t="shared" si="5"/>
        <v>3.4189419603395068</v>
      </c>
    </row>
    <row r="29" spans="2:17" x14ac:dyDescent="0.25">
      <c r="B29" s="1">
        <v>24</v>
      </c>
      <c r="C29" s="1">
        <v>2</v>
      </c>
      <c r="D29" s="1">
        <v>3</v>
      </c>
      <c r="E29" s="1">
        <v>54</v>
      </c>
      <c r="F29" s="1">
        <v>44</v>
      </c>
      <c r="G29" s="1">
        <v>22.082000000000001</v>
      </c>
      <c r="H29" s="1">
        <v>-0.27200000000000002</v>
      </c>
      <c r="I29" s="3">
        <f t="shared" si="0"/>
        <v>296.43700000000001</v>
      </c>
      <c r="J29" s="3">
        <f t="shared" si="1"/>
        <v>-15.97583906848801</v>
      </c>
      <c r="K29" s="3">
        <f t="shared" si="2"/>
        <v>-15.244254329345603</v>
      </c>
      <c r="L29" s="3">
        <f t="shared" si="3"/>
        <v>875.73116093151202</v>
      </c>
      <c r="M29" s="3">
        <f t="shared" si="4"/>
        <v>888.30574567065435</v>
      </c>
      <c r="P29" s="3">
        <f t="shared" si="6"/>
        <v>3.9122222222222223</v>
      </c>
      <c r="Q29" s="3">
        <f t="shared" si="5"/>
        <v>3.903561967283951</v>
      </c>
    </row>
    <row r="30" spans="2:17" x14ac:dyDescent="0.25">
      <c r="B30" s="1">
        <v>25</v>
      </c>
      <c r="C30" s="1">
        <v>2</v>
      </c>
      <c r="D30" s="1">
        <v>341</v>
      </c>
      <c r="E30" s="1">
        <v>17</v>
      </c>
      <c r="F30" s="1">
        <v>21</v>
      </c>
      <c r="G30" s="1">
        <v>15.175000000000001</v>
      </c>
      <c r="H30" s="1">
        <v>0.16900000000000001</v>
      </c>
      <c r="I30" s="3">
        <f t="shared" si="0"/>
        <v>296.87799999999999</v>
      </c>
      <c r="J30" s="3">
        <f t="shared" si="1"/>
        <v>-14.16373572764835</v>
      </c>
      <c r="K30" s="3">
        <f t="shared" si="2"/>
        <v>-5.4469454960865633</v>
      </c>
      <c r="L30" s="3">
        <f t="shared" si="3"/>
        <v>877.54326427235162</v>
      </c>
      <c r="M30" s="3">
        <f t="shared" si="4"/>
        <v>898.10305450391343</v>
      </c>
      <c r="P30" s="3">
        <f t="shared" si="6"/>
        <v>341.28916666666669</v>
      </c>
      <c r="Q30" s="3">
        <f t="shared" si="5"/>
        <v>3.5087268060185193</v>
      </c>
    </row>
    <row r="31" spans="2:17" x14ac:dyDescent="0.25">
      <c r="B31" s="1">
        <v>26</v>
      </c>
      <c r="C31" s="1">
        <v>2</v>
      </c>
      <c r="D31" s="1">
        <v>350</v>
      </c>
      <c r="E31" s="1">
        <v>18</v>
      </c>
      <c r="F31" s="1">
        <v>45</v>
      </c>
      <c r="G31" s="1">
        <v>26.7028</v>
      </c>
      <c r="H31" s="1">
        <v>-0.307</v>
      </c>
      <c r="I31" s="3">
        <f t="shared" si="0"/>
        <v>296.40199999999999</v>
      </c>
      <c r="J31" s="3">
        <f t="shared" si="1"/>
        <v>-23.111704685471235</v>
      </c>
      <c r="K31" s="3">
        <f t="shared" si="2"/>
        <v>-13.374925583776788</v>
      </c>
      <c r="L31" s="3">
        <f t="shared" si="3"/>
        <v>868.59529531452881</v>
      </c>
      <c r="M31" s="3">
        <f t="shared" si="4"/>
        <v>890.1750744162232</v>
      </c>
      <c r="P31" s="3">
        <f t="shared" si="6"/>
        <v>350.3125</v>
      </c>
      <c r="Q31" s="3">
        <f t="shared" si="5"/>
        <v>3.6662090375000003</v>
      </c>
    </row>
    <row r="32" spans="2:17" x14ac:dyDescent="0.25">
      <c r="B32" s="1">
        <v>27</v>
      </c>
      <c r="C32" s="1">
        <v>2</v>
      </c>
      <c r="D32" s="1">
        <v>353</v>
      </c>
      <c r="E32" s="1">
        <v>36</v>
      </c>
      <c r="F32" s="1">
        <v>55</v>
      </c>
      <c r="G32" s="1">
        <v>38.463999999999999</v>
      </c>
      <c r="H32" s="1">
        <v>-0.93200000000000005</v>
      </c>
      <c r="I32" s="3">
        <f t="shared" si="0"/>
        <v>295.77699999999999</v>
      </c>
      <c r="J32" s="3">
        <f t="shared" si="1"/>
        <v>-32.125998772604419</v>
      </c>
      <c r="K32" s="3">
        <f t="shared" si="2"/>
        <v>-21.151820225754076</v>
      </c>
      <c r="L32" s="3">
        <f t="shared" si="3"/>
        <v>859.58100122739552</v>
      </c>
      <c r="M32" s="3">
        <f t="shared" si="4"/>
        <v>882.39817977424593</v>
      </c>
      <c r="P32" s="3">
        <f t="shared" si="6"/>
        <v>353.61527777777781</v>
      </c>
      <c r="Q32" s="3">
        <f t="shared" si="5"/>
        <v>3.7238516841049392</v>
      </c>
    </row>
    <row r="33" spans="12:12" x14ac:dyDescent="0.25">
      <c r="L33" s="3"/>
    </row>
  </sheetData>
  <autoFilter ref="B3:M32" xr:uid="{655398A8-8518-47BE-AB78-8C348ED8F261}"/>
  <mergeCells count="3">
    <mergeCell ref="D5:F5"/>
    <mergeCell ref="J5:K5"/>
    <mergeCell ref="L5:M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45246-8E16-4AF4-BE1F-37CA59DE0DAA}">
  <dimension ref="B3:Q21"/>
  <sheetViews>
    <sheetView workbookViewId="0">
      <selection activeCell="Q7" sqref="Q7"/>
    </sheetView>
  </sheetViews>
  <sheetFormatPr defaultColWidth="9.140625" defaultRowHeight="15" x14ac:dyDescent="0.25"/>
  <cols>
    <col min="1" max="1" width="9.140625" style="1"/>
    <col min="2" max="2" width="11.28515625" style="1" customWidth="1"/>
    <col min="3" max="3" width="14.28515625" style="1" customWidth="1"/>
    <col min="4" max="8" width="9.140625" style="1"/>
    <col min="9" max="9" width="15.7109375" style="1" customWidth="1"/>
    <col min="10" max="16384" width="9.140625" style="1"/>
  </cols>
  <sheetData>
    <row r="3" spans="2:17" ht="18" x14ac:dyDescent="0.35">
      <c r="B3" s="1" t="s">
        <v>10</v>
      </c>
      <c r="C3" s="1" t="s">
        <v>136</v>
      </c>
    </row>
    <row r="4" spans="2:17" x14ac:dyDescent="0.25">
      <c r="B4" s="1" t="s">
        <v>39</v>
      </c>
      <c r="C4" s="1">
        <v>1.343</v>
      </c>
    </row>
    <row r="5" spans="2:17" x14ac:dyDescent="0.25">
      <c r="B5" s="1" t="s">
        <v>1</v>
      </c>
      <c r="C5" s="1" t="s">
        <v>0</v>
      </c>
      <c r="D5" s="6" t="s">
        <v>42</v>
      </c>
      <c r="E5" s="6"/>
      <c r="F5" s="6"/>
      <c r="G5" s="1" t="s">
        <v>43</v>
      </c>
      <c r="H5" s="1" t="s">
        <v>7</v>
      </c>
      <c r="I5" s="1" t="s">
        <v>44</v>
      </c>
      <c r="J5" s="6" t="s">
        <v>34</v>
      </c>
      <c r="K5" s="6"/>
      <c r="L5" s="6" t="s">
        <v>46</v>
      </c>
      <c r="M5" s="6"/>
      <c r="P5" s="1" t="s">
        <v>37</v>
      </c>
      <c r="Q5" s="1" t="s">
        <v>47</v>
      </c>
    </row>
    <row r="6" spans="2:17" x14ac:dyDescent="0.25">
      <c r="D6" s="1" t="s">
        <v>2</v>
      </c>
      <c r="E6" s="1" t="s">
        <v>41</v>
      </c>
      <c r="F6" s="1" t="s">
        <v>4</v>
      </c>
      <c r="G6" s="1" t="s">
        <v>6</v>
      </c>
      <c r="H6" s="1" t="s">
        <v>6</v>
      </c>
      <c r="J6" s="1" t="s">
        <v>35</v>
      </c>
      <c r="K6" s="1" t="s">
        <v>45</v>
      </c>
      <c r="L6" s="1" t="s">
        <v>35</v>
      </c>
      <c r="M6" s="1" t="s">
        <v>45</v>
      </c>
    </row>
    <row r="7" spans="2:17" x14ac:dyDescent="0.25">
      <c r="B7" s="1" t="s">
        <v>137</v>
      </c>
      <c r="C7" s="1">
        <v>2</v>
      </c>
      <c r="D7" s="1">
        <v>269</v>
      </c>
      <c r="E7" s="1">
        <v>57</v>
      </c>
      <c r="F7" s="1">
        <v>59</v>
      </c>
      <c r="G7" s="1">
        <v>8.6649999999999991</v>
      </c>
      <c r="H7" s="1">
        <v>0.68400000000000005</v>
      </c>
      <c r="I7" s="3">
        <f>299.663+1.343+H7-C7</f>
        <v>299.69000000000005</v>
      </c>
      <c r="J7" s="3">
        <f>G7*COS(Q7)</f>
        <v>-8.3767266443735728</v>
      </c>
      <c r="K7" s="3">
        <f>G7*SIN(Q7)</f>
        <v>-2.2164556673756963</v>
      </c>
      <c r="L7" s="3">
        <f>1051.337+J7</f>
        <v>1042.9602733556264</v>
      </c>
      <c r="M7" s="3">
        <f>926.646+K7</f>
        <v>924.42954433262423</v>
      </c>
      <c r="P7" s="3">
        <f>D7+E7/60+F7/3600</f>
        <v>269.9663888888889</v>
      </c>
      <c r="Q7" s="3">
        <f>IF((104.86+P7-180)&gt;0, (104.86+P7-180)*3.1415/180, (104.86+P7+180)*3.1415/180)</f>
        <v>3.4002616705246922</v>
      </c>
    </row>
    <row r="8" spans="2:17" x14ac:dyDescent="0.25">
      <c r="B8" s="1">
        <v>4</v>
      </c>
      <c r="C8" s="3">
        <v>2</v>
      </c>
      <c r="D8" s="1">
        <v>243</v>
      </c>
      <c r="E8" s="1">
        <v>22</v>
      </c>
      <c r="F8" s="1">
        <v>42</v>
      </c>
      <c r="G8" s="1">
        <v>9.6720000000000006</v>
      </c>
      <c r="H8" s="1">
        <v>0.76400000000000001</v>
      </c>
      <c r="I8" s="3">
        <f t="shared" ref="I8:I21" si="0">299.663+1.343+H8-C8</f>
        <v>299.77000000000004</v>
      </c>
      <c r="J8" s="3">
        <f t="shared" ref="J8:J21" si="1">G8*COS(Q8)</f>
        <v>-9.4687557849078061</v>
      </c>
      <c r="K8" s="3">
        <f t="shared" ref="K8:K21" si="2">G8*SIN(Q8)</f>
        <v>1.9723711328690017</v>
      </c>
      <c r="L8" s="3">
        <f t="shared" ref="L8:L21" si="3">1051.337+J8</f>
        <v>1041.8682442150921</v>
      </c>
      <c r="M8" s="3">
        <f t="shared" ref="M8:M21" si="4">926.646+K8</f>
        <v>928.61837113286902</v>
      </c>
      <c r="P8" s="3">
        <f t="shared" ref="P8:P21" si="5">D8+E8/60+F8/3600</f>
        <v>243.37833333333333</v>
      </c>
      <c r="Q8" s="3">
        <f t="shared" ref="Q8:Q21" si="6">IF((104.86+P8-180)&gt;0, (104.86+P8-180)*3.1415/180, (104.86+P8+180)*3.1415/180)</f>
        <v>2.9362262453703707</v>
      </c>
    </row>
    <row r="9" spans="2:17" x14ac:dyDescent="0.25">
      <c r="B9" s="1" t="s">
        <v>138</v>
      </c>
      <c r="C9" s="3">
        <v>2</v>
      </c>
      <c r="D9" s="1">
        <v>91</v>
      </c>
      <c r="E9" s="1">
        <v>22</v>
      </c>
      <c r="F9" s="1">
        <v>48</v>
      </c>
      <c r="G9" s="1">
        <v>12.651999999999999</v>
      </c>
      <c r="H9" s="1">
        <v>0.73499999999999999</v>
      </c>
      <c r="I9" s="3">
        <f t="shared" si="0"/>
        <v>299.74100000000004</v>
      </c>
      <c r="J9" s="3">
        <f t="shared" si="1"/>
        <v>12.147198065965631</v>
      </c>
      <c r="K9" s="3">
        <f t="shared" si="2"/>
        <v>3.5381751152537451</v>
      </c>
      <c r="L9" s="3">
        <f t="shared" si="3"/>
        <v>1063.4841980659655</v>
      </c>
      <c r="M9" s="3">
        <f t="shared" si="4"/>
        <v>930.18417511525365</v>
      </c>
      <c r="P9" s="3">
        <f t="shared" si="5"/>
        <v>91.38</v>
      </c>
      <c r="Q9" s="3">
        <f t="shared" si="6"/>
        <v>0.2834331111111113</v>
      </c>
    </row>
    <row r="10" spans="2:17" x14ac:dyDescent="0.25">
      <c r="B10" s="1" t="s">
        <v>139</v>
      </c>
      <c r="C10" s="3">
        <v>2</v>
      </c>
      <c r="D10" s="1">
        <v>185</v>
      </c>
      <c r="E10" s="1">
        <v>46</v>
      </c>
      <c r="F10" s="1">
        <v>58</v>
      </c>
      <c r="G10" s="1">
        <v>9.8040000000000003</v>
      </c>
      <c r="H10" s="1">
        <v>0.84399999999999997</v>
      </c>
      <c r="I10" s="3">
        <f t="shared" si="0"/>
        <v>299.85000000000002</v>
      </c>
      <c r="J10" s="3">
        <f t="shared" si="1"/>
        <v>-3.4557838031975119</v>
      </c>
      <c r="K10" s="3">
        <f t="shared" si="2"/>
        <v>9.1747465526606096</v>
      </c>
      <c r="L10" s="3">
        <f t="shared" si="3"/>
        <v>1047.8812161968024</v>
      </c>
      <c r="M10" s="3">
        <f t="shared" si="4"/>
        <v>935.82074655266058</v>
      </c>
      <c r="P10" s="3">
        <f t="shared" si="5"/>
        <v>185.7827777777778</v>
      </c>
      <c r="Q10" s="3">
        <f t="shared" si="6"/>
        <v>1.9310238132716051</v>
      </c>
    </row>
    <row r="11" spans="2:17" x14ac:dyDescent="0.25">
      <c r="B11" s="1" t="s">
        <v>140</v>
      </c>
      <c r="C11" s="3">
        <v>2</v>
      </c>
      <c r="D11" s="1">
        <v>45</v>
      </c>
      <c r="E11" s="1">
        <v>14</v>
      </c>
      <c r="F11" s="1">
        <v>4</v>
      </c>
      <c r="G11" s="1">
        <v>11.611000000000001</v>
      </c>
      <c r="H11" s="1">
        <v>0.218</v>
      </c>
      <c r="I11" s="3">
        <f t="shared" si="0"/>
        <v>299.22400000000005</v>
      </c>
      <c r="J11" s="3">
        <f t="shared" si="1"/>
        <v>10.063993129343645</v>
      </c>
      <c r="K11" s="3">
        <f t="shared" si="2"/>
        <v>-5.7906271933637674</v>
      </c>
      <c r="L11" s="3">
        <f t="shared" si="3"/>
        <v>1061.4009931293435</v>
      </c>
      <c r="M11" s="3">
        <f t="shared" si="4"/>
        <v>920.85537280663618</v>
      </c>
      <c r="P11" s="3">
        <f t="shared" si="5"/>
        <v>45.234444444444442</v>
      </c>
      <c r="Q11" s="3">
        <f t="shared" si="6"/>
        <v>5.7610649845679012</v>
      </c>
    </row>
    <row r="12" spans="2:17" x14ac:dyDescent="0.25">
      <c r="B12" s="1" t="s">
        <v>141</v>
      </c>
      <c r="C12" s="3">
        <v>2</v>
      </c>
      <c r="D12" s="1">
        <v>151</v>
      </c>
      <c r="E12" s="1">
        <v>37</v>
      </c>
      <c r="F12" s="1">
        <v>18</v>
      </c>
      <c r="G12" s="1">
        <v>11.842000000000001</v>
      </c>
      <c r="H12" s="1">
        <v>0.93100000000000005</v>
      </c>
      <c r="I12" s="3">
        <f t="shared" si="0"/>
        <v>299.93700000000001</v>
      </c>
      <c r="J12" s="3">
        <f t="shared" si="1"/>
        <v>2.7685976119048883</v>
      </c>
      <c r="K12" s="3">
        <f t="shared" si="2"/>
        <v>11.513810458026246</v>
      </c>
      <c r="L12" s="3">
        <f t="shared" si="3"/>
        <v>1054.1055976119048</v>
      </c>
      <c r="M12" s="3">
        <f t="shared" si="4"/>
        <v>938.15981045802619</v>
      </c>
      <c r="P12" s="3">
        <f t="shared" si="5"/>
        <v>151.62166666666667</v>
      </c>
      <c r="Q12" s="3">
        <f t="shared" si="6"/>
        <v>1.3348175324074076</v>
      </c>
    </row>
    <row r="13" spans="2:17" x14ac:dyDescent="0.25">
      <c r="B13" s="1" t="s">
        <v>142</v>
      </c>
      <c r="C13" s="3">
        <v>2</v>
      </c>
      <c r="D13" s="1">
        <v>353</v>
      </c>
      <c r="E13" s="1">
        <v>20</v>
      </c>
      <c r="F13" s="1">
        <v>8</v>
      </c>
      <c r="G13" s="1">
        <v>17.459</v>
      </c>
      <c r="H13" s="1">
        <v>4.2000000000000003E-2</v>
      </c>
      <c r="I13" s="3">
        <f t="shared" si="0"/>
        <v>299.048</v>
      </c>
      <c r="J13" s="3">
        <f t="shared" si="1"/>
        <v>2.4863434905304529</v>
      </c>
      <c r="K13" s="3">
        <f t="shared" si="2"/>
        <v>-17.281052544538394</v>
      </c>
      <c r="L13" s="3">
        <f t="shared" si="3"/>
        <v>1053.8233434905305</v>
      </c>
      <c r="M13" s="3">
        <f t="shared" si="4"/>
        <v>909.36494745546156</v>
      </c>
      <c r="P13" s="3">
        <f t="shared" si="5"/>
        <v>353.33555555555552</v>
      </c>
      <c r="Q13" s="3">
        <f t="shared" si="6"/>
        <v>4.8552852098765431</v>
      </c>
    </row>
    <row r="14" spans="2:17" x14ac:dyDescent="0.25">
      <c r="B14" s="1">
        <v>155</v>
      </c>
      <c r="C14" s="3">
        <v>2</v>
      </c>
      <c r="D14" s="1">
        <v>135</v>
      </c>
      <c r="E14" s="1">
        <v>6</v>
      </c>
      <c r="F14" s="1">
        <v>37</v>
      </c>
      <c r="G14" s="1">
        <v>15.295</v>
      </c>
      <c r="H14" s="1">
        <v>1.212</v>
      </c>
      <c r="I14" s="3">
        <f t="shared" si="0"/>
        <v>300.21800000000002</v>
      </c>
      <c r="J14" s="3">
        <f t="shared" si="1"/>
        <v>7.6547790315947646</v>
      </c>
      <c r="K14" s="3">
        <f t="shared" si="2"/>
        <v>13.241653332475408</v>
      </c>
      <c r="L14" s="3">
        <f t="shared" si="3"/>
        <v>1058.9917790315947</v>
      </c>
      <c r="M14" s="3">
        <f t="shared" si="4"/>
        <v>939.88765333247534</v>
      </c>
      <c r="P14" s="3">
        <f t="shared" si="5"/>
        <v>135.11027777777778</v>
      </c>
      <c r="Q14" s="3">
        <f t="shared" si="6"/>
        <v>1.0466479313271604</v>
      </c>
    </row>
    <row r="15" spans="2:17" x14ac:dyDescent="0.25">
      <c r="B15" s="1">
        <v>156</v>
      </c>
      <c r="C15" s="3">
        <v>2</v>
      </c>
      <c r="D15" s="1">
        <v>139</v>
      </c>
      <c r="E15" s="1">
        <v>43</v>
      </c>
      <c r="F15" s="1">
        <v>57</v>
      </c>
      <c r="G15" s="1">
        <v>12.108000000000001</v>
      </c>
      <c r="H15" s="1">
        <v>1.139</v>
      </c>
      <c r="I15" s="3">
        <f t="shared" si="0"/>
        <v>300.14500000000004</v>
      </c>
      <c r="J15" s="3">
        <f t="shared" si="1"/>
        <v>5.1953419097000175</v>
      </c>
      <c r="K15" s="3">
        <f t="shared" si="2"/>
        <v>10.93673106743119</v>
      </c>
      <c r="L15" s="3">
        <f t="shared" si="3"/>
        <v>1056.5323419097001</v>
      </c>
      <c r="M15" s="3">
        <f t="shared" si="4"/>
        <v>937.58273106743115</v>
      </c>
      <c r="P15" s="3">
        <f t="shared" si="5"/>
        <v>139.73250000000002</v>
      </c>
      <c r="Q15" s="3">
        <f t="shared" si="6"/>
        <v>1.1273185486111117</v>
      </c>
    </row>
    <row r="16" spans="2:17" x14ac:dyDescent="0.25">
      <c r="B16" s="1" t="s">
        <v>143</v>
      </c>
      <c r="C16" s="3">
        <v>2</v>
      </c>
      <c r="D16" s="1">
        <v>201</v>
      </c>
      <c r="E16" s="1">
        <v>7</v>
      </c>
      <c r="F16" s="1">
        <v>18</v>
      </c>
      <c r="G16" s="1">
        <v>7.2969999999999997</v>
      </c>
      <c r="H16" s="1">
        <v>1.1140000000000001</v>
      </c>
      <c r="I16" s="3">
        <f t="shared" si="0"/>
        <v>300.12</v>
      </c>
      <c r="J16" s="3">
        <f t="shared" si="1"/>
        <v>-4.2867968930732774</v>
      </c>
      <c r="K16" s="3">
        <f t="shared" si="2"/>
        <v>5.9050471122199601</v>
      </c>
      <c r="L16" s="3">
        <f t="shared" si="3"/>
        <v>1047.0502031069268</v>
      </c>
      <c r="M16" s="3">
        <f t="shared" si="4"/>
        <v>932.55104711221986</v>
      </c>
      <c r="P16" s="3">
        <f t="shared" si="5"/>
        <v>201.12166666666667</v>
      </c>
      <c r="Q16" s="3">
        <f t="shared" si="6"/>
        <v>2.1987300324074077</v>
      </c>
    </row>
    <row r="17" spans="2:17" x14ac:dyDescent="0.25">
      <c r="B17" s="1" t="s">
        <v>144</v>
      </c>
      <c r="C17" s="3">
        <v>2</v>
      </c>
      <c r="D17" s="1">
        <v>173</v>
      </c>
      <c r="E17" s="1">
        <v>12</v>
      </c>
      <c r="F17" s="1">
        <v>58</v>
      </c>
      <c r="G17" s="1">
        <v>28.143000000000001</v>
      </c>
      <c r="H17" s="1">
        <v>1.2589999999999999</v>
      </c>
      <c r="I17" s="3">
        <f t="shared" si="0"/>
        <v>300.26500000000004</v>
      </c>
      <c r="J17" s="3">
        <f t="shared" si="1"/>
        <v>-3.9523594690385555</v>
      </c>
      <c r="K17" s="3">
        <f t="shared" si="2"/>
        <v>27.864086269380902</v>
      </c>
      <c r="L17" s="3">
        <f t="shared" si="3"/>
        <v>1047.3846405309614</v>
      </c>
      <c r="M17" s="3">
        <f t="shared" si="4"/>
        <v>954.51008626938085</v>
      </c>
      <c r="P17" s="3">
        <f t="shared" si="5"/>
        <v>173.2161111111111</v>
      </c>
      <c r="Q17" s="3">
        <f t="shared" si="6"/>
        <v>1.7117005725308645</v>
      </c>
    </row>
    <row r="18" spans="2:17" x14ac:dyDescent="0.25">
      <c r="B18" s="1">
        <v>33</v>
      </c>
      <c r="C18" s="3">
        <v>2</v>
      </c>
      <c r="D18" s="1">
        <v>181</v>
      </c>
      <c r="E18" s="1">
        <v>17</v>
      </c>
      <c r="F18" s="1">
        <v>56</v>
      </c>
      <c r="G18" s="1">
        <v>28.102</v>
      </c>
      <c r="H18" s="1">
        <v>1.284</v>
      </c>
      <c r="I18" s="3">
        <f t="shared" si="0"/>
        <v>300.29000000000002</v>
      </c>
      <c r="J18" s="3">
        <f t="shared" si="1"/>
        <v>-7.8193678482831226</v>
      </c>
      <c r="K18" s="3">
        <f t="shared" si="2"/>
        <v>26.992219072414851</v>
      </c>
      <c r="L18" s="3">
        <f t="shared" si="3"/>
        <v>1043.517632151717</v>
      </c>
      <c r="M18" s="3">
        <f t="shared" si="4"/>
        <v>953.63821907241481</v>
      </c>
      <c r="P18" s="3">
        <f t="shared" si="5"/>
        <v>181.29888888888888</v>
      </c>
      <c r="Q18" s="3">
        <f t="shared" si="6"/>
        <v>1.8527674969135806</v>
      </c>
    </row>
    <row r="19" spans="2:17" x14ac:dyDescent="0.25">
      <c r="B19" s="1" t="s">
        <v>145</v>
      </c>
      <c r="C19" s="3">
        <v>2</v>
      </c>
      <c r="D19" s="1">
        <v>98</v>
      </c>
      <c r="E19" s="1">
        <v>44</v>
      </c>
      <c r="F19" s="1">
        <v>49</v>
      </c>
      <c r="G19" s="1">
        <v>7.9189999999999996</v>
      </c>
      <c r="H19" s="1">
        <v>0.78</v>
      </c>
      <c r="I19" s="3">
        <f t="shared" si="0"/>
        <v>299.786</v>
      </c>
      <c r="J19" s="3">
        <f t="shared" si="1"/>
        <v>7.2563306779410883</v>
      </c>
      <c r="K19" s="3">
        <f t="shared" si="2"/>
        <v>3.1711553245419903</v>
      </c>
      <c r="L19" s="3">
        <f t="shared" si="3"/>
        <v>1058.5933306779411</v>
      </c>
      <c r="M19" s="3">
        <f t="shared" si="4"/>
        <v>929.817155324542</v>
      </c>
      <c r="P19" s="3">
        <f t="shared" si="5"/>
        <v>98.746944444444452</v>
      </c>
      <c r="Q19" s="3">
        <f t="shared" si="6"/>
        <v>0.41200675540123471</v>
      </c>
    </row>
    <row r="20" spans="2:17" x14ac:dyDescent="0.25">
      <c r="B20" s="1">
        <v>158</v>
      </c>
      <c r="C20" s="3">
        <v>2</v>
      </c>
      <c r="D20" s="1">
        <v>190</v>
      </c>
      <c r="E20" s="1">
        <v>49</v>
      </c>
      <c r="F20" s="1">
        <v>22</v>
      </c>
      <c r="G20" s="1">
        <v>6.54</v>
      </c>
      <c r="H20" s="1">
        <v>0.94799999999999995</v>
      </c>
      <c r="I20" s="3">
        <f t="shared" si="0"/>
        <v>299.95400000000001</v>
      </c>
      <c r="J20" s="3">
        <f t="shared" si="1"/>
        <v>-2.8340079599209376</v>
      </c>
      <c r="K20" s="3">
        <f t="shared" si="2"/>
        <v>5.8940647165690985</v>
      </c>
      <c r="L20" s="3">
        <f t="shared" si="3"/>
        <v>1048.5029920400791</v>
      </c>
      <c r="M20" s="3">
        <f t="shared" si="4"/>
        <v>932.54006471656908</v>
      </c>
      <c r="P20" s="3">
        <f t="shared" si="5"/>
        <v>190.82277777777779</v>
      </c>
      <c r="Q20" s="3">
        <f t="shared" si="6"/>
        <v>2.0189858132716054</v>
      </c>
    </row>
    <row r="21" spans="2:17" x14ac:dyDescent="0.25">
      <c r="B21" s="1">
        <v>159</v>
      </c>
      <c r="C21" s="3">
        <v>2</v>
      </c>
      <c r="D21" s="1">
        <v>132</v>
      </c>
      <c r="E21" s="1">
        <v>36</v>
      </c>
      <c r="F21" s="1">
        <v>17</v>
      </c>
      <c r="G21" s="1">
        <v>10.292</v>
      </c>
      <c r="H21" s="1">
        <v>1.0449999999999999</v>
      </c>
      <c r="I21" s="3">
        <f t="shared" si="0"/>
        <v>300.05100000000004</v>
      </c>
      <c r="J21" s="3">
        <f t="shared" si="1"/>
        <v>5.5354876789007967</v>
      </c>
      <c r="K21" s="3">
        <f t="shared" si="2"/>
        <v>8.6766145561928383</v>
      </c>
      <c r="L21" s="3">
        <f t="shared" si="3"/>
        <v>1056.8724876789008</v>
      </c>
      <c r="M21" s="3">
        <f t="shared" si="4"/>
        <v>935.32261455619278</v>
      </c>
      <c r="P21" s="3">
        <f t="shared" si="5"/>
        <v>132.60472222222222</v>
      </c>
      <c r="Q21" s="3">
        <f t="shared" si="6"/>
        <v>1.0029190270061732</v>
      </c>
    </row>
  </sheetData>
  <mergeCells count="3">
    <mergeCell ref="D5:F5"/>
    <mergeCell ref="J5:K5"/>
    <mergeCell ref="L5:M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3382E-76CB-43FE-9465-30C9D96D3B11}">
  <dimension ref="B3:S30"/>
  <sheetViews>
    <sheetView workbookViewId="0">
      <selection activeCell="Q7" sqref="Q7"/>
    </sheetView>
  </sheetViews>
  <sheetFormatPr defaultColWidth="9.140625" defaultRowHeight="15" x14ac:dyDescent="0.25"/>
  <cols>
    <col min="1" max="1" width="9.140625" style="1"/>
    <col min="2" max="2" width="11.28515625" style="1" customWidth="1"/>
    <col min="3" max="3" width="14.28515625" style="1" customWidth="1"/>
    <col min="4" max="8" width="9.140625" style="1"/>
    <col min="9" max="9" width="15.7109375" style="1" customWidth="1"/>
    <col min="10" max="16384" width="9.140625" style="1"/>
  </cols>
  <sheetData>
    <row r="3" spans="2:19" ht="18" x14ac:dyDescent="0.35">
      <c r="B3" s="1" t="s">
        <v>10</v>
      </c>
      <c r="C3" s="1" t="s">
        <v>146</v>
      </c>
    </row>
    <row r="4" spans="2:19" x14ac:dyDescent="0.25">
      <c r="B4" s="1" t="s">
        <v>39</v>
      </c>
      <c r="C4" s="1">
        <v>1.4410000000000001</v>
      </c>
    </row>
    <row r="5" spans="2:19" x14ac:dyDescent="0.25">
      <c r="B5" s="1" t="s">
        <v>1</v>
      </c>
      <c r="C5" s="1" t="s">
        <v>0</v>
      </c>
      <c r="D5" s="6" t="s">
        <v>42</v>
      </c>
      <c r="E5" s="6"/>
      <c r="F5" s="6"/>
      <c r="G5" s="1" t="s">
        <v>43</v>
      </c>
      <c r="H5" s="1" t="s">
        <v>7</v>
      </c>
      <c r="I5" s="1" t="s">
        <v>44</v>
      </c>
      <c r="J5" s="6" t="s">
        <v>34</v>
      </c>
      <c r="K5" s="6"/>
      <c r="L5" s="6" t="s">
        <v>46</v>
      </c>
      <c r="M5" s="6"/>
      <c r="P5" s="1" t="s">
        <v>37</v>
      </c>
      <c r="Q5" s="1" t="s">
        <v>47</v>
      </c>
    </row>
    <row r="6" spans="2:19" x14ac:dyDescent="0.25">
      <c r="D6" s="1" t="s">
        <v>2</v>
      </c>
      <c r="E6" s="1" t="s">
        <v>41</v>
      </c>
      <c r="F6" s="1" t="s">
        <v>4</v>
      </c>
      <c r="G6" s="1" t="s">
        <v>6</v>
      </c>
      <c r="H6" s="1" t="s">
        <v>6</v>
      </c>
      <c r="J6" s="1" t="s">
        <v>35</v>
      </c>
      <c r="K6" s="1" t="s">
        <v>45</v>
      </c>
      <c r="L6" s="1" t="s">
        <v>35</v>
      </c>
      <c r="M6" s="1" t="s">
        <v>45</v>
      </c>
    </row>
    <row r="7" spans="2:19" x14ac:dyDescent="0.25">
      <c r="B7" s="1" t="s">
        <v>147</v>
      </c>
      <c r="C7" s="1">
        <v>2</v>
      </c>
      <c r="D7" s="1">
        <v>306</v>
      </c>
      <c r="E7" s="1">
        <v>14</v>
      </c>
      <c r="F7" s="1">
        <v>46</v>
      </c>
      <c r="G7" s="1">
        <v>21.079000000000001</v>
      </c>
      <c r="H7" s="1">
        <v>0.15540000000000001</v>
      </c>
      <c r="I7" s="3">
        <f>301.327+1.441+H7-C7</f>
        <v>300.92339999999996</v>
      </c>
      <c r="J7" s="3">
        <f>G7*COS(Q7)</f>
        <v>-14.891186583644458</v>
      </c>
      <c r="K7" s="3">
        <f>G7*SIN(Q7)</f>
        <v>-14.919008114854261</v>
      </c>
      <c r="L7" s="3">
        <f>1040.343+J7</f>
        <v>1025.4518134163557</v>
      </c>
      <c r="M7" s="3">
        <f>997.549+K7</f>
        <v>982.62999188514573</v>
      </c>
      <c r="P7" s="3">
        <f>D7+E7/60+F7/3600</f>
        <v>306.24611111111113</v>
      </c>
      <c r="Q7" s="3">
        <f>IF((98.814+P7-180)&gt;0, (98.814+P7-180)*3.1415/180, (98.814+P7+180)*3.1415/180)</f>
        <v>3.9279241058641983</v>
      </c>
      <c r="S7" s="1">
        <f>IF((98.814+P7-180)&gt;0, 98.814+P7-180, 98.814+P7+180)</f>
        <v>225.06011111111115</v>
      </c>
    </row>
    <row r="8" spans="2:19" x14ac:dyDescent="0.25">
      <c r="B8" s="1" t="s">
        <v>148</v>
      </c>
      <c r="C8" s="3">
        <v>2</v>
      </c>
      <c r="D8" s="1">
        <v>336</v>
      </c>
      <c r="E8" s="1">
        <v>25</v>
      </c>
      <c r="F8" s="1">
        <v>3</v>
      </c>
      <c r="G8" s="1">
        <v>19.623000000000001</v>
      </c>
      <c r="H8" s="1">
        <v>0.184</v>
      </c>
      <c r="I8" s="3">
        <f t="shared" ref="I8:I30" si="0">301.327+1.441+H8-C8</f>
        <v>300.952</v>
      </c>
      <c r="J8" s="3">
        <f t="shared" ref="J8:J30" si="1">G8*COS(Q8)</f>
        <v>-5.0046737892868656</v>
      </c>
      <c r="K8" s="3">
        <f t="shared" ref="K8:K30" si="2">G8*SIN(Q8)</f>
        <v>-18.97407097232497</v>
      </c>
      <c r="L8" s="3">
        <f t="shared" ref="L8:L30" si="3">1040.343+J8</f>
        <v>1035.3383262107131</v>
      </c>
      <c r="M8" s="3">
        <f t="shared" ref="M8:M30" si="4">997.549+K8</f>
        <v>978.57492902767501</v>
      </c>
      <c r="P8" s="3">
        <f t="shared" ref="P8:P30" si="5">D8+E8/60+F8/3600</f>
        <v>336.41750000000002</v>
      </c>
      <c r="Q8" s="3">
        <f t="shared" ref="Q8:Q30" si="6">IF((98.814+P8-180)&gt;0, (98.814+P8-180)*3.1415/180, (98.814+P8+180)*3.1415/180)</f>
        <v>4.4544986513888887</v>
      </c>
      <c r="S8" s="3">
        <f t="shared" ref="S8:S30" si="7">IF((98.814+P8-180)&gt;0, 98.814+P8-180, 98.814+P8+180)</f>
        <v>255.23149999999998</v>
      </c>
    </row>
    <row r="9" spans="2:19" x14ac:dyDescent="0.25">
      <c r="B9" s="1" t="s">
        <v>149</v>
      </c>
      <c r="C9" s="3">
        <v>2</v>
      </c>
      <c r="D9" s="1">
        <v>293</v>
      </c>
      <c r="E9" s="1">
        <v>22</v>
      </c>
      <c r="F9" s="1">
        <v>11</v>
      </c>
      <c r="G9" s="1">
        <v>29.585000000000001</v>
      </c>
      <c r="H9" s="1">
        <v>0.44900000000000001</v>
      </c>
      <c r="I9" s="3">
        <f t="shared" si="0"/>
        <v>301.21699999999998</v>
      </c>
      <c r="J9" s="3">
        <f t="shared" si="1"/>
        <v>-25.040823641408135</v>
      </c>
      <c r="K9" s="3">
        <f t="shared" si="2"/>
        <v>-15.755296771558935</v>
      </c>
      <c r="L9" s="3">
        <f t="shared" si="3"/>
        <v>1015.302176358592</v>
      </c>
      <c r="M9" s="3">
        <f t="shared" si="4"/>
        <v>981.79370322844102</v>
      </c>
      <c r="P9" s="3">
        <f t="shared" si="5"/>
        <v>293.36972222222221</v>
      </c>
      <c r="Q9" s="3">
        <f t="shared" si="6"/>
        <v>3.7031953520061722</v>
      </c>
      <c r="S9" s="3">
        <f t="shared" si="7"/>
        <v>212.18372222222217</v>
      </c>
    </row>
    <row r="10" spans="2:19" x14ac:dyDescent="0.25">
      <c r="B10" s="1" t="s">
        <v>150</v>
      </c>
      <c r="C10" s="3">
        <v>2</v>
      </c>
      <c r="D10" s="1">
        <v>3</v>
      </c>
      <c r="E10" s="1">
        <v>29</v>
      </c>
      <c r="F10" s="1">
        <v>15</v>
      </c>
      <c r="G10" s="1">
        <v>16.463000000000001</v>
      </c>
      <c r="H10" s="1">
        <v>0.64100000000000001</v>
      </c>
      <c r="I10" s="3">
        <f t="shared" si="0"/>
        <v>301.40899999999999</v>
      </c>
      <c r="J10" s="3">
        <f t="shared" si="1"/>
        <v>3.5052029652817769</v>
      </c>
      <c r="K10" s="3">
        <f t="shared" si="2"/>
        <v>-16.08551898982995</v>
      </c>
      <c r="L10" s="3">
        <f t="shared" si="3"/>
        <v>1043.8482029652819</v>
      </c>
      <c r="M10" s="3">
        <f t="shared" si="4"/>
        <v>981.46348101016997</v>
      </c>
      <c r="P10" s="3">
        <f t="shared" si="5"/>
        <v>3.4875000000000003</v>
      </c>
      <c r="Q10" s="3">
        <f t="shared" si="6"/>
        <v>4.9269453458333325</v>
      </c>
      <c r="S10" s="3">
        <f t="shared" si="7"/>
        <v>282.30149999999998</v>
      </c>
    </row>
    <row r="11" spans="2:19" x14ac:dyDescent="0.25">
      <c r="B11" s="1">
        <v>8</v>
      </c>
      <c r="C11" s="3">
        <v>2</v>
      </c>
      <c r="D11" s="1">
        <v>7</v>
      </c>
      <c r="E11" s="1">
        <v>31</v>
      </c>
      <c r="F11" s="1">
        <v>49</v>
      </c>
      <c r="G11" s="1">
        <v>16.125</v>
      </c>
      <c r="H11" s="1">
        <v>0.50960000000000005</v>
      </c>
      <c r="I11" s="3">
        <f t="shared" si="0"/>
        <v>301.27759999999995</v>
      </c>
      <c r="J11" s="3">
        <f t="shared" si="1"/>
        <v>4.5354290168916718</v>
      </c>
      <c r="K11" s="3">
        <f t="shared" si="2"/>
        <v>-15.474026904226871</v>
      </c>
      <c r="L11" s="3">
        <f t="shared" si="3"/>
        <v>1044.8784290168917</v>
      </c>
      <c r="M11" s="3">
        <f t="shared" si="4"/>
        <v>982.07497309577309</v>
      </c>
      <c r="P11" s="3">
        <f t="shared" si="5"/>
        <v>7.5302777777777781</v>
      </c>
      <c r="Q11" s="3">
        <f t="shared" si="6"/>
        <v>4.9975030479938276</v>
      </c>
      <c r="S11" s="3">
        <f t="shared" si="7"/>
        <v>286.34427777777779</v>
      </c>
    </row>
    <row r="12" spans="2:19" x14ac:dyDescent="0.25">
      <c r="B12" s="1" t="s">
        <v>151</v>
      </c>
      <c r="C12" s="3">
        <v>2</v>
      </c>
      <c r="D12" s="1">
        <v>301</v>
      </c>
      <c r="E12" s="1">
        <v>24</v>
      </c>
      <c r="F12" s="1">
        <v>44</v>
      </c>
      <c r="G12" s="1">
        <v>18.448</v>
      </c>
      <c r="H12" s="1">
        <v>0.219</v>
      </c>
      <c r="I12" s="3">
        <f t="shared" si="0"/>
        <v>300.98699999999997</v>
      </c>
      <c r="J12" s="3">
        <f t="shared" si="1"/>
        <v>-14.086408529848464</v>
      </c>
      <c r="K12" s="3">
        <f t="shared" si="2"/>
        <v>-11.912254141438238</v>
      </c>
      <c r="L12" s="3">
        <f t="shared" si="3"/>
        <v>1026.2565914701515</v>
      </c>
      <c r="M12" s="3">
        <f t="shared" si="4"/>
        <v>985.63674585856177</v>
      </c>
      <c r="P12" s="3">
        <f t="shared" si="5"/>
        <v>301.41222222222223</v>
      </c>
      <c r="Q12" s="3">
        <f t="shared" si="6"/>
        <v>3.8435593172839502</v>
      </c>
      <c r="S12" s="3">
        <f t="shared" si="7"/>
        <v>220.22622222222219</v>
      </c>
    </row>
    <row r="13" spans="2:19" x14ac:dyDescent="0.25">
      <c r="B13" s="1">
        <v>161</v>
      </c>
      <c r="C13" s="3">
        <v>2</v>
      </c>
      <c r="D13" s="1">
        <v>54</v>
      </c>
      <c r="E13" s="1">
        <v>6</v>
      </c>
      <c r="F13" s="1">
        <v>54</v>
      </c>
      <c r="G13" s="1">
        <v>13.813000000000001</v>
      </c>
      <c r="H13" s="1">
        <v>0.51800000000000002</v>
      </c>
      <c r="I13" s="3">
        <f t="shared" si="0"/>
        <v>301.28599999999994</v>
      </c>
      <c r="J13" s="3">
        <f t="shared" si="1"/>
        <v>12.298615319920781</v>
      </c>
      <c r="K13" s="3">
        <f t="shared" si="2"/>
        <v>-6.2883249130917118</v>
      </c>
      <c r="L13" s="3">
        <f t="shared" si="3"/>
        <v>1052.6416153199209</v>
      </c>
      <c r="M13" s="3">
        <f t="shared" si="4"/>
        <v>991.26067508690824</v>
      </c>
      <c r="P13" s="3">
        <f t="shared" si="5"/>
        <v>54.115000000000002</v>
      </c>
      <c r="Q13" s="3">
        <f t="shared" si="6"/>
        <v>5.810535852777778</v>
      </c>
      <c r="S13" s="3">
        <f t="shared" si="7"/>
        <v>332.92899999999997</v>
      </c>
    </row>
    <row r="14" spans="2:19" x14ac:dyDescent="0.25">
      <c r="B14" s="1" t="s">
        <v>152</v>
      </c>
      <c r="C14" s="3">
        <v>2</v>
      </c>
      <c r="D14" s="1">
        <v>298</v>
      </c>
      <c r="E14" s="1">
        <v>57</v>
      </c>
      <c r="F14" s="1">
        <v>49</v>
      </c>
      <c r="G14" s="1">
        <v>16.222000000000001</v>
      </c>
      <c r="H14" s="1">
        <v>0.16</v>
      </c>
      <c r="I14" s="3">
        <f t="shared" si="0"/>
        <v>300.928</v>
      </c>
      <c r="J14" s="3">
        <f t="shared" si="1"/>
        <v>-12.822892706330553</v>
      </c>
      <c r="K14" s="3">
        <f t="shared" si="2"/>
        <v>-9.9361313720147013</v>
      </c>
      <c r="L14" s="3">
        <f t="shared" si="3"/>
        <v>1027.5201072936695</v>
      </c>
      <c r="M14" s="3">
        <f t="shared" si="4"/>
        <v>987.61286862798522</v>
      </c>
      <c r="P14" s="3">
        <f t="shared" si="5"/>
        <v>298.96361111111111</v>
      </c>
      <c r="Q14" s="3">
        <f t="shared" si="6"/>
        <v>3.8008242516975317</v>
      </c>
      <c r="S14" s="3">
        <f t="shared" si="7"/>
        <v>217.77761111111113</v>
      </c>
    </row>
    <row r="15" spans="2:19" x14ac:dyDescent="0.25">
      <c r="B15" s="1" t="s">
        <v>153</v>
      </c>
      <c r="C15" s="3">
        <v>2</v>
      </c>
      <c r="D15" s="1">
        <v>84</v>
      </c>
      <c r="E15" s="1">
        <v>37</v>
      </c>
      <c r="F15" s="1">
        <v>10</v>
      </c>
      <c r="G15" s="1">
        <v>13.819000000000001</v>
      </c>
      <c r="H15" s="1">
        <v>0.66900000000000004</v>
      </c>
      <c r="I15" s="3">
        <f t="shared" si="0"/>
        <v>301.43699999999995</v>
      </c>
      <c r="J15" s="3">
        <f t="shared" si="1"/>
        <v>13.794196907690033</v>
      </c>
      <c r="K15" s="3">
        <f t="shared" si="2"/>
        <v>0.82758242603063215</v>
      </c>
      <c r="L15" s="3">
        <f t="shared" si="3"/>
        <v>1054.1371969076902</v>
      </c>
      <c r="M15" s="3">
        <f t="shared" si="4"/>
        <v>998.37658242603061</v>
      </c>
      <c r="P15" s="3">
        <f t="shared" si="5"/>
        <v>84.61944444444444</v>
      </c>
      <c r="Q15" s="3">
        <f t="shared" si="6"/>
        <v>5.9923142901234371E-2</v>
      </c>
      <c r="S15" s="3">
        <f t="shared" si="7"/>
        <v>3.433444444444433</v>
      </c>
    </row>
    <row r="16" spans="2:19" x14ac:dyDescent="0.25">
      <c r="B16" s="1" t="s">
        <v>154</v>
      </c>
      <c r="C16" s="3">
        <v>2</v>
      </c>
      <c r="D16" s="1">
        <v>295</v>
      </c>
      <c r="E16" s="1">
        <v>57</v>
      </c>
      <c r="F16" s="1">
        <v>24</v>
      </c>
      <c r="G16" s="1">
        <v>11.613</v>
      </c>
      <c r="H16" s="1">
        <v>0.55900000000000005</v>
      </c>
      <c r="I16" s="3">
        <f t="shared" si="0"/>
        <v>301.327</v>
      </c>
      <c r="J16" s="3">
        <f t="shared" si="1"/>
        <v>-9.5401297567164498</v>
      </c>
      <c r="K16" s="3">
        <f t="shared" si="2"/>
        <v>-6.6217590733137772</v>
      </c>
      <c r="L16" s="3">
        <f t="shared" si="3"/>
        <v>1030.8028702432837</v>
      </c>
      <c r="M16" s="3">
        <f t="shared" si="4"/>
        <v>990.92724092668618</v>
      </c>
      <c r="P16" s="3">
        <f t="shared" si="5"/>
        <v>295.95666666666665</v>
      </c>
      <c r="Q16" s="3">
        <f t="shared" si="6"/>
        <v>3.7483447185185192</v>
      </c>
      <c r="S16" s="3">
        <f t="shared" si="7"/>
        <v>214.77066666666667</v>
      </c>
    </row>
    <row r="17" spans="2:19" x14ac:dyDescent="0.25">
      <c r="B17" s="1">
        <v>37</v>
      </c>
      <c r="C17" s="3">
        <v>2</v>
      </c>
      <c r="D17" s="1">
        <v>101</v>
      </c>
      <c r="E17" s="1">
        <v>4</v>
      </c>
      <c r="F17" s="1">
        <v>3</v>
      </c>
      <c r="G17" s="1">
        <v>16.128</v>
      </c>
      <c r="H17" s="1">
        <v>0.79300000000000004</v>
      </c>
      <c r="I17" s="3">
        <f t="shared" si="0"/>
        <v>301.56099999999998</v>
      </c>
      <c r="J17" s="3">
        <f t="shared" si="1"/>
        <v>15.166794778981197</v>
      </c>
      <c r="K17" s="3">
        <f t="shared" si="2"/>
        <v>5.4845893312324359</v>
      </c>
      <c r="L17" s="3">
        <f t="shared" si="3"/>
        <v>1055.5097947789814</v>
      </c>
      <c r="M17" s="3">
        <f t="shared" si="4"/>
        <v>1003.0335893312324</v>
      </c>
      <c r="P17" s="3">
        <f t="shared" si="5"/>
        <v>101.0675</v>
      </c>
      <c r="Q17" s="3">
        <f t="shared" si="6"/>
        <v>0.34698740138888867</v>
      </c>
      <c r="S17" s="3">
        <f t="shared" si="7"/>
        <v>19.881499999999988</v>
      </c>
    </row>
    <row r="18" spans="2:19" x14ac:dyDescent="0.25">
      <c r="B18" s="1">
        <v>38</v>
      </c>
      <c r="C18" s="3">
        <v>2</v>
      </c>
      <c r="D18" s="1">
        <v>307</v>
      </c>
      <c r="E18" s="1">
        <v>51</v>
      </c>
      <c r="F18" s="1">
        <v>34</v>
      </c>
      <c r="G18" s="1">
        <v>6.9690000000000003</v>
      </c>
      <c r="H18" s="1">
        <v>0.314</v>
      </c>
      <c r="I18" s="3">
        <f t="shared" si="0"/>
        <v>301.08199999999999</v>
      </c>
      <c r="J18" s="3">
        <f t="shared" si="1"/>
        <v>-4.78240978188522</v>
      </c>
      <c r="K18" s="3">
        <f t="shared" si="2"/>
        <v>-5.0690746372615756</v>
      </c>
      <c r="L18" s="3">
        <f t="shared" si="3"/>
        <v>1035.5605902181148</v>
      </c>
      <c r="M18" s="3">
        <f t="shared" si="4"/>
        <v>992.47992536273841</v>
      </c>
      <c r="P18" s="3">
        <f t="shared" si="5"/>
        <v>307.85944444444448</v>
      </c>
      <c r="Q18" s="3">
        <f t="shared" si="6"/>
        <v>3.9560812540123469</v>
      </c>
      <c r="S18" s="3">
        <f t="shared" si="7"/>
        <v>226.6734444444445</v>
      </c>
    </row>
    <row r="19" spans="2:19" x14ac:dyDescent="0.25">
      <c r="B19" s="1" t="s">
        <v>155</v>
      </c>
      <c r="C19" s="3">
        <v>2</v>
      </c>
      <c r="D19" s="1">
        <v>135</v>
      </c>
      <c r="E19" s="1">
        <v>32</v>
      </c>
      <c r="F19" s="1">
        <v>39</v>
      </c>
      <c r="G19" s="1">
        <v>15.117000000000001</v>
      </c>
      <c r="H19" s="1">
        <v>1.71</v>
      </c>
      <c r="I19" s="3">
        <f t="shared" si="0"/>
        <v>302.47799999999995</v>
      </c>
      <c r="J19" s="3">
        <f t="shared" si="1"/>
        <v>8.8092688266471466</v>
      </c>
      <c r="K19" s="3">
        <f t="shared" si="2"/>
        <v>12.284969342243505</v>
      </c>
      <c r="L19" s="3">
        <f t="shared" si="3"/>
        <v>1049.1522688266473</v>
      </c>
      <c r="M19" s="3">
        <f t="shared" si="4"/>
        <v>1009.8339693422434</v>
      </c>
      <c r="P19" s="3">
        <f t="shared" si="5"/>
        <v>135.54416666666665</v>
      </c>
      <c r="Q19" s="3">
        <f t="shared" si="6"/>
        <v>0.94870100324074058</v>
      </c>
      <c r="S19" s="3">
        <f t="shared" si="7"/>
        <v>54.358166666666648</v>
      </c>
    </row>
    <row r="20" spans="2:19" x14ac:dyDescent="0.25">
      <c r="B20" s="1" t="s">
        <v>156</v>
      </c>
      <c r="C20" s="3">
        <v>2</v>
      </c>
      <c r="D20" s="1">
        <v>168</v>
      </c>
      <c r="E20" s="1">
        <v>34</v>
      </c>
      <c r="F20" s="1">
        <v>10</v>
      </c>
      <c r="G20" s="1">
        <v>11.377000000000001</v>
      </c>
      <c r="H20" s="1">
        <v>0.88100000000000001</v>
      </c>
      <c r="I20" s="3">
        <f t="shared" si="0"/>
        <v>301.64899999999994</v>
      </c>
      <c r="J20" s="3">
        <f t="shared" si="1"/>
        <v>0.51988988524919644</v>
      </c>
      <c r="K20" s="3">
        <f t="shared" si="2"/>
        <v>11.365115199909571</v>
      </c>
      <c r="L20" s="3">
        <f t="shared" si="3"/>
        <v>1040.8628898852492</v>
      </c>
      <c r="M20" s="3">
        <f t="shared" si="4"/>
        <v>1008.9141151999096</v>
      </c>
      <c r="P20" s="3">
        <f t="shared" si="5"/>
        <v>168.56944444444443</v>
      </c>
      <c r="Q20" s="3">
        <f t="shared" si="6"/>
        <v>1.5250838373456788</v>
      </c>
      <c r="S20" s="3">
        <f t="shared" si="7"/>
        <v>87.383444444444422</v>
      </c>
    </row>
    <row r="21" spans="2:19" x14ac:dyDescent="0.25">
      <c r="B21" s="1">
        <v>39</v>
      </c>
      <c r="C21" s="3">
        <v>2</v>
      </c>
      <c r="D21" s="1">
        <v>154</v>
      </c>
      <c r="E21" s="1">
        <v>33</v>
      </c>
      <c r="F21" s="1">
        <v>27</v>
      </c>
      <c r="G21" s="1">
        <v>12.097</v>
      </c>
      <c r="H21" s="1">
        <v>0.91500000000000004</v>
      </c>
      <c r="I21" s="3">
        <f t="shared" si="0"/>
        <v>301.68299999999999</v>
      </c>
      <c r="J21" s="3">
        <f t="shared" si="1"/>
        <v>3.4621760074096888</v>
      </c>
      <c r="K21" s="3">
        <f t="shared" si="2"/>
        <v>11.590976934396716</v>
      </c>
      <c r="L21" s="3">
        <f t="shared" si="3"/>
        <v>1043.8051760074097</v>
      </c>
      <c r="M21" s="3">
        <f t="shared" si="4"/>
        <v>1009.1399769343967</v>
      </c>
      <c r="P21" s="3">
        <f t="shared" si="5"/>
        <v>154.5575</v>
      </c>
      <c r="Q21" s="3">
        <f t="shared" si="6"/>
        <v>1.2805364847222223</v>
      </c>
      <c r="S21" s="3">
        <f t="shared" si="7"/>
        <v>73.371499999999997</v>
      </c>
    </row>
    <row r="22" spans="2:19" x14ac:dyDescent="0.25">
      <c r="B22" s="1" t="s">
        <v>157</v>
      </c>
      <c r="C22" s="3">
        <v>2</v>
      </c>
      <c r="D22" s="1">
        <v>145</v>
      </c>
      <c r="E22" s="1">
        <v>20</v>
      </c>
      <c r="F22" s="1">
        <v>10</v>
      </c>
      <c r="G22" s="1">
        <v>10.798</v>
      </c>
      <c r="H22" s="1">
        <v>0.81699999999999995</v>
      </c>
      <c r="I22" s="3">
        <f t="shared" si="0"/>
        <v>301.58499999999998</v>
      </c>
      <c r="J22" s="3">
        <f t="shared" si="1"/>
        <v>4.7084093871012085</v>
      </c>
      <c r="K22" s="3">
        <f t="shared" si="2"/>
        <v>9.7173908557522388</v>
      </c>
      <c r="L22" s="3">
        <f t="shared" si="3"/>
        <v>1045.0514093871013</v>
      </c>
      <c r="M22" s="3">
        <f t="shared" si="4"/>
        <v>1007.2663908557522</v>
      </c>
      <c r="P22" s="3">
        <f t="shared" si="5"/>
        <v>145.33611111111111</v>
      </c>
      <c r="Q22" s="3">
        <f t="shared" si="6"/>
        <v>1.1195976336419753</v>
      </c>
      <c r="S22" s="3">
        <f t="shared" si="7"/>
        <v>64.150111111111102</v>
      </c>
    </row>
    <row r="23" spans="2:19" x14ac:dyDescent="0.25">
      <c r="B23" s="1" t="s">
        <v>158</v>
      </c>
      <c r="C23" s="3">
        <v>2</v>
      </c>
      <c r="D23" s="1">
        <v>172</v>
      </c>
      <c r="E23" s="1">
        <v>57</v>
      </c>
      <c r="F23" s="1">
        <v>39</v>
      </c>
      <c r="G23" s="1">
        <v>20.468</v>
      </c>
      <c r="H23" s="1">
        <v>1.351</v>
      </c>
      <c r="I23" s="3">
        <f t="shared" si="0"/>
        <v>302.11899999999997</v>
      </c>
      <c r="J23" s="3">
        <f t="shared" si="1"/>
        <v>-0.63296294964876298</v>
      </c>
      <c r="K23" s="3">
        <f t="shared" si="2"/>
        <v>20.458210623228315</v>
      </c>
      <c r="L23" s="3">
        <f t="shared" si="3"/>
        <v>1039.7100370503513</v>
      </c>
      <c r="M23" s="3">
        <f t="shared" si="4"/>
        <v>1018.0072106232283</v>
      </c>
      <c r="P23" s="3">
        <f t="shared" si="5"/>
        <v>172.96083333333331</v>
      </c>
      <c r="Q23" s="3">
        <f t="shared" si="6"/>
        <v>1.6017257717592583</v>
      </c>
      <c r="S23" s="3">
        <f t="shared" si="7"/>
        <v>91.774833333333277</v>
      </c>
    </row>
    <row r="24" spans="2:19" x14ac:dyDescent="0.25">
      <c r="B24" s="1">
        <v>41</v>
      </c>
      <c r="C24" s="3">
        <v>2</v>
      </c>
      <c r="D24" s="1">
        <v>174</v>
      </c>
      <c r="E24" s="1">
        <v>28</v>
      </c>
      <c r="F24" s="1">
        <v>140</v>
      </c>
      <c r="G24" s="1">
        <v>23.446000000000002</v>
      </c>
      <c r="H24" s="1">
        <v>1.355</v>
      </c>
      <c r="I24" s="3">
        <f t="shared" si="0"/>
        <v>302.12299999999999</v>
      </c>
      <c r="J24" s="3">
        <f t="shared" si="1"/>
        <v>-1.3565108024358306</v>
      </c>
      <c r="K24" s="3">
        <f t="shared" si="2"/>
        <v>23.406725410507018</v>
      </c>
      <c r="L24" s="3">
        <f t="shared" si="3"/>
        <v>1038.9864891975642</v>
      </c>
      <c r="M24" s="3">
        <f t="shared" si="4"/>
        <v>1020.9557254105069</v>
      </c>
      <c r="P24" s="3">
        <f t="shared" si="5"/>
        <v>174.50555555555556</v>
      </c>
      <c r="Q24" s="3">
        <f t="shared" si="6"/>
        <v>1.6286854654320988</v>
      </c>
      <c r="S24" s="3">
        <f t="shared" si="7"/>
        <v>93.319555555555553</v>
      </c>
    </row>
    <row r="25" spans="2:19" x14ac:dyDescent="0.25">
      <c r="B25" s="1">
        <v>42</v>
      </c>
      <c r="C25" s="3">
        <v>2</v>
      </c>
      <c r="D25" s="1">
        <v>209</v>
      </c>
      <c r="E25" s="1">
        <v>17</v>
      </c>
      <c r="F25" s="1">
        <v>28</v>
      </c>
      <c r="G25" s="1">
        <v>28.190999999999999</v>
      </c>
      <c r="H25" s="1">
        <v>0.95279999999999998</v>
      </c>
      <c r="I25" s="3">
        <f t="shared" si="0"/>
        <v>301.7208</v>
      </c>
      <c r="J25" s="3">
        <f t="shared" si="1"/>
        <v>-17.395374464893003</v>
      </c>
      <c r="K25" s="3">
        <f t="shared" si="2"/>
        <v>22.184080513425577</v>
      </c>
      <c r="L25" s="3">
        <f t="shared" si="3"/>
        <v>1022.947625535107</v>
      </c>
      <c r="M25" s="3">
        <f t="shared" si="4"/>
        <v>1019.7330805134255</v>
      </c>
      <c r="P25" s="3">
        <f t="shared" si="5"/>
        <v>209.29111111111112</v>
      </c>
      <c r="Q25" s="3">
        <f t="shared" si="6"/>
        <v>2.2357900364197532</v>
      </c>
      <c r="S25" s="3">
        <f t="shared" si="7"/>
        <v>128.10511111111111</v>
      </c>
    </row>
    <row r="26" spans="2:19" x14ac:dyDescent="0.25">
      <c r="B26" s="1">
        <v>43</v>
      </c>
      <c r="C26" s="3">
        <v>2</v>
      </c>
      <c r="D26" s="1">
        <v>170</v>
      </c>
      <c r="E26" s="1">
        <v>19</v>
      </c>
      <c r="F26" s="1">
        <v>14</v>
      </c>
      <c r="G26" s="1">
        <v>28.588000000000001</v>
      </c>
      <c r="H26" s="1">
        <v>1.633</v>
      </c>
      <c r="I26" s="3">
        <f t="shared" si="0"/>
        <v>302.40099999999995</v>
      </c>
      <c r="J26" s="3">
        <f t="shared" si="1"/>
        <v>0.43311268090107002</v>
      </c>
      <c r="K26" s="3">
        <f t="shared" si="2"/>
        <v>28.584718949215553</v>
      </c>
      <c r="L26" s="3">
        <f t="shared" si="3"/>
        <v>1040.7761126809012</v>
      </c>
      <c r="M26" s="3">
        <f t="shared" si="4"/>
        <v>1026.1337189492156</v>
      </c>
      <c r="P26" s="3">
        <f t="shared" si="5"/>
        <v>170.32055555555556</v>
      </c>
      <c r="Q26" s="3">
        <f t="shared" si="6"/>
        <v>1.5556455904320987</v>
      </c>
      <c r="S26" s="3">
        <f t="shared" si="7"/>
        <v>89.134555555555551</v>
      </c>
    </row>
    <row r="27" spans="2:19" x14ac:dyDescent="0.25">
      <c r="B27" s="1">
        <v>44</v>
      </c>
      <c r="C27" s="3">
        <v>2</v>
      </c>
      <c r="D27" s="1">
        <v>218</v>
      </c>
      <c r="E27" s="1">
        <v>32</v>
      </c>
      <c r="F27" s="1">
        <v>15</v>
      </c>
      <c r="G27" s="1">
        <v>25.843</v>
      </c>
      <c r="H27" s="1">
        <v>0.94599999999999995</v>
      </c>
      <c r="I27" s="3">
        <f t="shared" si="0"/>
        <v>301.714</v>
      </c>
      <c r="J27" s="3">
        <f t="shared" si="1"/>
        <v>-19.006905154355081</v>
      </c>
      <c r="K27" s="3">
        <f t="shared" si="2"/>
        <v>17.50994590092586</v>
      </c>
      <c r="L27" s="3">
        <f t="shared" si="3"/>
        <v>1021.336094845645</v>
      </c>
      <c r="M27" s="3">
        <f t="shared" si="4"/>
        <v>1015.0589459009259</v>
      </c>
      <c r="P27" s="3">
        <f t="shared" si="5"/>
        <v>218.53749999999999</v>
      </c>
      <c r="Q27" s="3">
        <f t="shared" si="6"/>
        <v>2.397165206944444</v>
      </c>
      <c r="S27" s="3">
        <f t="shared" si="7"/>
        <v>137.35149999999999</v>
      </c>
    </row>
    <row r="28" spans="2:19" x14ac:dyDescent="0.25">
      <c r="B28" s="1">
        <v>45</v>
      </c>
      <c r="C28" s="3">
        <v>2</v>
      </c>
      <c r="D28" s="1">
        <v>164</v>
      </c>
      <c r="E28" s="1">
        <v>50</v>
      </c>
      <c r="F28" s="1">
        <v>58</v>
      </c>
      <c r="G28" s="1">
        <v>28.672000000000001</v>
      </c>
      <c r="H28" s="1">
        <v>1.647</v>
      </c>
      <c r="I28" s="3">
        <f t="shared" si="0"/>
        <v>302.41499999999996</v>
      </c>
      <c r="J28" s="3">
        <f t="shared" si="1"/>
        <v>3.1657114294579722</v>
      </c>
      <c r="K28" s="3">
        <f t="shared" si="2"/>
        <v>28.496699021911276</v>
      </c>
      <c r="L28" s="3">
        <f t="shared" si="3"/>
        <v>1043.5087114294581</v>
      </c>
      <c r="M28" s="3">
        <f t="shared" si="4"/>
        <v>1026.0456990219113</v>
      </c>
      <c r="P28" s="3">
        <f t="shared" si="5"/>
        <v>164.84944444444446</v>
      </c>
      <c r="Q28" s="3">
        <f t="shared" si="6"/>
        <v>1.4601595040123458</v>
      </c>
      <c r="S28" s="3">
        <f t="shared" si="7"/>
        <v>83.663444444444451</v>
      </c>
    </row>
    <row r="29" spans="2:19" x14ac:dyDescent="0.25">
      <c r="B29" s="1">
        <v>46</v>
      </c>
      <c r="C29" s="3">
        <v>2</v>
      </c>
      <c r="D29" s="1">
        <v>219</v>
      </c>
      <c r="E29" s="1">
        <v>18</v>
      </c>
      <c r="F29" s="1">
        <v>3</v>
      </c>
      <c r="G29" s="1">
        <v>32.722999999999999</v>
      </c>
      <c r="H29" s="1">
        <v>1.014</v>
      </c>
      <c r="I29" s="3">
        <f t="shared" si="0"/>
        <v>301.78199999999998</v>
      </c>
      <c r="J29" s="3">
        <f t="shared" si="1"/>
        <v>-24.360210316178723</v>
      </c>
      <c r="K29" s="3">
        <f t="shared" si="2"/>
        <v>21.84891032412234</v>
      </c>
      <c r="L29" s="3">
        <f t="shared" si="3"/>
        <v>1015.9827896838214</v>
      </c>
      <c r="M29" s="3">
        <f t="shared" si="4"/>
        <v>1019.3979103241223</v>
      </c>
      <c r="P29" s="3">
        <f t="shared" si="5"/>
        <v>219.30083333333334</v>
      </c>
      <c r="Q29" s="3">
        <f t="shared" si="6"/>
        <v>2.4104874939814813</v>
      </c>
      <c r="S29" s="3">
        <f t="shared" si="7"/>
        <v>138.11483333333331</v>
      </c>
    </row>
    <row r="30" spans="2:19" x14ac:dyDescent="0.25">
      <c r="B30" s="1" t="s">
        <v>159</v>
      </c>
      <c r="C30" s="3">
        <v>2</v>
      </c>
      <c r="D30" s="1">
        <v>285</v>
      </c>
      <c r="E30" s="1">
        <v>5</v>
      </c>
      <c r="F30" s="1">
        <v>22</v>
      </c>
      <c r="G30" s="1">
        <v>31.282</v>
      </c>
      <c r="H30" s="1">
        <v>0.46899999999999997</v>
      </c>
      <c r="I30" s="3">
        <f t="shared" si="0"/>
        <v>301.23699999999997</v>
      </c>
      <c r="J30" s="3">
        <f t="shared" si="1"/>
        <v>-28.600260495054197</v>
      </c>
      <c r="K30" s="3">
        <f t="shared" si="2"/>
        <v>-12.672356671710366</v>
      </c>
      <c r="L30" s="3">
        <f t="shared" si="3"/>
        <v>1011.7427395049459</v>
      </c>
      <c r="M30" s="3">
        <f t="shared" si="4"/>
        <v>984.87664332828956</v>
      </c>
      <c r="P30" s="3">
        <f t="shared" si="5"/>
        <v>285.08944444444444</v>
      </c>
      <c r="Q30" s="3">
        <f t="shared" si="6"/>
        <v>3.5586815040123452</v>
      </c>
      <c r="S30" s="3">
        <f t="shared" si="7"/>
        <v>203.9034444444444</v>
      </c>
    </row>
  </sheetData>
  <mergeCells count="3">
    <mergeCell ref="D5:F5"/>
    <mergeCell ref="J5:K5"/>
    <mergeCell ref="L5:M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F4DA5-79EB-4D1D-9FFF-9B14CC01C977}">
  <dimension ref="B3:Q35"/>
  <sheetViews>
    <sheetView workbookViewId="0">
      <selection activeCell="Q7" sqref="Q7"/>
    </sheetView>
  </sheetViews>
  <sheetFormatPr defaultColWidth="9.140625" defaultRowHeight="15" x14ac:dyDescent="0.25"/>
  <cols>
    <col min="1" max="1" width="9.140625" style="1"/>
    <col min="2" max="2" width="11.28515625" style="1" customWidth="1"/>
    <col min="3" max="3" width="14.28515625" style="1" customWidth="1"/>
    <col min="4" max="8" width="9.140625" style="1"/>
    <col min="9" max="9" width="15.7109375" style="1" customWidth="1"/>
    <col min="10" max="16384" width="9.140625" style="1"/>
  </cols>
  <sheetData>
    <row r="3" spans="2:17" ht="18" x14ac:dyDescent="0.35">
      <c r="B3" s="1" t="s">
        <v>10</v>
      </c>
      <c r="C3" s="1" t="s">
        <v>129</v>
      </c>
    </row>
    <row r="4" spans="2:17" x14ac:dyDescent="0.25">
      <c r="B4" s="1" t="s">
        <v>39</v>
      </c>
      <c r="C4" s="1">
        <v>1.4670000000000001</v>
      </c>
    </row>
    <row r="5" spans="2:17" x14ac:dyDescent="0.25">
      <c r="B5" s="1" t="s">
        <v>1</v>
      </c>
      <c r="C5" s="1" t="s">
        <v>0</v>
      </c>
      <c r="D5" s="6" t="s">
        <v>42</v>
      </c>
      <c r="E5" s="6"/>
      <c r="F5" s="6"/>
      <c r="G5" s="1" t="s">
        <v>43</v>
      </c>
      <c r="H5" s="1" t="s">
        <v>7</v>
      </c>
      <c r="I5" s="1" t="s">
        <v>44</v>
      </c>
      <c r="J5" s="6" t="s">
        <v>34</v>
      </c>
      <c r="K5" s="6"/>
      <c r="L5" s="6" t="s">
        <v>46</v>
      </c>
      <c r="M5" s="6"/>
      <c r="P5" s="1" t="s">
        <v>37</v>
      </c>
      <c r="Q5" s="1" t="s">
        <v>47</v>
      </c>
    </row>
    <row r="6" spans="2:17" x14ac:dyDescent="0.25">
      <c r="D6" s="1" t="s">
        <v>2</v>
      </c>
      <c r="E6" s="1" t="s">
        <v>41</v>
      </c>
      <c r="F6" s="1" t="s">
        <v>4</v>
      </c>
      <c r="G6" s="1" t="s">
        <v>6</v>
      </c>
      <c r="H6" s="1" t="s">
        <v>6</v>
      </c>
      <c r="J6" s="1" t="s">
        <v>35</v>
      </c>
      <c r="K6" s="1" t="s">
        <v>45</v>
      </c>
      <c r="L6" s="1" t="s">
        <v>35</v>
      </c>
      <c r="M6" s="1" t="s">
        <v>45</v>
      </c>
    </row>
    <row r="7" spans="2:17" x14ac:dyDescent="0.25">
      <c r="B7" s="1" t="s">
        <v>130</v>
      </c>
      <c r="C7" s="1">
        <v>2</v>
      </c>
      <c r="D7" s="1">
        <v>354</v>
      </c>
      <c r="E7" s="1">
        <v>22</v>
      </c>
      <c r="F7" s="1">
        <v>16</v>
      </c>
      <c r="G7" s="1">
        <v>53.612000000000002</v>
      </c>
      <c r="H7" s="1">
        <v>-0.76900000000000002</v>
      </c>
      <c r="I7" s="3">
        <f>293.221+1.467+H7-C7</f>
        <v>291.91899999999998</v>
      </c>
      <c r="J7" s="3">
        <f>G7*COS(Q7)</f>
        <v>-49.418523284352347</v>
      </c>
      <c r="K7" s="3">
        <f>G7*SIN(Q7)</f>
        <v>20.785959212745645</v>
      </c>
      <c r="L7" s="3">
        <f>868.111+J7</f>
        <v>818.69247671564767</v>
      </c>
      <c r="M7" s="3">
        <f>754.443+K7</f>
        <v>775.22895921274562</v>
      </c>
      <c r="P7" s="3">
        <f>D7+E7/60+F7/3600</f>
        <v>354.37111111111113</v>
      </c>
      <c r="Q7" s="3">
        <f>IF((342.832+P7-180)&gt;0, (342.832+P7-180)*3.1415/180, (342.832+P7+180)*3.1415/180)</f>
        <v>9.0266309641975333</v>
      </c>
    </row>
    <row r="8" spans="2:17" x14ac:dyDescent="0.25">
      <c r="B8" s="1">
        <v>121</v>
      </c>
      <c r="C8" s="3">
        <v>2</v>
      </c>
      <c r="D8" s="1">
        <v>0</v>
      </c>
      <c r="E8" s="1">
        <v>28</v>
      </c>
      <c r="F8" s="1">
        <v>54</v>
      </c>
      <c r="G8" s="1">
        <v>54.094999999999999</v>
      </c>
      <c r="H8" s="1">
        <v>-0.86099999999999999</v>
      </c>
      <c r="I8" s="3">
        <f t="shared" ref="I8:I35" si="0">293.221+1.467+H8-C8</f>
        <v>291.827</v>
      </c>
      <c r="J8" s="3">
        <f t="shared" ref="J8:J35" si="1">G8*COS(Q8)</f>
        <v>-51.815808345932631</v>
      </c>
      <c r="K8" s="3">
        <f t="shared" ref="K8:K35" si="2">G8*SIN(Q8)</f>
        <v>15.536763834775211</v>
      </c>
      <c r="L8" s="3">
        <f t="shared" ref="L8:L35" si="3">868.111+J8</f>
        <v>816.29519165406737</v>
      </c>
      <c r="M8" s="3">
        <f t="shared" ref="M8:M35" si="4">754.443+K8</f>
        <v>769.97976383477521</v>
      </c>
      <c r="P8" s="3">
        <f t="shared" ref="P8:P35" si="5">D8+E8/60+F8/3600</f>
        <v>0.48166666666666669</v>
      </c>
      <c r="Q8" s="3">
        <f t="shared" ref="Q8:Q35" si="6">IF((342.832+P8-180)&gt;0, (342.832+P8-180)*3.1415/180, (342.832+P8+180)*3.1415/180)</f>
        <v>2.8502771324074079</v>
      </c>
    </row>
    <row r="9" spans="2:17" x14ac:dyDescent="0.25">
      <c r="B9" s="1">
        <v>122</v>
      </c>
      <c r="C9" s="3">
        <v>2</v>
      </c>
      <c r="D9" s="1">
        <v>15</v>
      </c>
      <c r="E9" s="1">
        <v>54</v>
      </c>
      <c r="F9" s="1">
        <v>23</v>
      </c>
      <c r="G9" s="1">
        <v>35.645000000000003</v>
      </c>
      <c r="H9" s="1">
        <v>-0.62</v>
      </c>
      <c r="I9" s="3">
        <f t="shared" si="0"/>
        <v>292.06799999999998</v>
      </c>
      <c r="J9" s="3">
        <f t="shared" si="1"/>
        <v>-35.63628678598365</v>
      </c>
      <c r="K9" s="3">
        <f t="shared" si="2"/>
        <v>0.7880920676718064</v>
      </c>
      <c r="L9" s="3">
        <f t="shared" si="3"/>
        <v>832.47471321401633</v>
      </c>
      <c r="M9" s="3">
        <f t="shared" si="4"/>
        <v>755.23109206767174</v>
      </c>
      <c r="P9" s="3">
        <f t="shared" si="5"/>
        <v>15.906388888888889</v>
      </c>
      <c r="Q9" s="3">
        <f t="shared" si="6"/>
        <v>3.1194813816358029</v>
      </c>
    </row>
    <row r="10" spans="2:17" x14ac:dyDescent="0.25">
      <c r="B10" s="1">
        <v>123</v>
      </c>
      <c r="C10" s="3">
        <v>2</v>
      </c>
      <c r="D10" s="1">
        <v>214</v>
      </c>
      <c r="E10" s="1">
        <v>55</v>
      </c>
      <c r="F10" s="1">
        <v>2</v>
      </c>
      <c r="G10" s="1">
        <v>32.447000000000003</v>
      </c>
      <c r="H10" s="1">
        <v>-0.30599999999999999</v>
      </c>
      <c r="I10" s="3">
        <f t="shared" si="0"/>
        <v>292.38200000000001</v>
      </c>
      <c r="J10" s="3">
        <f t="shared" si="1"/>
        <v>30.904443544637068</v>
      </c>
      <c r="K10" s="3">
        <f t="shared" si="2"/>
        <v>9.8855034366662622</v>
      </c>
      <c r="L10" s="3">
        <f t="shared" si="3"/>
        <v>899.01544354463704</v>
      </c>
      <c r="M10" s="3">
        <f t="shared" si="4"/>
        <v>764.32850343666621</v>
      </c>
      <c r="P10" s="3">
        <f t="shared" si="5"/>
        <v>214.91722222222222</v>
      </c>
      <c r="Q10" s="3">
        <f t="shared" si="6"/>
        <v>6.5927732311728402</v>
      </c>
    </row>
    <row r="11" spans="2:17" x14ac:dyDescent="0.25">
      <c r="B11" s="1">
        <v>124</v>
      </c>
      <c r="C11" s="3">
        <v>2</v>
      </c>
      <c r="D11" s="1">
        <v>16</v>
      </c>
      <c r="E11" s="1">
        <v>46</v>
      </c>
      <c r="F11" s="1">
        <v>43</v>
      </c>
      <c r="G11" s="1">
        <v>18.632000000000001</v>
      </c>
      <c r="H11" s="1">
        <v>-0.19900000000000001</v>
      </c>
      <c r="I11" s="3">
        <f t="shared" si="0"/>
        <v>292.48899999999998</v>
      </c>
      <c r="J11" s="3">
        <f t="shared" si="1"/>
        <v>-18.631557935049386</v>
      </c>
      <c r="K11" s="3">
        <f t="shared" si="2"/>
        <v>0.12834684607860261</v>
      </c>
      <c r="L11" s="3">
        <f t="shared" si="3"/>
        <v>849.4794420649506</v>
      </c>
      <c r="M11" s="3">
        <f t="shared" si="4"/>
        <v>754.57134684607854</v>
      </c>
      <c r="P11" s="3">
        <f t="shared" si="5"/>
        <v>16.778611111111111</v>
      </c>
      <c r="Q11" s="3">
        <f t="shared" si="6"/>
        <v>3.1347040822530863</v>
      </c>
    </row>
    <row r="12" spans="2:17" x14ac:dyDescent="0.25">
      <c r="B12" s="1">
        <v>125</v>
      </c>
      <c r="C12" s="3">
        <v>2</v>
      </c>
      <c r="D12" s="1">
        <v>30</v>
      </c>
      <c r="E12" s="1">
        <v>6</v>
      </c>
      <c r="F12" s="1">
        <v>44</v>
      </c>
      <c r="G12" s="1">
        <v>15.52</v>
      </c>
      <c r="H12" s="1">
        <v>-1.2529999999999999</v>
      </c>
      <c r="I12" s="3">
        <f t="shared" si="0"/>
        <v>291.435</v>
      </c>
      <c r="J12" s="3">
        <f t="shared" si="1"/>
        <v>-15.125960183163791</v>
      </c>
      <c r="K12" s="3">
        <f t="shared" si="2"/>
        <v>-3.4750148974275819</v>
      </c>
      <c r="L12" s="3">
        <f t="shared" si="3"/>
        <v>852.98503981683621</v>
      </c>
      <c r="M12" s="3">
        <f t="shared" si="4"/>
        <v>750.96798510257236</v>
      </c>
      <c r="P12" s="3">
        <f t="shared" si="5"/>
        <v>30.112222222222222</v>
      </c>
      <c r="Q12" s="3">
        <f t="shared" si="6"/>
        <v>3.3674126339506176</v>
      </c>
    </row>
    <row r="13" spans="2:17" x14ac:dyDescent="0.25">
      <c r="B13" s="1">
        <v>126</v>
      </c>
      <c r="C13" s="3">
        <v>2</v>
      </c>
      <c r="D13" s="1">
        <v>40</v>
      </c>
      <c r="E13" s="1">
        <v>13</v>
      </c>
      <c r="F13" s="1">
        <v>24</v>
      </c>
      <c r="G13" s="1">
        <v>14.286</v>
      </c>
      <c r="H13" s="1">
        <v>-0.84</v>
      </c>
      <c r="I13" s="3">
        <f t="shared" si="0"/>
        <v>291.84800000000001</v>
      </c>
      <c r="J13" s="3">
        <f t="shared" si="1"/>
        <v>-13.145520100050444</v>
      </c>
      <c r="K13" s="3">
        <f t="shared" si="2"/>
        <v>-5.593308260695971</v>
      </c>
      <c r="L13" s="3">
        <f t="shared" si="3"/>
        <v>854.96547989994951</v>
      </c>
      <c r="M13" s="3">
        <f t="shared" si="4"/>
        <v>748.84969173930403</v>
      </c>
      <c r="P13" s="3">
        <f t="shared" si="5"/>
        <v>40.223333333333336</v>
      </c>
      <c r="Q13" s="3">
        <f t="shared" si="6"/>
        <v>3.5438796092592599</v>
      </c>
    </row>
    <row r="14" spans="2:17" x14ac:dyDescent="0.25">
      <c r="B14" s="1">
        <v>127</v>
      </c>
      <c r="C14" s="3">
        <v>2</v>
      </c>
      <c r="D14" s="1">
        <v>59</v>
      </c>
      <c r="E14" s="1">
        <v>29</v>
      </c>
      <c r="F14" s="1">
        <v>54</v>
      </c>
      <c r="G14" s="1">
        <v>13.6</v>
      </c>
      <c r="H14" s="1">
        <v>-8.5999999999999993E-2</v>
      </c>
      <c r="I14" s="3">
        <f t="shared" si="0"/>
        <v>292.60199999999998</v>
      </c>
      <c r="J14" s="3">
        <f t="shared" si="1"/>
        <v>-10.055183783431135</v>
      </c>
      <c r="K14" s="3">
        <f t="shared" si="2"/>
        <v>-9.1571436093043523</v>
      </c>
      <c r="L14" s="3">
        <f t="shared" si="3"/>
        <v>858.05581621656881</v>
      </c>
      <c r="M14" s="3">
        <f t="shared" si="4"/>
        <v>745.28585639069559</v>
      </c>
      <c r="P14" s="3">
        <f t="shared" si="5"/>
        <v>59.498333333333335</v>
      </c>
      <c r="Q14" s="3">
        <f t="shared" si="6"/>
        <v>3.8802819009259264</v>
      </c>
    </row>
    <row r="15" spans="2:17" x14ac:dyDescent="0.25">
      <c r="B15" s="1" t="s">
        <v>131</v>
      </c>
      <c r="C15" s="3">
        <v>2</v>
      </c>
      <c r="D15" s="1">
        <v>69</v>
      </c>
      <c r="E15" s="1">
        <v>37</v>
      </c>
      <c r="F15" s="1">
        <v>55</v>
      </c>
      <c r="G15" s="1">
        <v>16.861000000000001</v>
      </c>
      <c r="H15" s="1">
        <v>0.58399999999999996</v>
      </c>
      <c r="I15" s="3">
        <f t="shared" si="0"/>
        <v>293.27199999999999</v>
      </c>
      <c r="J15" s="3">
        <f t="shared" si="1"/>
        <v>-10.274342039179327</v>
      </c>
      <c r="K15" s="3">
        <f t="shared" si="2"/>
        <v>-13.369039481651342</v>
      </c>
      <c r="L15" s="3">
        <f t="shared" si="3"/>
        <v>857.83665796082062</v>
      </c>
      <c r="M15" s="3">
        <f t="shared" si="4"/>
        <v>741.0739605183486</v>
      </c>
      <c r="P15" s="3">
        <f t="shared" si="5"/>
        <v>69.631944444444443</v>
      </c>
      <c r="Q15" s="3">
        <f t="shared" si="6"/>
        <v>4.057141563734568</v>
      </c>
    </row>
    <row r="16" spans="2:17" x14ac:dyDescent="0.25">
      <c r="B16" s="1" t="s">
        <v>132</v>
      </c>
      <c r="C16" s="3">
        <v>2</v>
      </c>
      <c r="D16" s="1">
        <v>102</v>
      </c>
      <c r="E16" s="1">
        <v>1</v>
      </c>
      <c r="F16" s="1">
        <v>41</v>
      </c>
      <c r="G16" s="1">
        <v>23.675000000000001</v>
      </c>
      <c r="H16" s="1">
        <v>0.217</v>
      </c>
      <c r="I16" s="3">
        <f t="shared" si="0"/>
        <v>292.90499999999997</v>
      </c>
      <c r="J16" s="3">
        <f t="shared" si="1"/>
        <v>-2.1242266578593116</v>
      </c>
      <c r="K16" s="3">
        <f t="shared" si="2"/>
        <v>-23.579509878410107</v>
      </c>
      <c r="L16" s="3">
        <f t="shared" si="3"/>
        <v>865.98677334214062</v>
      </c>
      <c r="M16" s="3">
        <f t="shared" si="4"/>
        <v>730.86349012158985</v>
      </c>
      <c r="P16" s="3">
        <f t="shared" si="5"/>
        <v>102.02805555555555</v>
      </c>
      <c r="Q16" s="3">
        <f t="shared" si="6"/>
        <v>4.6225436918209883</v>
      </c>
    </row>
    <row r="17" spans="2:17" x14ac:dyDescent="0.25">
      <c r="B17" s="1" t="s">
        <v>133</v>
      </c>
      <c r="C17" s="3">
        <v>2</v>
      </c>
      <c r="D17" s="1">
        <v>92</v>
      </c>
      <c r="E17" s="1">
        <v>14</v>
      </c>
      <c r="F17" s="1">
        <v>20</v>
      </c>
      <c r="G17" s="1">
        <v>23.742999999999999</v>
      </c>
      <c r="H17" s="1">
        <v>-8.5000000000000006E-2</v>
      </c>
      <c r="I17" s="3">
        <f t="shared" si="0"/>
        <v>292.60300000000001</v>
      </c>
      <c r="J17" s="3">
        <f t="shared" si="1"/>
        <v>-6.1197730313159795</v>
      </c>
      <c r="K17" s="3">
        <f t="shared" si="2"/>
        <v>-22.940759077353512</v>
      </c>
      <c r="L17" s="3">
        <f t="shared" si="3"/>
        <v>861.99122696868403</v>
      </c>
      <c r="M17" s="3">
        <f t="shared" si="4"/>
        <v>731.50224092264648</v>
      </c>
      <c r="P17" s="3">
        <f t="shared" si="5"/>
        <v>92.238888888888894</v>
      </c>
      <c r="Q17" s="3">
        <f t="shared" si="6"/>
        <v>4.4516955413580241</v>
      </c>
    </row>
    <row r="18" spans="2:17" x14ac:dyDescent="0.25">
      <c r="B18" s="1">
        <v>2</v>
      </c>
      <c r="C18" s="3">
        <v>2</v>
      </c>
      <c r="D18" s="1">
        <v>92</v>
      </c>
      <c r="E18" s="1">
        <v>8</v>
      </c>
      <c r="F18" s="1">
        <v>42</v>
      </c>
      <c r="G18" s="1">
        <v>25.238</v>
      </c>
      <c r="H18" s="1">
        <v>6.3E-2</v>
      </c>
      <c r="I18" s="3">
        <f t="shared" si="0"/>
        <v>292.75099999999998</v>
      </c>
      <c r="J18" s="3">
        <f t="shared" si="1"/>
        <v>-6.5450596579876068</v>
      </c>
      <c r="K18" s="3">
        <f t="shared" si="2"/>
        <v>-24.374553084587689</v>
      </c>
      <c r="L18" s="3">
        <f t="shared" si="3"/>
        <v>861.56594034201237</v>
      </c>
      <c r="M18" s="3">
        <f t="shared" si="4"/>
        <v>730.06844691541232</v>
      </c>
      <c r="P18" s="3">
        <f t="shared" si="5"/>
        <v>92.14500000000001</v>
      </c>
      <c r="Q18" s="3">
        <f t="shared" si="6"/>
        <v>4.4500569194444441</v>
      </c>
    </row>
    <row r="19" spans="2:17" x14ac:dyDescent="0.25">
      <c r="B19" s="1">
        <v>3</v>
      </c>
      <c r="C19" s="3">
        <v>2</v>
      </c>
      <c r="D19" s="1">
        <v>92</v>
      </c>
      <c r="E19" s="1">
        <v>5</v>
      </c>
      <c r="F19" s="1">
        <v>48</v>
      </c>
      <c r="G19" s="1">
        <v>24.68</v>
      </c>
      <c r="H19" s="1">
        <v>-0.69299999999999995</v>
      </c>
      <c r="I19" s="3">
        <f t="shared" si="0"/>
        <v>291.995</v>
      </c>
      <c r="J19" s="3">
        <f t="shared" si="1"/>
        <v>-6.4204558471991575</v>
      </c>
      <c r="K19" s="3">
        <f t="shared" si="2"/>
        <v>-23.830235976887977</v>
      </c>
      <c r="L19" s="3">
        <f t="shared" si="3"/>
        <v>861.69054415280084</v>
      </c>
      <c r="M19" s="3">
        <f t="shared" si="4"/>
        <v>730.61276402311205</v>
      </c>
      <c r="P19" s="3">
        <f t="shared" si="5"/>
        <v>92.096666666666664</v>
      </c>
      <c r="Q19" s="3">
        <f t="shared" si="6"/>
        <v>4.4492133685185191</v>
      </c>
    </row>
    <row r="20" spans="2:17" x14ac:dyDescent="0.25">
      <c r="B20" s="1" t="s">
        <v>78</v>
      </c>
      <c r="C20" s="3">
        <v>2</v>
      </c>
      <c r="D20" s="1">
        <v>133</v>
      </c>
      <c r="E20" s="1">
        <v>4</v>
      </c>
      <c r="F20" s="1">
        <v>17</v>
      </c>
      <c r="G20" s="1">
        <v>7.7930000000000001</v>
      </c>
      <c r="H20" s="1">
        <v>0.94</v>
      </c>
      <c r="I20" s="3">
        <f t="shared" si="0"/>
        <v>293.62799999999999</v>
      </c>
      <c r="J20" s="3">
        <f t="shared" si="1"/>
        <v>3.4033431998925998</v>
      </c>
      <c r="K20" s="3">
        <f t="shared" si="2"/>
        <v>-7.010570880017176</v>
      </c>
      <c r="L20" s="3">
        <f t="shared" si="3"/>
        <v>871.51434319989255</v>
      </c>
      <c r="M20" s="3">
        <f t="shared" si="4"/>
        <v>747.43242911998277</v>
      </c>
      <c r="P20" s="3">
        <f t="shared" si="5"/>
        <v>133.07138888888889</v>
      </c>
      <c r="Q20" s="3">
        <f t="shared" si="6"/>
        <v>5.1643360899691366</v>
      </c>
    </row>
    <row r="21" spans="2:17" x14ac:dyDescent="0.25">
      <c r="B21" s="1" t="s">
        <v>134</v>
      </c>
      <c r="C21" s="3">
        <v>2</v>
      </c>
      <c r="D21" s="1">
        <v>358</v>
      </c>
      <c r="E21" s="1">
        <v>37</v>
      </c>
      <c r="F21" s="1">
        <v>34</v>
      </c>
      <c r="G21" s="1">
        <v>1.5029999999999999</v>
      </c>
      <c r="H21" s="1">
        <v>0.215</v>
      </c>
      <c r="I21" s="3">
        <f t="shared" si="0"/>
        <v>292.90299999999996</v>
      </c>
      <c r="J21" s="3">
        <f t="shared" si="1"/>
        <v>-1.4248530640392654</v>
      </c>
      <c r="K21" s="3">
        <f t="shared" si="2"/>
        <v>0.4783333000094358</v>
      </c>
      <c r="L21" s="3">
        <f t="shared" si="3"/>
        <v>866.68614693596078</v>
      </c>
      <c r="M21" s="3">
        <f t="shared" si="4"/>
        <v>754.92133330000945</v>
      </c>
      <c r="P21" s="3">
        <f t="shared" si="5"/>
        <v>358.62611111111113</v>
      </c>
      <c r="Q21" s="3">
        <f t="shared" si="6"/>
        <v>9.100892533641975</v>
      </c>
    </row>
    <row r="22" spans="2:17" x14ac:dyDescent="0.25">
      <c r="B22" s="1">
        <v>4</v>
      </c>
      <c r="C22" s="3">
        <v>2</v>
      </c>
      <c r="D22" s="1">
        <v>283</v>
      </c>
      <c r="E22" s="1">
        <v>14</v>
      </c>
      <c r="F22" s="1">
        <v>4</v>
      </c>
      <c r="G22" s="1">
        <v>1.2509999999999999</v>
      </c>
      <c r="H22" s="1">
        <v>0.151</v>
      </c>
      <c r="I22" s="3">
        <f t="shared" si="0"/>
        <v>292.839</v>
      </c>
      <c r="J22" s="3">
        <f t="shared" si="1"/>
        <v>8.6104633871335323E-2</v>
      </c>
      <c r="K22" s="3">
        <f t="shared" si="2"/>
        <v>1.2480332495674478</v>
      </c>
      <c r="L22" s="3">
        <f t="shared" si="3"/>
        <v>868.19710463387128</v>
      </c>
      <c r="M22" s="3">
        <f t="shared" si="4"/>
        <v>755.69103324956745</v>
      </c>
      <c r="P22" s="3">
        <f t="shared" si="5"/>
        <v>283.23444444444448</v>
      </c>
      <c r="Q22" s="3">
        <f t="shared" si="6"/>
        <v>7.7850985290123456</v>
      </c>
    </row>
    <row r="23" spans="2:17" x14ac:dyDescent="0.25">
      <c r="B23" s="1" t="s">
        <v>135</v>
      </c>
      <c r="C23" s="3">
        <v>2</v>
      </c>
      <c r="D23" s="1">
        <v>204</v>
      </c>
      <c r="E23" s="1">
        <v>9</v>
      </c>
      <c r="F23" s="1">
        <v>0</v>
      </c>
      <c r="G23" s="1">
        <v>8.9499999999999993</v>
      </c>
      <c r="H23" s="1">
        <v>5.5E-2</v>
      </c>
      <c r="I23" s="3">
        <f t="shared" si="0"/>
        <v>292.74299999999999</v>
      </c>
      <c r="J23" s="3">
        <f t="shared" si="1"/>
        <v>8.8838356364772011</v>
      </c>
      <c r="K23" s="3">
        <f t="shared" si="2"/>
        <v>1.086261655430083</v>
      </c>
      <c r="L23" s="3">
        <f t="shared" si="3"/>
        <v>876.99483563647721</v>
      </c>
      <c r="M23" s="3">
        <f t="shared" si="4"/>
        <v>755.5292616554301</v>
      </c>
      <c r="P23" s="3">
        <f t="shared" si="5"/>
        <v>204.15</v>
      </c>
      <c r="Q23" s="3">
        <f t="shared" si="6"/>
        <v>6.4048552944444443</v>
      </c>
    </row>
    <row r="24" spans="2:17" x14ac:dyDescent="0.25">
      <c r="B24" s="1">
        <v>129</v>
      </c>
      <c r="C24" s="3">
        <v>2</v>
      </c>
      <c r="D24" s="1">
        <v>226</v>
      </c>
      <c r="E24" s="1">
        <v>55</v>
      </c>
      <c r="F24" s="1">
        <v>48</v>
      </c>
      <c r="G24" s="1">
        <v>13.473000000000001</v>
      </c>
      <c r="H24" s="1">
        <v>-0.39600000000000002</v>
      </c>
      <c r="I24" s="3">
        <f t="shared" si="0"/>
        <v>292.29199999999997</v>
      </c>
      <c r="J24" s="3">
        <f t="shared" si="1"/>
        <v>11.697183710472462</v>
      </c>
      <c r="K24" s="3">
        <f t="shared" si="2"/>
        <v>6.6856280365764951</v>
      </c>
      <c r="L24" s="3">
        <f t="shared" si="3"/>
        <v>879.80818371047246</v>
      </c>
      <c r="M24" s="3">
        <f t="shared" si="4"/>
        <v>761.12862803657652</v>
      </c>
      <c r="P24" s="3">
        <f t="shared" si="5"/>
        <v>226.92999999999998</v>
      </c>
      <c r="Q24" s="3">
        <f t="shared" si="6"/>
        <v>6.8024295722222217</v>
      </c>
    </row>
    <row r="25" spans="2:17" x14ac:dyDescent="0.25">
      <c r="B25" s="1">
        <v>130</v>
      </c>
      <c r="C25" s="3">
        <v>2</v>
      </c>
      <c r="D25" s="1">
        <v>233</v>
      </c>
      <c r="E25" s="1">
        <v>8</v>
      </c>
      <c r="F25" s="1">
        <v>29</v>
      </c>
      <c r="G25" s="1">
        <v>14.253</v>
      </c>
      <c r="H25" s="1">
        <v>-0.126</v>
      </c>
      <c r="I25" s="3">
        <f t="shared" si="0"/>
        <v>292.56200000000001</v>
      </c>
      <c r="J25" s="3">
        <f t="shared" si="1"/>
        <v>11.53651526112178</v>
      </c>
      <c r="K25" s="3">
        <f t="shared" si="2"/>
        <v>8.3699954976035844</v>
      </c>
      <c r="L25" s="3">
        <f t="shared" si="3"/>
        <v>879.64751526112173</v>
      </c>
      <c r="M25" s="3">
        <f t="shared" si="4"/>
        <v>762.81299549760354</v>
      </c>
      <c r="P25" s="3">
        <f t="shared" si="5"/>
        <v>233.14138888888888</v>
      </c>
      <c r="Q25" s="3">
        <f t="shared" si="6"/>
        <v>6.9108355621913571</v>
      </c>
    </row>
    <row r="26" spans="2:17" x14ac:dyDescent="0.25">
      <c r="B26" s="1">
        <v>131</v>
      </c>
      <c r="C26" s="3">
        <v>2</v>
      </c>
      <c r="D26" s="1">
        <v>235</v>
      </c>
      <c r="E26" s="1">
        <v>10</v>
      </c>
      <c r="F26" s="1">
        <v>56</v>
      </c>
      <c r="G26" s="1">
        <v>16.614000000000001</v>
      </c>
      <c r="H26" s="1">
        <v>0.35199999999999998</v>
      </c>
      <c r="I26" s="3">
        <f t="shared" si="0"/>
        <v>293.03999999999996</v>
      </c>
      <c r="J26" s="3">
        <f t="shared" si="1"/>
        <v>13.091567239323316</v>
      </c>
      <c r="K26" s="3">
        <f t="shared" si="2"/>
        <v>10.229167278829522</v>
      </c>
      <c r="L26" s="3">
        <f t="shared" si="3"/>
        <v>881.20256723932334</v>
      </c>
      <c r="M26" s="3">
        <f t="shared" si="4"/>
        <v>764.67216727882953</v>
      </c>
      <c r="P26" s="3">
        <f t="shared" si="5"/>
        <v>235.18222222222221</v>
      </c>
      <c r="Q26" s="3">
        <f t="shared" si="6"/>
        <v>6.9464537728395053</v>
      </c>
    </row>
    <row r="27" spans="2:17" x14ac:dyDescent="0.25">
      <c r="B27" s="1" t="s">
        <v>85</v>
      </c>
      <c r="C27" s="3">
        <v>2</v>
      </c>
      <c r="D27" s="1">
        <v>243</v>
      </c>
      <c r="E27" s="1">
        <v>28</v>
      </c>
      <c r="F27" s="1">
        <v>18</v>
      </c>
      <c r="G27" s="1">
        <v>18.402999999999999</v>
      </c>
      <c r="H27" s="1">
        <v>0.47799999999999998</v>
      </c>
      <c r="I27" s="3">
        <f t="shared" si="0"/>
        <v>293.166</v>
      </c>
      <c r="J27" s="3">
        <f t="shared" si="1"/>
        <v>12.716240013414723</v>
      </c>
      <c r="K27" s="3">
        <f t="shared" si="2"/>
        <v>13.302918812096477</v>
      </c>
      <c r="L27" s="3">
        <f t="shared" si="3"/>
        <v>880.82724001341467</v>
      </c>
      <c r="M27" s="3">
        <f t="shared" si="4"/>
        <v>767.74591881209642</v>
      </c>
      <c r="P27" s="3">
        <f t="shared" si="5"/>
        <v>243.47166666666666</v>
      </c>
      <c r="Q27" s="3">
        <f t="shared" si="6"/>
        <v>7.0911276046296301</v>
      </c>
    </row>
    <row r="28" spans="2:17" x14ac:dyDescent="0.25">
      <c r="B28" s="1">
        <v>132</v>
      </c>
      <c r="C28" s="3">
        <v>2</v>
      </c>
      <c r="D28" s="1">
        <v>254</v>
      </c>
      <c r="E28" s="1">
        <v>19</v>
      </c>
      <c r="F28" s="1">
        <v>18</v>
      </c>
      <c r="G28" s="1">
        <v>18.510999999999999</v>
      </c>
      <c r="H28" s="1">
        <v>0.54400000000000004</v>
      </c>
      <c r="I28" s="3">
        <f t="shared" si="0"/>
        <v>293.23199999999997</v>
      </c>
      <c r="J28" s="3">
        <f t="shared" si="1"/>
        <v>10.043479187356484</v>
      </c>
      <c r="K28" s="3">
        <f t="shared" si="2"/>
        <v>15.549458087442698</v>
      </c>
      <c r="L28" s="3">
        <f t="shared" si="3"/>
        <v>878.15447918735651</v>
      </c>
      <c r="M28" s="3">
        <f t="shared" si="4"/>
        <v>769.99245808744263</v>
      </c>
      <c r="P28" s="3">
        <f t="shared" si="5"/>
        <v>254.32166666666666</v>
      </c>
      <c r="Q28" s="3">
        <f t="shared" si="6"/>
        <v>7.2804902435185177</v>
      </c>
    </row>
    <row r="29" spans="2:17" x14ac:dyDescent="0.25">
      <c r="B29" s="1">
        <v>133</v>
      </c>
      <c r="C29" s="3">
        <v>2</v>
      </c>
      <c r="D29" s="1">
        <v>279</v>
      </c>
      <c r="E29" s="1">
        <v>37</v>
      </c>
      <c r="F29" s="1">
        <v>4</v>
      </c>
      <c r="G29" s="1">
        <v>15.962</v>
      </c>
      <c r="H29" s="1">
        <v>0.41199999999999998</v>
      </c>
      <c r="I29" s="3">
        <f t="shared" si="0"/>
        <v>293.09999999999997</v>
      </c>
      <c r="J29" s="3">
        <f t="shared" si="1"/>
        <v>2.1009336955885374</v>
      </c>
      <c r="K29" s="3">
        <f t="shared" si="2"/>
        <v>15.823132484016581</v>
      </c>
      <c r="L29" s="3">
        <f t="shared" si="3"/>
        <v>870.21193369558853</v>
      </c>
      <c r="M29" s="3">
        <f t="shared" si="4"/>
        <v>770.26613248401657</v>
      </c>
      <c r="P29" s="3">
        <f t="shared" si="5"/>
        <v>279.6177777777778</v>
      </c>
      <c r="Q29" s="3">
        <f t="shared" si="6"/>
        <v>7.7219776493827172</v>
      </c>
    </row>
    <row r="30" spans="2:17" x14ac:dyDescent="0.25">
      <c r="B30" s="1">
        <v>134</v>
      </c>
      <c r="C30" s="3">
        <v>2</v>
      </c>
      <c r="D30" s="1">
        <v>285</v>
      </c>
      <c r="E30" s="1">
        <v>52</v>
      </c>
      <c r="F30" s="1">
        <v>47</v>
      </c>
      <c r="G30" s="1">
        <v>6.8440000000000003</v>
      </c>
      <c r="H30" s="1">
        <v>0.2</v>
      </c>
      <c r="I30" s="3">
        <f t="shared" si="0"/>
        <v>292.88799999999998</v>
      </c>
      <c r="J30" s="3">
        <f t="shared" si="1"/>
        <v>0.15545260554225054</v>
      </c>
      <c r="K30" s="3">
        <f t="shared" si="2"/>
        <v>6.8422343198278535</v>
      </c>
      <c r="L30" s="3">
        <f t="shared" si="3"/>
        <v>868.26645260554221</v>
      </c>
      <c r="M30" s="3">
        <f t="shared" si="4"/>
        <v>761.28523431982785</v>
      </c>
      <c r="P30" s="3">
        <f t="shared" si="5"/>
        <v>285.87972222222226</v>
      </c>
      <c r="Q30" s="3">
        <f t="shared" si="6"/>
        <v>7.8312659742283968</v>
      </c>
    </row>
    <row r="31" spans="2:17" x14ac:dyDescent="0.25">
      <c r="B31" s="1">
        <v>135</v>
      </c>
      <c r="C31" s="3">
        <v>2</v>
      </c>
      <c r="D31" s="1">
        <v>280</v>
      </c>
      <c r="E31" s="1">
        <v>55</v>
      </c>
      <c r="F31" s="1">
        <v>18</v>
      </c>
      <c r="G31" s="1">
        <v>4.8239999999999998</v>
      </c>
      <c r="H31" s="1">
        <v>-0.91100000000000003</v>
      </c>
      <c r="I31" s="3">
        <f t="shared" si="0"/>
        <v>291.77699999999999</v>
      </c>
      <c r="J31" s="3">
        <f t="shared" si="1"/>
        <v>0.52596226088429554</v>
      </c>
      <c r="K31" s="3">
        <f t="shared" si="2"/>
        <v>4.7952413599448231</v>
      </c>
      <c r="L31" s="3">
        <f t="shared" si="3"/>
        <v>868.63696226088427</v>
      </c>
      <c r="M31" s="3">
        <f t="shared" si="4"/>
        <v>759.23824135994482</v>
      </c>
      <c r="P31" s="3">
        <f t="shared" si="5"/>
        <v>280.92166666666668</v>
      </c>
      <c r="Q31" s="3">
        <f t="shared" si="6"/>
        <v>7.7447341324074097</v>
      </c>
    </row>
    <row r="32" spans="2:17" x14ac:dyDescent="0.25">
      <c r="B32" s="1">
        <v>136</v>
      </c>
      <c r="C32" s="3">
        <v>2</v>
      </c>
      <c r="D32" s="1">
        <v>139</v>
      </c>
      <c r="E32" s="1">
        <v>27</v>
      </c>
      <c r="F32" s="1">
        <v>41</v>
      </c>
      <c r="G32" s="1">
        <v>8.1020000000000003</v>
      </c>
      <c r="H32" s="1">
        <v>0.22800000000000001</v>
      </c>
      <c r="I32" s="3">
        <f t="shared" si="0"/>
        <v>292.916</v>
      </c>
      <c r="J32" s="3">
        <f t="shared" si="1"/>
        <v>4.3274667600698082</v>
      </c>
      <c r="K32" s="3">
        <f t="shared" si="2"/>
        <v>-6.8494843193112667</v>
      </c>
      <c r="L32" s="3">
        <f t="shared" si="3"/>
        <v>872.43846676006979</v>
      </c>
      <c r="M32" s="3">
        <f t="shared" si="4"/>
        <v>747.59351568068871</v>
      </c>
      <c r="P32" s="3">
        <f t="shared" si="5"/>
        <v>139.46138888888888</v>
      </c>
      <c r="Q32" s="3">
        <f t="shared" si="6"/>
        <v>5.275859339969136</v>
      </c>
    </row>
    <row r="33" spans="2:17" x14ac:dyDescent="0.25">
      <c r="B33" s="1">
        <v>137</v>
      </c>
      <c r="C33" s="3">
        <v>2</v>
      </c>
      <c r="D33" s="1">
        <v>343</v>
      </c>
      <c r="E33" s="1">
        <v>46</v>
      </c>
      <c r="F33" s="1">
        <v>0</v>
      </c>
      <c r="G33" s="1">
        <v>8.8889999999999993</v>
      </c>
      <c r="H33" s="1">
        <v>0.182</v>
      </c>
      <c r="I33" s="3">
        <f t="shared" si="0"/>
        <v>292.87</v>
      </c>
      <c r="J33" s="3">
        <f t="shared" si="1"/>
        <v>-7.4195724921766857</v>
      </c>
      <c r="K33" s="3">
        <f t="shared" si="2"/>
        <v>4.8953309421667326</v>
      </c>
      <c r="L33" s="3">
        <f t="shared" si="3"/>
        <v>860.69142750782328</v>
      </c>
      <c r="M33" s="3">
        <f t="shared" si="4"/>
        <v>759.33833094216675</v>
      </c>
      <c r="P33" s="3">
        <f t="shared" si="5"/>
        <v>343.76666666666665</v>
      </c>
      <c r="Q33" s="3">
        <f t="shared" si="6"/>
        <v>8.8415539518518518</v>
      </c>
    </row>
    <row r="34" spans="2:17" x14ac:dyDescent="0.25">
      <c r="B34" s="1">
        <v>138</v>
      </c>
      <c r="C34" s="3">
        <v>2</v>
      </c>
      <c r="D34" s="1">
        <v>350</v>
      </c>
      <c r="E34" s="1">
        <v>54</v>
      </c>
      <c r="F34" s="1">
        <v>24</v>
      </c>
      <c r="G34" s="1">
        <v>6.2530000000000001</v>
      </c>
      <c r="H34" s="1">
        <v>-0.96399999999999997</v>
      </c>
      <c r="I34" s="3">
        <f t="shared" si="0"/>
        <v>291.72399999999999</v>
      </c>
      <c r="J34" s="3">
        <f t="shared" si="1"/>
        <v>-5.6068662491588324</v>
      </c>
      <c r="K34" s="3">
        <f t="shared" si="2"/>
        <v>2.7682232323357829</v>
      </c>
      <c r="L34" s="3">
        <f t="shared" si="3"/>
        <v>862.50413375084111</v>
      </c>
      <c r="M34" s="3">
        <f t="shared" si="4"/>
        <v>757.21122323233578</v>
      </c>
      <c r="P34" s="3">
        <f t="shared" si="5"/>
        <v>350.90666666666664</v>
      </c>
      <c r="Q34" s="3">
        <f t="shared" si="6"/>
        <v>8.9661667851851856</v>
      </c>
    </row>
    <row r="35" spans="2:17" x14ac:dyDescent="0.25">
      <c r="B35" s="1">
        <v>139</v>
      </c>
      <c r="C35" s="1">
        <v>2</v>
      </c>
      <c r="D35" s="1">
        <v>24</v>
      </c>
      <c r="E35" s="1">
        <v>37</v>
      </c>
      <c r="F35" s="1">
        <v>20</v>
      </c>
      <c r="G35" s="1">
        <v>3.9249999999999998</v>
      </c>
      <c r="H35" s="1">
        <v>-7.0000000000000001E-3</v>
      </c>
      <c r="I35" s="3">
        <f t="shared" si="0"/>
        <v>292.68099999999998</v>
      </c>
      <c r="J35" s="3">
        <f t="shared" si="1"/>
        <v>-3.8918782803288647</v>
      </c>
      <c r="K35" s="3">
        <f>G35*SIN(Q35)</f>
        <v>-0.50883047383626445</v>
      </c>
      <c r="L35" s="3">
        <f t="shared" si="3"/>
        <v>864.21912171967108</v>
      </c>
      <c r="M35" s="3">
        <f t="shared" si="4"/>
        <v>753.93416952616371</v>
      </c>
      <c r="P35" s="3">
        <f t="shared" si="5"/>
        <v>24.622222222222224</v>
      </c>
      <c r="Q35" s="3">
        <f t="shared" si="6"/>
        <v>3.2715968839506173</v>
      </c>
    </row>
  </sheetData>
  <mergeCells count="3">
    <mergeCell ref="D5:F5"/>
    <mergeCell ref="J5:K5"/>
    <mergeCell ref="L5:M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71474-C49D-4C18-8B46-90CDDC4AD1C6}">
  <dimension ref="B3:Q34"/>
  <sheetViews>
    <sheetView workbookViewId="0">
      <selection activeCell="Q7" sqref="Q7"/>
    </sheetView>
  </sheetViews>
  <sheetFormatPr defaultColWidth="9.140625" defaultRowHeight="15" x14ac:dyDescent="0.25"/>
  <cols>
    <col min="1" max="1" width="9.140625" style="1"/>
    <col min="2" max="2" width="11.28515625" style="1" customWidth="1"/>
    <col min="3" max="3" width="14.28515625" style="1" customWidth="1"/>
    <col min="4" max="8" width="9.140625" style="1"/>
    <col min="9" max="9" width="15.7109375" style="1" customWidth="1"/>
    <col min="10" max="16384" width="9.140625" style="1"/>
  </cols>
  <sheetData>
    <row r="3" spans="2:17" x14ac:dyDescent="0.25">
      <c r="B3" s="1" t="s">
        <v>10</v>
      </c>
      <c r="C3" s="1" t="s">
        <v>171</v>
      </c>
    </row>
    <row r="4" spans="2:17" x14ac:dyDescent="0.25">
      <c r="B4" s="1" t="s">
        <v>39</v>
      </c>
      <c r="C4" s="1">
        <v>1.5960000000000001</v>
      </c>
    </row>
    <row r="5" spans="2:17" x14ac:dyDescent="0.25">
      <c r="B5" s="1" t="s">
        <v>1</v>
      </c>
      <c r="C5" s="1" t="s">
        <v>0</v>
      </c>
      <c r="D5" s="6" t="s">
        <v>42</v>
      </c>
      <c r="E5" s="6"/>
      <c r="F5" s="6"/>
      <c r="G5" s="1" t="s">
        <v>43</v>
      </c>
      <c r="H5" s="1" t="s">
        <v>7</v>
      </c>
      <c r="I5" s="1" t="s">
        <v>44</v>
      </c>
      <c r="J5" s="6" t="s">
        <v>34</v>
      </c>
      <c r="K5" s="6"/>
      <c r="L5" s="6" t="s">
        <v>46</v>
      </c>
      <c r="M5" s="6"/>
      <c r="P5" s="1" t="s">
        <v>37</v>
      </c>
      <c r="Q5" s="1" t="s">
        <v>47</v>
      </c>
    </row>
    <row r="6" spans="2:17" x14ac:dyDescent="0.25">
      <c r="D6" s="1" t="s">
        <v>2</v>
      </c>
      <c r="E6" s="1" t="s">
        <v>41</v>
      </c>
      <c r="F6" s="1" t="s">
        <v>4</v>
      </c>
      <c r="G6" s="1" t="s">
        <v>6</v>
      </c>
      <c r="H6" s="1" t="s">
        <v>6</v>
      </c>
      <c r="J6" s="1" t="s">
        <v>35</v>
      </c>
      <c r="K6" s="1" t="s">
        <v>45</v>
      </c>
      <c r="L6" s="1" t="s">
        <v>35</v>
      </c>
      <c r="M6" s="1" t="s">
        <v>45</v>
      </c>
    </row>
    <row r="7" spans="2:17" x14ac:dyDescent="0.25">
      <c r="B7" s="1" t="s">
        <v>172</v>
      </c>
      <c r="C7" s="1">
        <v>2</v>
      </c>
      <c r="D7" s="1">
        <v>1</v>
      </c>
      <c r="E7" s="1">
        <v>6</v>
      </c>
      <c r="F7" s="1">
        <v>35</v>
      </c>
      <c r="G7" s="1">
        <v>44.12</v>
      </c>
      <c r="H7" s="1">
        <v>0.32</v>
      </c>
      <c r="I7" s="3">
        <f>304.129+1.596+H7-C7</f>
        <v>304.04500000000002</v>
      </c>
      <c r="J7" s="3">
        <f>G7*COS(Q7)</f>
        <v>-42.536884421818606</v>
      </c>
      <c r="K7" s="3">
        <f>G7*SIN(Q7)</f>
        <v>11.712722300338456</v>
      </c>
      <c r="L7" s="3">
        <f>1165.471+J7</f>
        <v>1122.9341155781815</v>
      </c>
      <c r="M7" s="3">
        <f>1038.866+K7</f>
        <v>1050.5787223003385</v>
      </c>
      <c r="P7" s="3">
        <f>D7+E7/60+F7/3600</f>
        <v>1.1097222222222223</v>
      </c>
      <c r="Q7" s="3">
        <f>IF((343.5+P7-180)&gt;0, (343.5+P7-180)*3.1415/180, (343.5+P7+180)*3.1415/180)</f>
        <v>2.8728969020061728</v>
      </c>
    </row>
    <row r="8" spans="2:17" x14ac:dyDescent="0.25">
      <c r="B8" s="1">
        <v>181</v>
      </c>
      <c r="C8" s="3">
        <v>2</v>
      </c>
      <c r="D8" s="1">
        <v>353</v>
      </c>
      <c r="E8" s="1">
        <v>18</v>
      </c>
      <c r="F8" s="1">
        <v>47</v>
      </c>
      <c r="G8" s="1">
        <v>36.098999999999997</v>
      </c>
      <c r="H8" s="1">
        <v>0.46</v>
      </c>
      <c r="I8" s="3">
        <f t="shared" ref="I8:I28" si="0">304.129+1.596+H8-C8</f>
        <v>304.185</v>
      </c>
      <c r="J8" s="3">
        <f t="shared" ref="J8:J28" si="1">G8*COS(Q8)</f>
        <v>-33.179323874476225</v>
      </c>
      <c r="K8" s="3">
        <f t="shared" ref="K8:K28" si="2">G8*SIN(Q8)</f>
        <v>14.222175228586226</v>
      </c>
      <c r="L8" s="3">
        <f t="shared" ref="L8:L28" si="3">1165.471+J8</f>
        <v>1132.2916761255237</v>
      </c>
      <c r="M8" s="3">
        <f t="shared" ref="M8:M28" si="4">1038.866+K8</f>
        <v>1053.0881752285861</v>
      </c>
      <c r="P8" s="3">
        <f t="shared" ref="P8:P28" si="5">D8+E8/60+F8/3600</f>
        <v>353.31305555555559</v>
      </c>
      <c r="Q8" s="3">
        <f t="shared" ref="Q8:Q28" si="6">IF((343.5+P8-180)&gt;0, (343.5+P8-180)*3.1415/180, (343.5+P8+180)*3.1415/180)</f>
        <v>9.019823411265433</v>
      </c>
    </row>
    <row r="9" spans="2:17" x14ac:dyDescent="0.25">
      <c r="B9" s="1" t="s">
        <v>173</v>
      </c>
      <c r="C9" s="3">
        <v>2</v>
      </c>
      <c r="D9" s="1">
        <v>355</v>
      </c>
      <c r="E9" s="1">
        <v>15</v>
      </c>
      <c r="F9" s="1">
        <v>55</v>
      </c>
      <c r="G9" s="1">
        <v>26.512</v>
      </c>
      <c r="H9" s="1">
        <v>0.66500000000000004</v>
      </c>
      <c r="I9" s="3">
        <f t="shared" si="0"/>
        <v>304.39000000000004</v>
      </c>
      <c r="J9" s="3">
        <f t="shared" si="1"/>
        <v>-24.709388951751031</v>
      </c>
      <c r="K9" s="3">
        <f t="shared" si="2"/>
        <v>9.6089667306679782</v>
      </c>
      <c r="L9" s="3">
        <f t="shared" si="3"/>
        <v>1140.7616110482491</v>
      </c>
      <c r="M9" s="3">
        <f t="shared" si="4"/>
        <v>1048.474966730668</v>
      </c>
      <c r="P9" s="3">
        <f t="shared" si="5"/>
        <v>355.26527777777778</v>
      </c>
      <c r="Q9" s="3">
        <f t="shared" si="6"/>
        <v>9.0538951118827171</v>
      </c>
    </row>
    <row r="10" spans="2:17" x14ac:dyDescent="0.25">
      <c r="B10" s="1" t="s">
        <v>174</v>
      </c>
      <c r="C10" s="3">
        <v>2</v>
      </c>
      <c r="D10" s="1">
        <v>339</v>
      </c>
      <c r="E10" s="1">
        <v>31</v>
      </c>
      <c r="F10" s="1">
        <v>18</v>
      </c>
      <c r="G10" s="1">
        <v>20.925999999999998</v>
      </c>
      <c r="H10" s="1">
        <v>0.997</v>
      </c>
      <c r="I10" s="3">
        <f t="shared" si="0"/>
        <v>304.72200000000004</v>
      </c>
      <c r="J10" s="3">
        <f t="shared" si="1"/>
        <v>-16.713748074592388</v>
      </c>
      <c r="K10" s="3">
        <f t="shared" si="2"/>
        <v>12.591588513728485</v>
      </c>
      <c r="L10" s="3">
        <f t="shared" si="3"/>
        <v>1148.7572519254077</v>
      </c>
      <c r="M10" s="3">
        <f t="shared" si="4"/>
        <v>1051.4575885137285</v>
      </c>
      <c r="P10" s="3">
        <f t="shared" si="5"/>
        <v>339.52166666666665</v>
      </c>
      <c r="Q10" s="3">
        <f t="shared" si="6"/>
        <v>8.7791253657407413</v>
      </c>
    </row>
    <row r="11" spans="2:17" x14ac:dyDescent="0.25">
      <c r="B11" s="1" t="s">
        <v>175</v>
      </c>
      <c r="C11" s="3">
        <v>2</v>
      </c>
      <c r="D11" s="1">
        <v>325</v>
      </c>
      <c r="E11" s="1">
        <v>14</v>
      </c>
      <c r="F11" s="1">
        <v>52</v>
      </c>
      <c r="G11" s="1">
        <v>29.492000000000001</v>
      </c>
      <c r="H11" s="1">
        <v>1.262</v>
      </c>
      <c r="I11" s="3">
        <f t="shared" si="0"/>
        <v>304.98700000000002</v>
      </c>
      <c r="J11" s="3">
        <f t="shared" si="1"/>
        <v>-18.453055784781665</v>
      </c>
      <c r="K11" s="3">
        <f t="shared" si="2"/>
        <v>23.005712251606905</v>
      </c>
      <c r="L11" s="3">
        <f t="shared" si="3"/>
        <v>1147.0179442152184</v>
      </c>
      <c r="M11" s="3">
        <f t="shared" si="4"/>
        <v>1061.8717122516068</v>
      </c>
      <c r="P11" s="3">
        <f t="shared" si="5"/>
        <v>325.2477777777778</v>
      </c>
      <c r="Q11" s="3">
        <f t="shared" si="6"/>
        <v>8.5300063549382728</v>
      </c>
    </row>
    <row r="12" spans="2:17" x14ac:dyDescent="0.25">
      <c r="B12" s="1">
        <v>53</v>
      </c>
      <c r="C12" s="3">
        <v>2</v>
      </c>
      <c r="D12" s="1">
        <v>279</v>
      </c>
      <c r="E12" s="1">
        <v>12</v>
      </c>
      <c r="F12" s="1">
        <v>49</v>
      </c>
      <c r="G12" s="1">
        <v>15.455</v>
      </c>
      <c r="H12" s="1">
        <v>0.88900000000000001</v>
      </c>
      <c r="I12" s="3">
        <f t="shared" si="0"/>
        <v>304.61400000000003</v>
      </c>
      <c r="J12" s="3">
        <f t="shared" si="1"/>
        <v>1.9636352054924344</v>
      </c>
      <c r="K12" s="3">
        <f t="shared" si="2"/>
        <v>15.329747609786363</v>
      </c>
      <c r="L12" s="3">
        <f t="shared" si="3"/>
        <v>1167.4346352054924</v>
      </c>
      <c r="M12" s="3">
        <f t="shared" si="4"/>
        <v>1054.1957476097864</v>
      </c>
      <c r="P12" s="3">
        <f t="shared" si="5"/>
        <v>279.21361111111111</v>
      </c>
      <c r="Q12" s="3">
        <f t="shared" si="6"/>
        <v>7.7265822739197523</v>
      </c>
    </row>
    <row r="13" spans="2:17" x14ac:dyDescent="0.25">
      <c r="B13" s="1">
        <v>54</v>
      </c>
      <c r="C13" s="3">
        <v>2</v>
      </c>
      <c r="D13" s="1">
        <v>280</v>
      </c>
      <c r="E13" s="1">
        <v>57</v>
      </c>
      <c r="F13" s="1">
        <v>22</v>
      </c>
      <c r="G13" s="1">
        <v>19.378</v>
      </c>
      <c r="H13" s="1">
        <v>0.874</v>
      </c>
      <c r="I13" s="3">
        <f t="shared" si="0"/>
        <v>304.59900000000005</v>
      </c>
      <c r="J13" s="3">
        <f t="shared" si="1"/>
        <v>1.8764862843794565</v>
      </c>
      <c r="K13" s="3">
        <f t="shared" si="2"/>
        <v>19.286930373300354</v>
      </c>
      <c r="L13" s="3">
        <f t="shared" si="3"/>
        <v>1167.3474862843796</v>
      </c>
      <c r="M13" s="3">
        <f t="shared" si="4"/>
        <v>1058.1529303733003</v>
      </c>
      <c r="P13" s="3">
        <f t="shared" si="5"/>
        <v>280.95611111111111</v>
      </c>
      <c r="Q13" s="3">
        <f t="shared" si="6"/>
        <v>7.7569937391975312</v>
      </c>
    </row>
    <row r="14" spans="2:17" x14ac:dyDescent="0.25">
      <c r="B14" s="1" t="s">
        <v>176</v>
      </c>
      <c r="C14" s="3">
        <v>2</v>
      </c>
      <c r="D14" s="1">
        <v>320</v>
      </c>
      <c r="E14" s="1">
        <v>12</v>
      </c>
      <c r="F14" s="1">
        <v>36</v>
      </c>
      <c r="G14" s="1">
        <v>28.387</v>
      </c>
      <c r="H14" s="1">
        <v>1.3839999999999999</v>
      </c>
      <c r="I14" s="3">
        <f t="shared" si="0"/>
        <v>305.10900000000004</v>
      </c>
      <c r="J14" s="3">
        <f t="shared" si="1"/>
        <v>-15.748610385332434</v>
      </c>
      <c r="K14" s="3">
        <f t="shared" si="2"/>
        <v>23.617854261786768</v>
      </c>
      <c r="L14" s="3">
        <f t="shared" si="3"/>
        <v>1149.7223896146675</v>
      </c>
      <c r="M14" s="3">
        <f t="shared" si="4"/>
        <v>1062.4838542617867</v>
      </c>
      <c r="P14" s="3">
        <f t="shared" si="5"/>
        <v>320.20999999999998</v>
      </c>
      <c r="Q14" s="3">
        <f t="shared" si="6"/>
        <v>8.4420831388888899</v>
      </c>
    </row>
    <row r="15" spans="2:17" x14ac:dyDescent="0.25">
      <c r="B15" s="1">
        <v>183</v>
      </c>
      <c r="C15" s="3">
        <v>2</v>
      </c>
      <c r="D15" s="1">
        <v>310</v>
      </c>
      <c r="E15" s="1">
        <v>25</v>
      </c>
      <c r="F15" s="1">
        <v>35</v>
      </c>
      <c r="G15" s="1">
        <v>23.771999999999998</v>
      </c>
      <c r="H15" s="1">
        <v>1.204</v>
      </c>
      <c r="I15" s="3">
        <f t="shared" si="0"/>
        <v>304.92900000000003</v>
      </c>
      <c r="J15" s="3">
        <f t="shared" si="1"/>
        <v>-9.6357335845118737</v>
      </c>
      <c r="K15" s="3">
        <f t="shared" si="2"/>
        <v>21.731558211235335</v>
      </c>
      <c r="L15" s="3">
        <f t="shared" si="3"/>
        <v>1155.8352664154881</v>
      </c>
      <c r="M15" s="3">
        <f t="shared" si="4"/>
        <v>1060.5975582112353</v>
      </c>
      <c r="P15" s="3">
        <f t="shared" si="5"/>
        <v>310.42638888888888</v>
      </c>
      <c r="Q15" s="3">
        <f t="shared" si="6"/>
        <v>8.2713319483024677</v>
      </c>
    </row>
    <row r="16" spans="2:17" x14ac:dyDescent="0.25">
      <c r="B16" s="1">
        <v>184</v>
      </c>
      <c r="C16" s="3">
        <v>2</v>
      </c>
      <c r="D16" s="1">
        <v>291</v>
      </c>
      <c r="E16" s="1">
        <v>38</v>
      </c>
      <c r="F16" s="1">
        <v>59</v>
      </c>
      <c r="G16" s="1">
        <v>96.8</v>
      </c>
      <c r="H16" s="1">
        <v>0.59</v>
      </c>
      <c r="I16" s="3">
        <f t="shared" si="0"/>
        <v>304.315</v>
      </c>
      <c r="J16" s="3">
        <f t="shared" si="1"/>
        <v>-8.6660492926137742</v>
      </c>
      <c r="K16" s="3">
        <f t="shared" si="2"/>
        <v>96.411304262819655</v>
      </c>
      <c r="L16" s="3">
        <f t="shared" si="3"/>
        <v>1156.8049507073863</v>
      </c>
      <c r="M16" s="3">
        <f t="shared" si="4"/>
        <v>1135.2773042628196</v>
      </c>
      <c r="P16" s="3">
        <f t="shared" si="5"/>
        <v>291.64972222222224</v>
      </c>
      <c r="Q16" s="3">
        <f t="shared" si="6"/>
        <v>7.9436269575617278</v>
      </c>
    </row>
    <row r="17" spans="2:17" x14ac:dyDescent="0.25">
      <c r="B17" s="1">
        <v>185</v>
      </c>
      <c r="C17" s="3">
        <v>2</v>
      </c>
      <c r="D17" s="1">
        <v>237</v>
      </c>
      <c r="E17" s="1">
        <v>51</v>
      </c>
      <c r="F17" s="1">
        <v>29</v>
      </c>
      <c r="G17" s="1">
        <v>6.99</v>
      </c>
      <c r="H17" s="1">
        <v>0.216</v>
      </c>
      <c r="I17" s="3">
        <f t="shared" si="0"/>
        <v>303.94100000000003</v>
      </c>
      <c r="J17" s="3">
        <f t="shared" si="1"/>
        <v>5.2476131088158464</v>
      </c>
      <c r="K17" s="3">
        <f t="shared" si="2"/>
        <v>4.6176462251004127</v>
      </c>
      <c r="L17" s="3">
        <f t="shared" si="3"/>
        <v>1170.7186131088158</v>
      </c>
      <c r="M17" s="3">
        <f t="shared" si="4"/>
        <v>1043.4836462251003</v>
      </c>
      <c r="P17" s="3">
        <f t="shared" si="5"/>
        <v>237.85805555555555</v>
      </c>
      <c r="Q17" s="3">
        <f t="shared" si="6"/>
        <v>7.0048129529320997</v>
      </c>
    </row>
    <row r="18" spans="2:17" x14ac:dyDescent="0.25">
      <c r="B18" s="1">
        <v>186</v>
      </c>
      <c r="C18" s="3">
        <v>2</v>
      </c>
      <c r="D18" s="1">
        <v>355</v>
      </c>
      <c r="E18" s="1">
        <v>7</v>
      </c>
      <c r="F18" s="1">
        <v>51</v>
      </c>
      <c r="G18" s="1">
        <v>19.57</v>
      </c>
      <c r="H18" s="1">
        <v>0.77</v>
      </c>
      <c r="I18" s="3">
        <f t="shared" si="0"/>
        <v>304.495</v>
      </c>
      <c r="J18" s="3">
        <f t="shared" si="1"/>
        <v>-18.222698059305351</v>
      </c>
      <c r="K18" s="3">
        <f t="shared" si="2"/>
        <v>7.1356972637149472</v>
      </c>
      <c r="L18" s="3">
        <f t="shared" si="3"/>
        <v>1147.2483019406945</v>
      </c>
      <c r="M18" s="3">
        <f t="shared" si="4"/>
        <v>1046.001697263715</v>
      </c>
      <c r="P18" s="3">
        <f t="shared" si="5"/>
        <v>355.13083333333333</v>
      </c>
      <c r="Q18" s="3">
        <f t="shared" si="6"/>
        <v>9.0515486828703722</v>
      </c>
    </row>
    <row r="19" spans="2:17" x14ac:dyDescent="0.25">
      <c r="B19" s="1">
        <v>187</v>
      </c>
      <c r="C19" s="3">
        <v>2</v>
      </c>
      <c r="D19" s="1">
        <v>218</v>
      </c>
      <c r="E19" s="1">
        <v>23</v>
      </c>
      <c r="F19" s="1">
        <v>25</v>
      </c>
      <c r="G19" s="1">
        <v>11.73</v>
      </c>
      <c r="H19" s="1">
        <v>0.36180000000000001</v>
      </c>
      <c r="I19" s="3">
        <f t="shared" si="0"/>
        <v>304.08680000000004</v>
      </c>
      <c r="J19" s="3">
        <f t="shared" si="1"/>
        <v>10.885120968632563</v>
      </c>
      <c r="K19" s="3">
        <f t="shared" si="2"/>
        <v>4.3711602004771786</v>
      </c>
      <c r="L19" s="3">
        <f t="shared" si="3"/>
        <v>1176.3561209686325</v>
      </c>
      <c r="M19" s="3">
        <f t="shared" si="4"/>
        <v>1043.2371602004771</v>
      </c>
      <c r="P19" s="3">
        <f t="shared" si="5"/>
        <v>218.39027777777778</v>
      </c>
      <c r="Q19" s="3">
        <f t="shared" si="6"/>
        <v>6.6650461535493832</v>
      </c>
    </row>
    <row r="20" spans="2:17" x14ac:dyDescent="0.25">
      <c r="B20" s="1" t="s">
        <v>177</v>
      </c>
      <c r="C20" s="3">
        <v>2</v>
      </c>
      <c r="D20" s="1">
        <v>332</v>
      </c>
      <c r="E20" s="1">
        <v>46</v>
      </c>
      <c r="F20" s="1">
        <v>22</v>
      </c>
      <c r="G20" s="1">
        <v>10.63</v>
      </c>
      <c r="H20" s="1">
        <v>0.57999999999999996</v>
      </c>
      <c r="I20" s="3">
        <f t="shared" si="0"/>
        <v>304.30500000000001</v>
      </c>
      <c r="J20" s="3">
        <f t="shared" si="1"/>
        <v>-7.6797733465451445</v>
      </c>
      <c r="K20" s="3">
        <f t="shared" si="2"/>
        <v>7.3496926021225413</v>
      </c>
      <c r="L20" s="3">
        <f t="shared" si="3"/>
        <v>1157.7912266534549</v>
      </c>
      <c r="M20" s="3">
        <f t="shared" si="4"/>
        <v>1046.2156926021225</v>
      </c>
      <c r="P20" s="3">
        <f t="shared" si="5"/>
        <v>332.77277777777778</v>
      </c>
      <c r="Q20" s="3">
        <f t="shared" si="6"/>
        <v>8.6613385077160494</v>
      </c>
    </row>
    <row r="21" spans="2:17" x14ac:dyDescent="0.25">
      <c r="B21" s="1" t="s">
        <v>178</v>
      </c>
      <c r="C21" s="3">
        <v>2</v>
      </c>
      <c r="D21" s="1">
        <v>172</v>
      </c>
      <c r="E21" s="1">
        <v>48</v>
      </c>
      <c r="F21" s="1">
        <v>12</v>
      </c>
      <c r="G21" s="1">
        <v>11.451000000000001</v>
      </c>
      <c r="H21" s="1">
        <v>0.30099999999999999</v>
      </c>
      <c r="I21" s="3">
        <f t="shared" si="0"/>
        <v>304.02600000000001</v>
      </c>
      <c r="J21" s="3">
        <f t="shared" si="1"/>
        <v>10.484723289730258</v>
      </c>
      <c r="K21" s="3">
        <f t="shared" si="2"/>
        <v>-4.6039090496867878</v>
      </c>
      <c r="L21" s="3">
        <f t="shared" si="3"/>
        <v>1175.9557232897303</v>
      </c>
      <c r="M21" s="3">
        <f t="shared" si="4"/>
        <v>1034.2620909503132</v>
      </c>
      <c r="P21" s="3">
        <f t="shared" si="5"/>
        <v>172.80333333333334</v>
      </c>
      <c r="Q21" s="3">
        <f t="shared" si="6"/>
        <v>5.8694273425925925</v>
      </c>
    </row>
    <row r="22" spans="2:17" x14ac:dyDescent="0.25">
      <c r="B22" s="1" t="s">
        <v>179</v>
      </c>
      <c r="C22" s="3">
        <v>2</v>
      </c>
      <c r="D22" s="1">
        <v>164</v>
      </c>
      <c r="E22" s="1">
        <v>35</v>
      </c>
      <c r="F22" s="1">
        <v>22</v>
      </c>
      <c r="G22" s="1">
        <v>22.015999999999998</v>
      </c>
      <c r="H22" s="1">
        <v>3.0599999999999999E-2</v>
      </c>
      <c r="I22" s="3">
        <f t="shared" si="0"/>
        <v>303.75560000000002</v>
      </c>
      <c r="J22" s="3">
        <f t="shared" si="1"/>
        <v>18.686851385395183</v>
      </c>
      <c r="K22" s="3">
        <f t="shared" si="2"/>
        <v>-11.640697629444466</v>
      </c>
      <c r="L22" s="3">
        <f t="shared" si="3"/>
        <v>1184.1578513853951</v>
      </c>
      <c r="M22" s="3">
        <f t="shared" si="4"/>
        <v>1027.2253023705555</v>
      </c>
      <c r="P22" s="3">
        <f t="shared" si="5"/>
        <v>164.58944444444447</v>
      </c>
      <c r="Q22" s="3">
        <f t="shared" si="6"/>
        <v>5.7260721651234574</v>
      </c>
    </row>
    <row r="23" spans="2:17" x14ac:dyDescent="0.25">
      <c r="B23" s="1">
        <v>190</v>
      </c>
      <c r="C23" s="3">
        <v>2</v>
      </c>
      <c r="D23" s="1">
        <v>164</v>
      </c>
      <c r="E23" s="1">
        <v>12</v>
      </c>
      <c r="F23" s="1">
        <v>33</v>
      </c>
      <c r="G23" s="1">
        <v>33.478000000000002</v>
      </c>
      <c r="H23" s="1">
        <v>-9.1999999999999998E-3</v>
      </c>
      <c r="I23" s="3">
        <f t="shared" si="0"/>
        <v>303.7158</v>
      </c>
      <c r="J23" s="3">
        <f t="shared" si="1"/>
        <v>28.29752006670028</v>
      </c>
      <c r="K23" s="3">
        <f t="shared" si="2"/>
        <v>-17.889294063061715</v>
      </c>
      <c r="L23" s="3">
        <f t="shared" si="3"/>
        <v>1193.7685200667004</v>
      </c>
      <c r="M23" s="3">
        <f t="shared" si="4"/>
        <v>1020.9767059369383</v>
      </c>
      <c r="P23" s="3">
        <f t="shared" si="5"/>
        <v>164.20916666666665</v>
      </c>
      <c r="Q23" s="3">
        <f t="shared" si="6"/>
        <v>5.7194352615740742</v>
      </c>
    </row>
    <row r="24" spans="2:17" x14ac:dyDescent="0.25">
      <c r="B24" s="1">
        <v>191</v>
      </c>
      <c r="C24" s="3">
        <v>2</v>
      </c>
      <c r="D24" s="1">
        <v>162</v>
      </c>
      <c r="E24" s="1">
        <v>23</v>
      </c>
      <c r="F24" s="1">
        <v>58</v>
      </c>
      <c r="G24" s="1">
        <v>39.356999999999999</v>
      </c>
      <c r="H24" s="1">
        <v>-1.2800000000000001E-2</v>
      </c>
      <c r="I24" s="3">
        <f t="shared" si="0"/>
        <v>303.7122</v>
      </c>
      <c r="J24" s="3">
        <f t="shared" si="1"/>
        <v>32.586054620036201</v>
      </c>
      <c r="K24" s="3">
        <f t="shared" si="2"/>
        <v>-22.070851666848231</v>
      </c>
      <c r="L24" s="3">
        <f t="shared" si="3"/>
        <v>1198.0570546200363</v>
      </c>
      <c r="M24" s="3">
        <f t="shared" si="4"/>
        <v>1016.7951483331517</v>
      </c>
      <c r="P24" s="3">
        <f t="shared" si="5"/>
        <v>162.39944444444444</v>
      </c>
      <c r="Q24" s="3">
        <f t="shared" si="6"/>
        <v>5.6878505817901237</v>
      </c>
    </row>
    <row r="25" spans="2:17" x14ac:dyDescent="0.25">
      <c r="B25" s="1">
        <v>132</v>
      </c>
      <c r="C25" s="3">
        <v>2</v>
      </c>
      <c r="D25" s="1">
        <v>133</v>
      </c>
      <c r="E25" s="1">
        <v>37</v>
      </c>
      <c r="F25" s="1">
        <v>45</v>
      </c>
      <c r="G25" s="1">
        <v>59.069200000000002</v>
      </c>
      <c r="H25" s="1">
        <v>-2.1238999999999999</v>
      </c>
      <c r="I25" s="3">
        <f t="shared" si="0"/>
        <v>301.60110000000003</v>
      </c>
      <c r="J25" s="3">
        <f t="shared" si="1"/>
        <v>26.927397243654763</v>
      </c>
      <c r="K25" s="3">
        <f t="shared" si="2"/>
        <v>-52.574572431189722</v>
      </c>
      <c r="L25" s="3">
        <f t="shared" si="3"/>
        <v>1192.3983972436547</v>
      </c>
      <c r="M25" s="3">
        <f t="shared" si="4"/>
        <v>986.29142756881026</v>
      </c>
      <c r="P25" s="3">
        <f t="shared" si="5"/>
        <v>133.62916666666666</v>
      </c>
      <c r="Q25" s="3">
        <f t="shared" si="6"/>
        <v>5.1857293171296295</v>
      </c>
    </row>
    <row r="26" spans="2:17" x14ac:dyDescent="0.25">
      <c r="B26" s="1">
        <v>193</v>
      </c>
      <c r="C26" s="3">
        <v>2</v>
      </c>
      <c r="D26" s="1">
        <v>132</v>
      </c>
      <c r="E26" s="1">
        <v>49</v>
      </c>
      <c r="F26" s="1">
        <v>46</v>
      </c>
      <c r="G26" s="1">
        <v>51.544800000000002</v>
      </c>
      <c r="H26" s="1">
        <v>-1.5840000000000001</v>
      </c>
      <c r="I26" s="3">
        <f t="shared" si="0"/>
        <v>302.14100000000002</v>
      </c>
      <c r="J26" s="3">
        <f t="shared" si="1"/>
        <v>22.854713013798843</v>
      </c>
      <c r="K26" s="3">
        <f t="shared" si="2"/>
        <v>-46.200957783328413</v>
      </c>
      <c r="L26" s="3">
        <f t="shared" si="3"/>
        <v>1188.3257130137988</v>
      </c>
      <c r="M26" s="3">
        <f t="shared" si="4"/>
        <v>992.66504221667162</v>
      </c>
      <c r="P26" s="3">
        <f t="shared" si="5"/>
        <v>132.82944444444445</v>
      </c>
      <c r="Q26" s="3">
        <f t="shared" si="6"/>
        <v>5.171771942901235</v>
      </c>
    </row>
    <row r="27" spans="2:17" x14ac:dyDescent="0.25">
      <c r="B27" s="1" t="s">
        <v>180</v>
      </c>
      <c r="C27" s="3">
        <v>2</v>
      </c>
      <c r="D27" s="1">
        <v>129</v>
      </c>
      <c r="E27" s="1">
        <v>45</v>
      </c>
      <c r="F27" s="1">
        <v>2</v>
      </c>
      <c r="G27" s="1">
        <v>28.437999999999999</v>
      </c>
      <c r="H27" s="1">
        <v>-1.9830000000000001</v>
      </c>
      <c r="I27" s="3">
        <f t="shared" si="0"/>
        <v>301.74200000000002</v>
      </c>
      <c r="J27" s="3">
        <f t="shared" si="1"/>
        <v>11.22203495708923</v>
      </c>
      <c r="K27" s="3">
        <f t="shared" si="2"/>
        <v>-26.130169831477701</v>
      </c>
      <c r="L27" s="3">
        <f t="shared" si="3"/>
        <v>1176.6930349570891</v>
      </c>
      <c r="M27" s="3">
        <f t="shared" si="4"/>
        <v>1012.7358301685223</v>
      </c>
      <c r="P27" s="3">
        <f t="shared" si="5"/>
        <v>129.75055555555556</v>
      </c>
      <c r="Q27" s="3">
        <f t="shared" si="6"/>
        <v>5.1180367793209891</v>
      </c>
    </row>
    <row r="28" spans="2:17" x14ac:dyDescent="0.25">
      <c r="B28" s="1" t="s">
        <v>181</v>
      </c>
      <c r="C28" s="3">
        <v>2</v>
      </c>
      <c r="D28" s="1">
        <v>118</v>
      </c>
      <c r="E28" s="1">
        <v>12</v>
      </c>
      <c r="F28" s="1">
        <v>0</v>
      </c>
      <c r="G28" s="1">
        <v>28.529</v>
      </c>
      <c r="H28" s="1">
        <v>-2.0182000000000002</v>
      </c>
      <c r="I28" s="3">
        <f t="shared" si="0"/>
        <v>301.70680000000004</v>
      </c>
      <c r="J28" s="3">
        <f t="shared" si="1"/>
        <v>5.7812678524008705</v>
      </c>
      <c r="K28" s="3">
        <f t="shared" si="2"/>
        <v>-27.937086158345082</v>
      </c>
      <c r="L28" s="3">
        <f t="shared" si="3"/>
        <v>1171.2522678524008</v>
      </c>
      <c r="M28" s="3">
        <f t="shared" si="4"/>
        <v>1010.9289138416549</v>
      </c>
      <c r="P28" s="3">
        <f t="shared" si="5"/>
        <v>118.2</v>
      </c>
      <c r="Q28" s="3">
        <f t="shared" si="6"/>
        <v>4.9164475000000003</v>
      </c>
    </row>
    <row r="30" spans="2:17" x14ac:dyDescent="0.25">
      <c r="C30" s="3"/>
    </row>
    <row r="31" spans="2:17" x14ac:dyDescent="0.25">
      <c r="C31" s="3"/>
    </row>
    <row r="32" spans="2:17" x14ac:dyDescent="0.25">
      <c r="C32" s="3"/>
    </row>
    <row r="33" spans="3:3" x14ac:dyDescent="0.25">
      <c r="C33" s="3"/>
    </row>
    <row r="34" spans="3:3" x14ac:dyDescent="0.25">
      <c r="C34" s="3"/>
    </row>
  </sheetData>
  <mergeCells count="3">
    <mergeCell ref="D5:F5"/>
    <mergeCell ref="J5:K5"/>
    <mergeCell ref="L5:M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BAC85-8526-450F-91B5-BDD1F3B11B3E}">
  <dimension ref="B3:Q33"/>
  <sheetViews>
    <sheetView workbookViewId="0">
      <selection activeCell="Q7" sqref="Q7"/>
    </sheetView>
  </sheetViews>
  <sheetFormatPr defaultColWidth="9.140625" defaultRowHeight="15" x14ac:dyDescent="0.25"/>
  <cols>
    <col min="1" max="1" width="9.140625" style="3"/>
    <col min="2" max="2" width="11.28515625" style="3" customWidth="1"/>
    <col min="3" max="3" width="14.28515625" style="3" customWidth="1"/>
    <col min="4" max="8" width="9.140625" style="3"/>
    <col min="9" max="9" width="15.7109375" style="3" customWidth="1"/>
    <col min="10" max="16384" width="9.140625" style="3"/>
  </cols>
  <sheetData>
    <row r="3" spans="2:17" x14ac:dyDescent="0.25">
      <c r="B3" s="3" t="s">
        <v>10</v>
      </c>
      <c r="C3" s="3" t="s">
        <v>160</v>
      </c>
    </row>
    <row r="4" spans="2:17" x14ac:dyDescent="0.25">
      <c r="B4" s="3" t="s">
        <v>39</v>
      </c>
      <c r="C4" s="3">
        <v>1.4890000000000001</v>
      </c>
    </row>
    <row r="5" spans="2:17" x14ac:dyDescent="0.25">
      <c r="B5" s="3" t="s">
        <v>1</v>
      </c>
      <c r="C5" s="3" t="s">
        <v>0</v>
      </c>
      <c r="D5" s="6" t="s">
        <v>42</v>
      </c>
      <c r="E5" s="6"/>
      <c r="F5" s="6"/>
      <c r="G5" s="3" t="s">
        <v>43</v>
      </c>
      <c r="H5" s="3" t="s">
        <v>7</v>
      </c>
      <c r="I5" s="3" t="s">
        <v>44</v>
      </c>
      <c r="J5" s="6" t="s">
        <v>34</v>
      </c>
      <c r="K5" s="6"/>
      <c r="L5" s="6" t="s">
        <v>46</v>
      </c>
      <c r="M5" s="6"/>
      <c r="P5" s="3" t="s">
        <v>37</v>
      </c>
      <c r="Q5" s="3" t="s">
        <v>47</v>
      </c>
    </row>
    <row r="6" spans="2:17" x14ac:dyDescent="0.25">
      <c r="D6" s="3" t="s">
        <v>2</v>
      </c>
      <c r="E6" s="3" t="s">
        <v>41</v>
      </c>
      <c r="F6" s="3" t="s">
        <v>4</v>
      </c>
      <c r="G6" s="3" t="s">
        <v>6</v>
      </c>
      <c r="H6" s="3" t="s">
        <v>6</v>
      </c>
      <c r="J6" s="3" t="s">
        <v>35</v>
      </c>
      <c r="K6" s="3" t="s">
        <v>45</v>
      </c>
      <c r="L6" s="3" t="s">
        <v>35</v>
      </c>
      <c r="M6" s="3" t="s">
        <v>45</v>
      </c>
    </row>
    <row r="7" spans="2:17" x14ac:dyDescent="0.25">
      <c r="B7" s="3" t="s">
        <v>161</v>
      </c>
      <c r="C7" s="3">
        <v>2</v>
      </c>
      <c r="D7" s="3">
        <v>2</v>
      </c>
      <c r="E7" s="3">
        <v>17</v>
      </c>
      <c r="F7" s="3">
        <v>46</v>
      </c>
      <c r="G7" s="3">
        <v>48.981000000000002</v>
      </c>
      <c r="H7" s="3">
        <v>1.7989999999999999</v>
      </c>
      <c r="I7" s="3">
        <f>303.693+1.489+H7-C7</f>
        <v>304.98099999999994</v>
      </c>
      <c r="J7" s="3">
        <f>G7*COS(Q7)</f>
        <v>47.481447024271816</v>
      </c>
      <c r="K7" s="3">
        <f>G7*SIN(Q7)</f>
        <v>-12.027075682861122</v>
      </c>
      <c r="L7" s="3">
        <f>1092.723+J7</f>
        <v>1140.2044470242718</v>
      </c>
      <c r="M7" s="3">
        <f>1060.424+K7</f>
        <v>1048.3969243171389</v>
      </c>
      <c r="P7" s="3">
        <f>D7+E7/60+F7/3600</f>
        <v>2.2961111111111112</v>
      </c>
      <c r="Q7" s="3">
        <f>IF((163.5+P7-180)&gt;0, (163.5+P7-180)*3.1415/180, (163.5+P7+180)*3.1415/180)</f>
        <v>6.035102683641977</v>
      </c>
    </row>
    <row r="8" spans="2:17" x14ac:dyDescent="0.25">
      <c r="B8" s="3">
        <v>48</v>
      </c>
      <c r="C8" s="3">
        <v>2</v>
      </c>
      <c r="D8" s="3">
        <v>7</v>
      </c>
      <c r="E8" s="3">
        <v>33</v>
      </c>
      <c r="F8" s="3">
        <v>50</v>
      </c>
      <c r="G8" s="3">
        <v>46.982999999999997</v>
      </c>
      <c r="H8" s="3">
        <v>1.8360000000000001</v>
      </c>
      <c r="I8" s="3">
        <f t="shared" ref="I8:I33" si="0">303.693+1.489+H8-C8</f>
        <v>305.01799999999997</v>
      </c>
      <c r="J8" s="3">
        <f t="shared" ref="J8:J33" si="1">G8*COS(Q8)</f>
        <v>46.411408400933652</v>
      </c>
      <c r="K8" s="3">
        <f t="shared" ref="K8:K33" si="2">G8*SIN(Q8)</f>
        <v>-7.3063985137511533</v>
      </c>
      <c r="L8" s="3">
        <f t="shared" ref="L8:L33" si="3">1092.723+J8</f>
        <v>1139.1344084009336</v>
      </c>
      <c r="M8" s="3">
        <f t="shared" ref="M8:M33" si="4">1060.424+K8</f>
        <v>1053.1176014862488</v>
      </c>
      <c r="P8" s="3">
        <f t="shared" ref="P8:P33" si="5">D8+E8/60+F8/3600</f>
        <v>7.5638888888888891</v>
      </c>
      <c r="Q8" s="3">
        <f t="shared" ref="Q8:Q33" si="6">IF((163.5+P8-180)&gt;0, (163.5+P8-180)*3.1415/180, (163.5+P8+180)*3.1415/180)</f>
        <v>6.1270400385802466</v>
      </c>
    </row>
    <row r="9" spans="2:17" x14ac:dyDescent="0.25">
      <c r="B9" s="3">
        <v>49</v>
      </c>
      <c r="C9" s="3">
        <v>2</v>
      </c>
      <c r="D9" s="3">
        <v>356</v>
      </c>
      <c r="E9" s="3">
        <v>5</v>
      </c>
      <c r="F9" s="3">
        <v>36</v>
      </c>
      <c r="G9" s="3">
        <v>35.234000000000002</v>
      </c>
      <c r="H9" s="3">
        <v>1.1579999999999999</v>
      </c>
      <c r="I9" s="3">
        <f t="shared" si="0"/>
        <v>304.33999999999997</v>
      </c>
      <c r="J9" s="3">
        <f t="shared" si="1"/>
        <v>33.020616331990411</v>
      </c>
      <c r="K9" s="3">
        <f t="shared" si="2"/>
        <v>-12.291202262410636</v>
      </c>
      <c r="L9" s="3">
        <f t="shared" si="3"/>
        <v>1125.7436163319903</v>
      </c>
      <c r="M9" s="3">
        <f t="shared" si="4"/>
        <v>1048.1327977375893</v>
      </c>
      <c r="P9" s="3">
        <f t="shared" si="5"/>
        <v>356.09333333333331</v>
      </c>
      <c r="Q9" s="3">
        <f t="shared" si="6"/>
        <v>5.9268469814814804</v>
      </c>
    </row>
    <row r="10" spans="2:17" x14ac:dyDescent="0.25">
      <c r="B10" s="3">
        <v>50</v>
      </c>
      <c r="C10" s="3">
        <v>2</v>
      </c>
      <c r="D10" s="3">
        <v>348</v>
      </c>
      <c r="E10" s="3">
        <v>38</v>
      </c>
      <c r="F10" s="3">
        <v>14</v>
      </c>
      <c r="G10" s="3">
        <v>37.906999999999996</v>
      </c>
      <c r="H10" s="3">
        <v>1.1990000000000001</v>
      </c>
      <c r="I10" s="3">
        <f t="shared" si="0"/>
        <v>304.38099999999997</v>
      </c>
      <c r="J10" s="3">
        <f t="shared" si="1"/>
        <v>33.509390732769141</v>
      </c>
      <c r="K10" s="3">
        <f t="shared" si="2"/>
        <v>-17.721777047424034</v>
      </c>
      <c r="L10" s="3">
        <f t="shared" si="3"/>
        <v>1126.2323907327691</v>
      </c>
      <c r="M10" s="3">
        <f t="shared" si="4"/>
        <v>1042.702222952576</v>
      </c>
      <c r="P10" s="3">
        <f t="shared" si="5"/>
        <v>348.63722222222219</v>
      </c>
      <c r="Q10" s="3">
        <f t="shared" si="6"/>
        <v>5.796717131172838</v>
      </c>
    </row>
    <row r="11" spans="2:17" x14ac:dyDescent="0.25">
      <c r="B11" s="3" t="s">
        <v>162</v>
      </c>
      <c r="C11" s="3">
        <v>2</v>
      </c>
      <c r="D11" s="3">
        <v>339</v>
      </c>
      <c r="E11" s="3">
        <v>36</v>
      </c>
      <c r="F11" s="3">
        <v>42</v>
      </c>
      <c r="G11" s="3">
        <v>36.313000000000002</v>
      </c>
      <c r="H11" s="3">
        <v>0.97799999999999998</v>
      </c>
      <c r="I11" s="3">
        <f t="shared" si="0"/>
        <v>304.15999999999997</v>
      </c>
      <c r="J11" s="3">
        <f t="shared" si="1"/>
        <v>29.039762293096366</v>
      </c>
      <c r="K11" s="3">
        <f t="shared" si="2"/>
        <v>-21.801976400327987</v>
      </c>
      <c r="L11" s="3">
        <f t="shared" si="3"/>
        <v>1121.7627622930963</v>
      </c>
      <c r="M11" s="3">
        <f t="shared" si="4"/>
        <v>1038.622023599672</v>
      </c>
      <c r="P11" s="3">
        <f t="shared" si="5"/>
        <v>339.61166666666668</v>
      </c>
      <c r="Q11" s="3">
        <f t="shared" si="6"/>
        <v>5.6391961157407406</v>
      </c>
    </row>
    <row r="12" spans="2:17" x14ac:dyDescent="0.25">
      <c r="B12" s="3">
        <v>166</v>
      </c>
      <c r="C12" s="3">
        <v>2</v>
      </c>
      <c r="D12" s="3">
        <v>339</v>
      </c>
      <c r="E12" s="3">
        <v>2</v>
      </c>
      <c r="F12" s="3">
        <v>28</v>
      </c>
      <c r="G12" s="3">
        <v>36.728000000000002</v>
      </c>
      <c r="H12" s="3">
        <v>0.26100000000000001</v>
      </c>
      <c r="I12" s="3">
        <f t="shared" si="0"/>
        <v>303.44299999999998</v>
      </c>
      <c r="J12" s="3">
        <f t="shared" si="1"/>
        <v>29.150607784414454</v>
      </c>
      <c r="K12" s="3">
        <f t="shared" si="2"/>
        <v>-22.342516639788712</v>
      </c>
      <c r="L12" s="3">
        <f t="shared" si="3"/>
        <v>1121.8736077844144</v>
      </c>
      <c r="M12" s="3">
        <f t="shared" si="4"/>
        <v>1038.0814833602112</v>
      </c>
      <c r="P12" s="3">
        <f t="shared" si="5"/>
        <v>339.04111111111115</v>
      </c>
      <c r="Q12" s="3">
        <f t="shared" si="6"/>
        <v>5.6292383364197542</v>
      </c>
    </row>
    <row r="13" spans="2:17" x14ac:dyDescent="0.25">
      <c r="B13" s="3" t="s">
        <v>163</v>
      </c>
      <c r="C13" s="3">
        <v>2</v>
      </c>
      <c r="D13" s="3">
        <v>292</v>
      </c>
      <c r="E13" s="3">
        <v>39</v>
      </c>
      <c r="F13" s="3">
        <v>18</v>
      </c>
      <c r="G13" s="3">
        <v>54.905000000000001</v>
      </c>
      <c r="H13" s="3">
        <v>-0.52400000000000002</v>
      </c>
      <c r="I13" s="3">
        <f t="shared" si="0"/>
        <v>302.65799999999996</v>
      </c>
      <c r="J13" s="3">
        <f t="shared" si="1"/>
        <v>5.8790729988194457</v>
      </c>
      <c r="K13" s="3">
        <f t="shared" si="2"/>
        <v>-54.589335274159112</v>
      </c>
      <c r="L13" s="3">
        <f t="shared" si="3"/>
        <v>1098.6020729988195</v>
      </c>
      <c r="M13" s="3">
        <f t="shared" si="4"/>
        <v>1005.8346647258409</v>
      </c>
      <c r="P13" s="3">
        <f t="shared" si="5"/>
        <v>292.65499999999997</v>
      </c>
      <c r="Q13" s="3">
        <f t="shared" si="6"/>
        <v>4.8196718472222217</v>
      </c>
    </row>
    <row r="14" spans="2:17" x14ac:dyDescent="0.25">
      <c r="B14" s="3">
        <v>4</v>
      </c>
      <c r="C14" s="3">
        <v>2</v>
      </c>
      <c r="D14" s="3">
        <v>290</v>
      </c>
      <c r="E14" s="3">
        <v>11</v>
      </c>
      <c r="F14" s="3">
        <v>56</v>
      </c>
      <c r="G14" s="3">
        <v>54.988999999999997</v>
      </c>
      <c r="H14" s="3">
        <v>-0.52600000000000002</v>
      </c>
      <c r="I14" s="3">
        <f t="shared" si="0"/>
        <v>302.65599999999995</v>
      </c>
      <c r="J14" s="3">
        <f t="shared" si="1"/>
        <v>3.5397719568250858</v>
      </c>
      <c r="K14" s="3">
        <f t="shared" si="2"/>
        <v>-54.874949981696332</v>
      </c>
      <c r="L14" s="3">
        <f t="shared" si="3"/>
        <v>1096.262771956825</v>
      </c>
      <c r="M14" s="3">
        <f t="shared" si="4"/>
        <v>1005.5490500183037</v>
      </c>
      <c r="P14" s="3">
        <f t="shared" si="5"/>
        <v>290.19888888888892</v>
      </c>
      <c r="Q14" s="3">
        <f t="shared" si="6"/>
        <v>4.77680588580247</v>
      </c>
    </row>
    <row r="15" spans="2:17" x14ac:dyDescent="0.25">
      <c r="B15" s="3">
        <v>5</v>
      </c>
      <c r="C15" s="3">
        <v>1.4</v>
      </c>
      <c r="D15" s="3">
        <v>297</v>
      </c>
      <c r="E15" s="3">
        <v>26</v>
      </c>
      <c r="F15" s="3">
        <v>35</v>
      </c>
      <c r="G15" s="3">
        <v>53.612000000000002</v>
      </c>
      <c r="H15" s="3">
        <v>-1.127</v>
      </c>
      <c r="I15" s="3">
        <f t="shared" si="0"/>
        <v>302.65499999999997</v>
      </c>
      <c r="J15" s="3">
        <f t="shared" si="1"/>
        <v>10.169730392975362</v>
      </c>
      <c r="K15" s="3">
        <f t="shared" si="2"/>
        <v>-52.638608717691177</v>
      </c>
      <c r="L15" s="3">
        <f t="shared" si="3"/>
        <v>1102.8927303929754</v>
      </c>
      <c r="M15" s="3">
        <f t="shared" si="4"/>
        <v>1007.7853912823088</v>
      </c>
      <c r="P15" s="3">
        <f t="shared" si="5"/>
        <v>297.44305555555553</v>
      </c>
      <c r="Q15" s="3">
        <f t="shared" si="6"/>
        <v>4.9032367168209872</v>
      </c>
    </row>
    <row r="16" spans="2:17" x14ac:dyDescent="0.25">
      <c r="B16" s="3" t="s">
        <v>164</v>
      </c>
      <c r="C16" s="3">
        <v>2</v>
      </c>
      <c r="D16" s="3">
        <v>226</v>
      </c>
      <c r="E16" s="3">
        <v>46</v>
      </c>
      <c r="F16" s="3">
        <v>56</v>
      </c>
      <c r="G16" s="3">
        <v>25.940999999999999</v>
      </c>
      <c r="H16" s="3">
        <v>-6.7000000000000004E-2</v>
      </c>
      <c r="I16" s="3">
        <f t="shared" si="0"/>
        <v>303.11499999999995</v>
      </c>
      <c r="J16" s="3">
        <f t="shared" si="1"/>
        <v>-22.402819610490642</v>
      </c>
      <c r="K16" s="3">
        <f t="shared" si="2"/>
        <v>-13.078576164851276</v>
      </c>
      <c r="L16" s="3">
        <f t="shared" si="3"/>
        <v>1070.3201803895092</v>
      </c>
      <c r="M16" s="3">
        <f t="shared" si="4"/>
        <v>1047.3454238351487</v>
      </c>
      <c r="P16" s="3">
        <f t="shared" si="5"/>
        <v>226.78222222222223</v>
      </c>
      <c r="Q16" s="3">
        <f t="shared" si="6"/>
        <v>3.6700088950617289</v>
      </c>
    </row>
    <row r="17" spans="2:17" x14ac:dyDescent="0.25">
      <c r="B17" s="3">
        <v>168</v>
      </c>
      <c r="C17" s="3">
        <v>2</v>
      </c>
      <c r="D17" s="3">
        <v>222</v>
      </c>
      <c r="E17" s="3">
        <v>9</v>
      </c>
      <c r="F17" s="3">
        <v>2</v>
      </c>
      <c r="G17" s="3">
        <v>26.369</v>
      </c>
      <c r="H17" s="3">
        <v>-6.0999999999999999E-2</v>
      </c>
      <c r="I17" s="3">
        <f t="shared" si="0"/>
        <v>303.12099999999998</v>
      </c>
      <c r="J17" s="3">
        <f t="shared" si="1"/>
        <v>-23.771567492009872</v>
      </c>
      <c r="K17" s="3">
        <f t="shared" si="2"/>
        <v>-11.412131263388952</v>
      </c>
      <c r="L17" s="3">
        <f t="shared" si="3"/>
        <v>1068.9514325079901</v>
      </c>
      <c r="M17" s="3">
        <f t="shared" si="4"/>
        <v>1049.0118687366109</v>
      </c>
      <c r="P17" s="3">
        <f t="shared" si="5"/>
        <v>222.15055555555557</v>
      </c>
      <c r="Q17" s="3">
        <f t="shared" si="6"/>
        <v>3.5891734459876545</v>
      </c>
    </row>
    <row r="18" spans="2:17" x14ac:dyDescent="0.25">
      <c r="B18" s="3" t="s">
        <v>148</v>
      </c>
      <c r="C18" s="3">
        <v>2</v>
      </c>
      <c r="D18" s="3">
        <v>267</v>
      </c>
      <c r="E18" s="3">
        <v>48</v>
      </c>
      <c r="F18" s="3">
        <v>44</v>
      </c>
      <c r="G18" s="3">
        <v>49.518999999999998</v>
      </c>
      <c r="H18" s="3">
        <v>-0.93300000000000005</v>
      </c>
      <c r="I18" s="3">
        <f t="shared" si="0"/>
        <v>302.24899999999997</v>
      </c>
      <c r="J18" s="3">
        <f t="shared" si="1"/>
        <v>-15.872496628649118</v>
      </c>
      <c r="K18" s="3">
        <f t="shared" si="2"/>
        <v>-46.906238516571783</v>
      </c>
      <c r="L18" s="3">
        <f t="shared" si="3"/>
        <v>1076.8505033713509</v>
      </c>
      <c r="M18" s="3">
        <f t="shared" si="4"/>
        <v>1013.5177614834282</v>
      </c>
      <c r="P18" s="3">
        <f t="shared" si="5"/>
        <v>267.81222222222226</v>
      </c>
      <c r="Q18" s="3">
        <f t="shared" si="6"/>
        <v>4.386096367283951</v>
      </c>
    </row>
    <row r="19" spans="2:17" x14ac:dyDescent="0.25">
      <c r="B19" s="3">
        <v>35</v>
      </c>
      <c r="C19" s="3">
        <v>2</v>
      </c>
      <c r="D19" s="3">
        <v>205</v>
      </c>
      <c r="E19" s="3">
        <v>40</v>
      </c>
      <c r="F19" s="3">
        <v>11</v>
      </c>
      <c r="G19" s="3">
        <v>26.99</v>
      </c>
      <c r="H19" s="3">
        <v>0.30599999999999999</v>
      </c>
      <c r="I19" s="3">
        <f t="shared" si="0"/>
        <v>303.48799999999994</v>
      </c>
      <c r="J19" s="3">
        <f t="shared" si="1"/>
        <v>-26.64550311339255</v>
      </c>
      <c r="K19" s="3">
        <f t="shared" si="2"/>
        <v>-4.2985187953745072</v>
      </c>
      <c r="L19" s="3">
        <f t="shared" si="3"/>
        <v>1066.0774968866074</v>
      </c>
      <c r="M19" s="3">
        <f t="shared" si="4"/>
        <v>1056.1254812046254</v>
      </c>
      <c r="P19" s="3">
        <f t="shared" si="5"/>
        <v>205.66972222222222</v>
      </c>
      <c r="Q19" s="3">
        <f t="shared" si="6"/>
        <v>3.3015371242283953</v>
      </c>
    </row>
    <row r="20" spans="2:17" x14ac:dyDescent="0.25">
      <c r="B20" s="3" t="s">
        <v>165</v>
      </c>
      <c r="C20" s="3">
        <v>2</v>
      </c>
      <c r="D20" s="3">
        <v>270</v>
      </c>
      <c r="E20" s="3">
        <v>58</v>
      </c>
      <c r="F20" s="3">
        <v>11</v>
      </c>
      <c r="G20" s="3">
        <v>36</v>
      </c>
      <c r="H20" s="3">
        <v>-0.10299999999999999</v>
      </c>
      <c r="I20" s="3">
        <f t="shared" si="0"/>
        <v>303.07899999999995</v>
      </c>
      <c r="J20" s="3">
        <f t="shared" si="1"/>
        <v>-9.6434556425630351</v>
      </c>
      <c r="K20" s="3">
        <f t="shared" si="2"/>
        <v>-34.684344642358738</v>
      </c>
      <c r="L20" s="3">
        <f t="shared" si="3"/>
        <v>1083.0795443574368</v>
      </c>
      <c r="M20" s="3">
        <f t="shared" si="4"/>
        <v>1025.7396553576411</v>
      </c>
      <c r="P20" s="3">
        <f t="shared" si="5"/>
        <v>270.96972222222217</v>
      </c>
      <c r="Q20" s="3">
        <f t="shared" si="6"/>
        <v>4.4412035131172836</v>
      </c>
    </row>
    <row r="21" spans="2:17" x14ac:dyDescent="0.25">
      <c r="B21" s="3" t="s">
        <v>166</v>
      </c>
      <c r="C21" s="3">
        <v>2</v>
      </c>
      <c r="D21" s="3">
        <v>230</v>
      </c>
      <c r="E21" s="3">
        <v>34</v>
      </c>
      <c r="F21" s="3">
        <v>56</v>
      </c>
      <c r="G21" s="3">
        <v>23.497</v>
      </c>
      <c r="H21" s="3">
        <v>-4.0000000000000001E-3</v>
      </c>
      <c r="I21" s="3">
        <f t="shared" si="0"/>
        <v>303.17799999999994</v>
      </c>
      <c r="J21" s="3">
        <f t="shared" si="1"/>
        <v>-19.462471058494081</v>
      </c>
      <c r="K21" s="3">
        <f t="shared" si="2"/>
        <v>-13.165152080294408</v>
      </c>
      <c r="L21" s="3">
        <f t="shared" si="3"/>
        <v>1073.260528941506</v>
      </c>
      <c r="M21" s="3">
        <f t="shared" si="4"/>
        <v>1047.2588479197057</v>
      </c>
      <c r="P21" s="3">
        <f t="shared" si="5"/>
        <v>230.58222222222221</v>
      </c>
      <c r="Q21" s="3">
        <f t="shared" si="6"/>
        <v>3.7363294506172835</v>
      </c>
    </row>
    <row r="22" spans="2:17" x14ac:dyDescent="0.25">
      <c r="B22" s="3" t="s">
        <v>167</v>
      </c>
      <c r="C22" s="3">
        <v>2</v>
      </c>
      <c r="D22" s="3">
        <v>271</v>
      </c>
      <c r="E22" s="3">
        <v>37</v>
      </c>
      <c r="F22" s="3">
        <v>16</v>
      </c>
      <c r="G22" s="3">
        <v>31.844999999999999</v>
      </c>
      <c r="H22" s="3">
        <v>-0.252</v>
      </c>
      <c r="I22" s="3">
        <f t="shared" si="0"/>
        <v>302.92999999999995</v>
      </c>
      <c r="J22" s="3">
        <f t="shared" si="1"/>
        <v>-8.1810958614333344</v>
      </c>
      <c r="K22" s="3">
        <f t="shared" si="2"/>
        <v>-30.776187150230911</v>
      </c>
      <c r="L22" s="3">
        <f t="shared" si="3"/>
        <v>1084.5419041385667</v>
      </c>
      <c r="M22" s="3">
        <f t="shared" si="4"/>
        <v>1029.647812849769</v>
      </c>
      <c r="P22" s="3">
        <f t="shared" si="5"/>
        <v>271.62111111111113</v>
      </c>
      <c r="Q22" s="3">
        <f t="shared" si="6"/>
        <v>4.4525720586419757</v>
      </c>
    </row>
    <row r="23" spans="2:17" x14ac:dyDescent="0.25">
      <c r="B23" s="3" t="s">
        <v>168</v>
      </c>
      <c r="C23" s="3">
        <v>2</v>
      </c>
      <c r="D23" s="3">
        <v>55</v>
      </c>
      <c r="E23" s="3">
        <v>50</v>
      </c>
      <c r="F23" s="3">
        <v>50</v>
      </c>
      <c r="G23" s="3">
        <v>12.121</v>
      </c>
      <c r="H23" s="3">
        <v>1.0256000000000001</v>
      </c>
      <c r="I23" s="3">
        <f t="shared" si="0"/>
        <v>304.20759999999996</v>
      </c>
      <c r="J23" s="3">
        <f t="shared" si="1"/>
        <v>9.373542215809552</v>
      </c>
      <c r="K23" s="3">
        <f t="shared" si="2"/>
        <v>7.6847477075331589</v>
      </c>
      <c r="L23" s="3">
        <f t="shared" si="3"/>
        <v>1102.0965422158094</v>
      </c>
      <c r="M23" s="3">
        <f t="shared" si="4"/>
        <v>1068.1087477075332</v>
      </c>
      <c r="P23" s="3">
        <f t="shared" si="5"/>
        <v>55.847222222222221</v>
      </c>
      <c r="Q23" s="3">
        <f t="shared" si="6"/>
        <v>0.68671832561728408</v>
      </c>
    </row>
    <row r="24" spans="2:17" x14ac:dyDescent="0.25">
      <c r="B24" s="3">
        <v>171</v>
      </c>
      <c r="C24" s="3">
        <v>2</v>
      </c>
      <c r="D24" s="3">
        <v>306</v>
      </c>
      <c r="E24" s="3">
        <v>55</v>
      </c>
      <c r="F24" s="3">
        <v>5</v>
      </c>
      <c r="G24" s="3">
        <v>17.914000000000001</v>
      </c>
      <c r="H24" s="3">
        <v>0.53600000000000003</v>
      </c>
      <c r="I24" s="3">
        <f t="shared" si="0"/>
        <v>303.71799999999996</v>
      </c>
      <c r="J24" s="3">
        <f t="shared" si="1"/>
        <v>6.2471007178043116</v>
      </c>
      <c r="K24" s="3">
        <f t="shared" si="2"/>
        <v>-16.789435029851628</v>
      </c>
      <c r="L24" s="3">
        <f t="shared" si="3"/>
        <v>1098.9701007178044</v>
      </c>
      <c r="M24" s="3">
        <f t="shared" si="4"/>
        <v>1043.6345649701484</v>
      </c>
      <c r="P24" s="3">
        <f t="shared" si="5"/>
        <v>306.91805555555555</v>
      </c>
      <c r="Q24" s="3">
        <f t="shared" si="6"/>
        <v>5.0686017862654325</v>
      </c>
    </row>
    <row r="25" spans="2:17" x14ac:dyDescent="0.25">
      <c r="B25" s="3" t="s">
        <v>169</v>
      </c>
      <c r="C25" s="3">
        <v>2</v>
      </c>
      <c r="D25" s="3">
        <v>27</v>
      </c>
      <c r="E25" s="3">
        <v>13</v>
      </c>
      <c r="F25" s="3">
        <v>35</v>
      </c>
      <c r="G25" s="3">
        <v>14.183999999999999</v>
      </c>
      <c r="H25" s="3">
        <v>0.64100000000000001</v>
      </c>
      <c r="I25" s="3">
        <f t="shared" si="0"/>
        <v>303.82299999999998</v>
      </c>
      <c r="J25" s="3">
        <f t="shared" si="1"/>
        <v>13.936180086767193</v>
      </c>
      <c r="K25" s="3">
        <f t="shared" si="2"/>
        <v>2.6398372277838575</v>
      </c>
      <c r="L25" s="3">
        <f t="shared" si="3"/>
        <v>1106.659180086767</v>
      </c>
      <c r="M25" s="3">
        <f t="shared" si="4"/>
        <v>1063.0638372277838</v>
      </c>
      <c r="P25" s="3">
        <f t="shared" si="5"/>
        <v>27.226388888888888</v>
      </c>
      <c r="Q25" s="3">
        <f t="shared" si="6"/>
        <v>0.18720528163580252</v>
      </c>
    </row>
    <row r="26" spans="2:17" x14ac:dyDescent="0.25">
      <c r="B26" s="3" t="s">
        <v>170</v>
      </c>
      <c r="C26" s="3">
        <v>2</v>
      </c>
      <c r="D26" s="3">
        <v>19</v>
      </c>
      <c r="E26" s="3">
        <v>25</v>
      </c>
      <c r="F26" s="3">
        <v>24</v>
      </c>
      <c r="G26" s="3">
        <v>15.587999999999999</v>
      </c>
      <c r="H26" s="3">
        <v>0.14599999999999999</v>
      </c>
      <c r="I26" s="3">
        <f t="shared" si="0"/>
        <v>303.32799999999997</v>
      </c>
      <c r="J26" s="3">
        <f t="shared" si="1"/>
        <v>15.567716075453108</v>
      </c>
      <c r="K26" s="3">
        <f t="shared" si="2"/>
        <v>0.79495924051417943</v>
      </c>
      <c r="L26" s="3">
        <f t="shared" si="3"/>
        <v>1108.290716075453</v>
      </c>
      <c r="M26" s="3">
        <f t="shared" si="4"/>
        <v>1061.2189592405141</v>
      </c>
      <c r="P26" s="3">
        <f t="shared" si="5"/>
        <v>19.423333333333336</v>
      </c>
      <c r="Q26" s="3">
        <f t="shared" si="6"/>
        <v>5.102028703703726E-2</v>
      </c>
    </row>
    <row r="27" spans="2:17" x14ac:dyDescent="0.25">
      <c r="B27" s="3">
        <v>173</v>
      </c>
      <c r="C27" s="3">
        <v>2</v>
      </c>
      <c r="D27" s="3">
        <v>20</v>
      </c>
      <c r="E27" s="3">
        <v>35</v>
      </c>
      <c r="F27" s="3">
        <v>31</v>
      </c>
      <c r="G27" s="3">
        <v>18.809999999999999</v>
      </c>
      <c r="H27" s="3">
        <v>-2.1000000000000001E-2</v>
      </c>
      <c r="I27" s="3">
        <f t="shared" si="0"/>
        <v>303.16099999999994</v>
      </c>
      <c r="J27" s="3">
        <f t="shared" si="1"/>
        <v>18.762052851452943</v>
      </c>
      <c r="K27" s="3">
        <f t="shared" si="2"/>
        <v>1.3421895541563567</v>
      </c>
      <c r="L27" s="3">
        <f t="shared" si="3"/>
        <v>1111.4850528514528</v>
      </c>
      <c r="M27" s="3">
        <f t="shared" si="4"/>
        <v>1061.7661895541564</v>
      </c>
      <c r="P27" s="3">
        <f t="shared" si="5"/>
        <v>20.591944444444444</v>
      </c>
      <c r="Q27" s="3">
        <f t="shared" si="6"/>
        <v>7.1415797067901104E-2</v>
      </c>
    </row>
    <row r="28" spans="2:17" x14ac:dyDescent="0.25">
      <c r="B28" s="3">
        <v>174</v>
      </c>
      <c r="C28" s="3">
        <v>2</v>
      </c>
      <c r="D28" s="3">
        <v>32</v>
      </c>
      <c r="E28" s="3">
        <v>37</v>
      </c>
      <c r="F28" s="3">
        <v>38</v>
      </c>
      <c r="G28" s="3">
        <v>22.501999999999999</v>
      </c>
      <c r="H28" s="3">
        <v>1.0980000000000001</v>
      </c>
      <c r="I28" s="3">
        <f t="shared" si="0"/>
        <v>304.27999999999997</v>
      </c>
      <c r="J28" s="3">
        <f t="shared" si="1"/>
        <v>21.616537176499499</v>
      </c>
      <c r="K28" s="3">
        <f t="shared" si="2"/>
        <v>6.2502259556767337</v>
      </c>
      <c r="L28" s="3">
        <f t="shared" si="3"/>
        <v>1114.3395371764996</v>
      </c>
      <c r="M28" s="3">
        <f t="shared" si="4"/>
        <v>1066.6742259556768</v>
      </c>
      <c r="P28" s="3">
        <f t="shared" si="5"/>
        <v>32.627222222222223</v>
      </c>
      <c r="Q28" s="3">
        <f t="shared" si="6"/>
        <v>0.28146482561728409</v>
      </c>
    </row>
    <row r="29" spans="2:17" x14ac:dyDescent="0.25">
      <c r="B29" s="3">
        <v>175</v>
      </c>
      <c r="C29" s="3">
        <v>2</v>
      </c>
      <c r="D29" s="3">
        <v>36</v>
      </c>
      <c r="E29" s="3">
        <v>29</v>
      </c>
      <c r="F29" s="3">
        <v>58</v>
      </c>
      <c r="G29" s="3">
        <v>25.896999999999998</v>
      </c>
      <c r="H29" s="3">
        <v>1.23</v>
      </c>
      <c r="I29" s="3">
        <f t="shared" si="0"/>
        <v>304.41199999999998</v>
      </c>
      <c r="J29" s="3">
        <f t="shared" si="1"/>
        <v>24.335396860330253</v>
      </c>
      <c r="K29" s="3">
        <f t="shared" si="2"/>
        <v>8.8568091686695158</v>
      </c>
      <c r="L29" s="3">
        <f t="shared" si="3"/>
        <v>1117.0583968603303</v>
      </c>
      <c r="M29" s="3">
        <f t="shared" si="4"/>
        <v>1069.2808091686695</v>
      </c>
      <c r="P29" s="3">
        <f t="shared" si="5"/>
        <v>36.499444444444443</v>
      </c>
      <c r="Q29" s="3">
        <f t="shared" si="6"/>
        <v>0.34904585956790107</v>
      </c>
    </row>
    <row r="30" spans="2:17" x14ac:dyDescent="0.25">
      <c r="B30" s="3">
        <v>176</v>
      </c>
      <c r="C30" s="3">
        <v>2</v>
      </c>
      <c r="D30" s="3">
        <v>46</v>
      </c>
      <c r="E30" s="3">
        <v>4</v>
      </c>
      <c r="F30" s="3">
        <v>39</v>
      </c>
      <c r="G30" s="3">
        <v>28.988</v>
      </c>
      <c r="H30" s="3">
        <v>1.478</v>
      </c>
      <c r="I30" s="3">
        <f t="shared" si="0"/>
        <v>304.65999999999997</v>
      </c>
      <c r="J30" s="3">
        <f t="shared" si="1"/>
        <v>25.210757731002392</v>
      </c>
      <c r="K30" s="3">
        <f t="shared" si="2"/>
        <v>14.308103949465249</v>
      </c>
      <c r="L30" s="3">
        <f t="shared" si="3"/>
        <v>1117.9337577310023</v>
      </c>
      <c r="M30" s="3">
        <f t="shared" si="4"/>
        <v>1074.7321039494652</v>
      </c>
      <c r="P30" s="3">
        <f t="shared" si="5"/>
        <v>46.077500000000001</v>
      </c>
      <c r="Q30" s="3">
        <f t="shared" si="6"/>
        <v>0.51620953472222209</v>
      </c>
    </row>
    <row r="31" spans="2:17" x14ac:dyDescent="0.25">
      <c r="B31" s="3">
        <v>177</v>
      </c>
      <c r="C31" s="3">
        <v>2</v>
      </c>
      <c r="D31" s="3">
        <v>280</v>
      </c>
      <c r="E31" s="3">
        <v>36</v>
      </c>
      <c r="F31" s="3">
        <v>45</v>
      </c>
      <c r="G31" s="3">
        <v>13.852</v>
      </c>
      <c r="H31" s="3">
        <v>0.13600000000000001</v>
      </c>
      <c r="I31" s="3">
        <f t="shared" si="0"/>
        <v>303.31799999999998</v>
      </c>
      <c r="J31" s="3">
        <f t="shared" si="1"/>
        <v>-1.4227493871042161</v>
      </c>
      <c r="K31" s="3">
        <f t="shared" si="2"/>
        <v>-13.778740442489459</v>
      </c>
      <c r="L31" s="3">
        <f t="shared" si="3"/>
        <v>1091.3002506128958</v>
      </c>
      <c r="M31" s="3">
        <f t="shared" si="4"/>
        <v>1046.6452595575106</v>
      </c>
      <c r="P31" s="3">
        <f t="shared" si="5"/>
        <v>280.61250000000001</v>
      </c>
      <c r="Q31" s="3">
        <f t="shared" si="6"/>
        <v>4.6094967708333332</v>
      </c>
    </row>
    <row r="32" spans="2:17" x14ac:dyDescent="0.25">
      <c r="B32" s="3">
        <v>178</v>
      </c>
      <c r="C32" s="3">
        <v>2</v>
      </c>
      <c r="D32" s="3">
        <v>276</v>
      </c>
      <c r="E32" s="3">
        <v>2</v>
      </c>
      <c r="F32" s="3">
        <v>54</v>
      </c>
      <c r="G32" s="3">
        <v>12.023</v>
      </c>
      <c r="H32" s="3">
        <v>0.11899999999999999</v>
      </c>
      <c r="I32" s="3">
        <f t="shared" si="0"/>
        <v>303.30099999999999</v>
      </c>
      <c r="J32" s="3">
        <f t="shared" si="1"/>
        <v>-2.1826240747181953</v>
      </c>
      <c r="K32" s="3">
        <f t="shared" si="2"/>
        <v>-11.82322634260465</v>
      </c>
      <c r="L32" s="3">
        <f t="shared" si="3"/>
        <v>1090.5403759252818</v>
      </c>
      <c r="M32" s="3">
        <f t="shared" si="4"/>
        <v>1048.6007736573954</v>
      </c>
      <c r="P32" s="3">
        <f t="shared" si="5"/>
        <v>276.04833333333335</v>
      </c>
      <c r="Q32" s="3">
        <f t="shared" si="6"/>
        <v>4.5298393842592599</v>
      </c>
    </row>
    <row r="33" spans="2:17" x14ac:dyDescent="0.25">
      <c r="B33" s="3">
        <v>179</v>
      </c>
      <c r="C33" s="3">
        <v>2</v>
      </c>
      <c r="D33" s="3">
        <v>256</v>
      </c>
      <c r="E33" s="3">
        <v>49</v>
      </c>
      <c r="F33" s="3">
        <v>11</v>
      </c>
      <c r="G33" s="3">
        <v>12.911</v>
      </c>
      <c r="H33" s="3">
        <v>6.7799999999999999E-2</v>
      </c>
      <c r="I33" s="3">
        <f t="shared" si="0"/>
        <v>303.24979999999994</v>
      </c>
      <c r="J33" s="3">
        <f t="shared" si="1"/>
        <v>-6.3943936584034802</v>
      </c>
      <c r="K33" s="3">
        <f t="shared" si="2"/>
        <v>-11.216311815448487</v>
      </c>
      <c r="L33" s="3">
        <f t="shared" si="3"/>
        <v>1086.3286063415965</v>
      </c>
      <c r="M33" s="3">
        <f t="shared" si="4"/>
        <v>1049.2076881845514</v>
      </c>
      <c r="P33" s="3">
        <f t="shared" si="5"/>
        <v>256.8197222222222</v>
      </c>
      <c r="Q33" s="3">
        <f t="shared" si="6"/>
        <v>4.194246707561728</v>
      </c>
    </row>
  </sheetData>
  <mergeCells count="3">
    <mergeCell ref="D5:F5"/>
    <mergeCell ref="J5:K5"/>
    <mergeCell ref="L5:M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60A4F-B390-4746-9D33-48925E504D96}">
  <dimension ref="B3:Q24"/>
  <sheetViews>
    <sheetView workbookViewId="0">
      <selection activeCell="N14" sqref="N14"/>
    </sheetView>
  </sheetViews>
  <sheetFormatPr defaultColWidth="9.140625" defaultRowHeight="15" x14ac:dyDescent="0.25"/>
  <cols>
    <col min="1" max="1" width="9.140625" style="3"/>
    <col min="2" max="2" width="11.28515625" style="3" customWidth="1"/>
    <col min="3" max="3" width="14.28515625" style="3" customWidth="1"/>
    <col min="4" max="8" width="9.140625" style="3"/>
    <col min="9" max="9" width="15.7109375" style="3" customWidth="1"/>
    <col min="10" max="16384" width="9.140625" style="3"/>
  </cols>
  <sheetData>
    <row r="3" spans="2:17" x14ac:dyDescent="0.25">
      <c r="B3" s="3" t="s">
        <v>10</v>
      </c>
      <c r="C3" s="3" t="s">
        <v>184</v>
      </c>
    </row>
    <row r="4" spans="2:17" x14ac:dyDescent="0.25">
      <c r="B4" s="3" t="s">
        <v>39</v>
      </c>
      <c r="C4" s="3">
        <v>1.42</v>
      </c>
    </row>
    <row r="5" spans="2:17" x14ac:dyDescent="0.25">
      <c r="B5" s="3" t="s">
        <v>1</v>
      </c>
      <c r="C5" s="3" t="s">
        <v>0</v>
      </c>
      <c r="D5" s="6" t="s">
        <v>42</v>
      </c>
      <c r="E5" s="6"/>
      <c r="F5" s="6"/>
      <c r="G5" s="3" t="s">
        <v>43</v>
      </c>
      <c r="H5" s="3" t="s">
        <v>7</v>
      </c>
      <c r="I5" s="3" t="s">
        <v>44</v>
      </c>
      <c r="J5" s="6" t="s">
        <v>34</v>
      </c>
      <c r="K5" s="6"/>
      <c r="L5" s="6" t="s">
        <v>46</v>
      </c>
      <c r="M5" s="6"/>
      <c r="P5" s="3" t="s">
        <v>37</v>
      </c>
      <c r="Q5" s="3" t="s">
        <v>47</v>
      </c>
    </row>
    <row r="6" spans="2:17" x14ac:dyDescent="0.25">
      <c r="D6" s="3" t="s">
        <v>2</v>
      </c>
      <c r="E6" s="3" t="s">
        <v>41</v>
      </c>
      <c r="F6" s="3" t="s">
        <v>4</v>
      </c>
      <c r="G6" s="3" t="s">
        <v>6</v>
      </c>
      <c r="H6" s="3" t="s">
        <v>6</v>
      </c>
      <c r="J6" s="3" t="s">
        <v>35</v>
      </c>
      <c r="K6" s="3" t="s">
        <v>45</v>
      </c>
      <c r="L6" s="3" t="s">
        <v>35</v>
      </c>
      <c r="M6" s="3" t="s">
        <v>45</v>
      </c>
    </row>
    <row r="8" spans="2:17" x14ac:dyDescent="0.25">
      <c r="B8" s="3" t="s">
        <v>185</v>
      </c>
      <c r="C8" s="3">
        <v>2</v>
      </c>
      <c r="D8" s="3">
        <v>234</v>
      </c>
      <c r="E8" s="3">
        <v>32</v>
      </c>
      <c r="F8" s="3">
        <v>20</v>
      </c>
      <c r="G8" s="3">
        <v>13.984</v>
      </c>
      <c r="H8" s="3">
        <v>0.72799999999999998</v>
      </c>
      <c r="I8" s="3">
        <f>297.6+1.42+H8-C8</f>
        <v>297.74800000000005</v>
      </c>
      <c r="J8" s="3">
        <f>G8*COS(Q8)</f>
        <v>12.423520280734635</v>
      </c>
      <c r="K8" s="3">
        <f>G8*SIN(Q8)</f>
        <v>-6.4193769038883541</v>
      </c>
      <c r="L8" s="3">
        <f>959.97+J8</f>
        <v>972.39352028073472</v>
      </c>
      <c r="M8" s="3">
        <f>904.238+K8</f>
        <v>897.81862309611165</v>
      </c>
      <c r="P8" s="3">
        <f>D8+E8/60+F8/3600</f>
        <v>234.53888888888889</v>
      </c>
      <c r="Q8" s="3">
        <f>IF((278.145+P8-180)&gt;0, (278.145+P8-180)*3.1415/180, (278.145+P8+180)*3.1415/180)</f>
        <v>5.8062579830246923</v>
      </c>
    </row>
    <row r="9" spans="2:17" x14ac:dyDescent="0.25">
      <c r="B9" s="3">
        <v>141</v>
      </c>
      <c r="C9" s="3">
        <v>2</v>
      </c>
      <c r="D9" s="3">
        <v>212</v>
      </c>
      <c r="E9" s="3">
        <v>33</v>
      </c>
      <c r="F9" s="3">
        <v>0</v>
      </c>
      <c r="G9" s="3">
        <v>18.716999999999999</v>
      </c>
      <c r="H9" s="3">
        <v>0.54100000000000004</v>
      </c>
      <c r="I9" s="3">
        <f t="shared" ref="I9:I24" si="0">297.6+1.42+H9-C9</f>
        <v>297.56100000000004</v>
      </c>
      <c r="J9" s="3">
        <f t="shared" ref="J9:J24" si="1">G9*COS(Q9)</f>
        <v>12.201817764705106</v>
      </c>
      <c r="K9" s="3">
        <f t="shared" ref="K9:K24" si="2">G9*SIN(Q9)</f>
        <v>-14.193017023766544</v>
      </c>
      <c r="L9" s="3">
        <f t="shared" ref="L9:L24" si="3">959.97+J9</f>
        <v>972.17181776470511</v>
      </c>
      <c r="M9" s="3">
        <f t="shared" ref="M9:M24" si="4">904.238+K9</f>
        <v>890.04498297623354</v>
      </c>
      <c r="P9" s="3">
        <f t="shared" ref="P9:P24" si="5">D9+E9/60+F9/3600</f>
        <v>212.55</v>
      </c>
      <c r="Q9" s="3">
        <f t="shared" ref="Q9:Q24" si="6">IF((278.145+P9-180)&gt;0, (278.145+P9-180)*3.1415/180, (278.145+P9+180)*3.1415/180)</f>
        <v>5.4224907916666663</v>
      </c>
    </row>
    <row r="10" spans="2:17" x14ac:dyDescent="0.25">
      <c r="B10" s="3">
        <v>142</v>
      </c>
      <c r="C10" s="3">
        <v>2</v>
      </c>
      <c r="D10" s="3">
        <v>179</v>
      </c>
      <c r="E10" s="3">
        <v>21</v>
      </c>
      <c r="F10" s="3">
        <v>49</v>
      </c>
      <c r="G10" s="3">
        <v>19.466999999999999</v>
      </c>
      <c r="H10" s="3">
        <v>1.105</v>
      </c>
      <c r="I10" s="3">
        <f t="shared" si="0"/>
        <v>298.12500000000006</v>
      </c>
      <c r="J10" s="3">
        <f t="shared" si="1"/>
        <v>2.5410971116351995</v>
      </c>
      <c r="K10" s="3">
        <f t="shared" si="2"/>
        <v>-19.300438193710505</v>
      </c>
      <c r="L10" s="3">
        <f t="shared" si="3"/>
        <v>962.51109711163519</v>
      </c>
      <c r="M10" s="3">
        <f t="shared" si="4"/>
        <v>884.93756180628952</v>
      </c>
      <c r="P10" s="3">
        <f t="shared" si="5"/>
        <v>179.36361111111111</v>
      </c>
      <c r="Q10" s="3">
        <f t="shared" si="6"/>
        <v>4.8432961211419761</v>
      </c>
    </row>
    <row r="11" spans="2:17" x14ac:dyDescent="0.25">
      <c r="B11" s="3">
        <v>143</v>
      </c>
      <c r="C11" s="3">
        <v>2</v>
      </c>
      <c r="D11" s="3">
        <v>180</v>
      </c>
      <c r="E11" s="3">
        <v>6</v>
      </c>
      <c r="F11" s="3">
        <v>16</v>
      </c>
      <c r="G11" s="3">
        <v>15.788</v>
      </c>
      <c r="H11" s="3">
        <v>0.39900000000000002</v>
      </c>
      <c r="I11" s="3">
        <f t="shared" si="0"/>
        <v>297.41900000000004</v>
      </c>
      <c r="J11" s="3">
        <f t="shared" si="1"/>
        <v>2.2630721264243676</v>
      </c>
      <c r="K11" s="3">
        <f t="shared" si="2"/>
        <v>-15.624962353573883</v>
      </c>
      <c r="L11" s="3">
        <f t="shared" si="3"/>
        <v>962.23307212642442</v>
      </c>
      <c r="M11" s="3">
        <f t="shared" si="4"/>
        <v>888.61303764642616</v>
      </c>
      <c r="P11" s="3">
        <f t="shared" si="5"/>
        <v>180.10444444444443</v>
      </c>
      <c r="Q11" s="3">
        <f t="shared" si="6"/>
        <v>4.8562257206790118</v>
      </c>
    </row>
    <row r="12" spans="2:17" x14ac:dyDescent="0.25">
      <c r="B12" s="3">
        <v>144</v>
      </c>
      <c r="C12" s="3">
        <v>2</v>
      </c>
      <c r="D12" s="3">
        <v>158</v>
      </c>
      <c r="E12" s="3">
        <v>29</v>
      </c>
      <c r="F12" s="3">
        <v>49</v>
      </c>
      <c r="G12" s="3">
        <v>19.523</v>
      </c>
      <c r="H12" s="3">
        <v>0.28199999999999997</v>
      </c>
      <c r="I12" s="3">
        <f t="shared" si="0"/>
        <v>297.30200000000002</v>
      </c>
      <c r="J12" s="3">
        <f t="shared" si="1"/>
        <v>-4.5130192835800802</v>
      </c>
      <c r="K12" s="3">
        <f t="shared" si="2"/>
        <v>-18.994214538801923</v>
      </c>
      <c r="L12" s="3">
        <f t="shared" si="3"/>
        <v>955.45698071641993</v>
      </c>
      <c r="M12" s="3">
        <f t="shared" si="4"/>
        <v>885.24378546119817</v>
      </c>
      <c r="P12" s="3">
        <f t="shared" si="5"/>
        <v>158.49694444444444</v>
      </c>
      <c r="Q12" s="3">
        <f t="shared" si="6"/>
        <v>4.4791148248456798</v>
      </c>
    </row>
    <row r="13" spans="2:17" x14ac:dyDescent="0.25">
      <c r="B13" s="3" t="s">
        <v>186</v>
      </c>
      <c r="C13" s="3">
        <v>2</v>
      </c>
      <c r="D13" s="3">
        <v>233</v>
      </c>
      <c r="E13" s="3">
        <v>37</v>
      </c>
      <c r="F13" s="3">
        <v>26</v>
      </c>
      <c r="G13" s="3">
        <v>17.863</v>
      </c>
      <c r="H13" s="3">
        <v>0.85399999999999998</v>
      </c>
      <c r="I13" s="3">
        <f t="shared" si="0"/>
        <v>297.87400000000002</v>
      </c>
      <c r="J13" s="3">
        <f t="shared" si="1"/>
        <v>15.73669452494844</v>
      </c>
      <c r="K13" s="3">
        <f t="shared" si="2"/>
        <v>-8.4524087944477575</v>
      </c>
      <c r="L13" s="3">
        <f t="shared" si="3"/>
        <v>975.70669452494849</v>
      </c>
      <c r="M13" s="3">
        <f t="shared" si="4"/>
        <v>895.78559120555235</v>
      </c>
      <c r="P13" s="3">
        <f t="shared" si="5"/>
        <v>233.6238888888889</v>
      </c>
      <c r="Q13" s="3">
        <f t="shared" si="6"/>
        <v>5.7902886913580254</v>
      </c>
    </row>
    <row r="14" spans="2:17" x14ac:dyDescent="0.25">
      <c r="B14" s="3">
        <v>2</v>
      </c>
      <c r="C14" s="3">
        <v>2</v>
      </c>
      <c r="D14" s="3">
        <v>247</v>
      </c>
      <c r="E14" s="3">
        <v>5</v>
      </c>
      <c r="F14" s="3">
        <v>17</v>
      </c>
      <c r="G14" s="3">
        <v>20.445</v>
      </c>
      <c r="H14" s="3">
        <v>0.71699999999999997</v>
      </c>
      <c r="I14" s="3">
        <f t="shared" si="0"/>
        <v>297.73700000000002</v>
      </c>
      <c r="J14" s="3">
        <f t="shared" si="1"/>
        <v>19.768787578413839</v>
      </c>
      <c r="K14" s="3">
        <f t="shared" si="2"/>
        <v>-5.2146967965118236</v>
      </c>
      <c r="L14" s="3">
        <f t="shared" si="3"/>
        <v>979.73878757841385</v>
      </c>
      <c r="M14" s="3">
        <f t="shared" si="4"/>
        <v>899.02330320348824</v>
      </c>
      <c r="P14" s="3">
        <f t="shared" si="5"/>
        <v>247.08805555555557</v>
      </c>
      <c r="Q14" s="3">
        <f t="shared" si="6"/>
        <v>6.0252758001543203</v>
      </c>
    </row>
    <row r="15" spans="2:17" x14ac:dyDescent="0.25">
      <c r="B15" s="3">
        <v>3</v>
      </c>
      <c r="C15" s="3">
        <v>2</v>
      </c>
      <c r="D15" s="3">
        <v>258</v>
      </c>
      <c r="E15" s="3">
        <v>20</v>
      </c>
      <c r="F15" s="3">
        <v>43</v>
      </c>
      <c r="G15" s="3">
        <v>15.385</v>
      </c>
      <c r="H15" s="3">
        <v>1.198</v>
      </c>
      <c r="I15" s="3">
        <f t="shared" si="0"/>
        <v>298.21800000000002</v>
      </c>
      <c r="J15" s="3">
        <f t="shared" si="1"/>
        <v>15.355971193035202</v>
      </c>
      <c r="K15" s="3">
        <f t="shared" si="2"/>
        <v>-0.94465534385458783</v>
      </c>
      <c r="L15" s="3">
        <f t="shared" si="3"/>
        <v>975.32597119303523</v>
      </c>
      <c r="M15" s="3">
        <f t="shared" si="4"/>
        <v>903.29334465614545</v>
      </c>
      <c r="P15" s="3">
        <f t="shared" si="5"/>
        <v>258.34527777777777</v>
      </c>
      <c r="Q15" s="3">
        <f t="shared" si="6"/>
        <v>6.2217455979938263</v>
      </c>
    </row>
    <row r="16" spans="2:17" x14ac:dyDescent="0.25">
      <c r="B16" s="3">
        <v>4</v>
      </c>
      <c r="C16" s="3">
        <v>2</v>
      </c>
      <c r="D16" s="3">
        <v>287</v>
      </c>
      <c r="E16" s="3">
        <v>49</v>
      </c>
      <c r="F16" s="3">
        <v>17</v>
      </c>
      <c r="G16" s="3">
        <v>11.497</v>
      </c>
      <c r="H16" s="3">
        <v>1.2889999999999999</v>
      </c>
      <c r="I16" s="3">
        <f t="shared" si="0"/>
        <v>298.30900000000003</v>
      </c>
      <c r="J16" s="3">
        <f t="shared" si="1"/>
        <v>10.337389827322452</v>
      </c>
      <c r="K16" s="3">
        <f t="shared" si="2"/>
        <v>5.031836698261408</v>
      </c>
      <c r="L16" s="3">
        <f t="shared" si="3"/>
        <v>970.30738982732248</v>
      </c>
      <c r="M16" s="3">
        <f t="shared" si="4"/>
        <v>909.26983669826143</v>
      </c>
      <c r="P16" s="3">
        <f t="shared" si="5"/>
        <v>287.82138888888886</v>
      </c>
      <c r="Q16" s="3">
        <f t="shared" si="6"/>
        <v>6.736185614969135</v>
      </c>
    </row>
    <row r="17" spans="2:17" x14ac:dyDescent="0.25">
      <c r="B17" s="3" t="s">
        <v>187</v>
      </c>
      <c r="C17" s="3">
        <v>2</v>
      </c>
      <c r="D17" s="3">
        <v>64</v>
      </c>
      <c r="E17" s="3">
        <v>17</v>
      </c>
      <c r="F17" s="3">
        <v>8</v>
      </c>
      <c r="G17" s="3">
        <v>8.2319999999999993</v>
      </c>
      <c r="H17" s="3">
        <v>0.53900000000000003</v>
      </c>
      <c r="I17" s="3">
        <f t="shared" si="0"/>
        <v>297.55900000000003</v>
      </c>
      <c r="J17" s="3">
        <f t="shared" si="1"/>
        <v>-7.8477840993052759</v>
      </c>
      <c r="K17" s="3">
        <f t="shared" si="2"/>
        <v>2.485580159779861</v>
      </c>
      <c r="L17" s="3">
        <f t="shared" si="3"/>
        <v>952.12221590069475</v>
      </c>
      <c r="M17" s="3">
        <f t="shared" si="4"/>
        <v>906.72358015977989</v>
      </c>
      <c r="P17" s="3">
        <f t="shared" si="5"/>
        <v>64.285555555555547</v>
      </c>
      <c r="Q17" s="3">
        <f t="shared" si="6"/>
        <v>2.8348643904320987</v>
      </c>
    </row>
    <row r="18" spans="2:17" x14ac:dyDescent="0.25">
      <c r="B18" s="3">
        <v>146</v>
      </c>
      <c r="C18" s="3">
        <v>2</v>
      </c>
      <c r="D18" s="3">
        <v>33</v>
      </c>
      <c r="E18" s="3">
        <v>37</v>
      </c>
      <c r="F18" s="3">
        <v>0</v>
      </c>
      <c r="G18" s="3">
        <v>9.0679999999999996</v>
      </c>
      <c r="H18" s="3">
        <v>0.7</v>
      </c>
      <c r="I18" s="3">
        <f t="shared" si="0"/>
        <v>297.72000000000003</v>
      </c>
      <c r="J18" s="3">
        <f t="shared" si="1"/>
        <v>-6.0391336019171886</v>
      </c>
      <c r="K18" s="3">
        <f t="shared" si="2"/>
        <v>6.764428234388677</v>
      </c>
      <c r="L18" s="3">
        <f t="shared" si="3"/>
        <v>953.9308663980828</v>
      </c>
      <c r="M18" s="3">
        <f t="shared" si="4"/>
        <v>911.00242823438873</v>
      </c>
      <c r="P18" s="3">
        <f t="shared" si="5"/>
        <v>33.616666666666667</v>
      </c>
      <c r="Q18" s="3">
        <f t="shared" si="6"/>
        <v>2.2996070879629631</v>
      </c>
    </row>
    <row r="19" spans="2:17" x14ac:dyDescent="0.25">
      <c r="B19" s="3">
        <v>147</v>
      </c>
      <c r="C19" s="3">
        <v>2</v>
      </c>
      <c r="D19" s="3">
        <v>44</v>
      </c>
      <c r="E19" s="3">
        <v>36</v>
      </c>
      <c r="F19" s="3">
        <v>32</v>
      </c>
      <c r="G19" s="3">
        <v>13.98</v>
      </c>
      <c r="H19" s="3">
        <v>0.81100000000000005</v>
      </c>
      <c r="I19" s="3">
        <f t="shared" si="0"/>
        <v>297.83100000000002</v>
      </c>
      <c r="J19" s="3">
        <f t="shared" si="1"/>
        <v>-11.128060544279753</v>
      </c>
      <c r="K19" s="3">
        <f t="shared" si="2"/>
        <v>8.4620723539121432</v>
      </c>
      <c r="L19" s="3">
        <f t="shared" si="3"/>
        <v>948.84193945572031</v>
      </c>
      <c r="M19" s="3">
        <f t="shared" si="4"/>
        <v>912.70007235391222</v>
      </c>
      <c r="P19" s="3">
        <f t="shared" si="5"/>
        <v>44.608888888888892</v>
      </c>
      <c r="Q19" s="3">
        <f t="shared" si="6"/>
        <v>2.4914518996913579</v>
      </c>
    </row>
    <row r="20" spans="2:17" x14ac:dyDescent="0.25">
      <c r="B20" s="3">
        <v>148</v>
      </c>
      <c r="C20" s="3">
        <v>2</v>
      </c>
      <c r="D20" s="3">
        <v>30</v>
      </c>
      <c r="E20" s="3">
        <v>51</v>
      </c>
      <c r="F20" s="3">
        <v>59</v>
      </c>
      <c r="G20" s="3">
        <v>15.577</v>
      </c>
      <c r="H20" s="3">
        <v>0.95499999999999996</v>
      </c>
      <c r="I20" s="3">
        <f t="shared" si="0"/>
        <v>297.97500000000002</v>
      </c>
      <c r="J20" s="3">
        <f t="shared" si="1"/>
        <v>-9.8045260157920939</v>
      </c>
      <c r="K20" s="3">
        <f t="shared" si="2"/>
        <v>12.104304961692595</v>
      </c>
      <c r="L20" s="3">
        <f t="shared" si="3"/>
        <v>950.16547398420789</v>
      </c>
      <c r="M20" s="3">
        <f t="shared" si="4"/>
        <v>916.34230496169266</v>
      </c>
      <c r="P20" s="3">
        <f t="shared" si="5"/>
        <v>30.866388888888892</v>
      </c>
      <c r="Q20" s="3">
        <f t="shared" si="6"/>
        <v>2.2516071010802463</v>
      </c>
    </row>
    <row r="21" spans="2:17" x14ac:dyDescent="0.25">
      <c r="B21" s="3">
        <v>149</v>
      </c>
      <c r="C21" s="3">
        <v>2</v>
      </c>
      <c r="D21" s="3">
        <v>64</v>
      </c>
      <c r="E21" s="3">
        <v>59</v>
      </c>
      <c r="F21" s="3">
        <v>23</v>
      </c>
      <c r="G21" s="3">
        <v>18.817</v>
      </c>
      <c r="H21" s="3">
        <v>1.054</v>
      </c>
      <c r="I21" s="3">
        <f t="shared" si="0"/>
        <v>298.07400000000001</v>
      </c>
      <c r="J21" s="3">
        <f t="shared" si="1"/>
        <v>-18.007214417409209</v>
      </c>
      <c r="K21" s="3">
        <f t="shared" si="2"/>
        <v>5.4607433491650106</v>
      </c>
      <c r="L21" s="3">
        <f t="shared" si="3"/>
        <v>941.96278558259087</v>
      </c>
      <c r="M21" s="3">
        <f t="shared" si="4"/>
        <v>909.69874334916506</v>
      </c>
      <c r="P21" s="3">
        <f t="shared" si="5"/>
        <v>64.989722222222227</v>
      </c>
      <c r="Q21" s="3">
        <f t="shared" si="6"/>
        <v>2.84715405478395</v>
      </c>
    </row>
    <row r="22" spans="2:17" x14ac:dyDescent="0.25">
      <c r="B22" s="3">
        <v>150</v>
      </c>
      <c r="C22" s="3">
        <v>2</v>
      </c>
      <c r="D22" s="3">
        <v>69</v>
      </c>
      <c r="E22" s="3">
        <v>43</v>
      </c>
      <c r="F22" s="3">
        <v>54</v>
      </c>
      <c r="G22" s="3">
        <v>17.154</v>
      </c>
      <c r="H22" s="3">
        <v>0.42399999999999999</v>
      </c>
      <c r="I22" s="3">
        <f t="shared" si="0"/>
        <v>297.44400000000002</v>
      </c>
      <c r="J22" s="3">
        <f t="shared" si="1"/>
        <v>-16.771116510514034</v>
      </c>
      <c r="K22" s="3">
        <f t="shared" si="2"/>
        <v>3.604076440749227</v>
      </c>
      <c r="L22" s="3">
        <f t="shared" si="3"/>
        <v>943.19888348948598</v>
      </c>
      <c r="M22" s="3">
        <f t="shared" si="4"/>
        <v>907.84207644074934</v>
      </c>
      <c r="P22" s="3">
        <f t="shared" si="5"/>
        <v>69.731666666666669</v>
      </c>
      <c r="Q22" s="3">
        <f t="shared" si="6"/>
        <v>2.9299141574074072</v>
      </c>
    </row>
    <row r="23" spans="2:17" x14ac:dyDescent="0.25">
      <c r="B23" s="3">
        <v>151</v>
      </c>
      <c r="C23" s="3">
        <v>2</v>
      </c>
      <c r="D23" s="3">
        <v>83</v>
      </c>
      <c r="E23" s="3">
        <v>51</v>
      </c>
      <c r="F23" s="3">
        <v>37</v>
      </c>
      <c r="G23" s="3">
        <v>6.1870000000000003</v>
      </c>
      <c r="H23" s="3">
        <v>0.58499999999999996</v>
      </c>
      <c r="I23" s="3">
        <f t="shared" si="0"/>
        <v>297.60500000000002</v>
      </c>
      <c r="J23" s="3">
        <f t="shared" si="1"/>
        <v>-6.1832313860161685</v>
      </c>
      <c r="K23" s="3">
        <f t="shared" si="2"/>
        <v>-0.21591347105860886</v>
      </c>
      <c r="L23" s="3">
        <f t="shared" si="3"/>
        <v>953.7867686139839</v>
      </c>
      <c r="M23" s="3">
        <f t="shared" si="4"/>
        <v>904.02208652894149</v>
      </c>
      <c r="P23" s="3">
        <f t="shared" si="5"/>
        <v>83.860277777777767</v>
      </c>
      <c r="Q23" s="3">
        <f t="shared" si="6"/>
        <v>3.1764976674382712</v>
      </c>
    </row>
    <row r="24" spans="2:17" x14ac:dyDescent="0.25">
      <c r="B24" s="3">
        <v>152</v>
      </c>
      <c r="C24" s="3">
        <v>2</v>
      </c>
      <c r="D24" s="3">
        <v>138</v>
      </c>
      <c r="E24" s="3">
        <v>45</v>
      </c>
      <c r="F24" s="3">
        <v>8</v>
      </c>
      <c r="G24" s="3">
        <v>5.6369999999999996</v>
      </c>
      <c r="H24" s="3">
        <v>0.224</v>
      </c>
      <c r="I24" s="3">
        <f t="shared" si="0"/>
        <v>297.24400000000003</v>
      </c>
      <c r="J24" s="3">
        <f t="shared" si="1"/>
        <v>-3.079181481463718</v>
      </c>
      <c r="K24" s="3">
        <f t="shared" si="2"/>
        <v>-4.7216957127933288</v>
      </c>
      <c r="L24" s="3">
        <f t="shared" si="3"/>
        <v>956.89081851853632</v>
      </c>
      <c r="M24" s="3">
        <f t="shared" si="4"/>
        <v>899.51630428720671</v>
      </c>
      <c r="P24" s="3">
        <f t="shared" si="5"/>
        <v>138.75222222222223</v>
      </c>
      <c r="Q24" s="3">
        <f t="shared" si="6"/>
        <v>4.1345145756172847</v>
      </c>
    </row>
  </sheetData>
  <mergeCells count="3">
    <mergeCell ref="D5:F5"/>
    <mergeCell ref="J5:K5"/>
    <mergeCell ref="L5:M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4D666-C412-4555-91F7-F1001800FD3A}">
  <dimension ref="D5:W38"/>
  <sheetViews>
    <sheetView topLeftCell="A4" workbookViewId="0">
      <selection activeCell="U9" sqref="U9"/>
    </sheetView>
  </sheetViews>
  <sheetFormatPr defaultRowHeight="15" x14ac:dyDescent="0.25"/>
  <cols>
    <col min="4" max="4" width="12.140625" customWidth="1"/>
    <col min="5" max="5" width="14" customWidth="1"/>
    <col min="11" max="11" width="14.85546875" customWidth="1"/>
    <col min="12" max="13" width="9.140625" style="2"/>
    <col min="21" max="21" width="22.28515625" customWidth="1"/>
    <col min="22" max="22" width="12.7109375" customWidth="1"/>
  </cols>
  <sheetData>
    <row r="5" spans="4:23" x14ac:dyDescent="0.25">
      <c r="D5" t="s">
        <v>10</v>
      </c>
      <c r="E5" t="s">
        <v>12</v>
      </c>
    </row>
    <row r="6" spans="4:23" x14ac:dyDescent="0.25">
      <c r="D6" t="s">
        <v>11</v>
      </c>
      <c r="E6">
        <v>1.3320000000000001</v>
      </c>
    </row>
    <row r="7" spans="4:23" x14ac:dyDescent="0.25">
      <c r="D7" t="s">
        <v>1</v>
      </c>
      <c r="E7" t="s">
        <v>0</v>
      </c>
      <c r="F7" s="5" t="s">
        <v>9</v>
      </c>
      <c r="G7" s="5"/>
      <c r="H7" s="5"/>
      <c r="I7" t="s">
        <v>5</v>
      </c>
      <c r="J7" t="s">
        <v>7</v>
      </c>
      <c r="K7" t="s">
        <v>8</v>
      </c>
      <c r="L7" s="5" t="s">
        <v>34</v>
      </c>
      <c r="M7" s="5"/>
      <c r="N7" s="5" t="s">
        <v>38</v>
      </c>
      <c r="O7" s="5"/>
      <c r="T7" t="s">
        <v>37</v>
      </c>
      <c r="U7" t="s">
        <v>182</v>
      </c>
    </row>
    <row r="8" spans="4:23" x14ac:dyDescent="0.25">
      <c r="F8" t="s">
        <v>2</v>
      </c>
      <c r="G8" t="s">
        <v>3</v>
      </c>
      <c r="H8" t="s">
        <v>4</v>
      </c>
      <c r="I8" t="s">
        <v>6</v>
      </c>
      <c r="L8" s="2" t="s">
        <v>35</v>
      </c>
      <c r="M8" s="2" t="s">
        <v>36</v>
      </c>
      <c r="N8" t="s">
        <v>35</v>
      </c>
      <c r="O8" t="s">
        <v>36</v>
      </c>
    </row>
    <row r="9" spans="4:23" x14ac:dyDescent="0.25">
      <c r="D9" t="s">
        <v>13</v>
      </c>
      <c r="E9">
        <v>2</v>
      </c>
      <c r="F9">
        <v>335</v>
      </c>
      <c r="G9">
        <v>18</v>
      </c>
      <c r="H9">
        <v>55</v>
      </c>
      <c r="I9">
        <f>W9/1000</f>
        <v>3.609</v>
      </c>
      <c r="J9">
        <v>0.49</v>
      </c>
      <c r="K9">
        <f>301.37+1.332+J9-E9</f>
        <v>301.19200000000001</v>
      </c>
      <c r="L9" s="2">
        <f>I9*COS(U9)</f>
        <v>-3.316121742899961</v>
      </c>
      <c r="M9" s="2">
        <f>I9*SIN(U9)</f>
        <v>-1.4241550429170708</v>
      </c>
      <c r="N9" s="2">
        <f>1000+L9</f>
        <v>996.68387825709999</v>
      </c>
      <c r="O9" s="2">
        <f>1000+M9</f>
        <v>998.57584495708295</v>
      </c>
      <c r="T9">
        <f>F9+G9/60+H9/3600</f>
        <v>335.31527777777779</v>
      </c>
      <c r="U9">
        <f>IF((47.9325+T9-180)&gt;0, (47.9325+T9-180)*3.1415/180, (47.9325+T9+180)*3.1415/180)</f>
        <v>3.547238299382717</v>
      </c>
      <c r="W9">
        <v>3609</v>
      </c>
    </row>
    <row r="10" spans="4:23" x14ac:dyDescent="0.25">
      <c r="D10" t="s">
        <v>15</v>
      </c>
      <c r="E10">
        <v>2</v>
      </c>
      <c r="F10">
        <v>183</v>
      </c>
      <c r="G10">
        <v>48</v>
      </c>
      <c r="H10">
        <v>42</v>
      </c>
      <c r="I10">
        <f t="shared" ref="I10:I38" si="0">W10/1000</f>
        <v>1.821</v>
      </c>
      <c r="J10">
        <v>0.58199999999999996</v>
      </c>
      <c r="K10">
        <f t="shared" ref="K10:K38" si="1">301.37+1.332+J10-E10</f>
        <v>301.28399999999999</v>
      </c>
      <c r="L10" s="2">
        <f>I10*COS(U10)</f>
        <v>1.1275537578350627</v>
      </c>
      <c r="M10" s="2">
        <f t="shared" ref="M10:M38" si="2">I10*SIN(U10)</f>
        <v>1.4299173134108238</v>
      </c>
      <c r="N10" s="2">
        <f t="shared" ref="N10:N38" si="3">1000+L10</f>
        <v>1001.127553757835</v>
      </c>
      <c r="O10" s="2">
        <f t="shared" ref="O10:O38" si="4">1000+M10</f>
        <v>1001.4299173134108</v>
      </c>
      <c r="T10">
        <f t="shared" ref="T10:T38" si="5">F10+G10/60+H10/3600</f>
        <v>183.81166666666667</v>
      </c>
      <c r="U10" s="3">
        <f t="shared" ref="U10:U38" si="6">IF((47.9325+T10-180)&gt;0, (47.9325+T10-180)*3.1415/180, (47.9325+T10+180)*3.1415/180)</f>
        <v>0.90307944212962965</v>
      </c>
      <c r="V10" s="3"/>
      <c r="W10">
        <v>1821</v>
      </c>
    </row>
    <row r="11" spans="4:23" x14ac:dyDescent="0.25">
      <c r="D11" t="s">
        <v>14</v>
      </c>
      <c r="E11">
        <v>2</v>
      </c>
      <c r="F11">
        <v>224</v>
      </c>
      <c r="G11">
        <v>54</v>
      </c>
      <c r="H11">
        <v>30</v>
      </c>
      <c r="I11">
        <f t="shared" si="0"/>
        <v>2.4060000000000001</v>
      </c>
      <c r="J11">
        <v>0.53900000000000003</v>
      </c>
      <c r="K11">
        <f t="shared" si="1"/>
        <v>301.24099999999999</v>
      </c>
      <c r="L11" s="2">
        <f t="shared" ref="L11:L38" si="7">I11*COS(U11)</f>
        <v>-0.11913032835688452</v>
      </c>
      <c r="M11" s="2">
        <f t="shared" si="2"/>
        <v>2.403048889403955</v>
      </c>
      <c r="N11" s="2">
        <f t="shared" si="3"/>
        <v>999.88086967164315</v>
      </c>
      <c r="O11" s="2">
        <f t="shared" si="4"/>
        <v>1002.403048889404</v>
      </c>
      <c r="T11">
        <f t="shared" si="5"/>
        <v>224.90833333333333</v>
      </c>
      <c r="U11" s="3">
        <f t="shared" si="6"/>
        <v>1.62033043287037</v>
      </c>
      <c r="V11" s="3"/>
      <c r="W11">
        <v>2406</v>
      </c>
    </row>
    <row r="12" spans="4:23" x14ac:dyDescent="0.25">
      <c r="D12" t="s">
        <v>16</v>
      </c>
      <c r="E12">
        <v>2</v>
      </c>
      <c r="F12">
        <v>123</v>
      </c>
      <c r="G12">
        <v>25</v>
      </c>
      <c r="H12">
        <v>7</v>
      </c>
      <c r="I12">
        <f t="shared" si="0"/>
        <v>6.8689999999999998</v>
      </c>
      <c r="J12">
        <v>0.64</v>
      </c>
      <c r="K12">
        <f t="shared" si="1"/>
        <v>301.34199999999998</v>
      </c>
      <c r="L12" s="2">
        <f t="shared" si="7"/>
        <v>6.7907017375543708</v>
      </c>
      <c r="M12" s="2">
        <f t="shared" si="2"/>
        <v>-1.0341812759744022</v>
      </c>
      <c r="N12" s="2">
        <f t="shared" si="3"/>
        <v>1006.7907017375544</v>
      </c>
      <c r="O12" s="2">
        <f t="shared" si="4"/>
        <v>998.96581872402555</v>
      </c>
      <c r="T12">
        <f t="shared" si="5"/>
        <v>123.41861111111112</v>
      </c>
      <c r="U12" s="3">
        <f t="shared" si="6"/>
        <v>6.1320528641975303</v>
      </c>
      <c r="V12" s="3"/>
      <c r="W12">
        <v>6869</v>
      </c>
    </row>
    <row r="13" spans="4:23" x14ac:dyDescent="0.25">
      <c r="D13" t="s">
        <v>17</v>
      </c>
      <c r="E13">
        <v>2</v>
      </c>
      <c r="F13">
        <v>90</v>
      </c>
      <c r="G13">
        <v>43</v>
      </c>
      <c r="H13">
        <v>26</v>
      </c>
      <c r="I13">
        <f t="shared" si="0"/>
        <v>5.8419999999999996</v>
      </c>
      <c r="J13">
        <v>0.57099999999999995</v>
      </c>
      <c r="K13">
        <f t="shared" si="1"/>
        <v>301.27300000000002</v>
      </c>
      <c r="L13" s="2">
        <f t="shared" si="7"/>
        <v>4.385315933075983</v>
      </c>
      <c r="M13" s="2">
        <f t="shared" si="2"/>
        <v>-3.8597886168947015</v>
      </c>
      <c r="N13" s="2">
        <f t="shared" si="3"/>
        <v>1004.385315933076</v>
      </c>
      <c r="O13" s="2">
        <f t="shared" si="4"/>
        <v>996.14021138310534</v>
      </c>
      <c r="T13">
        <f t="shared" si="5"/>
        <v>90.723888888888894</v>
      </c>
      <c r="U13" s="3">
        <f t="shared" si="6"/>
        <v>5.5614391427469139</v>
      </c>
      <c r="V13" s="3"/>
      <c r="W13">
        <v>5842</v>
      </c>
    </row>
    <row r="14" spans="4:23" x14ac:dyDescent="0.25">
      <c r="D14" t="s">
        <v>18</v>
      </c>
      <c r="E14">
        <v>2</v>
      </c>
      <c r="F14">
        <v>59</v>
      </c>
      <c r="G14">
        <v>58</v>
      </c>
      <c r="H14">
        <v>28</v>
      </c>
      <c r="I14">
        <f t="shared" si="0"/>
        <v>2.8849999999999998</v>
      </c>
      <c r="J14">
        <v>0.56000000000000005</v>
      </c>
      <c r="K14">
        <f t="shared" si="1"/>
        <v>301.262</v>
      </c>
      <c r="L14" s="2">
        <f t="shared" si="7"/>
        <v>0.88664973289197913</v>
      </c>
      <c r="M14" s="2">
        <f t="shared" si="2"/>
        <v>-2.7453737907910791</v>
      </c>
      <c r="N14" s="2">
        <f t="shared" si="3"/>
        <v>1000.886649732892</v>
      </c>
      <c r="O14" s="2">
        <f t="shared" si="4"/>
        <v>997.25462620920894</v>
      </c>
      <c r="T14">
        <f t="shared" si="5"/>
        <v>59.974444444444444</v>
      </c>
      <c r="U14" s="3">
        <f t="shared" si="6"/>
        <v>5.024775922067902</v>
      </c>
      <c r="V14" s="3"/>
      <c r="W14">
        <v>2885</v>
      </c>
    </row>
    <row r="15" spans="4:23" x14ac:dyDescent="0.25">
      <c r="D15" t="s">
        <v>19</v>
      </c>
      <c r="E15">
        <v>2</v>
      </c>
      <c r="F15">
        <v>247</v>
      </c>
      <c r="G15">
        <v>57</v>
      </c>
      <c r="H15">
        <v>24</v>
      </c>
      <c r="I15">
        <f t="shared" si="0"/>
        <v>11.635</v>
      </c>
      <c r="J15">
        <v>-0.22</v>
      </c>
      <c r="K15">
        <f t="shared" si="1"/>
        <v>300.48199999999997</v>
      </c>
      <c r="L15" s="2">
        <f t="shared" si="7"/>
        <v>-5.0795853501187951</v>
      </c>
      <c r="M15" s="2">
        <f t="shared" si="2"/>
        <v>10.467618529104818</v>
      </c>
      <c r="N15" s="2">
        <f t="shared" si="3"/>
        <v>994.9204146498812</v>
      </c>
      <c r="O15" s="2">
        <f t="shared" si="4"/>
        <v>1010.4676185291048</v>
      </c>
      <c r="T15">
        <f t="shared" si="5"/>
        <v>247.95666666666665</v>
      </c>
      <c r="U15" s="3">
        <f t="shared" si="6"/>
        <v>2.0225878726851851</v>
      </c>
      <c r="V15" s="3"/>
      <c r="W15">
        <v>11635</v>
      </c>
    </row>
    <row r="16" spans="4:23" x14ac:dyDescent="0.25">
      <c r="D16" t="s">
        <v>20</v>
      </c>
      <c r="E16">
        <v>2</v>
      </c>
      <c r="F16">
        <v>238</v>
      </c>
      <c r="G16">
        <v>27</v>
      </c>
      <c r="H16">
        <v>53</v>
      </c>
      <c r="I16">
        <f t="shared" si="0"/>
        <v>10.068</v>
      </c>
      <c r="J16">
        <v>0.56499999999999995</v>
      </c>
      <c r="K16">
        <f t="shared" si="1"/>
        <v>301.267</v>
      </c>
      <c r="L16" s="2">
        <f t="shared" si="7"/>
        <v>-2.8416165597645602</v>
      </c>
      <c r="M16" s="2">
        <f t="shared" si="2"/>
        <v>9.6586665398113745</v>
      </c>
      <c r="N16" s="2">
        <f t="shared" si="3"/>
        <v>997.15838344023541</v>
      </c>
      <c r="O16" s="2">
        <f t="shared" si="4"/>
        <v>1009.6586665398114</v>
      </c>
      <c r="T16">
        <f t="shared" si="5"/>
        <v>238.46472222222221</v>
      </c>
      <c r="U16" s="3">
        <f t="shared" si="6"/>
        <v>1.8569270756172835</v>
      </c>
      <c r="V16" s="3"/>
      <c r="W16">
        <v>10068</v>
      </c>
    </row>
    <row r="17" spans="4:23" x14ac:dyDescent="0.25">
      <c r="D17" t="s">
        <v>21</v>
      </c>
      <c r="E17">
        <v>2</v>
      </c>
      <c r="F17">
        <v>152</v>
      </c>
      <c r="G17">
        <v>8</v>
      </c>
      <c r="H17">
        <v>48</v>
      </c>
      <c r="I17">
        <f t="shared" si="0"/>
        <v>5.4420000000000002</v>
      </c>
      <c r="J17">
        <v>0.61899999999999999</v>
      </c>
      <c r="K17">
        <f t="shared" si="1"/>
        <v>301.32100000000003</v>
      </c>
      <c r="L17" s="2">
        <f t="shared" si="7"/>
        <v>5.1112499146279724</v>
      </c>
      <c r="M17" s="2">
        <f t="shared" si="2"/>
        <v>1.8682848578885252</v>
      </c>
      <c r="N17" s="2">
        <f t="shared" si="3"/>
        <v>1005.1112499146279</v>
      </c>
      <c r="O17" s="2">
        <f t="shared" si="4"/>
        <v>1001.8682848578885</v>
      </c>
      <c r="T17">
        <f t="shared" si="5"/>
        <v>152.14666666666665</v>
      </c>
      <c r="U17" s="3">
        <f t="shared" si="6"/>
        <v>0.35043723379629604</v>
      </c>
      <c r="V17" s="3"/>
      <c r="W17">
        <v>5442</v>
      </c>
    </row>
    <row r="18" spans="4:23" x14ac:dyDescent="0.25">
      <c r="D18" t="s">
        <v>22</v>
      </c>
      <c r="E18">
        <v>2</v>
      </c>
      <c r="F18">
        <v>255</v>
      </c>
      <c r="G18">
        <v>41</v>
      </c>
      <c r="H18">
        <v>46</v>
      </c>
      <c r="I18">
        <f t="shared" si="0"/>
        <v>10.268000000000001</v>
      </c>
      <c r="J18">
        <v>-0.114</v>
      </c>
      <c r="K18">
        <f t="shared" si="1"/>
        <v>300.58800000000002</v>
      </c>
      <c r="L18" s="2">
        <f t="shared" si="7"/>
        <v>-5.6859503657690622</v>
      </c>
      <c r="M18" s="2">
        <f t="shared" si="2"/>
        <v>8.5499586220057626</v>
      </c>
      <c r="N18" s="2">
        <f t="shared" si="3"/>
        <v>994.31404963423097</v>
      </c>
      <c r="O18" s="2">
        <f t="shared" si="4"/>
        <v>1008.5499586220058</v>
      </c>
      <c r="T18">
        <f t="shared" si="5"/>
        <v>255.69611111111112</v>
      </c>
      <c r="U18" s="3">
        <f t="shared" si="6"/>
        <v>2.1576626766975315</v>
      </c>
      <c r="V18" s="3"/>
      <c r="W18">
        <v>10268</v>
      </c>
    </row>
    <row r="19" spans="4:23" x14ac:dyDescent="0.25">
      <c r="D19" t="s">
        <v>23</v>
      </c>
      <c r="E19">
        <v>2</v>
      </c>
      <c r="F19">
        <v>19</v>
      </c>
      <c r="G19">
        <v>36</v>
      </c>
      <c r="H19">
        <v>57</v>
      </c>
      <c r="I19">
        <f t="shared" si="0"/>
        <v>1.149</v>
      </c>
      <c r="J19">
        <v>0.49199999999999999</v>
      </c>
      <c r="K19">
        <f t="shared" si="1"/>
        <v>301.19400000000002</v>
      </c>
      <c r="L19" s="2">
        <f t="shared" si="7"/>
        <v>-0.43894292857851958</v>
      </c>
      <c r="M19" s="2">
        <f t="shared" si="2"/>
        <v>-1.061852205088313</v>
      </c>
      <c r="N19" s="2">
        <f t="shared" si="3"/>
        <v>999.56105707142149</v>
      </c>
      <c r="O19" s="2">
        <f t="shared" si="4"/>
        <v>998.93814779491174</v>
      </c>
      <c r="T19">
        <f t="shared" si="5"/>
        <v>19.615833333333335</v>
      </c>
      <c r="U19" s="3">
        <f t="shared" si="6"/>
        <v>4.3204060509259259</v>
      </c>
      <c r="V19" s="3"/>
      <c r="W19">
        <v>1149</v>
      </c>
    </row>
    <row r="20" spans="4:23" x14ac:dyDescent="0.25">
      <c r="D20" t="s">
        <v>24</v>
      </c>
      <c r="E20">
        <v>2</v>
      </c>
      <c r="F20">
        <v>34</v>
      </c>
      <c r="G20">
        <v>56</v>
      </c>
      <c r="H20">
        <v>0</v>
      </c>
      <c r="I20">
        <f t="shared" si="0"/>
        <v>1.5620000000000001</v>
      </c>
      <c r="J20">
        <v>0.34699999999999998</v>
      </c>
      <c r="K20">
        <f t="shared" si="1"/>
        <v>301.04899999999998</v>
      </c>
      <c r="L20" s="2">
        <f t="shared" si="7"/>
        <v>-0.19419949622934685</v>
      </c>
      <c r="M20" s="2">
        <f t="shared" si="2"/>
        <v>-1.5498808198259206</v>
      </c>
      <c r="N20" s="2">
        <f t="shared" si="3"/>
        <v>999.80580050377068</v>
      </c>
      <c r="O20" s="2">
        <f t="shared" si="4"/>
        <v>998.45011918017406</v>
      </c>
      <c r="T20">
        <f t="shared" si="5"/>
        <v>34.93333333333333</v>
      </c>
      <c r="U20" s="3">
        <f t="shared" si="6"/>
        <v>4.5877389745370376</v>
      </c>
      <c r="V20" s="3"/>
      <c r="W20">
        <v>1562</v>
      </c>
    </row>
    <row r="21" spans="4:23" x14ac:dyDescent="0.25">
      <c r="D21" t="s">
        <v>25</v>
      </c>
      <c r="E21">
        <v>2</v>
      </c>
      <c r="F21">
        <v>36</v>
      </c>
      <c r="G21">
        <v>17</v>
      </c>
      <c r="H21">
        <v>58</v>
      </c>
      <c r="I21">
        <f t="shared" si="0"/>
        <v>12.773999999999999</v>
      </c>
      <c r="J21">
        <v>0.38900000000000001</v>
      </c>
      <c r="K21">
        <f t="shared" si="1"/>
        <v>301.09100000000001</v>
      </c>
      <c r="L21" s="2">
        <f t="shared" si="7"/>
        <v>-1.2855360379692558</v>
      </c>
      <c r="M21" s="2">
        <f t="shared" si="2"/>
        <v>-12.709149188481591</v>
      </c>
      <c r="N21" s="2">
        <f t="shared" si="3"/>
        <v>998.71446396203078</v>
      </c>
      <c r="O21" s="2">
        <f t="shared" si="4"/>
        <v>987.29085081151845</v>
      </c>
      <c r="T21">
        <f t="shared" si="5"/>
        <v>36.29944444444444</v>
      </c>
      <c r="U21" s="3">
        <f t="shared" si="6"/>
        <v>4.6115814081790116</v>
      </c>
      <c r="V21" s="3"/>
      <c r="W21">
        <v>12774</v>
      </c>
    </row>
    <row r="22" spans="4:23" x14ac:dyDescent="0.25">
      <c r="D22">
        <v>3</v>
      </c>
      <c r="E22">
        <v>2</v>
      </c>
      <c r="F22">
        <v>36</v>
      </c>
      <c r="G22">
        <v>44</v>
      </c>
      <c r="H22">
        <v>16</v>
      </c>
      <c r="I22">
        <f t="shared" si="0"/>
        <v>10.814</v>
      </c>
      <c r="J22">
        <v>0.54400000000000004</v>
      </c>
      <c r="K22">
        <f t="shared" si="1"/>
        <v>301.24599999999998</v>
      </c>
      <c r="L22" s="2">
        <f t="shared" si="7"/>
        <v>-1.0059480715655797</v>
      </c>
      <c r="M22" s="2">
        <f t="shared" si="2"/>
        <v>-10.767110312303553</v>
      </c>
      <c r="N22" s="2">
        <f t="shared" si="3"/>
        <v>998.99405192843437</v>
      </c>
      <c r="O22" s="2">
        <f t="shared" si="4"/>
        <v>989.23288968769646</v>
      </c>
      <c r="T22">
        <f t="shared" si="5"/>
        <v>36.737777777777779</v>
      </c>
      <c r="U22" s="3">
        <f t="shared" si="6"/>
        <v>4.6192315424382713</v>
      </c>
      <c r="V22" s="3"/>
      <c r="W22">
        <v>10814</v>
      </c>
    </row>
    <row r="23" spans="4:23" x14ac:dyDescent="0.25">
      <c r="D23">
        <v>4</v>
      </c>
      <c r="E23">
        <v>2</v>
      </c>
      <c r="F23">
        <v>358</v>
      </c>
      <c r="G23">
        <v>22</v>
      </c>
      <c r="H23">
        <v>10</v>
      </c>
      <c r="I23">
        <f t="shared" si="0"/>
        <v>7.8319999999999999</v>
      </c>
      <c r="J23">
        <v>0.68600000000000005</v>
      </c>
      <c r="K23">
        <f t="shared" si="1"/>
        <v>301.38799999999998</v>
      </c>
      <c r="L23" s="2">
        <f t="shared" si="7"/>
        <v>-5.4114584473279725</v>
      </c>
      <c r="M23" s="2">
        <f t="shared" si="2"/>
        <v>-5.6618319891041207</v>
      </c>
      <c r="N23" s="2">
        <f t="shared" si="3"/>
        <v>994.58854155267204</v>
      </c>
      <c r="O23" s="2">
        <f t="shared" si="4"/>
        <v>994.33816801089586</v>
      </c>
      <c r="T23">
        <f t="shared" si="5"/>
        <v>358.36944444444447</v>
      </c>
      <c r="U23" s="3">
        <f t="shared" si="6"/>
        <v>3.9495975470679019</v>
      </c>
      <c r="V23" s="3"/>
      <c r="W23">
        <v>7832</v>
      </c>
    </row>
    <row r="24" spans="4:23" x14ac:dyDescent="0.25">
      <c r="D24">
        <v>5</v>
      </c>
      <c r="E24">
        <v>2</v>
      </c>
      <c r="F24">
        <v>267</v>
      </c>
      <c r="G24">
        <v>56</v>
      </c>
      <c r="H24">
        <v>38</v>
      </c>
      <c r="I24">
        <f t="shared" si="0"/>
        <v>3.653</v>
      </c>
      <c r="J24">
        <v>0.23499999999999999</v>
      </c>
      <c r="K24">
        <f t="shared" si="1"/>
        <v>300.93700000000001</v>
      </c>
      <c r="L24" s="2">
        <f t="shared" si="7"/>
        <v>-2.6220896516043544</v>
      </c>
      <c r="M24" s="2">
        <f t="shared" si="2"/>
        <v>2.5434336749656663</v>
      </c>
      <c r="N24" s="2">
        <f t="shared" si="3"/>
        <v>997.37791034839563</v>
      </c>
      <c r="O24" s="2">
        <f t="shared" si="4"/>
        <v>1002.5434336749656</v>
      </c>
      <c r="T24">
        <f t="shared" si="5"/>
        <v>267.94388888888892</v>
      </c>
      <c r="U24" s="3">
        <f t="shared" si="6"/>
        <v>2.371420420524692</v>
      </c>
      <c r="V24" s="3"/>
      <c r="W24">
        <v>3653</v>
      </c>
    </row>
    <row r="25" spans="4:23" x14ac:dyDescent="0.25">
      <c r="D25">
        <v>6</v>
      </c>
      <c r="E25">
        <v>2</v>
      </c>
      <c r="F25">
        <v>290</v>
      </c>
      <c r="G25">
        <v>3</v>
      </c>
      <c r="H25">
        <v>0</v>
      </c>
      <c r="I25">
        <f t="shared" si="0"/>
        <v>4.327</v>
      </c>
      <c r="J25">
        <v>0.99199999999999999</v>
      </c>
      <c r="K25">
        <f t="shared" si="1"/>
        <v>301.69400000000002</v>
      </c>
      <c r="L25" s="2">
        <f t="shared" si="7"/>
        <v>-4.0112973421556761</v>
      </c>
      <c r="M25" s="2">
        <f t="shared" si="2"/>
        <v>1.6224742317876137</v>
      </c>
      <c r="N25" s="2">
        <f t="shared" si="3"/>
        <v>995.98870265784433</v>
      </c>
      <c r="O25" s="2">
        <f t="shared" si="4"/>
        <v>1001.6224742317876</v>
      </c>
      <c r="T25">
        <f t="shared" si="5"/>
        <v>290.05</v>
      </c>
      <c r="U25" s="3">
        <f t="shared" si="6"/>
        <v>2.7572334652777784</v>
      </c>
      <c r="V25" s="3"/>
      <c r="W25">
        <v>4327</v>
      </c>
    </row>
    <row r="26" spans="4:23" x14ac:dyDescent="0.25">
      <c r="D26">
        <v>7</v>
      </c>
      <c r="E26">
        <v>2</v>
      </c>
      <c r="F26">
        <v>247</v>
      </c>
      <c r="G26">
        <v>12</v>
      </c>
      <c r="H26">
        <v>7</v>
      </c>
      <c r="I26">
        <f t="shared" si="0"/>
        <v>5.0910000000000002</v>
      </c>
      <c r="J26">
        <v>0.69299999999999995</v>
      </c>
      <c r="K26">
        <f t="shared" si="1"/>
        <v>301.39499999999998</v>
      </c>
      <c r="L26" s="2">
        <f t="shared" si="7"/>
        <v>-2.1620972592019534</v>
      </c>
      <c r="M26" s="2">
        <f t="shared" si="2"/>
        <v>4.6090797825326693</v>
      </c>
      <c r="N26" s="2">
        <f t="shared" si="3"/>
        <v>997.83790274079809</v>
      </c>
      <c r="O26" s="2">
        <f t="shared" si="4"/>
        <v>1004.6090797825327</v>
      </c>
      <c r="T26">
        <f t="shared" si="5"/>
        <v>247.20194444444442</v>
      </c>
      <c r="U26" s="3">
        <f t="shared" si="6"/>
        <v>2.0094158734567893</v>
      </c>
      <c r="V26" s="3"/>
      <c r="W26">
        <v>5091</v>
      </c>
    </row>
    <row r="27" spans="4:23" x14ac:dyDescent="0.25">
      <c r="D27" t="s">
        <v>26</v>
      </c>
      <c r="E27">
        <v>2</v>
      </c>
      <c r="F27">
        <v>172</v>
      </c>
      <c r="G27">
        <v>42</v>
      </c>
      <c r="H27">
        <v>17</v>
      </c>
      <c r="I27">
        <f t="shared" si="0"/>
        <v>4.3940000000000001</v>
      </c>
      <c r="J27">
        <v>0.79400000000000004</v>
      </c>
      <c r="K27">
        <f t="shared" si="1"/>
        <v>301.49599999999998</v>
      </c>
      <c r="L27" s="2">
        <f t="shared" si="7"/>
        <v>3.33443960294457</v>
      </c>
      <c r="M27" s="2">
        <f t="shared" si="2"/>
        <v>2.8615989471473569</v>
      </c>
      <c r="N27" s="2">
        <f t="shared" si="3"/>
        <v>1003.3344396029446</v>
      </c>
      <c r="O27" s="2">
        <f t="shared" si="4"/>
        <v>1002.8615989471474</v>
      </c>
      <c r="T27">
        <f t="shared" si="5"/>
        <v>172.70472222222222</v>
      </c>
      <c r="U27" s="3">
        <f t="shared" si="6"/>
        <v>0.70923240895061723</v>
      </c>
      <c r="V27" s="3"/>
      <c r="W27">
        <v>4394</v>
      </c>
    </row>
    <row r="28" spans="4:23" x14ac:dyDescent="0.25">
      <c r="D28" t="s">
        <v>27</v>
      </c>
      <c r="E28">
        <v>2</v>
      </c>
      <c r="F28">
        <v>90</v>
      </c>
      <c r="G28">
        <v>0</v>
      </c>
      <c r="H28">
        <v>18</v>
      </c>
      <c r="I28">
        <f t="shared" si="0"/>
        <v>4.5469999999999997</v>
      </c>
      <c r="J28">
        <v>0.54</v>
      </c>
      <c r="K28">
        <f t="shared" si="1"/>
        <v>301.24200000000002</v>
      </c>
      <c r="L28" s="2">
        <f t="shared" si="7"/>
        <v>3.375260041766603</v>
      </c>
      <c r="M28" s="2">
        <f t="shared" si="2"/>
        <v>-3.0467734819729722</v>
      </c>
      <c r="N28" s="2">
        <f t="shared" si="3"/>
        <v>1003.3752600417666</v>
      </c>
      <c r="O28" s="2">
        <f t="shared" si="4"/>
        <v>996.95322651802701</v>
      </c>
      <c r="T28">
        <f t="shared" si="5"/>
        <v>90.004999999999995</v>
      </c>
      <c r="U28" s="3">
        <f t="shared" si="6"/>
        <v>5.5488925347222224</v>
      </c>
      <c r="V28" s="3"/>
      <c r="W28">
        <v>4547</v>
      </c>
    </row>
    <row r="29" spans="4:23" x14ac:dyDescent="0.25">
      <c r="D29">
        <v>9</v>
      </c>
      <c r="E29">
        <v>2</v>
      </c>
      <c r="F29">
        <v>69</v>
      </c>
      <c r="G29">
        <v>0</v>
      </c>
      <c r="H29">
        <v>28</v>
      </c>
      <c r="I29">
        <f t="shared" si="0"/>
        <v>5.3540000000000001</v>
      </c>
      <c r="J29">
        <v>0.51900000000000002</v>
      </c>
      <c r="K29">
        <f t="shared" si="1"/>
        <v>301.221</v>
      </c>
      <c r="L29" s="2">
        <f t="shared" si="7"/>
        <v>2.4249617741570195</v>
      </c>
      <c r="M29" s="2">
        <f t="shared" si="2"/>
        <v>-4.7733506464408464</v>
      </c>
      <c r="N29" s="2">
        <f t="shared" si="3"/>
        <v>1002.4249617741571</v>
      </c>
      <c r="O29" s="2">
        <f t="shared" si="4"/>
        <v>995.2266493535592</v>
      </c>
      <c r="T29">
        <f t="shared" si="5"/>
        <v>69.007777777777775</v>
      </c>
      <c r="U29" s="3">
        <f t="shared" si="6"/>
        <v>5.1824326813271604</v>
      </c>
      <c r="V29" s="3"/>
      <c r="W29">
        <v>5354</v>
      </c>
    </row>
    <row r="30" spans="4:23" x14ac:dyDescent="0.25">
      <c r="D30" t="s">
        <v>28</v>
      </c>
      <c r="E30">
        <v>1.4</v>
      </c>
      <c r="F30">
        <v>60</v>
      </c>
      <c r="G30">
        <v>29</v>
      </c>
      <c r="H30">
        <v>25</v>
      </c>
      <c r="I30">
        <f t="shared" si="0"/>
        <v>17.056000000000001</v>
      </c>
      <c r="J30">
        <v>-0.61</v>
      </c>
      <c r="K30">
        <f t="shared" si="1"/>
        <v>300.69200000000001</v>
      </c>
      <c r="L30" s="2">
        <f t="shared" si="7"/>
        <v>5.3877409874865076</v>
      </c>
      <c r="M30" s="2">
        <f t="shared" si="2"/>
        <v>-16.182687757346056</v>
      </c>
      <c r="N30" s="2">
        <f t="shared" si="3"/>
        <v>1005.3877409874865</v>
      </c>
      <c r="O30" s="2">
        <f t="shared" si="4"/>
        <v>983.817312242654</v>
      </c>
      <c r="T30">
        <f t="shared" si="5"/>
        <v>60.490277777777777</v>
      </c>
      <c r="U30" s="3">
        <f t="shared" si="6"/>
        <v>5.0337786466049392</v>
      </c>
      <c r="V30" s="3"/>
      <c r="W30">
        <v>17056</v>
      </c>
    </row>
    <row r="31" spans="4:23" x14ac:dyDescent="0.25">
      <c r="D31" t="s">
        <v>29</v>
      </c>
      <c r="E31">
        <v>1.4</v>
      </c>
      <c r="F31">
        <v>35</v>
      </c>
      <c r="G31">
        <v>40</v>
      </c>
      <c r="H31">
        <v>36</v>
      </c>
      <c r="I31">
        <f t="shared" si="0"/>
        <v>16.79</v>
      </c>
      <c r="J31">
        <v>-0.45900000000000002</v>
      </c>
      <c r="K31">
        <f t="shared" si="1"/>
        <v>300.84300000000002</v>
      </c>
      <c r="L31" s="2">
        <f t="shared" si="7"/>
        <v>-1.8711579542128225</v>
      </c>
      <c r="M31" s="2">
        <f t="shared" si="2"/>
        <v>-16.68540883258142</v>
      </c>
      <c r="N31" s="2">
        <f t="shared" si="3"/>
        <v>998.12884204578722</v>
      </c>
      <c r="O31" s="2">
        <f t="shared" si="4"/>
        <v>983.3145911674186</v>
      </c>
      <c r="T31">
        <f t="shared" si="5"/>
        <v>35.676666666666662</v>
      </c>
      <c r="U31" s="3">
        <f t="shared" si="6"/>
        <v>4.6007122060185184</v>
      </c>
      <c r="V31" s="3"/>
      <c r="W31">
        <v>16790</v>
      </c>
    </row>
    <row r="32" spans="4:23" x14ac:dyDescent="0.25">
      <c r="D32">
        <v>3</v>
      </c>
      <c r="E32">
        <v>1.4</v>
      </c>
      <c r="F32">
        <v>34</v>
      </c>
      <c r="G32">
        <v>55</v>
      </c>
      <c r="H32">
        <v>6</v>
      </c>
      <c r="I32">
        <f t="shared" si="0"/>
        <v>19.347000000000001</v>
      </c>
      <c r="J32">
        <v>-0.55000000000000004</v>
      </c>
      <c r="K32">
        <f t="shared" si="1"/>
        <v>300.75200000000001</v>
      </c>
      <c r="L32" s="2">
        <f t="shared" si="7"/>
        <v>-2.410388918251134</v>
      </c>
      <c r="M32" s="2">
        <f t="shared" si="2"/>
        <v>-19.196260944849968</v>
      </c>
      <c r="N32" s="2">
        <f t="shared" si="3"/>
        <v>997.5896110817489</v>
      </c>
      <c r="O32" s="2">
        <f t="shared" si="4"/>
        <v>980.80373905515</v>
      </c>
      <c r="T32">
        <f t="shared" si="5"/>
        <v>34.918333333333329</v>
      </c>
      <c r="U32" s="3">
        <f t="shared" si="6"/>
        <v>4.5874771828703693</v>
      </c>
      <c r="V32" s="3"/>
      <c r="W32">
        <v>19347</v>
      </c>
    </row>
    <row r="33" spans="4:23" x14ac:dyDescent="0.25">
      <c r="D33">
        <v>4</v>
      </c>
      <c r="E33">
        <v>1.4</v>
      </c>
      <c r="F33">
        <v>42</v>
      </c>
      <c r="G33">
        <v>22</v>
      </c>
      <c r="H33">
        <v>46</v>
      </c>
      <c r="I33">
        <f t="shared" si="0"/>
        <v>23.501000000000001</v>
      </c>
      <c r="J33">
        <v>-0.83499999999999996</v>
      </c>
      <c r="K33">
        <f t="shared" si="1"/>
        <v>300.46700000000004</v>
      </c>
      <c r="L33" s="2">
        <f t="shared" si="7"/>
        <v>0.12467966248991993</v>
      </c>
      <c r="M33" s="2">
        <f t="shared" si="2"/>
        <v>-23.500669266677523</v>
      </c>
      <c r="N33" s="2">
        <f t="shared" si="3"/>
        <v>1000.1246796624899</v>
      </c>
      <c r="O33" s="2">
        <f t="shared" si="4"/>
        <v>976.49933073332249</v>
      </c>
      <c r="T33">
        <f t="shared" si="5"/>
        <v>42.379444444444445</v>
      </c>
      <c r="U33" s="3">
        <f t="shared" si="6"/>
        <v>4.7176942970679008</v>
      </c>
      <c r="V33" s="3"/>
      <c r="W33">
        <v>23501</v>
      </c>
    </row>
    <row r="34" spans="4:23" x14ac:dyDescent="0.25">
      <c r="D34">
        <v>5</v>
      </c>
      <c r="E34">
        <v>1.35</v>
      </c>
      <c r="F34">
        <v>59</v>
      </c>
      <c r="G34">
        <v>55</v>
      </c>
      <c r="H34">
        <v>9</v>
      </c>
      <c r="I34">
        <f t="shared" si="0"/>
        <v>25.117000000000001</v>
      </c>
      <c r="J34">
        <v>-0.69499999999999995</v>
      </c>
      <c r="K34">
        <f t="shared" si="1"/>
        <v>300.65699999999998</v>
      </c>
      <c r="L34" s="2">
        <f t="shared" si="7"/>
        <v>7.6961684797549879</v>
      </c>
      <c r="M34" s="2">
        <f t="shared" si="2"/>
        <v>-23.908841036972618</v>
      </c>
      <c r="N34" s="2">
        <f t="shared" si="3"/>
        <v>1007.696168479755</v>
      </c>
      <c r="O34" s="2">
        <f t="shared" si="4"/>
        <v>976.0911589630274</v>
      </c>
      <c r="T34">
        <f t="shared" si="5"/>
        <v>59.919166666666662</v>
      </c>
      <c r="U34" s="3">
        <f t="shared" si="6"/>
        <v>5.0238111712962965</v>
      </c>
      <c r="V34" s="3"/>
      <c r="W34">
        <v>25117</v>
      </c>
    </row>
    <row r="35" spans="4:23" x14ac:dyDescent="0.25">
      <c r="D35" t="s">
        <v>30</v>
      </c>
      <c r="E35">
        <v>1.35</v>
      </c>
      <c r="F35">
        <v>71</v>
      </c>
      <c r="G35">
        <v>10</v>
      </c>
      <c r="H35">
        <v>57</v>
      </c>
      <c r="I35">
        <f t="shared" si="0"/>
        <v>25.504000000000001</v>
      </c>
      <c r="J35">
        <v>-0.53300000000000003</v>
      </c>
      <c r="K35">
        <f t="shared" si="1"/>
        <v>300.81899999999996</v>
      </c>
      <c r="L35" s="2">
        <f t="shared" si="7"/>
        <v>12.405900478898069</v>
      </c>
      <c r="M35" s="2">
        <f t="shared" si="2"/>
        <v>-22.283349149256644</v>
      </c>
      <c r="N35" s="2">
        <f t="shared" si="3"/>
        <v>1012.405900478898</v>
      </c>
      <c r="O35" s="2">
        <f t="shared" si="4"/>
        <v>977.71665085074335</v>
      </c>
      <c r="T35">
        <f t="shared" si="5"/>
        <v>71.182500000000005</v>
      </c>
      <c r="U35" s="3">
        <f t="shared" si="6"/>
        <v>5.2203876250000008</v>
      </c>
      <c r="V35" s="3"/>
      <c r="W35">
        <v>25504</v>
      </c>
    </row>
    <row r="36" spans="4:23" x14ac:dyDescent="0.25">
      <c r="D36" t="s">
        <v>31</v>
      </c>
      <c r="E36">
        <v>1.35</v>
      </c>
      <c r="F36">
        <v>72</v>
      </c>
      <c r="G36">
        <v>5</v>
      </c>
      <c r="H36">
        <v>48</v>
      </c>
      <c r="I36">
        <f t="shared" si="0"/>
        <v>27.585000000000001</v>
      </c>
      <c r="J36">
        <v>-0.61799999999999999</v>
      </c>
      <c r="K36">
        <f t="shared" si="1"/>
        <v>300.73399999999998</v>
      </c>
      <c r="L36" s="2">
        <f t="shared" si="7"/>
        <v>13.800970681198978</v>
      </c>
      <c r="M36" s="2">
        <f t="shared" si="2"/>
        <v>-23.884418210554895</v>
      </c>
      <c r="N36" s="2">
        <f t="shared" si="3"/>
        <v>1013.800970681199</v>
      </c>
      <c r="O36" s="2">
        <f t="shared" si="4"/>
        <v>976.11558178944506</v>
      </c>
      <c r="T36">
        <f t="shared" si="5"/>
        <v>72.096666666666664</v>
      </c>
      <c r="U36" s="3">
        <f t="shared" si="6"/>
        <v>5.2363423726851863</v>
      </c>
      <c r="V36" s="3"/>
      <c r="W36">
        <v>27585</v>
      </c>
    </row>
    <row r="37" spans="4:23" x14ac:dyDescent="0.25">
      <c r="D37" t="s">
        <v>32</v>
      </c>
      <c r="E37">
        <v>2</v>
      </c>
      <c r="F37">
        <v>11</v>
      </c>
      <c r="G37">
        <v>45</v>
      </c>
      <c r="H37">
        <v>5</v>
      </c>
      <c r="I37">
        <f t="shared" si="0"/>
        <v>21.606000000000002</v>
      </c>
      <c r="J37">
        <v>0.23200000000000001</v>
      </c>
      <c r="K37">
        <f t="shared" si="1"/>
        <v>300.93400000000003</v>
      </c>
      <c r="L37" s="2">
        <f t="shared" si="7"/>
        <v>-10.908369959090441</v>
      </c>
      <c r="M37" s="2">
        <f t="shared" si="2"/>
        <v>-18.650112622598641</v>
      </c>
      <c r="N37" s="2">
        <f t="shared" si="3"/>
        <v>989.09163004090954</v>
      </c>
      <c r="O37" s="2">
        <f t="shared" si="4"/>
        <v>981.34988737740139</v>
      </c>
      <c r="T37">
        <f t="shared" si="5"/>
        <v>11.751388888888888</v>
      </c>
      <c r="U37" s="3">
        <f t="shared" si="6"/>
        <v>4.1831496496913578</v>
      </c>
      <c r="V37" s="3"/>
      <c r="W37">
        <v>21606</v>
      </c>
    </row>
    <row r="38" spans="4:23" x14ac:dyDescent="0.25">
      <c r="D38" t="s">
        <v>33</v>
      </c>
      <c r="E38">
        <v>2</v>
      </c>
      <c r="F38">
        <v>0</v>
      </c>
      <c r="G38">
        <v>1</v>
      </c>
      <c r="H38">
        <v>32</v>
      </c>
      <c r="I38">
        <f t="shared" si="0"/>
        <v>24.667000000000002</v>
      </c>
      <c r="J38">
        <v>2.1000000000000001E-2</v>
      </c>
      <c r="K38">
        <f t="shared" si="1"/>
        <v>300.72300000000001</v>
      </c>
      <c r="L38" s="2">
        <f t="shared" si="7"/>
        <v>-16.521009344407268</v>
      </c>
      <c r="M38" s="2">
        <f t="shared" si="2"/>
        <v>-18.317126937432295</v>
      </c>
      <c r="N38" s="2">
        <f t="shared" si="3"/>
        <v>983.47899065559272</v>
      </c>
      <c r="O38" s="2">
        <f t="shared" si="4"/>
        <v>981.68287306256775</v>
      </c>
      <c r="T38">
        <f t="shared" si="5"/>
        <v>2.5555555555555554E-2</v>
      </c>
      <c r="U38" s="3">
        <f t="shared" si="6"/>
        <v>3.9785012862654323</v>
      </c>
      <c r="V38" s="3"/>
      <c r="W38">
        <v>24667</v>
      </c>
    </row>
  </sheetData>
  <mergeCells count="3">
    <mergeCell ref="F7:H7"/>
    <mergeCell ref="L7:M7"/>
    <mergeCell ref="N7:O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CBF4A-71E4-480D-8052-2DC238749F07}">
  <dimension ref="B3:Q35"/>
  <sheetViews>
    <sheetView tabSelected="1" workbookViewId="0">
      <selection activeCell="N5" sqref="N5"/>
    </sheetView>
  </sheetViews>
  <sheetFormatPr defaultRowHeight="15" x14ac:dyDescent="0.25"/>
  <cols>
    <col min="2" max="2" width="11.28515625" customWidth="1"/>
    <col min="3" max="3" width="14.28515625" customWidth="1"/>
    <col min="9" max="9" width="15.7109375" customWidth="1"/>
  </cols>
  <sheetData>
    <row r="3" spans="2:17" ht="18" x14ac:dyDescent="0.35">
      <c r="B3" t="s">
        <v>10</v>
      </c>
      <c r="C3" t="s">
        <v>40</v>
      </c>
    </row>
    <row r="4" spans="2:17" x14ac:dyDescent="0.25">
      <c r="B4" t="s">
        <v>39</v>
      </c>
      <c r="C4">
        <v>1.304</v>
      </c>
    </row>
    <row r="5" spans="2:17" x14ac:dyDescent="0.25">
      <c r="B5" t="s">
        <v>1</v>
      </c>
      <c r="C5" t="s">
        <v>0</v>
      </c>
      <c r="D5" s="6" t="s">
        <v>42</v>
      </c>
      <c r="E5" s="6"/>
      <c r="F5" s="6"/>
      <c r="G5" t="s">
        <v>43</v>
      </c>
      <c r="H5" t="s">
        <v>7</v>
      </c>
      <c r="I5" t="s">
        <v>44</v>
      </c>
      <c r="J5" s="6" t="s">
        <v>34</v>
      </c>
      <c r="K5" s="6"/>
      <c r="L5" s="6" t="s">
        <v>46</v>
      </c>
      <c r="M5" s="6"/>
      <c r="P5" t="s">
        <v>37</v>
      </c>
      <c r="Q5" t="s">
        <v>47</v>
      </c>
    </row>
    <row r="6" spans="2:17" x14ac:dyDescent="0.25">
      <c r="D6" t="s">
        <v>2</v>
      </c>
      <c r="E6" t="s">
        <v>41</v>
      </c>
      <c r="F6" t="s">
        <v>4</v>
      </c>
      <c r="G6" t="s">
        <v>6</v>
      </c>
      <c r="H6" t="s">
        <v>6</v>
      </c>
      <c r="J6" t="s">
        <v>35</v>
      </c>
      <c r="K6" t="s">
        <v>45</v>
      </c>
      <c r="L6" t="s">
        <v>35</v>
      </c>
      <c r="M6" t="s">
        <v>45</v>
      </c>
    </row>
    <row r="7" spans="2:17" x14ac:dyDescent="0.25">
      <c r="B7" t="s">
        <v>48</v>
      </c>
      <c r="C7">
        <v>2</v>
      </c>
      <c r="D7">
        <v>205</v>
      </c>
      <c r="E7">
        <v>17</v>
      </c>
      <c r="F7">
        <v>12</v>
      </c>
      <c r="G7">
        <v>32.174999999999997</v>
      </c>
      <c r="H7">
        <v>0.72940000000000005</v>
      </c>
      <c r="I7" s="3">
        <f>299.219+1.304+H7-C7</f>
        <v>299.25239999999997</v>
      </c>
      <c r="J7" s="3">
        <f>G7*COS(Q7)</f>
        <v>12.959750243952126</v>
      </c>
      <c r="K7" s="3">
        <f>G7*SIN(Q7)</f>
        <v>29.449541568832316</v>
      </c>
      <c r="L7" s="3">
        <f>953.622+J7</f>
        <v>966.58175024395211</v>
      </c>
      <c r="M7" s="3">
        <f>948.623+K7</f>
        <v>978.07254156883232</v>
      </c>
      <c r="P7" s="3">
        <f>D7+E7/60+F7/3600</f>
        <v>205.28666666666666</v>
      </c>
      <c r="Q7" s="3">
        <f>IF((36.059+P8-180)&gt;0, (36.059+P8-180)*3.1415/180, (36.059+P8+180)*3.1415/180)</f>
        <v>1.1562339229938274</v>
      </c>
    </row>
    <row r="8" spans="2:17" x14ac:dyDescent="0.25">
      <c r="B8" t="s">
        <v>49</v>
      </c>
      <c r="C8" s="1">
        <v>2</v>
      </c>
      <c r="D8">
        <v>210</v>
      </c>
      <c r="E8">
        <v>11</v>
      </c>
      <c r="F8">
        <v>25</v>
      </c>
      <c r="G8">
        <v>26.631</v>
      </c>
      <c r="H8">
        <v>0.28079999999999999</v>
      </c>
      <c r="I8" s="3">
        <f t="shared" ref="I8:I35" si="0">299.219+1.304+H8-C8</f>
        <v>298.80379999999997</v>
      </c>
      <c r="J8" s="3">
        <f t="shared" ref="J8:J35" si="1">G8*COS(Q8)</f>
        <v>16.14497728430748</v>
      </c>
      <c r="K8" s="3">
        <f t="shared" ref="K8:K35" si="2">G8*SIN(Q8)</f>
        <v>21.178995950922591</v>
      </c>
      <c r="L8" s="3">
        <f t="shared" ref="L8:L35" si="3">953.622+J8</f>
        <v>969.76697728430747</v>
      </c>
      <c r="M8" s="3">
        <f t="shared" ref="M8:M35" si="4">948.623+K8</f>
        <v>969.80199595092267</v>
      </c>
      <c r="P8" s="3">
        <f t="shared" ref="P8:P35" si="5">D8+E8/60+F8/3600</f>
        <v>210.19027777777779</v>
      </c>
      <c r="Q8" s="3">
        <f t="shared" ref="Q8:Q35" si="6">IF((36.059+P9-180)&gt;0, (36.059+P9-180)*3.1415/180, (36.059+P9+180)*3.1415/180)</f>
        <v>0.919462752469136</v>
      </c>
    </row>
    <row r="9" spans="2:17" x14ac:dyDescent="0.25">
      <c r="B9" t="s">
        <v>50</v>
      </c>
      <c r="C9" s="1">
        <v>2</v>
      </c>
      <c r="D9">
        <v>196</v>
      </c>
      <c r="E9">
        <v>37</v>
      </c>
      <c r="F9">
        <v>26</v>
      </c>
      <c r="G9">
        <v>27.5124</v>
      </c>
      <c r="H9">
        <v>1.3238000000000001</v>
      </c>
      <c r="I9" s="3">
        <f t="shared" si="0"/>
        <v>299.84679999999997</v>
      </c>
      <c r="J9" s="3">
        <f t="shared" si="1"/>
        <v>-22.316971617098087</v>
      </c>
      <c r="K9" s="3">
        <f t="shared" si="2"/>
        <v>16.089901541079684</v>
      </c>
      <c r="L9" s="3">
        <f t="shared" si="3"/>
        <v>931.30502838290192</v>
      </c>
      <c r="M9" s="3">
        <f t="shared" si="4"/>
        <v>964.71290154107976</v>
      </c>
      <c r="P9" s="3">
        <f t="shared" si="5"/>
        <v>196.6238888888889</v>
      </c>
      <c r="Q9" s="3">
        <f t="shared" si="6"/>
        <v>2.5169300464506161</v>
      </c>
    </row>
    <row r="10" spans="2:17" x14ac:dyDescent="0.25">
      <c r="B10" t="s">
        <v>51</v>
      </c>
      <c r="C10" s="1">
        <v>1.6</v>
      </c>
      <c r="D10">
        <v>288</v>
      </c>
      <c r="E10">
        <v>9</v>
      </c>
      <c r="F10">
        <v>17</v>
      </c>
      <c r="G10">
        <v>13.439</v>
      </c>
      <c r="H10">
        <v>-0.92020000000000002</v>
      </c>
      <c r="I10" s="3">
        <f t="shared" si="0"/>
        <v>298.00279999999992</v>
      </c>
      <c r="J10" s="3">
        <f t="shared" si="1"/>
        <v>7.8011169256561805</v>
      </c>
      <c r="K10" s="3">
        <f t="shared" si="2"/>
        <v>10.943002134343239</v>
      </c>
      <c r="L10" s="3">
        <f t="shared" si="3"/>
        <v>961.42311692565613</v>
      </c>
      <c r="M10" s="3">
        <f t="shared" si="4"/>
        <v>959.56600213434331</v>
      </c>
      <c r="P10" s="3">
        <f t="shared" si="5"/>
        <v>288.15472222222218</v>
      </c>
      <c r="Q10" s="3">
        <f t="shared" si="6"/>
        <v>0.95147405570987642</v>
      </c>
    </row>
    <row r="11" spans="2:17" x14ac:dyDescent="0.25">
      <c r="B11" t="s">
        <v>52</v>
      </c>
      <c r="C11" s="1">
        <v>2</v>
      </c>
      <c r="D11">
        <v>198</v>
      </c>
      <c r="E11">
        <v>27</v>
      </c>
      <c r="F11">
        <v>29</v>
      </c>
      <c r="G11">
        <v>13.439</v>
      </c>
      <c r="H11">
        <v>0.92020000000000002</v>
      </c>
      <c r="I11" s="3">
        <f t="shared" si="0"/>
        <v>299.44319999999999</v>
      </c>
      <c r="J11" s="3">
        <f t="shared" si="1"/>
        <v>-5.8320016779875559</v>
      </c>
      <c r="K11" s="3">
        <f t="shared" si="2"/>
        <v>12.107620634457884</v>
      </c>
      <c r="L11" s="3">
        <f t="shared" si="3"/>
        <v>947.78999832201237</v>
      </c>
      <c r="M11" s="3">
        <f t="shared" si="4"/>
        <v>960.73062063445798</v>
      </c>
      <c r="P11" s="3">
        <f t="shared" si="5"/>
        <v>198.45805555555555</v>
      </c>
      <c r="Q11" s="3">
        <f t="shared" si="6"/>
        <v>2.0196810155864191</v>
      </c>
    </row>
    <row r="12" spans="2:17" x14ac:dyDescent="0.25">
      <c r="B12">
        <v>8</v>
      </c>
      <c r="C12" s="1">
        <v>1.6</v>
      </c>
      <c r="D12">
        <v>259</v>
      </c>
      <c r="E12">
        <v>39</v>
      </c>
      <c r="F12">
        <v>49</v>
      </c>
      <c r="G12">
        <v>7.4610000000000003</v>
      </c>
      <c r="H12">
        <v>0.51</v>
      </c>
      <c r="I12" s="3">
        <f t="shared" si="0"/>
        <v>299.43299999999994</v>
      </c>
      <c r="J12" s="3">
        <f t="shared" si="1"/>
        <v>1.9499635648144071</v>
      </c>
      <c r="K12" s="3">
        <f t="shared" si="2"/>
        <v>7.2016777972842059</v>
      </c>
      <c r="L12" s="3">
        <f t="shared" si="3"/>
        <v>955.57196356481438</v>
      </c>
      <c r="M12" s="3">
        <f t="shared" si="4"/>
        <v>955.82467779728427</v>
      </c>
      <c r="P12" s="3">
        <f t="shared" si="5"/>
        <v>259.66361111111109</v>
      </c>
      <c r="Q12" s="3">
        <f t="shared" si="6"/>
        <v>1.3063714438271605</v>
      </c>
    </row>
    <row r="13" spans="2:17" x14ac:dyDescent="0.25">
      <c r="B13">
        <v>9</v>
      </c>
      <c r="C13" s="1">
        <v>2</v>
      </c>
      <c r="D13">
        <v>218</v>
      </c>
      <c r="E13">
        <v>47</v>
      </c>
      <c r="F13">
        <v>34</v>
      </c>
      <c r="G13">
        <v>10.106</v>
      </c>
      <c r="H13">
        <v>1.117</v>
      </c>
      <c r="I13" s="3">
        <f t="shared" si="0"/>
        <v>299.64</v>
      </c>
      <c r="J13" s="3">
        <f t="shared" si="1"/>
        <v>7.0245329870252142</v>
      </c>
      <c r="K13" s="3">
        <f t="shared" si="2"/>
        <v>7.2654781201373542</v>
      </c>
      <c r="L13" s="3">
        <f t="shared" si="3"/>
        <v>960.64653298702513</v>
      </c>
      <c r="M13" s="3">
        <f t="shared" si="4"/>
        <v>955.88847812013739</v>
      </c>
      <c r="P13" s="3">
        <f t="shared" si="5"/>
        <v>218.79277777777779</v>
      </c>
      <c r="Q13" s="3">
        <f t="shared" si="6"/>
        <v>0.80225765370370361</v>
      </c>
    </row>
    <row r="14" spans="2:17" x14ac:dyDescent="0.25">
      <c r="B14">
        <v>10</v>
      </c>
      <c r="C14" s="1">
        <v>2</v>
      </c>
      <c r="D14">
        <v>189</v>
      </c>
      <c r="E14">
        <v>54</v>
      </c>
      <c r="F14">
        <v>30</v>
      </c>
      <c r="G14">
        <v>22.49</v>
      </c>
      <c r="H14">
        <v>0.96209999999999996</v>
      </c>
      <c r="I14" s="3">
        <f t="shared" si="0"/>
        <v>299.48509999999999</v>
      </c>
      <c r="J14" s="3">
        <f t="shared" si="1"/>
        <v>17.713338627562653</v>
      </c>
      <c r="K14" s="3">
        <f t="shared" si="2"/>
        <v>13.857768026103509</v>
      </c>
      <c r="L14" s="3">
        <f t="shared" si="3"/>
        <v>971.33533862756258</v>
      </c>
      <c r="M14" s="3">
        <f t="shared" si="4"/>
        <v>962.48076802610353</v>
      </c>
      <c r="P14" s="3">
        <f t="shared" si="5"/>
        <v>189.90833333333333</v>
      </c>
      <c r="Q14" s="3">
        <f t="shared" si="6"/>
        <v>0.6638765179012347</v>
      </c>
    </row>
    <row r="15" spans="2:17" x14ac:dyDescent="0.25">
      <c r="B15" t="s">
        <v>53</v>
      </c>
      <c r="C15" s="1">
        <v>2</v>
      </c>
      <c r="D15">
        <v>181</v>
      </c>
      <c r="E15">
        <v>58</v>
      </c>
      <c r="F15">
        <v>46</v>
      </c>
      <c r="G15">
        <v>17.594000000000001</v>
      </c>
      <c r="H15">
        <v>1.0429999999999999</v>
      </c>
      <c r="I15" s="3">
        <f t="shared" si="0"/>
        <v>299.56599999999997</v>
      </c>
      <c r="J15" s="3">
        <f t="shared" si="1"/>
        <v>14.732257199736921</v>
      </c>
      <c r="K15" s="3">
        <f t="shared" si="2"/>
        <v>9.6181824582817956</v>
      </c>
      <c r="L15" s="3">
        <f t="shared" si="3"/>
        <v>968.35425719973682</v>
      </c>
      <c r="M15" s="3">
        <f t="shared" si="4"/>
        <v>958.24118245828186</v>
      </c>
      <c r="P15" s="3">
        <f t="shared" si="5"/>
        <v>181.97944444444445</v>
      </c>
      <c r="Q15" s="3">
        <f t="shared" si="6"/>
        <v>0.57838699475308641</v>
      </c>
    </row>
    <row r="16" spans="2:17" x14ac:dyDescent="0.25">
      <c r="B16">
        <v>11</v>
      </c>
      <c r="C16" s="1">
        <v>2</v>
      </c>
      <c r="D16">
        <v>177</v>
      </c>
      <c r="E16">
        <v>4</v>
      </c>
      <c r="F16">
        <v>52</v>
      </c>
      <c r="G16">
        <v>16.516999999999999</v>
      </c>
      <c r="H16">
        <v>0.625</v>
      </c>
      <c r="I16" s="3">
        <f t="shared" si="0"/>
        <v>299.14799999999997</v>
      </c>
      <c r="J16" s="3">
        <f t="shared" si="1"/>
        <v>16.038161107845866</v>
      </c>
      <c r="K16" s="3">
        <f t="shared" si="2"/>
        <v>3.9482499007510024</v>
      </c>
      <c r="L16" s="3">
        <f t="shared" si="3"/>
        <v>969.66016110784585</v>
      </c>
      <c r="M16" s="3">
        <f t="shared" si="4"/>
        <v>952.57124990075101</v>
      </c>
      <c r="P16" s="3">
        <f t="shared" si="5"/>
        <v>177.08111111111111</v>
      </c>
      <c r="Q16" s="3">
        <f t="shared" si="6"/>
        <v>0.24137870385802498</v>
      </c>
    </row>
    <row r="17" spans="2:17" x14ac:dyDescent="0.25">
      <c r="B17" t="s">
        <v>54</v>
      </c>
      <c r="C17" s="1">
        <v>1.6</v>
      </c>
      <c r="D17">
        <v>157</v>
      </c>
      <c r="E17">
        <v>46</v>
      </c>
      <c r="F17">
        <v>17</v>
      </c>
      <c r="G17">
        <v>23.059000000000001</v>
      </c>
      <c r="H17">
        <v>0.28899999999999998</v>
      </c>
      <c r="I17" s="3">
        <f t="shared" si="0"/>
        <v>299.21199999999993</v>
      </c>
      <c r="J17" s="3">
        <f t="shared" si="1"/>
        <v>22.288177716155158</v>
      </c>
      <c r="K17" s="3">
        <f t="shared" si="2"/>
        <v>5.9122428141175591</v>
      </c>
      <c r="L17" s="3">
        <f t="shared" si="3"/>
        <v>975.91017771615509</v>
      </c>
      <c r="M17" s="3">
        <f t="shared" si="4"/>
        <v>954.53524281411762</v>
      </c>
      <c r="P17" s="3">
        <f t="shared" si="5"/>
        <v>157.77138888888891</v>
      </c>
      <c r="Q17" s="3">
        <f t="shared" si="6"/>
        <v>0.25929204104938275</v>
      </c>
    </row>
    <row r="18" spans="2:17" x14ac:dyDescent="0.25">
      <c r="B18">
        <v>12</v>
      </c>
      <c r="C18" s="1">
        <v>1.6</v>
      </c>
      <c r="D18">
        <v>158</v>
      </c>
      <c r="E18">
        <v>47</v>
      </c>
      <c r="F18">
        <v>52</v>
      </c>
      <c r="G18">
        <v>21.05</v>
      </c>
      <c r="H18">
        <v>0.192</v>
      </c>
      <c r="I18" s="3">
        <f t="shared" si="0"/>
        <v>299.11499999999995</v>
      </c>
      <c r="J18" s="3">
        <f t="shared" si="1"/>
        <v>20.68278073396641</v>
      </c>
      <c r="K18" s="3">
        <f t="shared" si="2"/>
        <v>3.9147261859123548</v>
      </c>
      <c r="L18" s="3">
        <f t="shared" si="3"/>
        <v>974.30478073396637</v>
      </c>
      <c r="M18" s="3">
        <f t="shared" si="4"/>
        <v>952.53772618591245</v>
      </c>
      <c r="P18" s="3">
        <f t="shared" si="5"/>
        <v>158.79777777777778</v>
      </c>
      <c r="Q18" s="3">
        <f t="shared" si="6"/>
        <v>0.18706178101851845</v>
      </c>
    </row>
    <row r="19" spans="2:17" x14ac:dyDescent="0.25">
      <c r="B19">
        <v>13</v>
      </c>
      <c r="C19" s="1">
        <v>1.6</v>
      </c>
      <c r="D19">
        <v>154</v>
      </c>
      <c r="E19">
        <v>39</v>
      </c>
      <c r="F19">
        <v>33</v>
      </c>
      <c r="G19">
        <v>17.041</v>
      </c>
      <c r="H19">
        <v>0.156</v>
      </c>
      <c r="I19" s="3">
        <f t="shared" si="0"/>
        <v>299.07899999999995</v>
      </c>
      <c r="J19" s="3">
        <f t="shared" si="1"/>
        <v>17.037321742476632</v>
      </c>
      <c r="K19" s="3">
        <f t="shared" si="2"/>
        <v>-0.35404638584942255</v>
      </c>
      <c r="L19" s="3">
        <f t="shared" si="3"/>
        <v>970.65932174247655</v>
      </c>
      <c r="M19" s="3">
        <f t="shared" si="4"/>
        <v>948.26895361415063</v>
      </c>
      <c r="P19" s="3">
        <f t="shared" si="5"/>
        <v>154.65916666666666</v>
      </c>
      <c r="Q19" s="3">
        <f t="shared" si="6"/>
        <v>6.2624076614197541</v>
      </c>
    </row>
    <row r="20" spans="2:17" x14ac:dyDescent="0.25">
      <c r="B20">
        <v>14</v>
      </c>
      <c r="C20" s="1">
        <v>1.6</v>
      </c>
      <c r="D20">
        <v>142</v>
      </c>
      <c r="E20">
        <v>45</v>
      </c>
      <c r="F20">
        <v>40</v>
      </c>
      <c r="G20">
        <v>13.321</v>
      </c>
      <c r="H20">
        <v>0.28699999999999998</v>
      </c>
      <c r="I20" s="3">
        <f t="shared" si="0"/>
        <v>299.20999999999992</v>
      </c>
      <c r="J20" s="3">
        <f t="shared" si="1"/>
        <v>12.489857742375893</v>
      </c>
      <c r="K20" s="3">
        <f t="shared" si="2"/>
        <v>-4.6316837732311722</v>
      </c>
      <c r="L20" s="3">
        <f t="shared" si="3"/>
        <v>966.11185774237583</v>
      </c>
      <c r="M20" s="3">
        <f t="shared" si="4"/>
        <v>943.99131622676884</v>
      </c>
      <c r="P20" s="3">
        <f t="shared" si="5"/>
        <v>142.76111111111112</v>
      </c>
      <c r="Q20" s="3">
        <f t="shared" si="6"/>
        <v>5.9280706151234579</v>
      </c>
    </row>
    <row r="21" spans="2:17" x14ac:dyDescent="0.25">
      <c r="B21" t="s">
        <v>55</v>
      </c>
      <c r="C21" s="1">
        <v>1.6</v>
      </c>
      <c r="D21">
        <v>123</v>
      </c>
      <c r="E21">
        <v>36</v>
      </c>
      <c r="F21">
        <v>16</v>
      </c>
      <c r="G21">
        <v>9.7210000000000001</v>
      </c>
      <c r="H21">
        <v>-0.44400000000000001</v>
      </c>
      <c r="I21" s="3">
        <f t="shared" si="0"/>
        <v>298.47899999999993</v>
      </c>
      <c r="J21" s="3">
        <f t="shared" si="1"/>
        <v>7.1463961977914616</v>
      </c>
      <c r="K21" s="3">
        <f t="shared" si="2"/>
        <v>-6.5899060982833255</v>
      </c>
      <c r="L21" s="3">
        <f t="shared" si="3"/>
        <v>960.76839619779139</v>
      </c>
      <c r="M21" s="3">
        <f t="shared" si="4"/>
        <v>942.03309390171671</v>
      </c>
      <c r="P21" s="3">
        <f t="shared" si="5"/>
        <v>123.60444444444444</v>
      </c>
      <c r="Q21" s="3">
        <f t="shared" si="6"/>
        <v>5.5382773674382717</v>
      </c>
    </row>
    <row r="22" spans="2:17" x14ac:dyDescent="0.25">
      <c r="B22" t="s">
        <v>56</v>
      </c>
      <c r="C22" s="1">
        <v>1.6</v>
      </c>
      <c r="D22">
        <v>101</v>
      </c>
      <c r="E22">
        <v>16</v>
      </c>
      <c r="F22">
        <v>13</v>
      </c>
      <c r="G22">
        <v>7.7789999999999999</v>
      </c>
      <c r="H22">
        <v>-3.2000000000000001E-2</v>
      </c>
      <c r="I22" s="3">
        <f t="shared" si="0"/>
        <v>298.89099999999996</v>
      </c>
      <c r="J22" s="3">
        <f t="shared" si="1"/>
        <v>2.7587286998723517</v>
      </c>
      <c r="K22" s="3">
        <f t="shared" si="2"/>
        <v>-7.2733937718578527</v>
      </c>
      <c r="L22" s="3">
        <f t="shared" si="3"/>
        <v>956.38072869987229</v>
      </c>
      <c r="M22" s="3">
        <f t="shared" si="4"/>
        <v>941.34960622814219</v>
      </c>
      <c r="P22" s="3">
        <f t="shared" si="5"/>
        <v>101.27027777777778</v>
      </c>
      <c r="Q22" s="3">
        <f t="shared" si="6"/>
        <v>5.0749158134259265</v>
      </c>
    </row>
    <row r="23" spans="2:17" x14ac:dyDescent="0.25">
      <c r="B23">
        <v>16</v>
      </c>
      <c r="C23" s="1">
        <v>1.6</v>
      </c>
      <c r="D23">
        <v>74</v>
      </c>
      <c r="E23">
        <v>43</v>
      </c>
      <c r="F23">
        <v>15</v>
      </c>
      <c r="G23">
        <v>4.4119999999999999</v>
      </c>
      <c r="H23">
        <v>3.5999999999999997E-2</v>
      </c>
      <c r="I23" s="3">
        <f t="shared" si="0"/>
        <v>298.95899999999995</v>
      </c>
      <c r="J23" s="3">
        <f t="shared" si="1"/>
        <v>-0.97223403093210592</v>
      </c>
      <c r="K23" s="3">
        <f t="shared" si="2"/>
        <v>-4.3035456299541552</v>
      </c>
      <c r="L23" s="3">
        <f t="shared" si="3"/>
        <v>952.64976596906786</v>
      </c>
      <c r="M23" s="3">
        <f t="shared" si="4"/>
        <v>944.31945437004595</v>
      </c>
      <c r="P23" s="3">
        <f t="shared" si="5"/>
        <v>74.720833333333331</v>
      </c>
      <c r="Q23" s="3">
        <f t="shared" si="6"/>
        <v>4.490204125925926</v>
      </c>
    </row>
    <row r="24" spans="2:17" x14ac:dyDescent="0.25">
      <c r="B24">
        <v>17</v>
      </c>
      <c r="C24" s="1">
        <v>1.6</v>
      </c>
      <c r="D24">
        <v>41</v>
      </c>
      <c r="E24">
        <v>13</v>
      </c>
      <c r="F24">
        <v>6</v>
      </c>
      <c r="G24">
        <v>3.0089999999999999</v>
      </c>
      <c r="H24">
        <v>-0.12</v>
      </c>
      <c r="I24" s="3">
        <f t="shared" si="0"/>
        <v>298.80299999999994</v>
      </c>
      <c r="J24" s="3">
        <f t="shared" si="1"/>
        <v>-1.9712938092353756</v>
      </c>
      <c r="K24" s="3">
        <f t="shared" si="2"/>
        <v>-2.2733415312421235</v>
      </c>
      <c r="L24" s="3">
        <f t="shared" si="3"/>
        <v>951.65070619076459</v>
      </c>
      <c r="M24" s="3">
        <f t="shared" si="4"/>
        <v>946.34965846875798</v>
      </c>
      <c r="P24" s="3">
        <f t="shared" si="5"/>
        <v>41.218333333333334</v>
      </c>
      <c r="Q24" s="3">
        <f t="shared" si="6"/>
        <v>3.9980309445987654</v>
      </c>
    </row>
    <row r="25" spans="2:17" x14ac:dyDescent="0.25">
      <c r="B25" t="s">
        <v>57</v>
      </c>
      <c r="C25" s="1">
        <v>1.6</v>
      </c>
      <c r="D25">
        <v>13</v>
      </c>
      <c r="E25">
        <v>1</v>
      </c>
      <c r="F25">
        <v>5</v>
      </c>
      <c r="G25">
        <v>13.920999999999999</v>
      </c>
      <c r="H25">
        <v>-8.2000000000000003E-2</v>
      </c>
      <c r="I25" s="3">
        <f t="shared" si="0"/>
        <v>298.84099999999995</v>
      </c>
      <c r="J25" s="3">
        <f t="shared" si="1"/>
        <v>13.050167586288</v>
      </c>
      <c r="K25" s="3">
        <f t="shared" si="2"/>
        <v>-4.8463766846787752</v>
      </c>
      <c r="L25" s="3">
        <f t="shared" si="3"/>
        <v>966.67216758628797</v>
      </c>
      <c r="M25" s="3">
        <f t="shared" si="4"/>
        <v>943.77662331532122</v>
      </c>
      <c r="P25" s="3">
        <f t="shared" si="5"/>
        <v>13.018055555555556</v>
      </c>
      <c r="Q25" s="3">
        <f t="shared" si="6"/>
        <v>5.9276052077160495</v>
      </c>
    </row>
    <row r="26" spans="2:17" x14ac:dyDescent="0.25">
      <c r="B26">
        <v>10</v>
      </c>
      <c r="C26" s="1">
        <v>1.6</v>
      </c>
      <c r="D26">
        <v>123</v>
      </c>
      <c r="E26">
        <v>34</v>
      </c>
      <c r="F26">
        <v>40</v>
      </c>
      <c r="G26">
        <v>15.596</v>
      </c>
      <c r="H26">
        <v>-6.9000000000000006E-2</v>
      </c>
      <c r="I26" s="3">
        <f t="shared" si="0"/>
        <v>298.85399999999993</v>
      </c>
      <c r="J26" s="3">
        <f t="shared" si="1"/>
        <v>-2.1093865068528697</v>
      </c>
      <c r="K26" s="3">
        <f t="shared" si="2"/>
        <v>-15.452692469751252</v>
      </c>
      <c r="L26" s="3">
        <f t="shared" si="3"/>
        <v>951.51261349314711</v>
      </c>
      <c r="M26" s="3">
        <f t="shared" si="4"/>
        <v>933.17030753024881</v>
      </c>
      <c r="P26" s="3">
        <f t="shared" si="5"/>
        <v>123.57777777777777</v>
      </c>
      <c r="Q26" s="3">
        <f t="shared" si="6"/>
        <v>4.5767214237654317</v>
      </c>
    </row>
    <row r="27" spans="2:17" x14ac:dyDescent="0.25">
      <c r="B27">
        <v>11</v>
      </c>
      <c r="C27" s="1">
        <v>1.6</v>
      </c>
      <c r="D27">
        <v>46</v>
      </c>
      <c r="E27">
        <v>10</v>
      </c>
      <c r="F27">
        <v>32</v>
      </c>
      <c r="G27">
        <v>18.196000000000002</v>
      </c>
      <c r="H27">
        <v>-0.374</v>
      </c>
      <c r="I27" s="3">
        <f t="shared" si="0"/>
        <v>298.54899999999992</v>
      </c>
      <c r="J27" s="3">
        <f t="shared" si="1"/>
        <v>-3.4573336712834912</v>
      </c>
      <c r="K27" s="3">
        <f t="shared" si="2"/>
        <v>-17.864525179399799</v>
      </c>
      <c r="L27" s="3">
        <f t="shared" si="3"/>
        <v>950.16466632871652</v>
      </c>
      <c r="M27" s="3">
        <f t="shared" si="4"/>
        <v>930.75847482060021</v>
      </c>
      <c r="P27" s="3">
        <f t="shared" si="5"/>
        <v>46.175555555555555</v>
      </c>
      <c r="Q27" s="3">
        <f t="shared" si="6"/>
        <v>4.5212215904320994</v>
      </c>
    </row>
    <row r="28" spans="2:17" x14ac:dyDescent="0.25">
      <c r="B28">
        <v>12</v>
      </c>
      <c r="C28" s="1">
        <v>1.6</v>
      </c>
      <c r="D28">
        <v>42</v>
      </c>
      <c r="E28">
        <v>59</v>
      </c>
      <c r="F28">
        <v>44</v>
      </c>
      <c r="G28">
        <v>19.449000000000002</v>
      </c>
      <c r="H28">
        <v>-0.35699999999999998</v>
      </c>
      <c r="I28" s="3">
        <f t="shared" si="0"/>
        <v>298.56599999999992</v>
      </c>
      <c r="J28" s="3">
        <f t="shared" si="1"/>
        <v>-18.436503993858217</v>
      </c>
      <c r="K28" s="3">
        <f t="shared" si="2"/>
        <v>-6.1934579585599883</v>
      </c>
      <c r="L28" s="3">
        <f t="shared" si="3"/>
        <v>935.18549600614176</v>
      </c>
      <c r="M28" s="3">
        <f t="shared" si="4"/>
        <v>942.42954204144007</v>
      </c>
      <c r="P28" s="3">
        <f t="shared" si="5"/>
        <v>42.995555555555555</v>
      </c>
      <c r="Q28" s="3">
        <f t="shared" si="6"/>
        <v>3.4656824384259259</v>
      </c>
    </row>
    <row r="29" spans="2:17" x14ac:dyDescent="0.25">
      <c r="B29" t="s">
        <v>16</v>
      </c>
      <c r="C29" s="1">
        <v>2</v>
      </c>
      <c r="D29">
        <v>342</v>
      </c>
      <c r="E29">
        <v>30</v>
      </c>
      <c r="F29">
        <v>57</v>
      </c>
      <c r="G29">
        <v>21.28</v>
      </c>
      <c r="H29">
        <v>-0.27700000000000002</v>
      </c>
      <c r="I29" s="3">
        <f t="shared" si="0"/>
        <v>298.24599999999998</v>
      </c>
      <c r="J29" s="3">
        <f t="shared" si="1"/>
        <v>-14.716711045223368</v>
      </c>
      <c r="K29" s="3">
        <f t="shared" si="2"/>
        <v>-15.370647872207618</v>
      </c>
      <c r="L29" s="3">
        <f t="shared" si="3"/>
        <v>938.90528895477655</v>
      </c>
      <c r="M29" s="3">
        <f t="shared" si="4"/>
        <v>933.25235212779239</v>
      </c>
      <c r="P29" s="3">
        <f t="shared" si="5"/>
        <v>342.51583333333332</v>
      </c>
      <c r="Q29" s="3">
        <f t="shared" si="6"/>
        <v>3.9487219993827156</v>
      </c>
    </row>
    <row r="30" spans="2:17" x14ac:dyDescent="0.25">
      <c r="B30" t="s">
        <v>58</v>
      </c>
      <c r="C30" s="1">
        <v>1.6</v>
      </c>
      <c r="D30">
        <v>10</v>
      </c>
      <c r="E30">
        <v>11</v>
      </c>
      <c r="F30">
        <v>34</v>
      </c>
      <c r="G30">
        <v>18.065999999999999</v>
      </c>
      <c r="H30">
        <v>-0.13700000000000001</v>
      </c>
      <c r="I30" s="3">
        <f t="shared" si="0"/>
        <v>298.78599999999994</v>
      </c>
      <c r="J30" s="3">
        <f t="shared" si="1"/>
        <v>-1.6937687753340773</v>
      </c>
      <c r="K30" s="3">
        <f t="shared" si="2"/>
        <v>-17.986425529707208</v>
      </c>
      <c r="L30" s="3">
        <f t="shared" si="3"/>
        <v>951.92823122466586</v>
      </c>
      <c r="M30" s="3">
        <f t="shared" si="4"/>
        <v>930.63657447029289</v>
      </c>
      <c r="P30" s="3">
        <f t="shared" si="5"/>
        <v>10.192777777777778</v>
      </c>
      <c r="Q30" s="3">
        <f t="shared" si="6"/>
        <v>4.6184965865740741</v>
      </c>
    </row>
    <row r="31" spans="2:17" x14ac:dyDescent="0.25">
      <c r="B31" t="s">
        <v>59</v>
      </c>
      <c r="C31" s="1">
        <v>1.6</v>
      </c>
      <c r="D31">
        <v>48</v>
      </c>
      <c r="E31">
        <v>34</v>
      </c>
      <c r="F31">
        <v>9</v>
      </c>
      <c r="G31">
        <v>23.372</v>
      </c>
      <c r="H31">
        <v>-0.45100000000000001</v>
      </c>
      <c r="I31" s="3">
        <f t="shared" si="0"/>
        <v>298.47199999999992</v>
      </c>
      <c r="J31" s="3">
        <f t="shared" si="1"/>
        <v>-3.6230914466875697</v>
      </c>
      <c r="K31" s="3">
        <f t="shared" si="2"/>
        <v>-23.089469295956963</v>
      </c>
      <c r="L31" s="3">
        <f t="shared" si="3"/>
        <v>949.99890855331239</v>
      </c>
      <c r="M31" s="3">
        <f t="shared" si="4"/>
        <v>925.53353070404307</v>
      </c>
      <c r="P31" s="3">
        <f t="shared" si="5"/>
        <v>48.569166666666668</v>
      </c>
      <c r="Q31" s="3">
        <f t="shared" si="6"/>
        <v>4.5567428412037039</v>
      </c>
    </row>
    <row r="32" spans="2:17" x14ac:dyDescent="0.25">
      <c r="B32" t="s">
        <v>60</v>
      </c>
      <c r="C32" s="1">
        <v>1.6</v>
      </c>
      <c r="D32">
        <v>45</v>
      </c>
      <c r="E32">
        <v>1</v>
      </c>
      <c r="F32">
        <v>51</v>
      </c>
      <c r="G32">
        <v>23.236999999999998</v>
      </c>
      <c r="H32">
        <v>-0.45100000000000001</v>
      </c>
      <c r="I32" s="3">
        <f t="shared" si="0"/>
        <v>298.47199999999992</v>
      </c>
      <c r="J32" s="3">
        <f t="shared" si="1"/>
        <v>-18.517452994452483</v>
      </c>
      <c r="K32" s="3">
        <f t="shared" si="2"/>
        <v>-14.037881022370959</v>
      </c>
      <c r="L32" s="3">
        <f t="shared" si="3"/>
        <v>935.10454700554749</v>
      </c>
      <c r="M32" s="3">
        <f t="shared" si="4"/>
        <v>934.58511897762912</v>
      </c>
      <c r="P32" s="3">
        <f t="shared" si="5"/>
        <v>45.030833333333334</v>
      </c>
      <c r="Q32" s="3">
        <f t="shared" si="6"/>
        <v>3.7902507771604941</v>
      </c>
    </row>
    <row r="33" spans="2:17" x14ac:dyDescent="0.25">
      <c r="B33" t="s">
        <v>61</v>
      </c>
      <c r="C33" s="1">
        <v>2</v>
      </c>
      <c r="D33">
        <v>1</v>
      </c>
      <c r="E33">
        <v>6</v>
      </c>
      <c r="F33">
        <v>46</v>
      </c>
      <c r="G33">
        <v>19.585999999999999</v>
      </c>
      <c r="H33">
        <v>-0.24299999999999999</v>
      </c>
      <c r="I33" s="3">
        <f t="shared" si="0"/>
        <v>298.27999999999997</v>
      </c>
      <c r="J33" s="3">
        <f t="shared" si="1"/>
        <v>-14.144435102271865</v>
      </c>
      <c r="K33" s="3">
        <f t="shared" si="2"/>
        <v>-13.547927946280916</v>
      </c>
      <c r="L33" s="3">
        <f t="shared" si="3"/>
        <v>939.47756489772814</v>
      </c>
      <c r="M33" s="3">
        <f t="shared" si="4"/>
        <v>935.07507205371917</v>
      </c>
      <c r="P33" s="3">
        <f t="shared" si="5"/>
        <v>1.1127777777777779</v>
      </c>
      <c r="Q33" s="3">
        <f t="shared" si="6"/>
        <v>3.9054536544753087</v>
      </c>
    </row>
    <row r="34" spans="2:17" x14ac:dyDescent="0.25">
      <c r="B34">
        <v>3</v>
      </c>
      <c r="C34" s="1">
        <v>2</v>
      </c>
      <c r="D34">
        <v>7</v>
      </c>
      <c r="E34">
        <v>42</v>
      </c>
      <c r="F34">
        <v>49</v>
      </c>
      <c r="G34">
        <v>24.646000000000001</v>
      </c>
      <c r="H34">
        <v>-0.67200000000000004</v>
      </c>
      <c r="I34" s="3">
        <f t="shared" si="0"/>
        <v>297.85099999999994</v>
      </c>
      <c r="J34" s="3">
        <f t="shared" si="1"/>
        <v>-17.865344459595562</v>
      </c>
      <c r="K34" s="3">
        <f t="shared" si="2"/>
        <v>-16.978067715143506</v>
      </c>
      <c r="L34" s="3">
        <f t="shared" si="3"/>
        <v>935.75665554040438</v>
      </c>
      <c r="M34" s="3">
        <f t="shared" si="4"/>
        <v>931.64493228485651</v>
      </c>
      <c r="P34" s="3">
        <f t="shared" si="5"/>
        <v>7.7136111111111116</v>
      </c>
      <c r="Q34" s="3">
        <f t="shared" si="6"/>
        <v>3.9015316274691361</v>
      </c>
    </row>
    <row r="35" spans="2:17" x14ac:dyDescent="0.25">
      <c r="B35">
        <v>4</v>
      </c>
      <c r="C35" s="1">
        <v>2</v>
      </c>
      <c r="D35">
        <v>7</v>
      </c>
      <c r="E35">
        <v>29</v>
      </c>
      <c r="F35">
        <v>20</v>
      </c>
      <c r="G35">
        <v>29.536000000000001</v>
      </c>
      <c r="H35">
        <v>-0.70399999999999996</v>
      </c>
      <c r="I35" s="3">
        <f t="shared" si="0"/>
        <v>297.81899999999996</v>
      </c>
      <c r="J35" s="3">
        <f t="shared" si="1"/>
        <v>-23.879169436473422</v>
      </c>
      <c r="K35" s="3">
        <f t="shared" si="2"/>
        <v>-17.382766265016443</v>
      </c>
      <c r="L35" s="3">
        <f t="shared" si="3"/>
        <v>929.74283056352658</v>
      </c>
      <c r="M35" s="3">
        <f t="shared" si="4"/>
        <v>931.24023373498358</v>
      </c>
      <c r="P35" s="3">
        <f t="shared" si="5"/>
        <v>7.4888888888888889</v>
      </c>
      <c r="Q35" s="3">
        <f t="shared" si="6"/>
        <v>3.7708297138888889</v>
      </c>
    </row>
  </sheetData>
  <mergeCells count="3">
    <mergeCell ref="D5:F5"/>
    <mergeCell ref="J5:K5"/>
    <mergeCell ref="L5:M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DFCE9-6DFF-44CD-87FD-11D9BF498465}">
  <dimension ref="B3:Q29"/>
  <sheetViews>
    <sheetView workbookViewId="0">
      <selection activeCell="Q7" sqref="Q7"/>
    </sheetView>
  </sheetViews>
  <sheetFormatPr defaultColWidth="9.140625" defaultRowHeight="15" x14ac:dyDescent="0.25"/>
  <cols>
    <col min="1" max="1" width="9.140625" style="1"/>
    <col min="2" max="2" width="11.28515625" style="1" customWidth="1"/>
    <col min="3" max="3" width="14.28515625" style="1" customWidth="1"/>
    <col min="4" max="8" width="9.140625" style="1"/>
    <col min="9" max="9" width="15.7109375" style="1" customWidth="1"/>
    <col min="10" max="16384" width="9.140625" style="1"/>
  </cols>
  <sheetData>
    <row r="3" spans="2:17" ht="18" x14ac:dyDescent="0.35">
      <c r="B3" s="1" t="s">
        <v>10</v>
      </c>
      <c r="C3" s="1" t="s">
        <v>76</v>
      </c>
    </row>
    <row r="4" spans="2:17" x14ac:dyDescent="0.25">
      <c r="B4" s="1" t="s">
        <v>39</v>
      </c>
      <c r="C4" s="1">
        <v>1.282</v>
      </c>
    </row>
    <row r="5" spans="2:17" x14ac:dyDescent="0.25">
      <c r="B5" s="1" t="s">
        <v>1</v>
      </c>
      <c r="C5" s="1" t="s">
        <v>0</v>
      </c>
      <c r="D5" s="6" t="s">
        <v>42</v>
      </c>
      <c r="E5" s="6"/>
      <c r="F5" s="6"/>
      <c r="G5" s="1" t="s">
        <v>43</v>
      </c>
      <c r="H5" s="1" t="s">
        <v>7</v>
      </c>
      <c r="I5" s="1" t="s">
        <v>44</v>
      </c>
      <c r="J5" s="6" t="s">
        <v>34</v>
      </c>
      <c r="K5" s="6"/>
      <c r="L5" s="6" t="s">
        <v>46</v>
      </c>
      <c r="M5" s="6"/>
      <c r="P5" s="1" t="s">
        <v>37</v>
      </c>
      <c r="Q5" s="1" t="s">
        <v>47</v>
      </c>
    </row>
    <row r="6" spans="2:17" x14ac:dyDescent="0.25">
      <c r="D6" s="1" t="s">
        <v>2</v>
      </c>
      <c r="E6" s="1" t="s">
        <v>41</v>
      </c>
      <c r="F6" s="1" t="s">
        <v>4</v>
      </c>
      <c r="G6" s="1" t="s">
        <v>6</v>
      </c>
      <c r="H6" s="1" t="s">
        <v>6</v>
      </c>
      <c r="J6" s="1" t="s">
        <v>35</v>
      </c>
      <c r="K6" s="1" t="s">
        <v>45</v>
      </c>
      <c r="L6" s="1" t="s">
        <v>35</v>
      </c>
      <c r="M6" s="1" t="s">
        <v>45</v>
      </c>
    </row>
    <row r="7" spans="2:17" x14ac:dyDescent="0.25">
      <c r="B7" s="1" t="s">
        <v>77</v>
      </c>
      <c r="C7" s="1">
        <v>2</v>
      </c>
      <c r="D7" s="1">
        <v>118</v>
      </c>
      <c r="E7" s="1">
        <v>31</v>
      </c>
      <c r="F7" s="1">
        <v>22</v>
      </c>
      <c r="G7" s="1">
        <v>35.738</v>
      </c>
      <c r="H7" s="1">
        <v>2.0914000000000001</v>
      </c>
      <c r="I7" s="3">
        <f>293.58+1.282+H7-C7</f>
        <v>294.95339999999999</v>
      </c>
      <c r="J7" s="3">
        <f>G7*COS(Q7)</f>
        <v>-35.482412147905855</v>
      </c>
      <c r="K7" s="3">
        <f>G7*SIN(Q7)</f>
        <v>-4.2665058497724919</v>
      </c>
      <c r="L7" s="3">
        <f>820.626+J7</f>
        <v>785.14358785209413</v>
      </c>
      <c r="M7" s="3">
        <f>844.438+K7</f>
        <v>840.17149415022755</v>
      </c>
      <c r="P7" s="3">
        <f>D7+E7/60+F7/3600</f>
        <v>118.52277777777778</v>
      </c>
      <c r="Q7" s="3">
        <f>IF((67.972+P8-180)&gt;0, (67.972+P8-180)*3.1415/180, (67.972+P8+180)*3.1415/180)</f>
        <v>3.2612609611111103</v>
      </c>
    </row>
    <row r="8" spans="2:17" x14ac:dyDescent="0.25">
      <c r="B8" s="1" t="s">
        <v>78</v>
      </c>
      <c r="C8" s="1">
        <v>1.6</v>
      </c>
      <c r="D8" s="1">
        <v>298</v>
      </c>
      <c r="E8" s="1">
        <v>53</v>
      </c>
      <c r="F8" s="1">
        <v>24</v>
      </c>
      <c r="G8" s="1">
        <v>40.47</v>
      </c>
      <c r="H8" s="1">
        <v>0.26100000000000001</v>
      </c>
      <c r="I8" s="3">
        <f t="shared" ref="I8:I29" si="0">293.58+1.282+H8-C8</f>
        <v>293.52299999999997</v>
      </c>
      <c r="J8" s="3">
        <f t="shared" ref="J8:J29" si="1">G8*COS(Q8)</f>
        <v>36.468333522056227</v>
      </c>
      <c r="K8" s="3">
        <f t="shared" ref="K8:K29" si="2">G8*SIN(Q8)</f>
        <v>17.546553796232178</v>
      </c>
      <c r="L8" s="3">
        <f t="shared" ref="L8:L29" si="3">820.626+J8</f>
        <v>857.09433352205622</v>
      </c>
      <c r="M8" s="3">
        <f t="shared" ref="M8:M29" si="4">844.438+K8</f>
        <v>861.98455379623215</v>
      </c>
      <c r="P8" s="3">
        <f t="shared" ref="P8:P29" si="5">D8+E8/60+F8/3600</f>
        <v>298.89</v>
      </c>
      <c r="Q8" s="3">
        <f t="shared" ref="Q8:Q29" si="6">IF((67.972+P9-180)&gt;0, (67.972+P9-180)*3.1415/180, (67.972+P9+180)*3.1415/180)</f>
        <v>0.44845009459876517</v>
      </c>
    </row>
    <row r="9" spans="2:17" x14ac:dyDescent="0.25">
      <c r="B9" s="1" t="s">
        <v>79</v>
      </c>
      <c r="C9" s="1">
        <v>2</v>
      </c>
      <c r="D9" s="1">
        <v>137</v>
      </c>
      <c r="E9" s="1">
        <v>43</v>
      </c>
      <c r="F9" s="1">
        <v>23</v>
      </c>
      <c r="G9" s="1">
        <v>64.483000000000004</v>
      </c>
      <c r="H9" s="1">
        <v>3.6055999999999999</v>
      </c>
      <c r="I9" s="3">
        <f t="shared" si="0"/>
        <v>296.46759999999995</v>
      </c>
      <c r="J9" s="3">
        <f t="shared" si="1"/>
        <v>64.066633632020711</v>
      </c>
      <c r="K9" s="3">
        <f t="shared" si="2"/>
        <v>7.3159923496701706</v>
      </c>
      <c r="L9" s="3">
        <f t="shared" si="3"/>
        <v>884.69263363202072</v>
      </c>
      <c r="M9" s="3">
        <f t="shared" si="4"/>
        <v>851.75399234967017</v>
      </c>
      <c r="P9" s="3">
        <f t="shared" si="5"/>
        <v>137.72305555555556</v>
      </c>
      <c r="Q9" s="3">
        <f t="shared" si="6"/>
        <v>0.11370096882716028</v>
      </c>
    </row>
    <row r="10" spans="2:17" x14ac:dyDescent="0.25">
      <c r="B10" s="1" t="s">
        <v>80</v>
      </c>
      <c r="C10" s="1">
        <v>2</v>
      </c>
      <c r="D10" s="1">
        <v>118</v>
      </c>
      <c r="E10" s="1">
        <v>32</v>
      </c>
      <c r="F10" s="1">
        <v>34</v>
      </c>
      <c r="G10" s="1">
        <v>35.841000000000001</v>
      </c>
      <c r="H10" s="1">
        <v>3.54</v>
      </c>
      <c r="I10" s="3">
        <f t="shared" si="0"/>
        <v>296.40199999999999</v>
      </c>
      <c r="J10" s="3">
        <f t="shared" si="1"/>
        <v>35.562647550528922</v>
      </c>
      <c r="K10" s="3">
        <f t="shared" si="2"/>
        <v>4.4581812655902056</v>
      </c>
      <c r="L10" s="3">
        <f t="shared" si="3"/>
        <v>856.18864755052891</v>
      </c>
      <c r="M10" s="3">
        <f t="shared" si="4"/>
        <v>848.89618126559014</v>
      </c>
      <c r="P10" s="3">
        <f t="shared" si="5"/>
        <v>118.54277777777777</v>
      </c>
      <c r="Q10" s="3">
        <f t="shared" si="6"/>
        <v>0.1247107628086422</v>
      </c>
    </row>
    <row r="11" spans="2:17" x14ac:dyDescent="0.25">
      <c r="B11" s="1" t="s">
        <v>81</v>
      </c>
      <c r="C11" s="1">
        <v>2</v>
      </c>
      <c r="D11" s="1">
        <v>119</v>
      </c>
      <c r="E11" s="1">
        <v>10</v>
      </c>
      <c r="F11" s="1">
        <v>25</v>
      </c>
      <c r="G11" s="1">
        <v>33.468000000000004</v>
      </c>
      <c r="H11" s="1">
        <v>1.962</v>
      </c>
      <c r="I11" s="3">
        <f t="shared" si="0"/>
        <v>294.82399999999996</v>
      </c>
      <c r="J11" s="3">
        <f t="shared" si="1"/>
        <v>32.662234807359795</v>
      </c>
      <c r="K11" s="3">
        <f t="shared" si="2"/>
        <v>7.2996877596849847</v>
      </c>
      <c r="L11" s="3">
        <f t="shared" si="3"/>
        <v>853.2882348073598</v>
      </c>
      <c r="M11" s="3">
        <f t="shared" si="4"/>
        <v>851.73768775968495</v>
      </c>
      <c r="P11" s="3">
        <f t="shared" si="5"/>
        <v>119.17361111111111</v>
      </c>
      <c r="Q11" s="3">
        <f t="shared" si="6"/>
        <v>0.21987688163580227</v>
      </c>
    </row>
    <row r="12" spans="2:17" x14ac:dyDescent="0.25">
      <c r="B12" s="1" t="s">
        <v>82</v>
      </c>
      <c r="C12" s="1">
        <v>2.15</v>
      </c>
      <c r="D12" s="1">
        <v>124</v>
      </c>
      <c r="E12" s="1">
        <v>37</v>
      </c>
      <c r="F12" s="1">
        <v>35</v>
      </c>
      <c r="G12" s="1">
        <v>29.998000000000001</v>
      </c>
      <c r="H12" s="1">
        <v>2.0272000000000001</v>
      </c>
      <c r="I12" s="3">
        <f t="shared" si="0"/>
        <v>294.73919999999998</v>
      </c>
      <c r="J12" s="3">
        <f t="shared" si="1"/>
        <v>28.319048423693523</v>
      </c>
      <c r="K12" s="3">
        <f t="shared" si="2"/>
        <v>9.8950240210168943</v>
      </c>
      <c r="L12" s="3">
        <f t="shared" si="3"/>
        <v>848.94504842369349</v>
      </c>
      <c r="M12" s="3">
        <f t="shared" si="4"/>
        <v>854.33302402101685</v>
      </c>
      <c r="P12" s="3">
        <f t="shared" si="5"/>
        <v>124.62638888888888</v>
      </c>
      <c r="Q12" s="3">
        <f t="shared" si="6"/>
        <v>0.33615116558642016</v>
      </c>
    </row>
    <row r="13" spans="2:17" x14ac:dyDescent="0.25">
      <c r="B13" s="1" t="s">
        <v>83</v>
      </c>
      <c r="C13" s="1">
        <v>2</v>
      </c>
      <c r="D13" s="1">
        <v>131</v>
      </c>
      <c r="E13" s="1">
        <v>17</v>
      </c>
      <c r="F13" s="1">
        <v>19</v>
      </c>
      <c r="G13" s="1">
        <v>22.363</v>
      </c>
      <c r="H13" s="1">
        <v>1.1828000000000001</v>
      </c>
      <c r="I13" s="3">
        <f t="shared" si="0"/>
        <v>294.04479999999995</v>
      </c>
      <c r="J13" s="3">
        <f t="shared" si="1"/>
        <v>20.790319593527855</v>
      </c>
      <c r="K13" s="3">
        <f t="shared" si="2"/>
        <v>8.2381053767824373</v>
      </c>
      <c r="L13" s="3">
        <f t="shared" si="3"/>
        <v>841.41631959352787</v>
      </c>
      <c r="M13" s="3">
        <f t="shared" si="4"/>
        <v>852.6761053767824</v>
      </c>
      <c r="P13" s="3">
        <f t="shared" si="5"/>
        <v>131.28861111111112</v>
      </c>
      <c r="Q13" s="3">
        <f t="shared" si="6"/>
        <v>0.37726700123456758</v>
      </c>
    </row>
    <row r="14" spans="2:17" x14ac:dyDescent="0.25">
      <c r="B14" s="1" t="s">
        <v>84</v>
      </c>
      <c r="C14" s="1">
        <v>2</v>
      </c>
      <c r="D14" s="1">
        <v>133</v>
      </c>
      <c r="E14" s="1">
        <v>38</v>
      </c>
      <c r="F14" s="1">
        <v>40</v>
      </c>
      <c r="G14" s="1">
        <v>16.600000000000001</v>
      </c>
      <c r="H14" s="1">
        <v>1.1890000000000001</v>
      </c>
      <c r="I14" s="3">
        <f t="shared" si="0"/>
        <v>294.05099999999999</v>
      </c>
      <c r="J14" s="3">
        <f t="shared" si="1"/>
        <v>13.815811205760193</v>
      </c>
      <c r="K14" s="3">
        <f t="shared" si="2"/>
        <v>9.202356259501757</v>
      </c>
      <c r="L14" s="3">
        <f t="shared" si="3"/>
        <v>834.44181120576013</v>
      </c>
      <c r="M14" s="3">
        <f t="shared" si="4"/>
        <v>853.6403562595018</v>
      </c>
      <c r="P14" s="3">
        <f t="shared" si="5"/>
        <v>133.64444444444445</v>
      </c>
      <c r="Q14" s="3">
        <f t="shared" si="6"/>
        <v>0.58759236543209903</v>
      </c>
    </row>
    <row r="15" spans="2:17" x14ac:dyDescent="0.25">
      <c r="B15" s="1">
        <v>25</v>
      </c>
      <c r="C15" s="1">
        <v>2</v>
      </c>
      <c r="D15" s="1">
        <v>145</v>
      </c>
      <c r="E15" s="1">
        <v>41</v>
      </c>
      <c r="F15" s="1">
        <v>44</v>
      </c>
      <c r="G15" s="1">
        <v>12.64</v>
      </c>
      <c r="H15" s="1">
        <v>6.4000000000000001E-2</v>
      </c>
      <c r="I15" s="3">
        <f t="shared" si="0"/>
        <v>292.92599999999999</v>
      </c>
      <c r="J15" s="3">
        <f t="shared" si="1"/>
        <v>7.4949189522141522</v>
      </c>
      <c r="K15" s="3">
        <f t="shared" si="2"/>
        <v>10.178201702645765</v>
      </c>
      <c r="L15" s="3">
        <f t="shared" si="3"/>
        <v>828.12091895221408</v>
      </c>
      <c r="M15" s="3">
        <f t="shared" si="4"/>
        <v>854.61620170264575</v>
      </c>
      <c r="P15" s="3">
        <f t="shared" si="5"/>
        <v>145.69555555555556</v>
      </c>
      <c r="Q15" s="3">
        <f t="shared" si="6"/>
        <v>0.93607585771604973</v>
      </c>
    </row>
    <row r="16" spans="2:17" x14ac:dyDescent="0.25">
      <c r="B16" s="1">
        <v>26</v>
      </c>
      <c r="C16" s="1">
        <v>1.6</v>
      </c>
      <c r="D16" s="1">
        <v>165</v>
      </c>
      <c r="E16" s="1">
        <v>39</v>
      </c>
      <c r="F16" s="1">
        <v>46</v>
      </c>
      <c r="G16" s="1">
        <v>4.7169999999999996</v>
      </c>
      <c r="H16" s="1">
        <v>0.71</v>
      </c>
      <c r="I16" s="3">
        <f t="shared" si="0"/>
        <v>293.97199999999992</v>
      </c>
      <c r="J16" s="3">
        <f t="shared" si="1"/>
        <v>-3.8286204178716381</v>
      </c>
      <c r="K16" s="3">
        <f t="shared" si="2"/>
        <v>2.7553139015103882</v>
      </c>
      <c r="L16" s="3">
        <f t="shared" si="3"/>
        <v>816.79737958212831</v>
      </c>
      <c r="M16" s="3">
        <f t="shared" si="4"/>
        <v>847.19331390151035</v>
      </c>
      <c r="P16" s="3">
        <f t="shared" si="5"/>
        <v>165.66277777777779</v>
      </c>
      <c r="Q16" s="3">
        <f t="shared" si="6"/>
        <v>2.5177920197530868</v>
      </c>
    </row>
    <row r="17" spans="2:17" x14ac:dyDescent="0.25">
      <c r="B17" s="1">
        <v>27</v>
      </c>
      <c r="C17" s="3">
        <v>1.6</v>
      </c>
      <c r="D17" s="1">
        <v>256</v>
      </c>
      <c r="E17" s="1">
        <v>17</v>
      </c>
      <c r="F17" s="1">
        <v>28</v>
      </c>
      <c r="G17" s="1">
        <v>14.859</v>
      </c>
      <c r="H17" s="1">
        <v>0.29599999999999999</v>
      </c>
      <c r="I17" s="3">
        <f t="shared" si="0"/>
        <v>293.55799999999994</v>
      </c>
      <c r="J17" s="3">
        <f t="shared" si="1"/>
        <v>-13.904932384254016</v>
      </c>
      <c r="K17" s="3">
        <f t="shared" si="2"/>
        <v>5.2385815245468788</v>
      </c>
      <c r="L17" s="3">
        <f t="shared" si="3"/>
        <v>806.72106761574594</v>
      </c>
      <c r="M17" s="3">
        <f t="shared" si="4"/>
        <v>849.67658152454692</v>
      </c>
      <c r="P17" s="3">
        <f t="shared" si="5"/>
        <v>256.29111111111115</v>
      </c>
      <c r="Q17" s="3">
        <f t="shared" si="6"/>
        <v>2.7812950282407405</v>
      </c>
    </row>
    <row r="18" spans="2:17" x14ac:dyDescent="0.25">
      <c r="B18" s="1">
        <v>28</v>
      </c>
      <c r="C18" s="3">
        <v>1.6</v>
      </c>
      <c r="D18" s="1">
        <v>271</v>
      </c>
      <c r="E18" s="1">
        <v>23</v>
      </c>
      <c r="F18" s="1">
        <v>21</v>
      </c>
      <c r="G18" s="1">
        <v>17.338000000000001</v>
      </c>
      <c r="H18" s="1">
        <v>2.5000000000000001E-2</v>
      </c>
      <c r="I18" s="3">
        <f t="shared" si="0"/>
        <v>293.28699999999992</v>
      </c>
      <c r="J18" s="3">
        <f t="shared" si="1"/>
        <v>-13.852609023242065</v>
      </c>
      <c r="K18" s="3">
        <f t="shared" si="2"/>
        <v>10.426479139632541</v>
      </c>
      <c r="L18" s="3">
        <f t="shared" si="3"/>
        <v>806.77339097675792</v>
      </c>
      <c r="M18" s="3">
        <f t="shared" si="4"/>
        <v>854.86447913963252</v>
      </c>
      <c r="P18" s="3">
        <f t="shared" si="5"/>
        <v>271.38916666666665</v>
      </c>
      <c r="Q18" s="3">
        <f t="shared" si="6"/>
        <v>2.4963832790123459</v>
      </c>
    </row>
    <row r="19" spans="2:17" x14ac:dyDescent="0.25">
      <c r="B19" s="1">
        <v>29</v>
      </c>
      <c r="C19" s="3">
        <v>1.6</v>
      </c>
      <c r="D19" s="1">
        <v>255</v>
      </c>
      <c r="E19" s="1">
        <v>3</v>
      </c>
      <c r="F19" s="1">
        <v>52</v>
      </c>
      <c r="G19" s="1">
        <v>17.515999999999998</v>
      </c>
      <c r="H19" s="1">
        <v>0.33500000000000002</v>
      </c>
      <c r="I19" s="3">
        <f t="shared" si="0"/>
        <v>293.59699999999992</v>
      </c>
      <c r="J19" s="3">
        <f t="shared" si="1"/>
        <v>-10.865814887153791</v>
      </c>
      <c r="K19" s="3">
        <f t="shared" si="2"/>
        <v>13.738425049404572</v>
      </c>
      <c r="L19" s="3">
        <f t="shared" si="3"/>
        <v>809.76018511284622</v>
      </c>
      <c r="M19" s="3">
        <f t="shared" si="4"/>
        <v>858.17642504940454</v>
      </c>
      <c r="P19" s="3">
        <f t="shared" si="5"/>
        <v>255.06444444444446</v>
      </c>
      <c r="Q19" s="3">
        <f t="shared" si="6"/>
        <v>2.2399680374999997</v>
      </c>
    </row>
    <row r="20" spans="2:17" x14ac:dyDescent="0.25">
      <c r="B20" s="1">
        <v>30</v>
      </c>
      <c r="C20" s="3">
        <v>1.6</v>
      </c>
      <c r="D20" s="1">
        <v>240</v>
      </c>
      <c r="E20" s="1">
        <v>22</v>
      </c>
      <c r="F20" s="1">
        <v>21</v>
      </c>
      <c r="G20" s="1">
        <v>14.625999999999999</v>
      </c>
      <c r="H20" s="1">
        <v>0.52800000000000002</v>
      </c>
      <c r="I20" s="3">
        <f t="shared" si="0"/>
        <v>293.78999999999996</v>
      </c>
      <c r="J20" s="3">
        <f t="shared" si="1"/>
        <v>-3.3979746289503385</v>
      </c>
      <c r="K20" s="3">
        <f t="shared" si="2"/>
        <v>14.225809095478887</v>
      </c>
      <c r="L20" s="3">
        <f t="shared" si="3"/>
        <v>817.22802537104963</v>
      </c>
      <c r="M20" s="3">
        <f t="shared" si="4"/>
        <v>858.66380909547888</v>
      </c>
      <c r="P20" s="3">
        <f t="shared" si="5"/>
        <v>240.3725</v>
      </c>
      <c r="Q20" s="3">
        <f t="shared" si="6"/>
        <v>1.8052629749999993</v>
      </c>
    </row>
    <row r="21" spans="2:17" x14ac:dyDescent="0.25">
      <c r="B21" s="1">
        <v>31</v>
      </c>
      <c r="C21" s="3">
        <v>1.6</v>
      </c>
      <c r="D21" s="1">
        <v>215</v>
      </c>
      <c r="E21" s="1">
        <v>27</v>
      </c>
      <c r="F21" s="1">
        <v>54</v>
      </c>
      <c r="G21" s="1">
        <v>12.842000000000001</v>
      </c>
      <c r="H21" s="1">
        <v>0.41899999999999998</v>
      </c>
      <c r="I21" s="3">
        <f t="shared" si="0"/>
        <v>293.68099999999993</v>
      </c>
      <c r="J21" s="3">
        <f t="shared" si="1"/>
        <v>-1.4626599837142242</v>
      </c>
      <c r="K21" s="3">
        <f t="shared" si="2"/>
        <v>12.758432104770598</v>
      </c>
      <c r="L21" s="3">
        <f t="shared" si="3"/>
        <v>819.1633400162857</v>
      </c>
      <c r="M21" s="3">
        <f t="shared" si="4"/>
        <v>857.19643210477057</v>
      </c>
      <c r="P21" s="3">
        <f t="shared" si="5"/>
        <v>215.46499999999997</v>
      </c>
      <c r="Q21" s="3">
        <f t="shared" si="6"/>
        <v>1.6849406162037033</v>
      </c>
    </row>
    <row r="22" spans="2:17" x14ac:dyDescent="0.25">
      <c r="B22" s="1">
        <v>32</v>
      </c>
      <c r="C22" s="3">
        <v>1.6</v>
      </c>
      <c r="D22" s="1">
        <v>208</v>
      </c>
      <c r="E22" s="1">
        <v>34</v>
      </c>
      <c r="F22" s="1">
        <v>15</v>
      </c>
      <c r="G22" s="1">
        <v>12.25</v>
      </c>
      <c r="H22" s="1">
        <v>0.75800000000000001</v>
      </c>
      <c r="I22" s="3">
        <f t="shared" si="0"/>
        <v>294.01999999999992</v>
      </c>
      <c r="J22" s="3">
        <f t="shared" si="1"/>
        <v>7.7218238425025776</v>
      </c>
      <c r="K22" s="3">
        <f t="shared" si="2"/>
        <v>9.5097810987087783</v>
      </c>
      <c r="L22" s="3">
        <f t="shared" si="3"/>
        <v>828.34782384250252</v>
      </c>
      <c r="M22" s="3">
        <f t="shared" si="4"/>
        <v>853.94778109870879</v>
      </c>
      <c r="P22" s="3">
        <f t="shared" si="5"/>
        <v>208.57083333333333</v>
      </c>
      <c r="Q22" s="3">
        <f t="shared" si="6"/>
        <v>0.88878852592592539</v>
      </c>
    </row>
    <row r="23" spans="2:17" x14ac:dyDescent="0.25">
      <c r="B23" s="1" t="s">
        <v>85</v>
      </c>
      <c r="C23" s="3">
        <v>1.6</v>
      </c>
      <c r="D23" s="1">
        <v>162</v>
      </c>
      <c r="E23" s="1">
        <v>57</v>
      </c>
      <c r="F23" s="1">
        <v>12</v>
      </c>
      <c r="G23" s="1">
        <v>11.31</v>
      </c>
      <c r="H23" s="1">
        <v>0.747</v>
      </c>
      <c r="I23" s="3">
        <f t="shared" si="0"/>
        <v>294.00899999999996</v>
      </c>
      <c r="J23" s="3">
        <f t="shared" si="1"/>
        <v>0.4438802307824809</v>
      </c>
      <c r="K23" s="3">
        <f t="shared" si="2"/>
        <v>-11.30128622505954</v>
      </c>
      <c r="L23" s="3">
        <f t="shared" si="3"/>
        <v>821.06988023078247</v>
      </c>
      <c r="M23" s="3">
        <f t="shared" si="4"/>
        <v>833.1367137749404</v>
      </c>
      <c r="P23" s="3">
        <f t="shared" si="5"/>
        <v>162.95333333333332</v>
      </c>
      <c r="Q23" s="3">
        <f t="shared" si="6"/>
        <v>4.7516457674382711</v>
      </c>
    </row>
    <row r="24" spans="2:17" x14ac:dyDescent="0.25">
      <c r="B24" s="1" t="s">
        <v>86</v>
      </c>
      <c r="C24" s="3">
        <v>1.6</v>
      </c>
      <c r="D24" s="1">
        <v>24</v>
      </c>
      <c r="E24" s="1">
        <v>17</v>
      </c>
      <c r="F24" s="1">
        <v>7</v>
      </c>
      <c r="G24" s="1">
        <v>11.750999999999999</v>
      </c>
      <c r="H24" s="1">
        <v>-0.38300000000000001</v>
      </c>
      <c r="I24" s="3">
        <f t="shared" si="0"/>
        <v>292.87899999999996</v>
      </c>
      <c r="J24" s="3">
        <f t="shared" si="1"/>
        <v>4.0429134499691015</v>
      </c>
      <c r="K24" s="3">
        <f t="shared" si="2"/>
        <v>-11.033623694691556</v>
      </c>
      <c r="L24" s="3">
        <f t="shared" si="3"/>
        <v>824.66891344996907</v>
      </c>
      <c r="M24" s="3">
        <f t="shared" si="4"/>
        <v>833.40437630530846</v>
      </c>
      <c r="P24" s="3">
        <f t="shared" si="5"/>
        <v>24.285277777777779</v>
      </c>
      <c r="Q24" s="3">
        <f t="shared" si="6"/>
        <v>5.0636141702160486</v>
      </c>
    </row>
    <row r="25" spans="2:17" x14ac:dyDescent="0.25">
      <c r="B25" s="1">
        <v>34</v>
      </c>
      <c r="C25" s="3">
        <v>1.6</v>
      </c>
      <c r="D25" s="1">
        <v>42</v>
      </c>
      <c r="E25" s="1">
        <v>9</v>
      </c>
      <c r="F25" s="1">
        <v>37</v>
      </c>
      <c r="G25" s="1">
        <v>14.83</v>
      </c>
      <c r="H25" s="1">
        <v>-0.28899999999999998</v>
      </c>
      <c r="I25" s="3">
        <f t="shared" si="0"/>
        <v>292.97299999999996</v>
      </c>
      <c r="J25" s="3">
        <f t="shared" si="1"/>
        <v>0.38607482317921593</v>
      </c>
      <c r="K25" s="3">
        <f t="shared" si="2"/>
        <v>-14.824973734577311</v>
      </c>
      <c r="L25" s="3">
        <f t="shared" si="3"/>
        <v>821.0120748231792</v>
      </c>
      <c r="M25" s="3">
        <f t="shared" si="4"/>
        <v>829.61302626542272</v>
      </c>
      <c r="P25" s="3">
        <f t="shared" si="5"/>
        <v>42.160277777777779</v>
      </c>
      <c r="Q25" s="3">
        <f t="shared" si="6"/>
        <v>4.7384252882716051</v>
      </c>
    </row>
    <row r="26" spans="2:17" x14ac:dyDescent="0.25">
      <c r="B26" s="1">
        <v>35</v>
      </c>
      <c r="C26" s="3">
        <v>1.6</v>
      </c>
      <c r="D26" s="1">
        <v>23</v>
      </c>
      <c r="E26" s="1">
        <v>31</v>
      </c>
      <c r="F26" s="1">
        <v>40</v>
      </c>
      <c r="G26" s="1">
        <v>17.137</v>
      </c>
      <c r="H26" s="1">
        <v>-0.29699999999999999</v>
      </c>
      <c r="I26" s="3">
        <f t="shared" si="0"/>
        <v>292.96499999999992</v>
      </c>
      <c r="J26" s="3">
        <f t="shared" si="1"/>
        <v>-3.858312190105186</v>
      </c>
      <c r="K26" s="3">
        <f t="shared" si="2"/>
        <v>-16.697011590212355</v>
      </c>
      <c r="L26" s="3">
        <f t="shared" si="3"/>
        <v>816.76768780989482</v>
      </c>
      <c r="M26" s="3">
        <f t="shared" si="4"/>
        <v>827.74098840978763</v>
      </c>
      <c r="P26" s="3">
        <f t="shared" si="5"/>
        <v>23.527777777777779</v>
      </c>
      <c r="Q26" s="3">
        <f t="shared" si="6"/>
        <v>4.4852969865740748</v>
      </c>
    </row>
    <row r="27" spans="2:17" x14ac:dyDescent="0.25">
      <c r="B27" s="1">
        <v>36</v>
      </c>
      <c r="C27" s="3">
        <v>1.6</v>
      </c>
      <c r="D27" s="1">
        <v>9</v>
      </c>
      <c r="E27" s="1">
        <v>1</v>
      </c>
      <c r="F27" s="1">
        <v>27</v>
      </c>
      <c r="G27" s="1">
        <v>16.245000000000001</v>
      </c>
      <c r="H27" s="1">
        <v>-0.435</v>
      </c>
      <c r="I27" s="3">
        <f t="shared" si="0"/>
        <v>292.82699999999994</v>
      </c>
      <c r="J27" s="3">
        <f t="shared" si="1"/>
        <v>-6.1942808536497012</v>
      </c>
      <c r="K27" s="3">
        <f t="shared" si="2"/>
        <v>-15.017686563053203</v>
      </c>
      <c r="L27" s="3">
        <f t="shared" si="3"/>
        <v>814.43171914635025</v>
      </c>
      <c r="M27" s="3">
        <f t="shared" si="4"/>
        <v>829.4203134369468</v>
      </c>
      <c r="P27" s="3">
        <f t="shared" si="5"/>
        <v>9.0241666666666678</v>
      </c>
      <c r="Q27" s="3">
        <f t="shared" si="6"/>
        <v>4.3211826995370375</v>
      </c>
    </row>
    <row r="28" spans="2:17" x14ac:dyDescent="0.25">
      <c r="B28" s="1">
        <v>37</v>
      </c>
      <c r="C28" s="3">
        <v>1.6</v>
      </c>
      <c r="D28" s="1">
        <v>359</v>
      </c>
      <c r="E28" s="1">
        <v>37</v>
      </c>
      <c r="F28" s="1">
        <v>15</v>
      </c>
      <c r="G28" s="1">
        <v>17.111999999999998</v>
      </c>
      <c r="H28" s="1">
        <v>-0.56999999999999995</v>
      </c>
      <c r="I28" s="3">
        <f t="shared" si="0"/>
        <v>292.69199999999995</v>
      </c>
      <c r="J28" s="3">
        <f t="shared" si="1"/>
        <v>-12.315656011843599</v>
      </c>
      <c r="K28" s="3">
        <f t="shared" si="2"/>
        <v>-11.880452895320975</v>
      </c>
      <c r="L28" s="3">
        <f t="shared" si="3"/>
        <v>808.31034398815643</v>
      </c>
      <c r="M28" s="3">
        <f t="shared" si="4"/>
        <v>832.55754710467897</v>
      </c>
      <c r="P28" s="3">
        <f t="shared" si="5"/>
        <v>359.62083333333334</v>
      </c>
      <c r="Q28" s="3">
        <f t="shared" si="6"/>
        <v>3.9090062643518517</v>
      </c>
    </row>
    <row r="29" spans="2:17" x14ac:dyDescent="0.25">
      <c r="B29" s="1">
        <v>38</v>
      </c>
      <c r="C29" s="3">
        <v>1.6</v>
      </c>
      <c r="D29" s="1">
        <v>336</v>
      </c>
      <c r="E29" s="1">
        <v>0</v>
      </c>
      <c r="F29" s="1">
        <v>15</v>
      </c>
      <c r="G29" s="1">
        <v>14.012</v>
      </c>
      <c r="H29" s="1">
        <v>-5.6000000000000001E-2</v>
      </c>
      <c r="I29" s="3">
        <f t="shared" si="0"/>
        <v>293.20599999999996</v>
      </c>
      <c r="J29" s="3">
        <f t="shared" si="1"/>
        <v>-5.2569938138640202</v>
      </c>
      <c r="K29" s="3">
        <f t="shared" si="2"/>
        <v>-12.988462574184652</v>
      </c>
      <c r="L29" s="3">
        <f t="shared" si="3"/>
        <v>815.36900618613595</v>
      </c>
      <c r="M29" s="3">
        <f t="shared" si="4"/>
        <v>831.44953742581538</v>
      </c>
      <c r="P29" s="3">
        <f t="shared" si="5"/>
        <v>336.00416666666666</v>
      </c>
      <c r="Q29" s="3">
        <f t="shared" si="6"/>
        <v>4.3278002111111116</v>
      </c>
    </row>
  </sheetData>
  <mergeCells count="3">
    <mergeCell ref="D5:F5"/>
    <mergeCell ref="J5:K5"/>
    <mergeCell ref="L5:M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C2681-F4CB-44E8-B3E1-29A90BA41321}">
  <dimension ref="A4:R24"/>
  <sheetViews>
    <sheetView workbookViewId="0">
      <selection activeCell="M35" sqref="M35"/>
    </sheetView>
  </sheetViews>
  <sheetFormatPr defaultColWidth="9.140625" defaultRowHeight="15" x14ac:dyDescent="0.25"/>
  <cols>
    <col min="1" max="1" width="9.140625" style="1"/>
    <col min="2" max="2" width="11.28515625" style="1" customWidth="1"/>
    <col min="3" max="3" width="14.28515625" style="1" customWidth="1"/>
    <col min="4" max="8" width="9.140625" style="1"/>
    <col min="9" max="9" width="15.7109375" style="1" customWidth="1"/>
    <col min="10" max="16384" width="9.140625" style="1"/>
  </cols>
  <sheetData>
    <row r="4" spans="1:18" x14ac:dyDescent="0.25">
      <c r="B4" s="1" t="s">
        <v>10</v>
      </c>
      <c r="C4" s="1" t="s">
        <v>87</v>
      </c>
    </row>
    <row r="5" spans="1:18" x14ac:dyDescent="0.25">
      <c r="A5" s="3"/>
      <c r="B5" s="3" t="s">
        <v>39</v>
      </c>
      <c r="C5" s="3">
        <v>1.4610000000000001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x14ac:dyDescent="0.25">
      <c r="A6" s="3"/>
      <c r="B6" s="3" t="s">
        <v>1</v>
      </c>
      <c r="C6" s="3" t="s">
        <v>0</v>
      </c>
      <c r="D6" s="4" t="s">
        <v>42</v>
      </c>
      <c r="E6" s="4"/>
      <c r="F6" s="4"/>
      <c r="G6" s="3" t="s">
        <v>43</v>
      </c>
      <c r="H6" s="3" t="s">
        <v>7</v>
      </c>
      <c r="I6" s="3" t="s">
        <v>44</v>
      </c>
      <c r="J6" s="4" t="s">
        <v>34</v>
      </c>
      <c r="K6" s="4"/>
      <c r="L6" s="4" t="s">
        <v>46</v>
      </c>
      <c r="M6" s="4"/>
      <c r="N6" s="3"/>
      <c r="O6" s="3"/>
      <c r="P6" s="3" t="s">
        <v>37</v>
      </c>
      <c r="Q6" s="3" t="s">
        <v>183</v>
      </c>
      <c r="R6" s="3"/>
    </row>
    <row r="7" spans="1:18" x14ac:dyDescent="0.25">
      <c r="A7" s="3"/>
      <c r="B7" s="3"/>
      <c r="C7" s="3"/>
      <c r="D7" s="3" t="s">
        <v>2</v>
      </c>
      <c r="E7" s="3" t="s">
        <v>41</v>
      </c>
      <c r="F7" s="3" t="s">
        <v>4</v>
      </c>
      <c r="G7" s="3" t="s">
        <v>6</v>
      </c>
      <c r="H7" s="3" t="s">
        <v>6</v>
      </c>
      <c r="I7" s="3"/>
      <c r="J7" s="3" t="s">
        <v>35</v>
      </c>
      <c r="K7" s="3" t="s">
        <v>45</v>
      </c>
      <c r="L7" s="3" t="s">
        <v>35</v>
      </c>
      <c r="M7" s="3" t="s">
        <v>45</v>
      </c>
      <c r="N7" s="3"/>
      <c r="O7" s="3"/>
      <c r="P7" s="3"/>
      <c r="Q7" s="3"/>
      <c r="R7" s="3"/>
    </row>
    <row r="8" spans="1:18" x14ac:dyDescent="0.25">
      <c r="A8" s="3"/>
      <c r="B8" s="3" t="s">
        <v>88</v>
      </c>
      <c r="C8" s="3">
        <v>1.5</v>
      </c>
      <c r="D8" s="3">
        <v>32</v>
      </c>
      <c r="E8" s="3">
        <v>22</v>
      </c>
      <c r="F8" s="3">
        <v>21</v>
      </c>
      <c r="G8" s="3">
        <v>15.06</v>
      </c>
      <c r="H8" s="3">
        <v>7.4899999999999994E-2</v>
      </c>
      <c r="I8" s="3">
        <f>291.378+1.461+H8-C8</f>
        <v>291.41390000000001</v>
      </c>
      <c r="J8" s="3">
        <f>G8*COS(Q8)</f>
        <v>2.7021307885044568</v>
      </c>
      <c r="K8" s="3">
        <f>G8*SIN(Q8)</f>
        <v>-14.815602897007475</v>
      </c>
      <c r="L8" s="3">
        <f>793.53+J8</f>
        <v>796.23213078850438</v>
      </c>
      <c r="M8" s="3">
        <f>777.474+K8</f>
        <v>762.65839710299258</v>
      </c>
      <c r="N8" s="3"/>
      <c r="O8" s="3"/>
      <c r="P8" s="3">
        <f>D8+E8/60+F8/3600</f>
        <v>32.372500000000002</v>
      </c>
      <c r="Q8" s="3">
        <f>IF((67.972+P8-180)&gt;0, (67.972+P8-180)*3.1415/180, (67.972+P8+180)*3.1415/180)</f>
        <v>4.8927902597222221</v>
      </c>
      <c r="R8" s="3"/>
    </row>
    <row r="9" spans="1:18" x14ac:dyDescent="0.25">
      <c r="A9" s="3"/>
      <c r="B9" s="3" t="s">
        <v>89</v>
      </c>
      <c r="C9" s="3">
        <v>1.5</v>
      </c>
      <c r="D9" s="3">
        <v>15</v>
      </c>
      <c r="E9" s="3">
        <v>30</v>
      </c>
      <c r="F9" s="3">
        <v>14</v>
      </c>
      <c r="G9" s="3">
        <v>8.6340000000000003</v>
      </c>
      <c r="H9" s="3">
        <v>5.7000000000000002E-2</v>
      </c>
      <c r="I9" s="3">
        <f t="shared" ref="I9:I24" si="0">291.378+1.461+H9-C9</f>
        <v>291.39600000000002</v>
      </c>
      <c r="J9" s="3">
        <f t="shared" ref="J9:J23" si="1">G9*COS(Q9)</f>
        <v>-0.98216981996355701</v>
      </c>
      <c r="K9" s="3">
        <f t="shared" ref="K9:K24" si="2">G9*SIN(Q9)</f>
        <v>-8.5779542109265634</v>
      </c>
      <c r="L9" s="3">
        <f>793.53+J9</f>
        <v>792.54783018003639</v>
      </c>
      <c r="M9" s="3">
        <f t="shared" ref="M9:M24" si="3">777.474+K9</f>
        <v>768.89604578907347</v>
      </c>
      <c r="N9" s="3"/>
      <c r="O9" s="3"/>
      <c r="P9" s="3">
        <f t="shared" ref="P9:P24" si="4">D9+E9/60+F9/3600</f>
        <v>15.503888888888889</v>
      </c>
      <c r="Q9" s="3">
        <f t="shared" ref="Q9:Q24" si="5">IF((67.972+P9-180)&gt;0, (67.972+P9-180)*3.1415/180, (67.972+P9+180)*3.1415/180)</f>
        <v>4.5983861385802474</v>
      </c>
      <c r="R9" s="3"/>
    </row>
    <row r="10" spans="1:18" x14ac:dyDescent="0.25">
      <c r="A10" s="3"/>
      <c r="B10" s="3">
        <v>2</v>
      </c>
      <c r="C10" s="3">
        <v>1.5</v>
      </c>
      <c r="D10" s="3">
        <v>8</v>
      </c>
      <c r="E10" s="3">
        <v>4</v>
      </c>
      <c r="F10" s="3">
        <v>34</v>
      </c>
      <c r="G10" s="3">
        <v>7.6609999999999996</v>
      </c>
      <c r="H10" s="3">
        <v>5.4199999999999998E-2</v>
      </c>
      <c r="I10" s="3">
        <f t="shared" si="0"/>
        <v>291.39319999999998</v>
      </c>
      <c r="J10" s="3">
        <f t="shared" si="1"/>
        <v>-1.8481010600961376</v>
      </c>
      <c r="K10" s="3">
        <f t="shared" si="2"/>
        <v>-7.4347456897779312</v>
      </c>
      <c r="L10" s="3">
        <f t="shared" ref="L9:L24" si="6">793.53+J10</f>
        <v>791.68189893990382</v>
      </c>
      <c r="M10" s="3">
        <f t="shared" si="3"/>
        <v>770.03925431022208</v>
      </c>
      <c r="N10" s="3"/>
      <c r="O10" s="3"/>
      <c r="P10" s="3">
        <f t="shared" si="4"/>
        <v>8.0761111111111106</v>
      </c>
      <c r="Q10" s="3">
        <f t="shared" si="5"/>
        <v>4.4687507836419753</v>
      </c>
      <c r="R10" s="3"/>
    </row>
    <row r="11" spans="1:18" x14ac:dyDescent="0.25">
      <c r="A11" s="3"/>
      <c r="B11" s="3" t="s">
        <v>90</v>
      </c>
      <c r="C11" s="3">
        <v>1.5</v>
      </c>
      <c r="D11" s="3">
        <v>309</v>
      </c>
      <c r="E11" s="3">
        <v>44</v>
      </c>
      <c r="F11" s="3">
        <v>47</v>
      </c>
      <c r="G11" s="3">
        <v>7.0465999999999998</v>
      </c>
      <c r="H11" s="3">
        <v>0.05</v>
      </c>
      <c r="I11" s="3">
        <f t="shared" si="0"/>
        <v>291.38900000000001</v>
      </c>
      <c r="J11" s="3">
        <f t="shared" si="1"/>
        <v>-6.712554677190365</v>
      </c>
      <c r="K11" s="3">
        <f t="shared" si="2"/>
        <v>-2.1438706270971095</v>
      </c>
      <c r="L11" s="3">
        <f t="shared" si="6"/>
        <v>786.81744532280959</v>
      </c>
      <c r="M11" s="3">
        <f t="shared" si="3"/>
        <v>775.33012937290289</v>
      </c>
      <c r="N11" s="3"/>
      <c r="O11" s="3"/>
      <c r="P11" s="3">
        <f t="shared" si="4"/>
        <v>309.74638888888893</v>
      </c>
      <c r="Q11" s="3">
        <f t="shared" si="5"/>
        <v>3.4507351038580252</v>
      </c>
      <c r="R11" s="3"/>
    </row>
    <row r="12" spans="1:18" x14ac:dyDescent="0.25">
      <c r="A12" s="3"/>
      <c r="B12" s="3">
        <v>3</v>
      </c>
      <c r="C12" s="3">
        <v>1.5</v>
      </c>
      <c r="D12" s="3">
        <v>154</v>
      </c>
      <c r="E12" s="3">
        <v>37</v>
      </c>
      <c r="F12" s="3">
        <v>20</v>
      </c>
      <c r="G12" s="3">
        <v>23.527999999999999</v>
      </c>
      <c r="H12" s="3">
        <v>4.2799999999999998E-2</v>
      </c>
      <c r="I12" s="3">
        <f t="shared" si="0"/>
        <v>291.3818</v>
      </c>
      <c r="J12" s="3">
        <f t="shared" si="1"/>
        <v>17.320847254396437</v>
      </c>
      <c r="K12" s="3">
        <f t="shared" si="2"/>
        <v>15.923411518574385</v>
      </c>
      <c r="L12" s="3">
        <f t="shared" si="6"/>
        <v>810.8508472543964</v>
      </c>
      <c r="M12" s="3">
        <f t="shared" si="3"/>
        <v>793.39741151857447</v>
      </c>
      <c r="N12" s="3"/>
      <c r="O12" s="3"/>
      <c r="P12" s="3">
        <f t="shared" si="4"/>
        <v>154.62222222222223</v>
      </c>
      <c r="Q12" s="3">
        <f t="shared" si="5"/>
        <v>0.74338749506172885</v>
      </c>
      <c r="R12" s="3"/>
    </row>
    <row r="13" spans="1:18" x14ac:dyDescent="0.25">
      <c r="A13" s="3"/>
      <c r="B13" s="3" t="s">
        <v>91</v>
      </c>
      <c r="C13" s="3">
        <v>1.5</v>
      </c>
      <c r="D13" s="3">
        <v>104</v>
      </c>
      <c r="E13" s="3">
        <v>38</v>
      </c>
      <c r="F13" s="3">
        <v>38</v>
      </c>
      <c r="G13" s="3">
        <v>28.448</v>
      </c>
      <c r="H13" s="3">
        <v>1.8580000000000001</v>
      </c>
      <c r="I13" s="3">
        <f t="shared" si="0"/>
        <v>293.197</v>
      </c>
      <c r="J13" s="3">
        <f t="shared" si="1"/>
        <v>28.211412133239683</v>
      </c>
      <c r="K13" s="3">
        <f t="shared" si="2"/>
        <v>-3.6612742929882738</v>
      </c>
      <c r="L13" s="3">
        <f t="shared" si="6"/>
        <v>821.74141213323969</v>
      </c>
      <c r="M13" s="3">
        <f t="shared" si="3"/>
        <v>773.81272570701174</v>
      </c>
      <c r="N13" s="3"/>
      <c r="O13" s="3"/>
      <c r="P13" s="3">
        <f t="shared" si="4"/>
        <v>104.6438888888889</v>
      </c>
      <c r="Q13" s="3">
        <f t="shared" si="5"/>
        <v>6.1541267496913585</v>
      </c>
      <c r="R13" s="3"/>
    </row>
    <row r="14" spans="1:18" x14ac:dyDescent="0.25">
      <c r="A14" s="3"/>
      <c r="B14" s="3">
        <v>2</v>
      </c>
      <c r="C14" s="3">
        <v>1.5</v>
      </c>
      <c r="D14" s="3">
        <v>107</v>
      </c>
      <c r="E14" s="3">
        <v>38</v>
      </c>
      <c r="F14" s="3">
        <v>52</v>
      </c>
      <c r="G14" s="3">
        <v>27.567</v>
      </c>
      <c r="H14" s="3">
        <v>0.91800000000000004</v>
      </c>
      <c r="I14" s="3">
        <f t="shared" si="0"/>
        <v>292.25700000000001</v>
      </c>
      <c r="J14" s="3">
        <f t="shared" si="1"/>
        <v>27.486095760536454</v>
      </c>
      <c r="K14" s="3">
        <f t="shared" si="2"/>
        <v>-2.110457022215817</v>
      </c>
      <c r="L14" s="3">
        <f t="shared" si="6"/>
        <v>821.01609576053647</v>
      </c>
      <c r="M14" s="3">
        <f t="shared" si="3"/>
        <v>775.36354297778428</v>
      </c>
      <c r="N14" s="3"/>
      <c r="O14" s="3"/>
      <c r="P14" s="3">
        <f t="shared" si="4"/>
        <v>107.64777777777779</v>
      </c>
      <c r="Q14" s="3">
        <f t="shared" si="5"/>
        <v>6.2065529549382719</v>
      </c>
      <c r="R14" s="3"/>
    </row>
    <row r="15" spans="1:18" x14ac:dyDescent="0.25">
      <c r="A15" s="3"/>
      <c r="B15" s="3">
        <v>3</v>
      </c>
      <c r="C15" s="3">
        <v>1.5</v>
      </c>
      <c r="D15" s="3">
        <v>40</v>
      </c>
      <c r="E15" s="3">
        <v>11</v>
      </c>
      <c r="F15" s="3">
        <v>35</v>
      </c>
      <c r="G15" s="3">
        <v>20.707000000000001</v>
      </c>
      <c r="H15" s="3">
        <v>1.4510000000000001</v>
      </c>
      <c r="I15" s="3">
        <f t="shared" si="0"/>
        <v>292.79000000000002</v>
      </c>
      <c r="J15" s="3">
        <f t="shared" si="1"/>
        <v>6.4526021760576864</v>
      </c>
      <c r="K15" s="3">
        <f t="shared" si="2"/>
        <v>-19.675969459153357</v>
      </c>
      <c r="L15" s="3">
        <f t="shared" si="6"/>
        <v>799.98260217605764</v>
      </c>
      <c r="M15" s="3">
        <f t="shared" si="3"/>
        <v>757.79803054084664</v>
      </c>
      <c r="N15" s="3"/>
      <c r="O15" s="3"/>
      <c r="P15" s="3">
        <f t="shared" si="4"/>
        <v>40.193055555555553</v>
      </c>
      <c r="Q15" s="3">
        <f t="shared" si="5"/>
        <v>5.0292806779320989</v>
      </c>
      <c r="R15" s="3"/>
    </row>
    <row r="16" spans="1:18" x14ac:dyDescent="0.25">
      <c r="A16" s="3"/>
      <c r="B16" s="3" t="s">
        <v>92</v>
      </c>
      <c r="C16" s="3">
        <v>1.5</v>
      </c>
      <c r="D16" s="3">
        <v>37</v>
      </c>
      <c r="E16" s="3">
        <v>51</v>
      </c>
      <c r="F16" s="3">
        <v>46</v>
      </c>
      <c r="G16" s="3">
        <v>18.445</v>
      </c>
      <c r="H16" s="3">
        <v>0.39200000000000002</v>
      </c>
      <c r="I16" s="3">
        <f t="shared" si="0"/>
        <v>291.73099999999999</v>
      </c>
      <c r="J16" s="3">
        <f t="shared" si="1"/>
        <v>5.030370192055944</v>
      </c>
      <c r="K16" s="3">
        <f t="shared" si="2"/>
        <v>-17.745799523573883</v>
      </c>
      <c r="L16" s="3">
        <f t="shared" si="6"/>
        <v>798.56037019205587</v>
      </c>
      <c r="M16" s="3">
        <f t="shared" si="3"/>
        <v>759.7282004764262</v>
      </c>
      <c r="N16" s="3"/>
      <c r="O16" s="3"/>
      <c r="P16" s="3">
        <f t="shared" si="4"/>
        <v>37.862777777777779</v>
      </c>
      <c r="Q16" s="3">
        <f t="shared" si="5"/>
        <v>4.9886108577160497</v>
      </c>
      <c r="R16" s="3"/>
    </row>
    <row r="17" spans="1:18" x14ac:dyDescent="0.25">
      <c r="A17" s="3"/>
      <c r="B17" s="3">
        <v>40</v>
      </c>
      <c r="C17" s="3">
        <v>1.5</v>
      </c>
      <c r="D17" s="3">
        <v>37</v>
      </c>
      <c r="E17" s="3">
        <v>46</v>
      </c>
      <c r="F17" s="3">
        <v>26</v>
      </c>
      <c r="G17" s="3">
        <v>16.847999999999999</v>
      </c>
      <c r="H17" s="3">
        <v>-6.5000000000000002E-2</v>
      </c>
      <c r="I17" s="3">
        <f t="shared" si="0"/>
        <v>291.274</v>
      </c>
      <c r="J17" s="3">
        <f t="shared" si="1"/>
        <v>4.5696800360222305</v>
      </c>
      <c r="K17" s="3">
        <f t="shared" si="2"/>
        <v>-16.216446231168522</v>
      </c>
      <c r="L17" s="3">
        <f t="shared" si="6"/>
        <v>798.09968003602216</v>
      </c>
      <c r="M17" s="3">
        <f t="shared" si="3"/>
        <v>761.25755376883149</v>
      </c>
      <c r="N17" s="3"/>
      <c r="O17" s="3"/>
      <c r="P17" s="3">
        <f t="shared" si="4"/>
        <v>37.773888888888891</v>
      </c>
      <c r="Q17" s="3">
        <f t="shared" si="5"/>
        <v>4.9870594996913589</v>
      </c>
      <c r="R17" s="3"/>
    </row>
    <row r="18" spans="1:18" x14ac:dyDescent="0.25">
      <c r="A18" s="3"/>
      <c r="B18" s="3">
        <v>41</v>
      </c>
      <c r="C18" s="3">
        <v>1.5</v>
      </c>
      <c r="D18" s="3">
        <v>45</v>
      </c>
      <c r="E18" s="3">
        <v>16</v>
      </c>
      <c r="F18" s="3">
        <v>51</v>
      </c>
      <c r="G18" s="3">
        <v>14.946999999999999</v>
      </c>
      <c r="H18" s="3">
        <v>-7.0000000000000001E-3</v>
      </c>
      <c r="I18" s="3">
        <f t="shared" si="0"/>
        <v>291.33199999999999</v>
      </c>
      <c r="J18" s="3">
        <f t="shared" si="1"/>
        <v>5.8988424931911183</v>
      </c>
      <c r="K18" s="3">
        <f t="shared" si="2"/>
        <v>-13.733771013109354</v>
      </c>
      <c r="L18" s="3">
        <f t="shared" si="6"/>
        <v>799.42884249319104</v>
      </c>
      <c r="M18" s="3">
        <f t="shared" si="3"/>
        <v>763.74022898689066</v>
      </c>
      <c r="N18" s="3"/>
      <c r="O18" s="3"/>
      <c r="P18" s="3">
        <f t="shared" si="4"/>
        <v>45.280833333333334</v>
      </c>
      <c r="Q18" s="3">
        <f t="shared" si="5"/>
        <v>5.1180765328703712</v>
      </c>
      <c r="R18" s="3"/>
    </row>
    <row r="19" spans="1:18" x14ac:dyDescent="0.25">
      <c r="A19" s="3"/>
      <c r="B19" s="3">
        <v>42</v>
      </c>
      <c r="C19" s="3">
        <v>1.5</v>
      </c>
      <c r="D19" s="3">
        <v>78</v>
      </c>
      <c r="E19" s="3">
        <v>5</v>
      </c>
      <c r="F19" s="3">
        <v>11</v>
      </c>
      <c r="G19" s="3">
        <v>15.180999999999999</v>
      </c>
      <c r="H19" s="3">
        <v>-2.3400000000000001E-2</v>
      </c>
      <c r="I19" s="3">
        <f t="shared" si="0"/>
        <v>291.31560000000002</v>
      </c>
      <c r="J19" s="3">
        <f t="shared" si="1"/>
        <v>12.592841116075862</v>
      </c>
      <c r="K19" s="3">
        <f t="shared" si="2"/>
        <v>-8.4783909809154974</v>
      </c>
      <c r="L19" s="3">
        <f t="shared" si="6"/>
        <v>806.12284111607585</v>
      </c>
      <c r="M19" s="3">
        <f t="shared" si="3"/>
        <v>768.99560901908455</v>
      </c>
      <c r="N19" s="3"/>
      <c r="O19" s="3"/>
      <c r="P19" s="3">
        <f t="shared" si="4"/>
        <v>78.086388888888891</v>
      </c>
      <c r="Q19" s="3">
        <f t="shared" si="5"/>
        <v>5.6906246038580246</v>
      </c>
      <c r="R19" s="3"/>
    </row>
    <row r="20" spans="1:18" x14ac:dyDescent="0.25">
      <c r="A20" s="3"/>
      <c r="B20" s="3" t="s">
        <v>93</v>
      </c>
      <c r="C20" s="3">
        <v>1.5</v>
      </c>
      <c r="D20" s="3">
        <v>240</v>
      </c>
      <c r="E20" s="3">
        <v>11</v>
      </c>
      <c r="F20" s="3">
        <v>19</v>
      </c>
      <c r="G20" s="3">
        <v>8.5090000000000003</v>
      </c>
      <c r="H20" s="3">
        <v>0.51800000000000002</v>
      </c>
      <c r="I20" s="3">
        <f t="shared" si="0"/>
        <v>291.85699999999997</v>
      </c>
      <c r="J20" s="3">
        <f t="shared" si="1"/>
        <v>-5.2569974283126841</v>
      </c>
      <c r="K20" s="3">
        <f t="shared" si="2"/>
        <v>6.6908190110564059</v>
      </c>
      <c r="L20" s="3">
        <f t="shared" si="6"/>
        <v>788.27300257168724</v>
      </c>
      <c r="M20" s="3">
        <f t="shared" si="3"/>
        <v>784.16481901105647</v>
      </c>
      <c r="N20" s="3"/>
      <c r="O20" s="3"/>
      <c r="P20" s="3">
        <f t="shared" si="4"/>
        <v>240.18861111111113</v>
      </c>
      <c r="Q20" s="3">
        <f t="shared" si="5"/>
        <v>2.2367586655864198</v>
      </c>
      <c r="R20" s="3"/>
    </row>
    <row r="21" spans="1:18" x14ac:dyDescent="0.25">
      <c r="A21" s="3"/>
      <c r="B21" s="3">
        <v>5</v>
      </c>
      <c r="C21" s="3">
        <v>1.5</v>
      </c>
      <c r="D21" s="3">
        <v>191</v>
      </c>
      <c r="E21" s="3">
        <v>28</v>
      </c>
      <c r="F21" s="3">
        <v>2</v>
      </c>
      <c r="G21" s="3">
        <v>12.646000000000001</v>
      </c>
      <c r="H21" s="3">
        <v>0.49</v>
      </c>
      <c r="I21" s="3">
        <f t="shared" si="0"/>
        <v>291.82900000000001</v>
      </c>
      <c r="J21" s="3">
        <f t="shared" si="1"/>
        <v>2.3182473986326761</v>
      </c>
      <c r="K21" s="3">
        <f t="shared" si="2"/>
        <v>12.431695178000981</v>
      </c>
      <c r="L21" s="3">
        <f t="shared" si="6"/>
        <v>795.84824739863268</v>
      </c>
      <c r="M21" s="3">
        <f t="shared" si="3"/>
        <v>789.905695178001</v>
      </c>
      <c r="N21" s="3"/>
      <c r="O21" s="3"/>
      <c r="P21" s="3">
        <f t="shared" si="4"/>
        <v>191.46722222222223</v>
      </c>
      <c r="Q21" s="3">
        <f t="shared" si="5"/>
        <v>1.3864350922839506</v>
      </c>
      <c r="R21" s="3"/>
    </row>
    <row r="22" spans="1:18" x14ac:dyDescent="0.25">
      <c r="A22" s="3"/>
      <c r="B22" s="3">
        <v>6</v>
      </c>
      <c r="C22" s="3">
        <v>1.5</v>
      </c>
      <c r="D22" s="3">
        <v>129</v>
      </c>
      <c r="E22" s="3">
        <v>51</v>
      </c>
      <c r="F22" s="3">
        <v>58</v>
      </c>
      <c r="G22" s="3">
        <v>31.33</v>
      </c>
      <c r="H22" s="3">
        <v>0.45500000000000002</v>
      </c>
      <c r="I22" s="3">
        <f t="shared" si="0"/>
        <v>291.79399999999998</v>
      </c>
      <c r="J22" s="3">
        <f t="shared" si="1"/>
        <v>29.82392482937189</v>
      </c>
      <c r="K22" s="3">
        <f t="shared" si="2"/>
        <v>9.5969999360203602</v>
      </c>
      <c r="L22" s="3">
        <f t="shared" si="6"/>
        <v>823.35392482937186</v>
      </c>
      <c r="M22" s="3">
        <f t="shared" si="3"/>
        <v>787.07099993602037</v>
      </c>
      <c r="N22" s="3"/>
      <c r="O22" s="3"/>
      <c r="P22" s="3">
        <f t="shared" si="4"/>
        <v>129.86611111111111</v>
      </c>
      <c r="Q22" s="3">
        <f t="shared" si="5"/>
        <v>0.31132458919753103</v>
      </c>
      <c r="R22" s="3"/>
    </row>
    <row r="23" spans="1:18" x14ac:dyDescent="0.25">
      <c r="A23" s="3"/>
      <c r="B23" s="3">
        <v>7</v>
      </c>
      <c r="C23" s="3">
        <v>1.5</v>
      </c>
      <c r="D23" s="3">
        <v>125</v>
      </c>
      <c r="E23" s="3">
        <v>55</v>
      </c>
      <c r="F23" s="3">
        <v>17</v>
      </c>
      <c r="G23" s="3">
        <v>32.106000000000002</v>
      </c>
      <c r="H23" s="3">
        <v>0.45600000000000002</v>
      </c>
      <c r="I23" s="3">
        <f t="shared" si="0"/>
        <v>291.79500000000002</v>
      </c>
      <c r="J23" s="3">
        <f t="shared" si="1"/>
        <v>31.166768223528752</v>
      </c>
      <c r="K23" s="3">
        <f t="shared" si="2"/>
        <v>7.7089425021100322</v>
      </c>
      <c r="L23" s="3">
        <f t="shared" si="6"/>
        <v>824.69676822352869</v>
      </c>
      <c r="M23" s="3">
        <f t="shared" si="3"/>
        <v>785.18294250211011</v>
      </c>
      <c r="N23" s="3"/>
      <c r="O23" s="3"/>
      <c r="P23" s="3">
        <f t="shared" si="4"/>
        <v>125.9213888888889</v>
      </c>
      <c r="Q23" s="3">
        <f t="shared" si="5"/>
        <v>0.24247822885802478</v>
      </c>
      <c r="R23" s="3"/>
    </row>
    <row r="24" spans="1:18" x14ac:dyDescent="0.25">
      <c r="A24" s="3"/>
      <c r="B24" s="3">
        <v>8</v>
      </c>
      <c r="C24" s="3">
        <v>1.5</v>
      </c>
      <c r="D24" s="3">
        <v>12</v>
      </c>
      <c r="E24" s="3">
        <v>23</v>
      </c>
      <c r="F24" s="3">
        <v>21</v>
      </c>
      <c r="G24" s="3">
        <v>17.600000000000001</v>
      </c>
      <c r="H24" s="3">
        <v>0.50700000000000001</v>
      </c>
      <c r="I24" s="3">
        <f t="shared" si="0"/>
        <v>291.846</v>
      </c>
      <c r="J24" s="3">
        <f>G24*COS(Q24)</f>
        <v>-2.9492163680351111</v>
      </c>
      <c r="K24" s="3">
        <f t="shared" si="2"/>
        <v>-17.351141830280618</v>
      </c>
      <c r="L24" s="3">
        <f t="shared" si="6"/>
        <v>790.58078363196489</v>
      </c>
      <c r="M24" s="3">
        <f t="shared" si="3"/>
        <v>760.12285816971939</v>
      </c>
      <c r="N24" s="3"/>
      <c r="O24" s="3"/>
      <c r="P24" s="3">
        <f t="shared" si="4"/>
        <v>12.389166666666666</v>
      </c>
      <c r="Q24" s="3">
        <f t="shared" si="5"/>
        <v>4.5440255837962971</v>
      </c>
      <c r="R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E847A-05B8-4803-A4B3-06BC6501E5E1}">
  <dimension ref="B3:Q32"/>
  <sheetViews>
    <sheetView workbookViewId="0">
      <selection activeCell="Q7" sqref="Q7"/>
    </sheetView>
  </sheetViews>
  <sheetFormatPr defaultColWidth="9.140625" defaultRowHeight="15" x14ac:dyDescent="0.25"/>
  <cols>
    <col min="1" max="1" width="9.140625" style="1"/>
    <col min="2" max="2" width="11.28515625" style="1" customWidth="1"/>
    <col min="3" max="3" width="14.28515625" style="1" customWidth="1"/>
    <col min="4" max="8" width="9.140625" style="1"/>
    <col min="9" max="9" width="15.7109375" style="1" customWidth="1"/>
    <col min="10" max="16384" width="9.140625" style="1"/>
  </cols>
  <sheetData>
    <row r="3" spans="2:17" ht="18" x14ac:dyDescent="0.35">
      <c r="B3" s="1" t="s">
        <v>10</v>
      </c>
      <c r="C3" s="1" t="s">
        <v>94</v>
      </c>
    </row>
    <row r="4" spans="2:17" x14ac:dyDescent="0.25">
      <c r="B4" s="1" t="s">
        <v>39</v>
      </c>
      <c r="C4" s="1">
        <v>1.35</v>
      </c>
    </row>
    <row r="5" spans="2:17" x14ac:dyDescent="0.25">
      <c r="B5" s="1" t="s">
        <v>1</v>
      </c>
      <c r="C5" s="1" t="s">
        <v>0</v>
      </c>
      <c r="D5" s="6" t="s">
        <v>42</v>
      </c>
      <c r="E5" s="6"/>
      <c r="F5" s="6"/>
      <c r="G5" s="1" t="s">
        <v>43</v>
      </c>
      <c r="H5" s="1" t="s">
        <v>7</v>
      </c>
      <c r="I5" s="1" t="s">
        <v>44</v>
      </c>
      <c r="J5" s="6" t="s">
        <v>34</v>
      </c>
      <c r="K5" s="6"/>
      <c r="L5" s="6" t="s">
        <v>46</v>
      </c>
      <c r="M5" s="6"/>
      <c r="P5" s="1" t="s">
        <v>37</v>
      </c>
      <c r="Q5" s="1" t="s">
        <v>47</v>
      </c>
    </row>
    <row r="6" spans="2:17" x14ac:dyDescent="0.25">
      <c r="D6" s="1" t="s">
        <v>2</v>
      </c>
      <c r="E6" s="1" t="s">
        <v>41</v>
      </c>
      <c r="F6" s="1" t="s">
        <v>4</v>
      </c>
      <c r="G6" s="1" t="s">
        <v>6</v>
      </c>
      <c r="H6" s="1" t="s">
        <v>6</v>
      </c>
      <c r="J6" s="1" t="s">
        <v>35</v>
      </c>
      <c r="K6" s="1" t="s">
        <v>45</v>
      </c>
      <c r="L6" s="1" t="s">
        <v>35</v>
      </c>
      <c r="M6" s="1" t="s">
        <v>45</v>
      </c>
    </row>
    <row r="7" spans="2:17" x14ac:dyDescent="0.25">
      <c r="B7" s="1" t="s">
        <v>95</v>
      </c>
      <c r="C7" s="1">
        <v>2</v>
      </c>
      <c r="D7" s="1">
        <v>333</v>
      </c>
      <c r="E7" s="1">
        <v>17</v>
      </c>
      <c r="F7" s="1">
        <v>21</v>
      </c>
      <c r="G7" s="1">
        <v>14.548999999999999</v>
      </c>
      <c r="H7" s="1">
        <v>1.123</v>
      </c>
      <c r="I7" s="3">
        <f>300.746+1.35+H7-C7</f>
        <v>301.21899999999999</v>
      </c>
      <c r="J7" s="3">
        <f>G7*COS(Q7)</f>
        <v>14.547852778314423</v>
      </c>
      <c r="K7" s="3">
        <f>G7*SIN(Q7)</f>
        <v>0.18270342221570418</v>
      </c>
      <c r="L7" s="3">
        <f>1144.098+J7</f>
        <v>1158.6458527783143</v>
      </c>
      <c r="M7" s="3">
        <f>889.92+K7</f>
        <v>890.10270342221565</v>
      </c>
      <c r="P7" s="3">
        <f>D7+E7/60+F7/3600</f>
        <v>333.28916666666669</v>
      </c>
      <c r="Q7" s="3">
        <f>IF((207.441+P7-180)&gt;0, (207.441+P7-180)*3.1415/180, (207.441+P7+180)*3.1415/180)</f>
        <v>6.2957434365740745</v>
      </c>
    </row>
    <row r="8" spans="2:17" x14ac:dyDescent="0.25">
      <c r="B8" s="1" t="s">
        <v>96</v>
      </c>
      <c r="C8" s="3">
        <v>2</v>
      </c>
      <c r="D8" s="1">
        <v>346</v>
      </c>
      <c r="E8" s="1">
        <v>55</v>
      </c>
      <c r="F8" s="1">
        <v>10</v>
      </c>
      <c r="G8" s="1">
        <v>13.461</v>
      </c>
      <c r="H8" s="1">
        <v>1.0589999999999999</v>
      </c>
      <c r="I8" s="3">
        <f t="shared" ref="I8:I32" si="0">300.746+1.35+H8-C8</f>
        <v>301.15500000000003</v>
      </c>
      <c r="J8" s="3">
        <f t="shared" ref="J8:J32" si="1">G8*COS(Q8)</f>
        <v>13.041049038567595</v>
      </c>
      <c r="K8" s="3">
        <f t="shared" ref="K8:K32" si="2">G8*SIN(Q8)</f>
        <v>3.3360996648294607</v>
      </c>
      <c r="L8" s="3">
        <f t="shared" ref="L8:L32" si="3">1144.098+J8</f>
        <v>1157.1390490385675</v>
      </c>
      <c r="M8" s="3">
        <f t="shared" ref="M8:M32" si="4">889.92+K8</f>
        <v>893.25609966482943</v>
      </c>
      <c r="P8" s="3">
        <f t="shared" ref="P8:P32" si="5">D8+E8/60+F8/3600</f>
        <v>346.91944444444448</v>
      </c>
      <c r="Q8" s="3">
        <f t="shared" ref="Q8:Q32" si="6">IF((207.441+P8-180)&gt;0, (207.441+P8-180)*3.1415/180, (207.441+P8+180)*3.1415/180)</f>
        <v>6.5336296456790137</v>
      </c>
    </row>
    <row r="9" spans="2:17" x14ac:dyDescent="0.25">
      <c r="B9" s="1" t="s">
        <v>97</v>
      </c>
      <c r="C9" s="3">
        <v>2</v>
      </c>
      <c r="D9" s="1">
        <v>306</v>
      </c>
      <c r="E9" s="1">
        <v>50</v>
      </c>
      <c r="F9" s="1">
        <v>47</v>
      </c>
      <c r="G9" s="1">
        <v>11.252000000000001</v>
      </c>
      <c r="H9" s="1">
        <v>0.90100000000000002</v>
      </c>
      <c r="I9" s="3">
        <f t="shared" si="0"/>
        <v>300.99700000000001</v>
      </c>
      <c r="J9" s="3">
        <f t="shared" si="1"/>
        <v>10.137004222937152</v>
      </c>
      <c r="K9" s="3">
        <f t="shared" si="2"/>
        <v>-4.8835078974190642</v>
      </c>
      <c r="L9" s="3">
        <f t="shared" si="3"/>
        <v>1154.2350042229371</v>
      </c>
      <c r="M9" s="3">
        <f t="shared" si="4"/>
        <v>885.03649210258095</v>
      </c>
      <c r="P9" s="3">
        <f t="shared" si="5"/>
        <v>306.8463888888889</v>
      </c>
      <c r="Q9" s="3">
        <f t="shared" si="6"/>
        <v>5.8342435121913594</v>
      </c>
    </row>
    <row r="10" spans="2:17" x14ac:dyDescent="0.25">
      <c r="B10" s="1">
        <v>63</v>
      </c>
      <c r="C10" s="3">
        <v>2</v>
      </c>
      <c r="D10" s="1">
        <v>305</v>
      </c>
      <c r="E10" s="1">
        <v>26</v>
      </c>
      <c r="F10" s="1">
        <v>10</v>
      </c>
      <c r="G10" s="1">
        <v>10.039</v>
      </c>
      <c r="H10" s="1">
        <v>0.26400000000000001</v>
      </c>
      <c r="I10" s="3">
        <f t="shared" si="0"/>
        <v>300.36</v>
      </c>
      <c r="J10" s="3">
        <f t="shared" si="1"/>
        <v>8.9342343503110353</v>
      </c>
      <c r="K10" s="3">
        <f t="shared" si="2"/>
        <v>-4.5783160194248671</v>
      </c>
      <c r="L10" s="3">
        <f t="shared" si="3"/>
        <v>1153.032234350311</v>
      </c>
      <c r="M10" s="3">
        <f t="shared" si="4"/>
        <v>885.34168398057511</v>
      </c>
      <c r="P10" s="3">
        <f t="shared" si="5"/>
        <v>305.43611111111113</v>
      </c>
      <c r="Q10" s="3">
        <f t="shared" si="6"/>
        <v>5.8096302475308654</v>
      </c>
    </row>
    <row r="11" spans="2:17" x14ac:dyDescent="0.25">
      <c r="B11" s="1">
        <v>64</v>
      </c>
      <c r="C11" s="3">
        <v>2</v>
      </c>
      <c r="D11" s="1">
        <v>316</v>
      </c>
      <c r="E11" s="1">
        <v>11</v>
      </c>
      <c r="F11" s="1">
        <v>35</v>
      </c>
      <c r="G11" s="1">
        <v>7.7530000000000001</v>
      </c>
      <c r="H11" s="1">
        <v>0.50800000000000001</v>
      </c>
      <c r="I11" s="3">
        <f t="shared" si="0"/>
        <v>300.60399999999998</v>
      </c>
      <c r="J11" s="3">
        <f t="shared" si="1"/>
        <v>7.4384744981013551</v>
      </c>
      <c r="K11" s="3">
        <f t="shared" si="2"/>
        <v>-2.1858879525482982</v>
      </c>
      <c r="L11" s="3">
        <f t="shared" si="3"/>
        <v>1151.5364744981014</v>
      </c>
      <c r="M11" s="3">
        <f t="shared" si="4"/>
        <v>887.73411204745162</v>
      </c>
      <c r="P11" s="3">
        <f t="shared" si="5"/>
        <v>316.19305555555553</v>
      </c>
      <c r="Q11" s="3">
        <f t="shared" si="6"/>
        <v>5.9973688084876535</v>
      </c>
    </row>
    <row r="12" spans="2:17" x14ac:dyDescent="0.25">
      <c r="B12" s="1">
        <v>65</v>
      </c>
      <c r="C12" s="3">
        <v>2</v>
      </c>
      <c r="D12" s="1">
        <v>318</v>
      </c>
      <c r="E12" s="1">
        <v>22</v>
      </c>
      <c r="F12" s="1">
        <v>6</v>
      </c>
      <c r="G12" s="1">
        <v>7.984</v>
      </c>
      <c r="H12" s="1">
        <v>0.82199999999999995</v>
      </c>
      <c r="I12" s="3">
        <f t="shared" si="0"/>
        <v>300.91800000000001</v>
      </c>
      <c r="J12" s="3">
        <f t="shared" si="1"/>
        <v>7.7400220885349587</v>
      </c>
      <c r="K12" s="3">
        <f t="shared" si="2"/>
        <v>-1.9586510840348621</v>
      </c>
      <c r="L12" s="3">
        <f t="shared" si="3"/>
        <v>1151.8380220885349</v>
      </c>
      <c r="M12" s="3">
        <f t="shared" si="4"/>
        <v>887.96134891596512</v>
      </c>
      <c r="P12" s="3">
        <f t="shared" si="5"/>
        <v>318.36833333333334</v>
      </c>
      <c r="Q12" s="3">
        <f t="shared" si="6"/>
        <v>6.0353334481481484</v>
      </c>
    </row>
    <row r="13" spans="2:17" x14ac:dyDescent="0.25">
      <c r="B13" s="1">
        <v>66</v>
      </c>
      <c r="C13" s="3">
        <v>2</v>
      </c>
      <c r="D13" s="1">
        <v>312</v>
      </c>
      <c r="E13" s="1">
        <v>54</v>
      </c>
      <c r="F13" s="1">
        <v>30</v>
      </c>
      <c r="G13" s="1">
        <v>24.663</v>
      </c>
      <c r="H13" s="1">
        <v>1.2050000000000001</v>
      </c>
      <c r="I13" s="3">
        <f t="shared" si="0"/>
        <v>301.30099999999999</v>
      </c>
      <c r="J13" s="3">
        <f t="shared" si="1"/>
        <v>23.225184483070962</v>
      </c>
      <c r="K13" s="3">
        <f t="shared" si="2"/>
        <v>-8.2978536217096437</v>
      </c>
      <c r="L13" s="3">
        <f t="shared" si="3"/>
        <v>1167.3231844830709</v>
      </c>
      <c r="M13" s="3">
        <f t="shared" si="4"/>
        <v>881.62214637829027</v>
      </c>
      <c r="P13" s="3">
        <f t="shared" si="5"/>
        <v>312.9083333333333</v>
      </c>
      <c r="Q13" s="3">
        <f t="shared" si="6"/>
        <v>5.9400412814814825</v>
      </c>
    </row>
    <row r="14" spans="2:17" x14ac:dyDescent="0.25">
      <c r="B14" s="1">
        <v>67</v>
      </c>
      <c r="C14" s="3">
        <v>2</v>
      </c>
      <c r="D14" s="1">
        <v>288</v>
      </c>
      <c r="E14" s="1">
        <v>2</v>
      </c>
      <c r="F14" s="1">
        <v>50</v>
      </c>
      <c r="G14" s="1">
        <v>22.51</v>
      </c>
      <c r="H14" s="1">
        <v>2.5760000000000001</v>
      </c>
      <c r="I14" s="3">
        <f t="shared" si="0"/>
        <v>302.67200000000003</v>
      </c>
      <c r="J14" s="3">
        <f t="shared" si="1"/>
        <v>16.049461108427337</v>
      </c>
      <c r="K14" s="3">
        <f t="shared" si="2"/>
        <v>-15.783374104705191</v>
      </c>
      <c r="L14" s="3">
        <f t="shared" si="3"/>
        <v>1160.1474611084273</v>
      </c>
      <c r="M14" s="3">
        <f t="shared" si="4"/>
        <v>874.13662589529474</v>
      </c>
      <c r="P14" s="3">
        <f t="shared" si="5"/>
        <v>288.04722222222227</v>
      </c>
      <c r="Q14" s="3">
        <f t="shared" si="6"/>
        <v>5.506145833950618</v>
      </c>
    </row>
    <row r="15" spans="2:17" x14ac:dyDescent="0.25">
      <c r="B15" s="1">
        <v>68</v>
      </c>
      <c r="C15" s="3">
        <v>2</v>
      </c>
      <c r="D15" s="1">
        <v>247</v>
      </c>
      <c r="E15" s="1">
        <v>54</v>
      </c>
      <c r="F15" s="1">
        <v>29</v>
      </c>
      <c r="G15" s="1">
        <v>23.181000000000001</v>
      </c>
      <c r="H15" s="1">
        <v>5.3840000000000003</v>
      </c>
      <c r="I15" s="3">
        <f t="shared" si="0"/>
        <v>305.48</v>
      </c>
      <c r="J15" s="3">
        <f t="shared" si="1"/>
        <v>2.157732834224463</v>
      </c>
      <c r="K15" s="3">
        <f t="shared" si="2"/>
        <v>-23.080358533092802</v>
      </c>
      <c r="L15" s="3">
        <f t="shared" si="3"/>
        <v>1146.2557328342243</v>
      </c>
      <c r="M15" s="3">
        <f t="shared" si="4"/>
        <v>866.83964146690721</v>
      </c>
      <c r="P15" s="3">
        <f t="shared" si="5"/>
        <v>247.90805555555556</v>
      </c>
      <c r="Q15" s="3">
        <f t="shared" si="6"/>
        <v>4.8056058779320985</v>
      </c>
    </row>
    <row r="16" spans="2:17" x14ac:dyDescent="0.25">
      <c r="B16" s="1">
        <v>69</v>
      </c>
      <c r="C16" s="3">
        <v>2</v>
      </c>
      <c r="D16" s="1">
        <v>330</v>
      </c>
      <c r="E16" s="1">
        <v>54</v>
      </c>
      <c r="F16" s="1">
        <v>30</v>
      </c>
      <c r="G16" s="1">
        <v>28.651</v>
      </c>
      <c r="H16" s="1">
        <v>1.4830000000000001</v>
      </c>
      <c r="I16" s="3">
        <f t="shared" si="0"/>
        <v>301.57900000000001</v>
      </c>
      <c r="J16" s="3">
        <f t="shared" si="1"/>
        <v>28.638958061537636</v>
      </c>
      <c r="K16" s="3">
        <f t="shared" si="2"/>
        <v>-0.83059144559068765</v>
      </c>
      <c r="L16" s="3">
        <f t="shared" si="3"/>
        <v>1172.7369580615375</v>
      </c>
      <c r="M16" s="3">
        <f t="shared" si="4"/>
        <v>889.08940855440926</v>
      </c>
      <c r="P16" s="3">
        <f t="shared" si="5"/>
        <v>330.9083333333333</v>
      </c>
      <c r="Q16" s="3">
        <f t="shared" si="6"/>
        <v>6.2541912814814813</v>
      </c>
    </row>
    <row r="17" spans="2:17" x14ac:dyDescent="0.25">
      <c r="B17" s="1">
        <v>70</v>
      </c>
      <c r="C17" s="3">
        <v>2</v>
      </c>
      <c r="D17" s="1">
        <v>317</v>
      </c>
      <c r="E17" s="1">
        <v>24</v>
      </c>
      <c r="F17" s="1">
        <v>39</v>
      </c>
      <c r="G17" s="1">
        <v>31.248000000000001</v>
      </c>
      <c r="H17" s="1">
        <v>1.2989999999999999</v>
      </c>
      <c r="I17" s="3">
        <f t="shared" si="0"/>
        <v>301.39499999999998</v>
      </c>
      <c r="J17" s="3">
        <f t="shared" si="1"/>
        <v>30.160784925548882</v>
      </c>
      <c r="K17" s="3">
        <f t="shared" si="2"/>
        <v>-8.1709581246499727</v>
      </c>
      <c r="L17" s="3">
        <f t="shared" si="3"/>
        <v>1174.2587849255488</v>
      </c>
      <c r="M17" s="3">
        <f t="shared" si="4"/>
        <v>881.74904187535003</v>
      </c>
      <c r="P17" s="3">
        <f t="shared" si="5"/>
        <v>317.4108333333333</v>
      </c>
      <c r="Q17" s="3">
        <f t="shared" si="6"/>
        <v>6.0186224134259252</v>
      </c>
    </row>
    <row r="18" spans="2:17" x14ac:dyDescent="0.25">
      <c r="B18" s="1">
        <v>71</v>
      </c>
      <c r="C18" s="3">
        <v>2</v>
      </c>
      <c r="D18" s="1">
        <v>46</v>
      </c>
      <c r="E18" s="1">
        <v>27</v>
      </c>
      <c r="F18" s="1">
        <v>3</v>
      </c>
      <c r="G18" s="1">
        <v>6.883</v>
      </c>
      <c r="H18" s="1">
        <v>0.495</v>
      </c>
      <c r="I18" s="3">
        <f t="shared" si="0"/>
        <v>300.59100000000001</v>
      </c>
      <c r="J18" s="3">
        <f t="shared" si="1"/>
        <v>1.9099508477874119</v>
      </c>
      <c r="K18" s="3">
        <f t="shared" si="2"/>
        <v>6.6126981451625433</v>
      </c>
      <c r="L18" s="3">
        <f t="shared" si="3"/>
        <v>1146.0079508477875</v>
      </c>
      <c r="M18" s="3">
        <f t="shared" si="4"/>
        <v>896.5326981451625</v>
      </c>
      <c r="P18" s="3">
        <f t="shared" si="5"/>
        <v>46.450833333333335</v>
      </c>
      <c r="Q18" s="3">
        <f t="shared" si="6"/>
        <v>1.2896177467592598</v>
      </c>
    </row>
    <row r="19" spans="2:17" x14ac:dyDescent="0.25">
      <c r="B19" s="1">
        <v>72</v>
      </c>
      <c r="C19" s="3">
        <v>2</v>
      </c>
      <c r="D19" s="1">
        <v>341</v>
      </c>
      <c r="E19" s="1">
        <v>29</v>
      </c>
      <c r="F19" s="1">
        <v>46</v>
      </c>
      <c r="G19" s="1">
        <v>33.018000000000001</v>
      </c>
      <c r="H19" s="1">
        <v>1.5580000000000001</v>
      </c>
      <c r="I19" s="3">
        <f t="shared" si="0"/>
        <v>301.654</v>
      </c>
      <c r="J19" s="3">
        <f t="shared" si="1"/>
        <v>32.618116864783957</v>
      </c>
      <c r="K19" s="3">
        <f t="shared" si="2"/>
        <v>5.1231607621951945</v>
      </c>
      <c r="L19" s="3">
        <f t="shared" si="3"/>
        <v>1176.716116864784</v>
      </c>
      <c r="M19" s="3">
        <f t="shared" si="4"/>
        <v>895.04316076219516</v>
      </c>
      <c r="P19" s="3">
        <f t="shared" si="5"/>
        <v>341.49611111111113</v>
      </c>
      <c r="Q19" s="3">
        <f t="shared" si="6"/>
        <v>6.4389774141975309</v>
      </c>
    </row>
    <row r="20" spans="2:17" x14ac:dyDescent="0.25">
      <c r="B20" s="1">
        <v>73</v>
      </c>
      <c r="C20" s="3">
        <v>2</v>
      </c>
      <c r="D20" s="1">
        <v>347</v>
      </c>
      <c r="E20" s="1">
        <v>2</v>
      </c>
      <c r="F20" s="1">
        <v>50</v>
      </c>
      <c r="G20" s="1">
        <v>32.277999999999999</v>
      </c>
      <c r="H20" s="1">
        <v>1.5831999999999999</v>
      </c>
      <c r="I20" s="3">
        <f t="shared" si="0"/>
        <v>301.67919999999998</v>
      </c>
      <c r="J20" s="3">
        <f t="shared" si="1"/>
        <v>31.253086233389169</v>
      </c>
      <c r="K20" s="3">
        <f t="shared" si="2"/>
        <v>8.0693174982981279</v>
      </c>
      <c r="L20" s="3">
        <f t="shared" si="3"/>
        <v>1175.3510862333892</v>
      </c>
      <c r="M20" s="3">
        <f t="shared" si="4"/>
        <v>897.98931749829808</v>
      </c>
      <c r="P20" s="3">
        <f t="shared" si="5"/>
        <v>347.04722222222227</v>
      </c>
      <c r="Q20" s="3">
        <f t="shared" si="6"/>
        <v>6.5358597228395068</v>
      </c>
    </row>
    <row r="21" spans="2:17" x14ac:dyDescent="0.25">
      <c r="B21" s="1">
        <v>74</v>
      </c>
      <c r="C21" s="3">
        <v>2</v>
      </c>
      <c r="D21" s="1">
        <v>354</v>
      </c>
      <c r="E21" s="1">
        <v>54</v>
      </c>
      <c r="F21" s="1">
        <v>22</v>
      </c>
      <c r="G21" s="1">
        <v>27.927</v>
      </c>
      <c r="H21" s="1">
        <v>1.2829999999999999</v>
      </c>
      <c r="I21" s="3">
        <f t="shared" si="0"/>
        <v>301.37900000000002</v>
      </c>
      <c r="J21" s="3">
        <f t="shared" si="1"/>
        <v>25.831698984874265</v>
      </c>
      <c r="K21" s="3">
        <f t="shared" si="2"/>
        <v>10.61323026014445</v>
      </c>
      <c r="L21" s="3">
        <f t="shared" si="3"/>
        <v>1169.9296989848742</v>
      </c>
      <c r="M21" s="3">
        <f t="shared" si="4"/>
        <v>900.53323026014436</v>
      </c>
      <c r="P21" s="3">
        <f t="shared" si="5"/>
        <v>354.9061111111111</v>
      </c>
      <c r="Q21" s="3">
        <f t="shared" si="6"/>
        <v>6.6730191641975303</v>
      </c>
    </row>
    <row r="22" spans="2:17" x14ac:dyDescent="0.25">
      <c r="B22" s="1">
        <v>75</v>
      </c>
      <c r="C22" s="3">
        <v>2</v>
      </c>
      <c r="D22" s="1">
        <v>357</v>
      </c>
      <c r="E22" s="1">
        <v>54</v>
      </c>
      <c r="F22" s="1">
        <v>22</v>
      </c>
      <c r="G22" s="1">
        <v>27.861000000000001</v>
      </c>
      <c r="H22" s="1">
        <v>1.2629999999999999</v>
      </c>
      <c r="I22" s="3">
        <f t="shared" si="0"/>
        <v>301.35899999999998</v>
      </c>
      <c r="J22" s="3">
        <f t="shared" si="1"/>
        <v>25.181210599641691</v>
      </c>
      <c r="K22" s="3">
        <f t="shared" si="2"/>
        <v>11.922330046450355</v>
      </c>
      <c r="L22" s="3">
        <f t="shared" si="3"/>
        <v>1169.2792105996416</v>
      </c>
      <c r="M22" s="3">
        <f t="shared" si="4"/>
        <v>901.84233004645034</v>
      </c>
      <c r="P22" s="3">
        <f t="shared" si="5"/>
        <v>357.9061111111111</v>
      </c>
      <c r="Q22" s="3">
        <f t="shared" si="6"/>
        <v>6.7253774975308636</v>
      </c>
    </row>
    <row r="23" spans="2:17" x14ac:dyDescent="0.25">
      <c r="B23" s="1">
        <v>76</v>
      </c>
      <c r="C23" s="3">
        <v>2</v>
      </c>
      <c r="D23" s="1">
        <v>350</v>
      </c>
      <c r="E23" s="1">
        <v>9</v>
      </c>
      <c r="F23" s="1">
        <v>19</v>
      </c>
      <c r="G23" s="1">
        <v>45.567999999999998</v>
      </c>
      <c r="H23" s="1">
        <v>1.919</v>
      </c>
      <c r="I23" s="3">
        <f t="shared" si="0"/>
        <v>302.01499999999999</v>
      </c>
      <c r="J23" s="3">
        <f t="shared" si="1"/>
        <v>43.438564036269902</v>
      </c>
      <c r="K23" s="3">
        <f t="shared" si="2"/>
        <v>13.76712673243329</v>
      </c>
      <c r="L23" s="3">
        <f t="shared" si="3"/>
        <v>1187.53656403627</v>
      </c>
      <c r="M23" s="3">
        <f t="shared" si="4"/>
        <v>903.68712673243328</v>
      </c>
      <c r="P23" s="3">
        <f t="shared" si="5"/>
        <v>350.15527777777777</v>
      </c>
      <c r="Q23" s="3">
        <f t="shared" si="6"/>
        <v>6.5901039257716052</v>
      </c>
    </row>
    <row r="24" spans="2:17" x14ac:dyDescent="0.25">
      <c r="B24" s="1">
        <v>77</v>
      </c>
      <c r="C24" s="3">
        <v>2</v>
      </c>
      <c r="D24" s="1">
        <v>346</v>
      </c>
      <c r="E24" s="1">
        <v>51</v>
      </c>
      <c r="F24" s="1">
        <v>0</v>
      </c>
      <c r="G24" s="1">
        <v>45.965000000000003</v>
      </c>
      <c r="H24" s="1">
        <v>1.67</v>
      </c>
      <c r="I24" s="3">
        <f t="shared" si="0"/>
        <v>301.76600000000002</v>
      </c>
      <c r="J24" s="3">
        <f t="shared" si="1"/>
        <v>44.544776110398239</v>
      </c>
      <c r="K24" s="3">
        <f t="shared" si="2"/>
        <v>11.337731090235591</v>
      </c>
      <c r="L24" s="3">
        <f t="shared" si="3"/>
        <v>1188.6427761103982</v>
      </c>
      <c r="M24" s="3">
        <f t="shared" si="4"/>
        <v>901.25773109023555</v>
      </c>
      <c r="P24" s="3">
        <f t="shared" si="5"/>
        <v>346.85</v>
      </c>
      <c r="Q24" s="3">
        <f t="shared" si="6"/>
        <v>6.5324176472222231</v>
      </c>
    </row>
    <row r="25" spans="2:17" x14ac:dyDescent="0.25">
      <c r="B25" s="1" t="s">
        <v>98</v>
      </c>
      <c r="C25" s="3">
        <v>2</v>
      </c>
      <c r="D25" s="1">
        <v>187</v>
      </c>
      <c r="E25" s="1">
        <v>18</v>
      </c>
      <c r="F25" s="1">
        <v>6</v>
      </c>
      <c r="G25" s="1">
        <v>11.664999999999999</v>
      </c>
      <c r="H25" s="1">
        <v>-0.16300000000000001</v>
      </c>
      <c r="I25" s="3">
        <f t="shared" si="0"/>
        <v>299.93299999999999</v>
      </c>
      <c r="J25" s="3">
        <f t="shared" si="1"/>
        <v>-9.5860972334614196</v>
      </c>
      <c r="K25" s="3">
        <f t="shared" si="2"/>
        <v>-6.6467258729861358</v>
      </c>
      <c r="L25" s="3">
        <f t="shared" si="3"/>
        <v>1134.5119027665385</v>
      </c>
      <c r="M25" s="3">
        <f t="shared" si="4"/>
        <v>883.27327412701379</v>
      </c>
      <c r="P25" s="3">
        <f t="shared" si="5"/>
        <v>187.30166666666668</v>
      </c>
      <c r="Q25" s="3">
        <f t="shared" si="6"/>
        <v>3.7478560407407411</v>
      </c>
    </row>
    <row r="26" spans="2:17" x14ac:dyDescent="0.25">
      <c r="B26" s="1">
        <v>13</v>
      </c>
      <c r="C26" s="3">
        <v>2</v>
      </c>
      <c r="D26" s="1">
        <v>171</v>
      </c>
      <c r="E26" s="1">
        <v>39</v>
      </c>
      <c r="F26" s="1">
        <v>27</v>
      </c>
      <c r="G26" s="1">
        <v>11.029</v>
      </c>
      <c r="H26" s="3">
        <v>-0.01</v>
      </c>
      <c r="I26" s="3">
        <f t="shared" si="0"/>
        <v>300.08600000000001</v>
      </c>
      <c r="J26" s="3">
        <f t="shared" si="1"/>
        <v>-10.422305800852435</v>
      </c>
      <c r="K26" s="3">
        <f t="shared" si="2"/>
        <v>-3.6075452586929062</v>
      </c>
      <c r="L26" s="3">
        <f t="shared" si="3"/>
        <v>1133.6756941991475</v>
      </c>
      <c r="M26" s="3">
        <f t="shared" si="4"/>
        <v>886.31245474130708</v>
      </c>
      <c r="P26" s="3">
        <f t="shared" si="5"/>
        <v>171.6575</v>
      </c>
      <c r="Q26" s="3">
        <f t="shared" si="6"/>
        <v>3.474821876388889</v>
      </c>
    </row>
    <row r="27" spans="2:17" x14ac:dyDescent="0.25">
      <c r="B27" s="1">
        <v>14</v>
      </c>
      <c r="C27" s="3">
        <v>2</v>
      </c>
      <c r="D27" s="1">
        <v>184</v>
      </c>
      <c r="E27" s="1">
        <v>10</v>
      </c>
      <c r="F27" s="1">
        <v>53</v>
      </c>
      <c r="G27" s="1">
        <v>10.625999999999999</v>
      </c>
      <c r="H27" s="1">
        <v>-0.35399999999999998</v>
      </c>
      <c r="I27" s="3">
        <f t="shared" si="0"/>
        <v>299.74200000000002</v>
      </c>
      <c r="J27" s="3">
        <f t="shared" si="1"/>
        <v>-9.0488808551472903</v>
      </c>
      <c r="K27" s="3">
        <f t="shared" si="2"/>
        <v>-5.5704246938046689</v>
      </c>
      <c r="L27" s="3">
        <f t="shared" si="3"/>
        <v>1135.0491191448527</v>
      </c>
      <c r="M27" s="3">
        <f t="shared" si="4"/>
        <v>884.34957530619533</v>
      </c>
      <c r="P27" s="3">
        <f t="shared" si="5"/>
        <v>184.18138888888888</v>
      </c>
      <c r="Q27" s="3">
        <f t="shared" si="6"/>
        <v>3.6933985260802462</v>
      </c>
    </row>
    <row r="28" spans="2:17" x14ac:dyDescent="0.25">
      <c r="B28" s="1">
        <v>15</v>
      </c>
      <c r="C28" s="3">
        <v>2</v>
      </c>
      <c r="D28" s="1">
        <v>179</v>
      </c>
      <c r="E28" s="1">
        <v>40</v>
      </c>
      <c r="F28" s="1">
        <v>17</v>
      </c>
      <c r="G28" s="1">
        <v>29.43</v>
      </c>
      <c r="H28" s="1">
        <v>-0.434</v>
      </c>
      <c r="I28" s="3">
        <f t="shared" si="0"/>
        <v>299.66199999999998</v>
      </c>
      <c r="J28" s="3">
        <f t="shared" si="1"/>
        <v>-26.19749307587762</v>
      </c>
      <c r="K28" s="3">
        <f t="shared" si="2"/>
        <v>-13.409558402100503</v>
      </c>
      <c r="L28" s="3">
        <f t="shared" si="3"/>
        <v>1117.9005069241223</v>
      </c>
      <c r="M28" s="3">
        <f t="shared" si="4"/>
        <v>876.51044159789944</v>
      </c>
      <c r="P28" s="3">
        <f t="shared" si="5"/>
        <v>179.67138888888888</v>
      </c>
      <c r="Q28" s="3">
        <f t="shared" si="6"/>
        <v>3.6146864983024689</v>
      </c>
    </row>
    <row r="29" spans="2:17" x14ac:dyDescent="0.25">
      <c r="B29" s="1" t="s">
        <v>99</v>
      </c>
      <c r="C29" s="3">
        <v>2</v>
      </c>
      <c r="D29" s="1">
        <v>175</v>
      </c>
      <c r="E29" s="1">
        <v>48</v>
      </c>
      <c r="F29" s="1">
        <v>16</v>
      </c>
      <c r="G29" s="1">
        <v>29.664999999999999</v>
      </c>
      <c r="H29" s="1">
        <v>-0.71</v>
      </c>
      <c r="I29" s="3">
        <f t="shared" si="0"/>
        <v>299.38600000000002</v>
      </c>
      <c r="J29" s="3">
        <f t="shared" si="1"/>
        <v>-27.258096945185834</v>
      </c>
      <c r="K29" s="3">
        <f t="shared" si="2"/>
        <v>-11.705057707113221</v>
      </c>
      <c r="L29" s="3">
        <f t="shared" si="3"/>
        <v>1116.8399030548142</v>
      </c>
      <c r="M29" s="3">
        <f t="shared" si="4"/>
        <v>878.21494229288669</v>
      </c>
      <c r="P29" s="3">
        <f t="shared" si="5"/>
        <v>175.80444444444444</v>
      </c>
      <c r="Q29" s="3">
        <f t="shared" si="6"/>
        <v>3.5471975762345682</v>
      </c>
    </row>
    <row r="30" spans="2:17" x14ac:dyDescent="0.25">
      <c r="B30" s="1" t="s">
        <v>100</v>
      </c>
      <c r="C30" s="3">
        <v>2</v>
      </c>
      <c r="D30" s="1">
        <v>173</v>
      </c>
      <c r="E30" s="1">
        <v>40</v>
      </c>
      <c r="F30" s="1">
        <v>30</v>
      </c>
      <c r="G30" s="1">
        <v>29.856000000000002</v>
      </c>
      <c r="H30" s="1">
        <v>-0.434</v>
      </c>
      <c r="I30" s="3">
        <f t="shared" si="0"/>
        <v>299.66199999999998</v>
      </c>
      <c r="J30" s="3">
        <f t="shared" si="1"/>
        <v>-27.852371550469854</v>
      </c>
      <c r="K30" s="3">
        <f t="shared" si="2"/>
        <v>-10.752959360779595</v>
      </c>
      <c r="L30" s="3">
        <f t="shared" si="3"/>
        <v>1116.2456284495302</v>
      </c>
      <c r="M30" s="3">
        <f t="shared" si="4"/>
        <v>879.16704063922032</v>
      </c>
      <c r="P30" s="3">
        <f t="shared" si="5"/>
        <v>173.67499999999998</v>
      </c>
      <c r="Q30" s="3">
        <f t="shared" si="6"/>
        <v>3.5100328555555556</v>
      </c>
    </row>
    <row r="31" spans="2:17" x14ac:dyDescent="0.25">
      <c r="B31" s="1" t="s">
        <v>101</v>
      </c>
      <c r="C31" s="3">
        <v>2</v>
      </c>
      <c r="D31" s="1">
        <v>231</v>
      </c>
      <c r="E31" s="1">
        <v>21</v>
      </c>
      <c r="F31" s="1">
        <v>37</v>
      </c>
      <c r="G31" s="1">
        <v>9.2750000000000004</v>
      </c>
      <c r="H31" s="1">
        <v>0.51400000000000001</v>
      </c>
      <c r="I31" s="3">
        <f t="shared" si="0"/>
        <v>300.61</v>
      </c>
      <c r="J31" s="3">
        <f t="shared" si="1"/>
        <v>-1.8025327364361423</v>
      </c>
      <c r="K31" s="3">
        <f t="shared" si="2"/>
        <v>-9.0981591948083675</v>
      </c>
      <c r="L31" s="3">
        <f t="shared" si="3"/>
        <v>1142.2954672635638</v>
      </c>
      <c r="M31" s="3">
        <f t="shared" si="4"/>
        <v>880.82184080519164</v>
      </c>
      <c r="P31" s="3">
        <f t="shared" si="5"/>
        <v>231.36027777777778</v>
      </c>
      <c r="Q31" s="3">
        <f t="shared" si="6"/>
        <v>4.5168011896604945</v>
      </c>
    </row>
    <row r="32" spans="2:17" x14ac:dyDescent="0.25">
      <c r="B32" s="1" t="s">
        <v>102</v>
      </c>
      <c r="C32" s="3">
        <v>2</v>
      </c>
      <c r="D32" s="1">
        <v>213</v>
      </c>
      <c r="E32" s="1">
        <v>25</v>
      </c>
      <c r="F32" s="1">
        <v>34</v>
      </c>
      <c r="G32" s="1">
        <v>14.91</v>
      </c>
      <c r="H32" s="1">
        <v>-0.14799999999999999</v>
      </c>
      <c r="I32" s="3">
        <f t="shared" si="0"/>
        <v>299.94799999999998</v>
      </c>
      <c r="J32" s="3">
        <f t="shared" si="1"/>
        <v>-7.2603523099852341</v>
      </c>
      <c r="K32" s="3">
        <f t="shared" si="2"/>
        <v>-13.0228792643905</v>
      </c>
      <c r="L32" s="3">
        <f t="shared" si="3"/>
        <v>1136.8376476900148</v>
      </c>
      <c r="M32" s="3">
        <f t="shared" si="4"/>
        <v>876.89712073560941</v>
      </c>
      <c r="P32" s="3">
        <f t="shared" si="5"/>
        <v>213.42611111111111</v>
      </c>
      <c r="Q32" s="3">
        <f t="shared" si="6"/>
        <v>4.2038001641975313</v>
      </c>
    </row>
  </sheetData>
  <mergeCells count="3">
    <mergeCell ref="D5:F5"/>
    <mergeCell ref="J5:K5"/>
    <mergeCell ref="L5:M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87B1B-6C42-4A7A-A16D-5B643CFA974D}">
  <dimension ref="B3:Q33"/>
  <sheetViews>
    <sheetView workbookViewId="0">
      <selection activeCell="Q7" sqref="Q7"/>
    </sheetView>
  </sheetViews>
  <sheetFormatPr defaultColWidth="9.140625" defaultRowHeight="15" x14ac:dyDescent="0.25"/>
  <cols>
    <col min="1" max="1" width="9.140625" style="1"/>
    <col min="2" max="2" width="11.28515625" style="1" customWidth="1"/>
    <col min="3" max="3" width="14.28515625" style="1" customWidth="1"/>
    <col min="4" max="8" width="9.140625" style="1"/>
    <col min="9" max="9" width="15.7109375" style="1" customWidth="1"/>
    <col min="10" max="16384" width="9.140625" style="1"/>
  </cols>
  <sheetData>
    <row r="3" spans="2:17" ht="18" x14ac:dyDescent="0.35">
      <c r="B3" s="1" t="s">
        <v>10</v>
      </c>
      <c r="C3" s="1" t="s">
        <v>103</v>
      </c>
    </row>
    <row r="4" spans="2:17" x14ac:dyDescent="0.25">
      <c r="B4" s="1" t="s">
        <v>39</v>
      </c>
      <c r="C4" s="1">
        <v>1.19</v>
      </c>
    </row>
    <row r="5" spans="2:17" x14ac:dyDescent="0.25">
      <c r="B5" s="1" t="s">
        <v>1</v>
      </c>
      <c r="C5" s="1" t="s">
        <v>0</v>
      </c>
      <c r="D5" s="6" t="s">
        <v>42</v>
      </c>
      <c r="E5" s="6"/>
      <c r="F5" s="6"/>
      <c r="G5" s="1" t="s">
        <v>43</v>
      </c>
      <c r="H5" s="1" t="s">
        <v>7</v>
      </c>
      <c r="I5" s="1" t="s">
        <v>44</v>
      </c>
      <c r="J5" s="6" t="s">
        <v>34</v>
      </c>
      <c r="K5" s="6"/>
      <c r="L5" s="6" t="s">
        <v>46</v>
      </c>
      <c r="M5" s="6"/>
      <c r="P5" s="1" t="s">
        <v>37</v>
      </c>
      <c r="Q5" s="1" t="s">
        <v>47</v>
      </c>
    </row>
    <row r="6" spans="2:17" x14ac:dyDescent="0.25">
      <c r="D6" s="1" t="s">
        <v>2</v>
      </c>
      <c r="E6" s="1" t="s">
        <v>41</v>
      </c>
      <c r="F6" s="1" t="s">
        <v>4</v>
      </c>
      <c r="G6" s="1" t="s">
        <v>6</v>
      </c>
      <c r="H6" s="1" t="s">
        <v>6</v>
      </c>
      <c r="J6" s="1" t="s">
        <v>35</v>
      </c>
      <c r="K6" s="1" t="s">
        <v>45</v>
      </c>
      <c r="L6" s="1" t="s">
        <v>35</v>
      </c>
      <c r="M6" s="1" t="s">
        <v>45</v>
      </c>
    </row>
    <row r="7" spans="2:17" x14ac:dyDescent="0.25">
      <c r="B7" s="1" t="s">
        <v>104</v>
      </c>
      <c r="C7" s="1">
        <v>2</v>
      </c>
      <c r="D7" s="1">
        <v>1</v>
      </c>
      <c r="E7" s="1">
        <v>49</v>
      </c>
      <c r="F7" s="1">
        <v>32</v>
      </c>
      <c r="G7" s="1">
        <v>28.347999999999999</v>
      </c>
      <c r="H7" s="1">
        <v>0.28799999999999998</v>
      </c>
      <c r="I7" s="3">
        <f>299.852+1.19+H7-C7</f>
        <v>299.33</v>
      </c>
      <c r="J7" s="3">
        <f>G7*COS(Q7)</f>
        <v>24.557587424689661</v>
      </c>
      <c r="K7" s="3">
        <f>G7*SIN(Q7)</f>
        <v>14.161002926301659</v>
      </c>
      <c r="L7" s="3">
        <f>1070.437+J7</f>
        <v>1094.9945874246896</v>
      </c>
      <c r="M7" s="3">
        <f>850.505+K7</f>
        <v>864.66600292630164</v>
      </c>
      <c r="P7" s="3">
        <f>D7+E7/60+F7/3600</f>
        <v>1.8255555555555556</v>
      </c>
      <c r="Q7" s="3">
        <f>IF((208.145+P7-180)&gt;0, (208.145+P7-180)*3.1415/180, (208.145+P7+180)*3.1415/180)</f>
        <v>0.52306944598765448</v>
      </c>
    </row>
    <row r="8" spans="2:17" x14ac:dyDescent="0.25">
      <c r="B8" s="1">
        <v>18</v>
      </c>
      <c r="C8" s="3">
        <v>2</v>
      </c>
      <c r="D8" s="1">
        <v>354</v>
      </c>
      <c r="E8" s="1">
        <v>26</v>
      </c>
      <c r="F8" s="1">
        <v>56</v>
      </c>
      <c r="G8" s="1">
        <v>28.074999999999999</v>
      </c>
      <c r="H8" s="1">
        <v>0.215</v>
      </c>
      <c r="I8" s="3">
        <f t="shared" ref="I8:I33" si="0">299.852+1.19+H8-C8</f>
        <v>299.25699999999995</v>
      </c>
      <c r="J8" s="3">
        <f t="shared" ref="J8:J33" si="1">G8*COS(Q8)</f>
        <v>25.922401178170318</v>
      </c>
      <c r="K8" s="3">
        <f t="shared" ref="K8:K33" si="2">G8*SIN(Q8)</f>
        <v>10.781221737724996</v>
      </c>
      <c r="L8" s="3">
        <f t="shared" ref="L8:L33" si="3">1070.437+J8</f>
        <v>1096.3594011781702</v>
      </c>
      <c r="M8" s="3">
        <f t="shared" ref="M8:M33" si="4">850.505+K8</f>
        <v>861.28622173772499</v>
      </c>
      <c r="P8" s="3">
        <f t="shared" ref="P8:P32" si="5">D8+E8/60+F8/3600</f>
        <v>354.44888888888892</v>
      </c>
      <c r="Q8" s="3">
        <f t="shared" ref="Q8:Q33" si="6">IF((208.145+P8-180)&gt;0, (208.145+P8-180)*3.1415/180, (208.145+P8+180)*3.1415/180)</f>
        <v>6.6773261219135822</v>
      </c>
    </row>
    <row r="9" spans="2:17" x14ac:dyDescent="0.25">
      <c r="B9" s="1">
        <v>19</v>
      </c>
      <c r="C9" s="3">
        <v>2</v>
      </c>
      <c r="D9" s="1">
        <v>66</v>
      </c>
      <c r="E9" s="1">
        <v>49</v>
      </c>
      <c r="F9" s="1">
        <v>47</v>
      </c>
      <c r="G9" s="1">
        <v>5.9939999999999998</v>
      </c>
      <c r="H9" s="1">
        <v>0.41</v>
      </c>
      <c r="I9" s="3">
        <f t="shared" si="0"/>
        <v>299.452</v>
      </c>
      <c r="J9" s="3">
        <f t="shared" si="1"/>
        <v>-0.51948517010714534</v>
      </c>
      <c r="K9" s="3">
        <f t="shared" si="2"/>
        <v>5.9714463204519177</v>
      </c>
      <c r="L9" s="3">
        <f t="shared" si="3"/>
        <v>1069.9175148298928</v>
      </c>
      <c r="M9" s="3">
        <f t="shared" si="4"/>
        <v>856.47644632045194</v>
      </c>
      <c r="P9" s="3">
        <f t="shared" si="5"/>
        <v>66.829722222222216</v>
      </c>
      <c r="Q9" s="3">
        <f t="shared" si="6"/>
        <v>1.6575727214506173</v>
      </c>
    </row>
    <row r="10" spans="2:17" x14ac:dyDescent="0.25">
      <c r="B10" s="1">
        <v>20</v>
      </c>
      <c r="C10" s="3">
        <v>2</v>
      </c>
      <c r="D10" s="1">
        <v>103</v>
      </c>
      <c r="E10" s="1">
        <v>50</v>
      </c>
      <c r="F10" s="1">
        <v>19</v>
      </c>
      <c r="G10" s="1">
        <v>6.7439999999999998</v>
      </c>
      <c r="H10" s="1">
        <v>0.48399999999999999</v>
      </c>
      <c r="I10" s="3">
        <f t="shared" si="0"/>
        <v>299.52599999999995</v>
      </c>
      <c r="J10" s="3">
        <f t="shared" si="1"/>
        <v>-4.5108424727399079</v>
      </c>
      <c r="K10" s="3">
        <f t="shared" si="2"/>
        <v>5.0133657542738401</v>
      </c>
      <c r="L10" s="3">
        <f t="shared" si="3"/>
        <v>1065.9261575272601</v>
      </c>
      <c r="M10" s="3">
        <f t="shared" si="4"/>
        <v>855.51836575427387</v>
      </c>
      <c r="P10" s="3">
        <f t="shared" si="5"/>
        <v>103.83861111111111</v>
      </c>
      <c r="Q10" s="3">
        <f t="shared" si="6"/>
        <v>2.3034806350308652</v>
      </c>
    </row>
    <row r="11" spans="2:17" x14ac:dyDescent="0.25">
      <c r="B11" s="1">
        <v>21</v>
      </c>
      <c r="C11" s="3">
        <v>2</v>
      </c>
      <c r="D11" s="1">
        <v>348</v>
      </c>
      <c r="E11" s="1">
        <v>37</v>
      </c>
      <c r="F11" s="1">
        <v>45</v>
      </c>
      <c r="G11" s="1">
        <v>9.5630000000000006</v>
      </c>
      <c r="H11" s="1">
        <v>-0.13500000000000001</v>
      </c>
      <c r="I11" s="3">
        <f t="shared" si="0"/>
        <v>298.90699999999998</v>
      </c>
      <c r="J11" s="3">
        <f t="shared" si="1"/>
        <v>9.1566267363760279</v>
      </c>
      <c r="K11" s="3">
        <f t="shared" si="2"/>
        <v>2.7581072877398576</v>
      </c>
      <c r="L11" s="3">
        <f t="shared" si="3"/>
        <v>1079.5936267363759</v>
      </c>
      <c r="M11" s="3">
        <f t="shared" si="4"/>
        <v>853.2631072877399</v>
      </c>
      <c r="P11" s="3">
        <f t="shared" si="5"/>
        <v>348.62916666666666</v>
      </c>
      <c r="Q11" s="3">
        <f t="shared" si="6"/>
        <v>6.5757558032407424</v>
      </c>
    </row>
    <row r="12" spans="2:17" x14ac:dyDescent="0.25">
      <c r="B12" s="1">
        <v>22</v>
      </c>
      <c r="C12" s="3">
        <v>2</v>
      </c>
      <c r="D12" s="1">
        <v>243</v>
      </c>
      <c r="E12" s="1">
        <v>57</v>
      </c>
      <c r="F12" s="1">
        <v>30</v>
      </c>
      <c r="G12" s="1">
        <v>14.888999999999999</v>
      </c>
      <c r="H12" s="1">
        <v>2.6720000000000002</v>
      </c>
      <c r="I12" s="3">
        <f t="shared" si="0"/>
        <v>301.714</v>
      </c>
      <c r="J12" s="3">
        <f t="shared" si="1"/>
        <v>0.54436980394271328</v>
      </c>
      <c r="K12" s="3">
        <f t="shared" si="2"/>
        <v>-14.879045080802577</v>
      </c>
      <c r="L12" s="3">
        <f t="shared" si="3"/>
        <v>1070.9813698039427</v>
      </c>
      <c r="M12" s="3">
        <f t="shared" si="4"/>
        <v>835.6259549191974</v>
      </c>
      <c r="P12" s="3">
        <f t="shared" si="5"/>
        <v>243.95833333333331</v>
      </c>
      <c r="Q12" s="3">
        <f t="shared" si="6"/>
        <v>4.7489590092592602</v>
      </c>
    </row>
    <row r="13" spans="2:17" x14ac:dyDescent="0.25">
      <c r="B13" s="1">
        <v>23</v>
      </c>
      <c r="C13" s="3">
        <v>2</v>
      </c>
      <c r="D13" s="1">
        <v>21</v>
      </c>
      <c r="E13" s="1">
        <v>44</v>
      </c>
      <c r="F13" s="1">
        <v>24</v>
      </c>
      <c r="G13" s="1">
        <v>9.298</v>
      </c>
      <c r="H13" s="1">
        <v>-7.3999999999999996E-2</v>
      </c>
      <c r="I13" s="3">
        <f t="shared" si="0"/>
        <v>298.96799999999996</v>
      </c>
      <c r="J13" s="3">
        <f t="shared" si="1"/>
        <v>5.9911058693388437</v>
      </c>
      <c r="K13" s="3">
        <f t="shared" si="2"/>
        <v>7.1105171726375609</v>
      </c>
      <c r="L13" s="3">
        <f t="shared" si="3"/>
        <v>1076.4281058693387</v>
      </c>
      <c r="M13" s="3">
        <f t="shared" si="4"/>
        <v>857.61551717263751</v>
      </c>
      <c r="P13" s="3">
        <f t="shared" si="5"/>
        <v>21.740000000000002</v>
      </c>
      <c r="Q13" s="3">
        <f t="shared" si="6"/>
        <v>0.87063181944444479</v>
      </c>
    </row>
    <row r="14" spans="2:17" x14ac:dyDescent="0.25">
      <c r="B14" s="1">
        <v>24</v>
      </c>
      <c r="C14" s="3">
        <v>2</v>
      </c>
      <c r="D14" s="1">
        <v>225</v>
      </c>
      <c r="E14" s="1">
        <v>47</v>
      </c>
      <c r="F14" s="1">
        <v>26</v>
      </c>
      <c r="G14" s="1">
        <v>16.323</v>
      </c>
      <c r="H14" s="1">
        <v>2.7639999999999998</v>
      </c>
      <c r="I14" s="3">
        <f t="shared" si="0"/>
        <v>301.80599999999998</v>
      </c>
      <c r="J14" s="3">
        <f t="shared" si="1"/>
        <v>-4.5189243216798216</v>
      </c>
      <c r="K14" s="3">
        <f t="shared" si="2"/>
        <v>-15.685013610925894</v>
      </c>
      <c r="L14" s="3">
        <f t="shared" si="3"/>
        <v>1065.9180756783201</v>
      </c>
      <c r="M14" s="3">
        <f t="shared" si="4"/>
        <v>834.81998638907407</v>
      </c>
      <c r="P14" s="3">
        <f t="shared" si="5"/>
        <v>225.79055555555556</v>
      </c>
      <c r="Q14" s="3">
        <f t="shared" si="6"/>
        <v>4.4318808209876543</v>
      </c>
    </row>
    <row r="15" spans="2:17" x14ac:dyDescent="0.25">
      <c r="B15" s="1">
        <v>25</v>
      </c>
      <c r="C15" s="3">
        <v>2</v>
      </c>
      <c r="D15" s="1">
        <v>236</v>
      </c>
      <c r="E15" s="1">
        <v>25</v>
      </c>
      <c r="F15" s="1">
        <v>19</v>
      </c>
      <c r="G15" s="1">
        <v>28.4</v>
      </c>
      <c r="H15" s="1">
        <v>4.2450000000000001</v>
      </c>
      <c r="I15" s="3">
        <f t="shared" si="0"/>
        <v>303.28699999999998</v>
      </c>
      <c r="J15" s="3">
        <f t="shared" si="1"/>
        <v>-2.6928379181873368</v>
      </c>
      <c r="K15" s="3">
        <f t="shared" si="2"/>
        <v>-28.27204668831693</v>
      </c>
      <c r="L15" s="3">
        <f t="shared" si="3"/>
        <v>1067.7441620818126</v>
      </c>
      <c r="M15" s="3">
        <f t="shared" si="4"/>
        <v>822.2329533116831</v>
      </c>
      <c r="P15" s="3">
        <f t="shared" si="5"/>
        <v>236.42194444444445</v>
      </c>
      <c r="Q15" s="3">
        <f t="shared" si="6"/>
        <v>4.6174280887345684</v>
      </c>
    </row>
    <row r="16" spans="2:17" x14ac:dyDescent="0.25">
      <c r="B16" s="1">
        <v>26</v>
      </c>
      <c r="C16" s="3">
        <v>2</v>
      </c>
      <c r="D16" s="1">
        <v>246</v>
      </c>
      <c r="E16" s="1">
        <v>44</v>
      </c>
      <c r="F16" s="1">
        <v>16</v>
      </c>
      <c r="G16" s="1">
        <v>26.73</v>
      </c>
      <c r="H16" s="1">
        <v>4.2160000000000002</v>
      </c>
      <c r="I16" s="3">
        <f t="shared" si="0"/>
        <v>303.25799999999998</v>
      </c>
      <c r="J16" s="3">
        <f t="shared" si="1"/>
        <v>2.2714205681480415</v>
      </c>
      <c r="K16" s="3">
        <f t="shared" si="2"/>
        <v>-26.633316515270756</v>
      </c>
      <c r="L16" s="3">
        <f t="shared" si="3"/>
        <v>1072.7084205681479</v>
      </c>
      <c r="M16" s="3">
        <f t="shared" si="4"/>
        <v>823.87168348472926</v>
      </c>
      <c r="P16" s="3">
        <f t="shared" si="5"/>
        <v>246.73777777777775</v>
      </c>
      <c r="Q16" s="3">
        <f t="shared" si="6"/>
        <v>4.7974680354938268</v>
      </c>
    </row>
    <row r="17" spans="2:17" x14ac:dyDescent="0.25">
      <c r="B17" s="1" t="s">
        <v>105</v>
      </c>
      <c r="C17" s="3">
        <v>2</v>
      </c>
      <c r="D17" s="1">
        <v>252</v>
      </c>
      <c r="E17" s="1">
        <v>32</v>
      </c>
      <c r="F17" s="1">
        <v>33</v>
      </c>
      <c r="G17" s="1">
        <v>25.248000000000001</v>
      </c>
      <c r="H17" s="1">
        <v>6.5469999999999997</v>
      </c>
      <c r="I17" s="3">
        <f t="shared" si="0"/>
        <v>305.589</v>
      </c>
      <c r="J17" s="3">
        <f t="shared" si="1"/>
        <v>4.6787134638803867</v>
      </c>
      <c r="K17" s="3">
        <f t="shared" si="2"/>
        <v>-24.810706243936398</v>
      </c>
      <c r="L17" s="3">
        <f t="shared" si="3"/>
        <v>1075.1157134638802</v>
      </c>
      <c r="M17" s="3">
        <f t="shared" si="4"/>
        <v>825.69429375606364</v>
      </c>
      <c r="P17" s="3">
        <f t="shared" si="5"/>
        <v>252.54249999999999</v>
      </c>
      <c r="Q17" s="3">
        <f t="shared" si="6"/>
        <v>4.8987765625000002</v>
      </c>
    </row>
    <row r="18" spans="2:17" x14ac:dyDescent="0.25">
      <c r="B18" s="1">
        <v>26</v>
      </c>
      <c r="C18" s="3">
        <v>2</v>
      </c>
      <c r="D18" s="1">
        <v>256</v>
      </c>
      <c r="E18" s="1">
        <v>15</v>
      </c>
      <c r="F18" s="1">
        <v>6</v>
      </c>
      <c r="G18" s="1">
        <v>31.52</v>
      </c>
      <c r="H18" s="1">
        <v>7.6360000000000001</v>
      </c>
      <c r="I18" s="3">
        <f t="shared" si="0"/>
        <v>306.678</v>
      </c>
      <c r="J18" s="3">
        <f t="shared" si="1"/>
        <v>7.8324596531051132</v>
      </c>
      <c r="K18" s="3">
        <f t="shared" si="2"/>
        <v>-30.531344152894427</v>
      </c>
      <c r="L18" s="3">
        <f t="shared" si="3"/>
        <v>1078.2694596531051</v>
      </c>
      <c r="M18" s="3">
        <f t="shared" si="4"/>
        <v>819.97365584710553</v>
      </c>
      <c r="P18" s="3">
        <f t="shared" si="5"/>
        <v>256.25166666666667</v>
      </c>
      <c r="Q18" s="3">
        <f t="shared" si="6"/>
        <v>4.9635118240740743</v>
      </c>
    </row>
    <row r="19" spans="2:17" x14ac:dyDescent="0.25">
      <c r="B19" s="1" t="s">
        <v>106</v>
      </c>
      <c r="C19" s="3">
        <v>2</v>
      </c>
      <c r="D19" s="1">
        <v>265</v>
      </c>
      <c r="E19" s="1">
        <v>9</v>
      </c>
      <c r="F19" s="1">
        <v>14</v>
      </c>
      <c r="G19" s="1">
        <v>21.841000000000001</v>
      </c>
      <c r="H19" s="1">
        <v>6.6059999999999999</v>
      </c>
      <c r="I19" s="3">
        <f t="shared" si="0"/>
        <v>305.64799999999997</v>
      </c>
      <c r="J19" s="3">
        <f t="shared" si="1"/>
        <v>8.6356916933382344</v>
      </c>
      <c r="K19" s="3">
        <f t="shared" si="2"/>
        <v>-20.061258933018362</v>
      </c>
      <c r="L19" s="3">
        <f t="shared" si="3"/>
        <v>1079.0726916933381</v>
      </c>
      <c r="M19" s="3">
        <f t="shared" si="4"/>
        <v>830.4437410669816</v>
      </c>
      <c r="P19" s="3">
        <f t="shared" si="5"/>
        <v>265.15388888888884</v>
      </c>
      <c r="Q19" s="3">
        <f t="shared" si="6"/>
        <v>5.1188803302469141</v>
      </c>
    </row>
    <row r="20" spans="2:17" x14ac:dyDescent="0.25">
      <c r="B20" s="1" t="s">
        <v>107</v>
      </c>
      <c r="C20" s="3">
        <v>2</v>
      </c>
      <c r="D20" s="1">
        <v>285</v>
      </c>
      <c r="E20" s="1">
        <v>59</v>
      </c>
      <c r="F20" s="1">
        <v>43</v>
      </c>
      <c r="G20" s="1">
        <v>21.922000000000001</v>
      </c>
      <c r="H20" s="1">
        <v>6.8019999999999996</v>
      </c>
      <c r="I20" s="3">
        <f t="shared" si="0"/>
        <v>305.84399999999999</v>
      </c>
      <c r="J20" s="3">
        <f t="shared" si="1"/>
        <v>15.2643193131304</v>
      </c>
      <c r="K20" s="3">
        <f t="shared" si="2"/>
        <v>-15.734504755688826</v>
      </c>
      <c r="L20" s="3">
        <f t="shared" si="3"/>
        <v>1085.7013193131304</v>
      </c>
      <c r="M20" s="3">
        <f t="shared" si="4"/>
        <v>834.77049524431118</v>
      </c>
      <c r="P20" s="3">
        <f t="shared" si="5"/>
        <v>285.9952777777778</v>
      </c>
      <c r="Q20" s="3">
        <f t="shared" si="6"/>
        <v>5.4826204591049388</v>
      </c>
    </row>
    <row r="21" spans="2:17" x14ac:dyDescent="0.25">
      <c r="B21" s="1" t="s">
        <v>108</v>
      </c>
      <c r="C21" s="3">
        <v>2</v>
      </c>
      <c r="D21" s="1">
        <v>138</v>
      </c>
      <c r="E21" s="1">
        <v>33</v>
      </c>
      <c r="F21" s="1">
        <v>21</v>
      </c>
      <c r="G21" s="1">
        <v>4.2370000000000001</v>
      </c>
      <c r="H21" s="1">
        <v>0.81</v>
      </c>
      <c r="I21" s="3">
        <f t="shared" si="0"/>
        <v>299.85199999999998</v>
      </c>
      <c r="J21" s="3">
        <f t="shared" si="1"/>
        <v>-4.123289411438595</v>
      </c>
      <c r="K21" s="3">
        <f t="shared" si="2"/>
        <v>0.97501457913118839</v>
      </c>
      <c r="L21" s="3">
        <f t="shared" si="3"/>
        <v>1066.3137105885612</v>
      </c>
      <c r="M21" s="3">
        <f t="shared" si="4"/>
        <v>851.48001457913119</v>
      </c>
      <c r="P21" s="3">
        <f t="shared" si="5"/>
        <v>138.55583333333334</v>
      </c>
      <c r="Q21" s="3">
        <f t="shared" si="6"/>
        <v>2.9093925995370373</v>
      </c>
    </row>
    <row r="22" spans="2:17" x14ac:dyDescent="0.25">
      <c r="B22" s="1" t="s">
        <v>109</v>
      </c>
      <c r="C22" s="3">
        <v>2</v>
      </c>
      <c r="D22" s="1">
        <v>154</v>
      </c>
      <c r="E22" s="1">
        <v>58</v>
      </c>
      <c r="F22" s="1">
        <v>35</v>
      </c>
      <c r="G22" s="1">
        <v>11.417</v>
      </c>
      <c r="H22" s="1">
        <v>-1.4999999999999999E-2</v>
      </c>
      <c r="I22" s="3">
        <f t="shared" si="0"/>
        <v>299.02699999999999</v>
      </c>
      <c r="J22" s="3">
        <f t="shared" si="1"/>
        <v>-11.400120433150221</v>
      </c>
      <c r="K22" s="3">
        <f t="shared" si="2"/>
        <v>-0.62059899264404894</v>
      </c>
      <c r="L22" s="3">
        <f t="shared" si="3"/>
        <v>1059.0368795668496</v>
      </c>
      <c r="M22" s="3">
        <f t="shared" si="4"/>
        <v>849.8844010073559</v>
      </c>
      <c r="P22" s="3">
        <f t="shared" si="5"/>
        <v>154.97638888888889</v>
      </c>
      <c r="Q22" s="3">
        <f t="shared" si="6"/>
        <v>3.1959769066358024</v>
      </c>
    </row>
    <row r="23" spans="2:17" x14ac:dyDescent="0.25">
      <c r="B23" s="1">
        <v>2</v>
      </c>
      <c r="C23" s="3">
        <v>2</v>
      </c>
      <c r="D23" s="1">
        <v>123</v>
      </c>
      <c r="E23" s="1">
        <v>25</v>
      </c>
      <c r="F23" s="1">
        <v>25</v>
      </c>
      <c r="G23" s="1">
        <v>14.276</v>
      </c>
      <c r="H23" s="1">
        <v>-0.189</v>
      </c>
      <c r="I23" s="3">
        <f t="shared" si="0"/>
        <v>298.85299999999995</v>
      </c>
      <c r="J23" s="3">
        <f t="shared" si="1"/>
        <v>-12.55361098277996</v>
      </c>
      <c r="K23" s="3">
        <f t="shared" si="2"/>
        <v>6.7978693200904052</v>
      </c>
      <c r="L23" s="3">
        <f t="shared" si="3"/>
        <v>1057.88338901722</v>
      </c>
      <c r="M23" s="3">
        <f t="shared" si="4"/>
        <v>857.30286932009039</v>
      </c>
      <c r="P23" s="3">
        <f t="shared" si="5"/>
        <v>123.42361111111111</v>
      </c>
      <c r="Q23" s="3">
        <f t="shared" si="6"/>
        <v>2.6452932878086424</v>
      </c>
    </row>
    <row r="24" spans="2:17" x14ac:dyDescent="0.25">
      <c r="B24" s="1" t="s">
        <v>110</v>
      </c>
      <c r="C24" s="3">
        <v>2</v>
      </c>
      <c r="D24" s="1">
        <v>23</v>
      </c>
      <c r="E24" s="1">
        <v>48</v>
      </c>
      <c r="F24" s="1">
        <v>47</v>
      </c>
      <c r="G24" s="1">
        <v>28.933</v>
      </c>
      <c r="H24" s="1">
        <v>1.0860000000000001</v>
      </c>
      <c r="I24" s="3">
        <f t="shared" si="0"/>
        <v>300.12799999999999</v>
      </c>
      <c r="J24" s="3">
        <f t="shared" si="1"/>
        <v>17.830228919146695</v>
      </c>
      <c r="K24" s="3">
        <f t="shared" si="2"/>
        <v>22.78599187419378</v>
      </c>
      <c r="L24" s="3">
        <f t="shared" si="3"/>
        <v>1088.2672289191466</v>
      </c>
      <c r="M24" s="3">
        <f t="shared" si="4"/>
        <v>873.29099187419376</v>
      </c>
      <c r="P24" s="3">
        <f t="shared" si="5"/>
        <v>23.813055555555557</v>
      </c>
      <c r="Q24" s="3">
        <f t="shared" si="6"/>
        <v>0.90681239737654362</v>
      </c>
    </row>
    <row r="25" spans="2:17" x14ac:dyDescent="0.25">
      <c r="B25" s="1" t="s">
        <v>111</v>
      </c>
      <c r="C25" s="3">
        <v>2</v>
      </c>
      <c r="D25" s="1">
        <v>45</v>
      </c>
      <c r="E25" s="1">
        <v>30</v>
      </c>
      <c r="F25" s="1">
        <v>27</v>
      </c>
      <c r="G25" s="1">
        <v>26.565000000000001</v>
      </c>
      <c r="H25" s="1">
        <v>5.6000000000000001E-2</v>
      </c>
      <c r="I25" s="3">
        <f t="shared" si="0"/>
        <v>299.09799999999996</v>
      </c>
      <c r="J25" s="3">
        <f t="shared" si="1"/>
        <v>7.4780129720562734</v>
      </c>
      <c r="K25" s="3">
        <f t="shared" si="2"/>
        <v>25.490754147136528</v>
      </c>
      <c r="L25" s="3">
        <f t="shared" si="3"/>
        <v>1077.9150129720563</v>
      </c>
      <c r="M25" s="3">
        <f t="shared" si="4"/>
        <v>875.99575414713649</v>
      </c>
      <c r="P25" s="3">
        <f t="shared" si="5"/>
        <v>45.5075</v>
      </c>
      <c r="Q25" s="3">
        <f t="shared" si="6"/>
        <v>1.2854407152777778</v>
      </c>
    </row>
    <row r="26" spans="2:17" x14ac:dyDescent="0.25">
      <c r="B26" s="1">
        <v>2</v>
      </c>
      <c r="C26" s="3">
        <v>2</v>
      </c>
      <c r="D26" s="1">
        <v>54</v>
      </c>
      <c r="E26" s="1">
        <v>40</v>
      </c>
      <c r="F26" s="1">
        <v>50</v>
      </c>
      <c r="G26" s="1">
        <v>37.494</v>
      </c>
      <c r="H26" s="1">
        <v>-6.7000000000000004E-2</v>
      </c>
      <c r="I26" s="3">
        <f t="shared" si="0"/>
        <v>298.97499999999997</v>
      </c>
      <c r="J26" s="3">
        <f t="shared" si="1"/>
        <v>4.6842382576353359</v>
      </c>
      <c r="K26" s="3">
        <f t="shared" si="2"/>
        <v>37.200241235047194</v>
      </c>
      <c r="L26" s="3">
        <f t="shared" si="3"/>
        <v>1075.1212382576352</v>
      </c>
      <c r="M26" s="3">
        <f t="shared" si="4"/>
        <v>887.7052412350472</v>
      </c>
      <c r="P26" s="3">
        <f t="shared" si="5"/>
        <v>54.68055555555555</v>
      </c>
      <c r="Q26" s="3">
        <f t="shared" si="6"/>
        <v>1.4455360154320993</v>
      </c>
    </row>
    <row r="27" spans="2:17" x14ac:dyDescent="0.25">
      <c r="B27" s="1" t="s">
        <v>112</v>
      </c>
      <c r="C27" s="3">
        <v>2</v>
      </c>
      <c r="D27" s="1">
        <v>68</v>
      </c>
      <c r="E27" s="1">
        <v>17</v>
      </c>
      <c r="F27" s="1">
        <v>59</v>
      </c>
      <c r="G27" s="1">
        <v>37.411999999999999</v>
      </c>
      <c r="H27" s="1">
        <v>-0.161</v>
      </c>
      <c r="I27" s="3">
        <f t="shared" si="0"/>
        <v>298.88099999999997</v>
      </c>
      <c r="J27" s="3">
        <f t="shared" si="1"/>
        <v>-4.1974488113716744</v>
      </c>
      <c r="K27" s="3">
        <f t="shared" si="2"/>
        <v>37.175787382057081</v>
      </c>
      <c r="L27" s="3">
        <f t="shared" si="3"/>
        <v>1066.2395511886282</v>
      </c>
      <c r="M27" s="3">
        <f t="shared" si="4"/>
        <v>887.68078738205713</v>
      </c>
      <c r="P27" s="3">
        <f t="shared" si="5"/>
        <v>68.299722222222215</v>
      </c>
      <c r="Q27" s="3">
        <f t="shared" si="6"/>
        <v>1.6832283047839511</v>
      </c>
    </row>
    <row r="28" spans="2:17" x14ac:dyDescent="0.25">
      <c r="B28" s="1">
        <v>29</v>
      </c>
      <c r="C28" s="3">
        <v>2</v>
      </c>
      <c r="D28" s="1">
        <v>77</v>
      </c>
      <c r="E28" s="1">
        <v>42</v>
      </c>
      <c r="F28" s="1">
        <v>1</v>
      </c>
      <c r="G28" s="1">
        <v>37.908000000000001</v>
      </c>
      <c r="H28" s="1">
        <v>-0.23400000000000001</v>
      </c>
      <c r="I28" s="3">
        <f t="shared" si="0"/>
        <v>298.80799999999999</v>
      </c>
      <c r="J28" s="3">
        <f t="shared" si="1"/>
        <v>-10.348434332936998</v>
      </c>
      <c r="K28" s="3">
        <f t="shared" si="2"/>
        <v>36.46815557245651</v>
      </c>
      <c r="L28" s="3">
        <f t="shared" si="3"/>
        <v>1060.088565667063</v>
      </c>
      <c r="M28" s="3">
        <f t="shared" si="4"/>
        <v>886.97315557245656</v>
      </c>
      <c r="P28" s="3">
        <f t="shared" si="5"/>
        <v>77.700277777777785</v>
      </c>
      <c r="Q28" s="3">
        <f t="shared" si="6"/>
        <v>1.8472941118827171</v>
      </c>
    </row>
    <row r="29" spans="2:17" x14ac:dyDescent="0.25">
      <c r="B29" s="1" t="s">
        <v>113</v>
      </c>
      <c r="C29" s="3">
        <v>2</v>
      </c>
      <c r="D29" s="1">
        <v>82</v>
      </c>
      <c r="E29" s="1">
        <v>9</v>
      </c>
      <c r="F29" s="1">
        <v>40</v>
      </c>
      <c r="G29" s="1">
        <v>27.983000000000001</v>
      </c>
      <c r="H29" s="1">
        <v>-0.312</v>
      </c>
      <c r="I29" s="3">
        <f t="shared" si="0"/>
        <v>298.72999999999996</v>
      </c>
      <c r="J29" s="3">
        <f t="shared" si="1"/>
        <v>-9.7096094186448152</v>
      </c>
      <c r="K29" s="3">
        <f t="shared" si="2"/>
        <v>26.244461776484652</v>
      </c>
      <c r="L29" s="3">
        <f t="shared" si="3"/>
        <v>1060.7273905813552</v>
      </c>
      <c r="M29" s="3">
        <f t="shared" si="4"/>
        <v>876.74946177648462</v>
      </c>
      <c r="P29" s="3">
        <f t="shared" si="5"/>
        <v>82.161111111111111</v>
      </c>
      <c r="Q29" s="3">
        <f t="shared" si="6"/>
        <v>1.9251480447530869</v>
      </c>
    </row>
    <row r="30" spans="2:17" x14ac:dyDescent="0.25">
      <c r="B30" s="1" t="s">
        <v>114</v>
      </c>
      <c r="C30" s="3">
        <v>2</v>
      </c>
      <c r="D30" s="1">
        <v>49</v>
      </c>
      <c r="E30" s="1">
        <v>20</v>
      </c>
      <c r="F30" s="1">
        <v>48</v>
      </c>
      <c r="G30" s="1">
        <v>13.433999999999999</v>
      </c>
      <c r="H30" s="1">
        <v>-0.193</v>
      </c>
      <c r="I30" s="3">
        <f t="shared" si="0"/>
        <v>298.84899999999999</v>
      </c>
      <c r="J30" s="3">
        <f t="shared" si="1"/>
        <v>2.9100804611269044</v>
      </c>
      <c r="K30" s="3">
        <f t="shared" si="2"/>
        <v>13.115021452890094</v>
      </c>
      <c r="L30" s="3">
        <f t="shared" si="3"/>
        <v>1073.3470804611268</v>
      </c>
      <c r="M30" s="3">
        <f t="shared" si="4"/>
        <v>863.62002145289011</v>
      </c>
      <c r="P30" s="3">
        <f t="shared" si="5"/>
        <v>49.346666666666671</v>
      </c>
      <c r="Q30" s="3">
        <f t="shared" si="6"/>
        <v>1.3524448379629632</v>
      </c>
    </row>
    <row r="31" spans="2:17" x14ac:dyDescent="0.25">
      <c r="B31" s="1">
        <v>82</v>
      </c>
      <c r="C31" s="3">
        <v>2</v>
      </c>
      <c r="D31" s="1">
        <v>315</v>
      </c>
      <c r="E31" s="1">
        <v>34</v>
      </c>
      <c r="F31" s="1">
        <v>41</v>
      </c>
      <c r="G31" s="1">
        <v>6.0119999999999996</v>
      </c>
      <c r="H31" s="1">
        <v>-1.4999999999999999E-2</v>
      </c>
      <c r="I31" s="3">
        <f t="shared" si="0"/>
        <v>299.02699999999999</v>
      </c>
      <c r="J31" s="3">
        <f t="shared" si="1"/>
        <v>5.7707297138754345</v>
      </c>
      <c r="K31" s="3">
        <f t="shared" si="2"/>
        <v>-1.6860671900595008</v>
      </c>
      <c r="L31" s="3">
        <f t="shared" si="3"/>
        <v>1076.2077297138753</v>
      </c>
      <c r="M31" s="3">
        <f t="shared" si="4"/>
        <v>848.81893280994052</v>
      </c>
      <c r="P31" s="3">
        <f t="shared" si="5"/>
        <v>315.57805555555558</v>
      </c>
      <c r="Q31" s="3">
        <f t="shared" si="6"/>
        <v>5.9989221057098767</v>
      </c>
    </row>
    <row r="32" spans="2:17" x14ac:dyDescent="0.25">
      <c r="B32" s="1">
        <v>83</v>
      </c>
      <c r="C32" s="3">
        <v>2</v>
      </c>
      <c r="D32" s="1">
        <v>346</v>
      </c>
      <c r="E32" s="1">
        <v>52</v>
      </c>
      <c r="F32" s="1">
        <v>21</v>
      </c>
      <c r="G32" s="1">
        <v>5.3310000000000004</v>
      </c>
      <c r="H32" s="1">
        <v>9.9000000000000008E-3</v>
      </c>
      <c r="I32" s="3">
        <f t="shared" si="0"/>
        <v>299.05189999999999</v>
      </c>
      <c r="J32" s="3">
        <f t="shared" si="1"/>
        <v>5.1491954683978243</v>
      </c>
      <c r="K32" s="3">
        <f t="shared" si="2"/>
        <v>1.3803430835235551</v>
      </c>
      <c r="L32" s="3">
        <f t="shared" si="3"/>
        <v>1075.5861954683978</v>
      </c>
      <c r="M32" s="3">
        <f t="shared" si="4"/>
        <v>851.88534308352359</v>
      </c>
      <c r="P32" s="3">
        <f t="shared" si="5"/>
        <v>346.8725</v>
      </c>
      <c r="Q32" s="3">
        <f t="shared" si="6"/>
        <v>6.5450970902777792</v>
      </c>
    </row>
    <row r="33" spans="2:17" x14ac:dyDescent="0.25">
      <c r="B33" s="1">
        <v>84</v>
      </c>
      <c r="C33" s="3">
        <v>2</v>
      </c>
      <c r="D33" s="1">
        <v>62</v>
      </c>
      <c r="E33" s="1">
        <v>55</v>
      </c>
      <c r="F33" s="1">
        <v>42</v>
      </c>
      <c r="G33" s="1">
        <v>13.927</v>
      </c>
      <c r="H33" s="1">
        <v>-0.10299999999999999</v>
      </c>
      <c r="I33" s="3">
        <f t="shared" si="0"/>
        <v>298.93899999999996</v>
      </c>
      <c r="J33" s="3">
        <f t="shared" si="1"/>
        <v>-0.2602292524551752</v>
      </c>
      <c r="K33" s="3">
        <f t="shared" si="2"/>
        <v>13.924568565530734</v>
      </c>
      <c r="L33" s="3">
        <f t="shared" si="3"/>
        <v>1070.1767707475447</v>
      </c>
      <c r="M33" s="3">
        <f t="shared" si="4"/>
        <v>864.42956856553076</v>
      </c>
      <c r="P33" s="3">
        <f>D33+E33/60+F33/3600</f>
        <v>62.928333333333327</v>
      </c>
      <c r="Q33" s="3">
        <f t="shared" si="6"/>
        <v>1.5894826481481481</v>
      </c>
    </row>
  </sheetData>
  <mergeCells count="3">
    <mergeCell ref="D5:F5"/>
    <mergeCell ref="J5:K5"/>
    <mergeCell ref="L5:M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75AE4-CDEE-471B-88AF-8F7B2992B3B3}">
  <dimension ref="B3:Q31"/>
  <sheetViews>
    <sheetView workbookViewId="0">
      <selection activeCell="Q7" sqref="Q7"/>
    </sheetView>
  </sheetViews>
  <sheetFormatPr defaultColWidth="9.140625" defaultRowHeight="15" x14ac:dyDescent="0.25"/>
  <cols>
    <col min="1" max="1" width="9.140625" style="1"/>
    <col min="2" max="2" width="11.28515625" style="1" customWidth="1"/>
    <col min="3" max="3" width="14.28515625" style="1" customWidth="1"/>
    <col min="4" max="8" width="9.140625" style="1"/>
    <col min="9" max="9" width="15.7109375" style="1" customWidth="1"/>
    <col min="10" max="16384" width="9.140625" style="1"/>
  </cols>
  <sheetData>
    <row r="3" spans="2:17" ht="18" x14ac:dyDescent="0.35">
      <c r="B3" s="1" t="s">
        <v>10</v>
      </c>
      <c r="C3" s="1" t="s">
        <v>115</v>
      </c>
    </row>
    <row r="4" spans="2:17" x14ac:dyDescent="0.25">
      <c r="B4" s="1" t="s">
        <v>39</v>
      </c>
      <c r="C4" s="1">
        <v>1.431</v>
      </c>
    </row>
    <row r="5" spans="2:17" x14ac:dyDescent="0.25">
      <c r="B5" s="1" t="s">
        <v>1</v>
      </c>
      <c r="C5" s="1" t="s">
        <v>0</v>
      </c>
      <c r="D5" s="6" t="s">
        <v>42</v>
      </c>
      <c r="E5" s="6"/>
      <c r="F5" s="6"/>
      <c r="G5" s="1" t="s">
        <v>43</v>
      </c>
      <c r="H5" s="1" t="s">
        <v>7</v>
      </c>
      <c r="I5" s="1" t="s">
        <v>44</v>
      </c>
      <c r="J5" s="6" t="s">
        <v>34</v>
      </c>
      <c r="K5" s="6"/>
      <c r="L5" s="6" t="s">
        <v>46</v>
      </c>
      <c r="M5" s="6"/>
      <c r="P5" s="1" t="s">
        <v>37</v>
      </c>
      <c r="Q5" s="1" t="s">
        <v>47</v>
      </c>
    </row>
    <row r="6" spans="2:17" x14ac:dyDescent="0.25">
      <c r="D6" s="1" t="s">
        <v>2</v>
      </c>
      <c r="E6" s="1" t="s">
        <v>41</v>
      </c>
      <c r="F6" s="1" t="s">
        <v>4</v>
      </c>
      <c r="G6" s="1" t="s">
        <v>6</v>
      </c>
      <c r="H6" s="1" t="s">
        <v>6</v>
      </c>
      <c r="J6" s="1" t="s">
        <v>35</v>
      </c>
      <c r="K6" s="1" t="s">
        <v>45</v>
      </c>
      <c r="L6" s="1" t="s">
        <v>35</v>
      </c>
      <c r="M6" s="1" t="s">
        <v>45</v>
      </c>
    </row>
    <row r="7" spans="2:17" x14ac:dyDescent="0.25">
      <c r="B7" s="1" t="s">
        <v>116</v>
      </c>
      <c r="C7" s="1">
        <v>2</v>
      </c>
      <c r="D7" s="1">
        <v>105</v>
      </c>
      <c r="E7" s="1">
        <v>11</v>
      </c>
      <c r="F7" s="1">
        <v>18</v>
      </c>
      <c r="G7" s="1">
        <v>16.347999999999999</v>
      </c>
      <c r="H7" s="1">
        <v>1.2070000000000001</v>
      </c>
      <c r="I7" s="3">
        <f>296.782+1.431+H7-C7</f>
        <v>297.41999999999996</v>
      </c>
      <c r="J7" s="3">
        <f>G7*COS(Q7)</f>
        <v>-7.3324367579578906</v>
      </c>
      <c r="K7" s="3">
        <f>G7*SIN(Q7)</f>
        <v>14.611381700255043</v>
      </c>
      <c r="L7" s="3">
        <f>996.113+J7</f>
        <v>988.78056324204215</v>
      </c>
      <c r="M7" s="1">
        <f>835.423+K7</f>
        <v>850.03438170025504</v>
      </c>
      <c r="P7" s="3">
        <f>D7+E7/60+F7/3600</f>
        <v>105.18833333333333</v>
      </c>
      <c r="Q7" s="3">
        <f>IF((191.464+P7-180)&gt;0, (191.464+P7-180)*3.1415/180, (191.464+P7+180)*3.1415/180)</f>
        <v>2.0359072509259257</v>
      </c>
    </row>
    <row r="8" spans="2:17" x14ac:dyDescent="0.25">
      <c r="B8" s="1" t="s">
        <v>117</v>
      </c>
      <c r="C8" s="3">
        <v>2</v>
      </c>
      <c r="D8" s="1">
        <v>62</v>
      </c>
      <c r="E8" s="1">
        <v>37</v>
      </c>
      <c r="F8" s="1">
        <v>13</v>
      </c>
      <c r="G8" s="1">
        <v>29.405000000000001</v>
      </c>
      <c r="H8" s="1">
        <v>1.3879999999999999</v>
      </c>
      <c r="I8" s="3">
        <f t="shared" ref="I8:I31" si="0">296.782+1.431+H8-C8</f>
        <v>297.60099999999994</v>
      </c>
      <c r="J8" s="3">
        <f t="shared" ref="J8:J31" si="1">G8*COS(Q8)</f>
        <v>8.0646090316024388</v>
      </c>
      <c r="K8" s="3">
        <f t="shared" ref="K8:K31" si="2">G8*SIN(Q8)</f>
        <v>28.277484084822618</v>
      </c>
      <c r="L8" s="3">
        <f t="shared" ref="L8:L31" si="3">996.113+J8</f>
        <v>1004.1776090316025</v>
      </c>
      <c r="M8" s="3">
        <f t="shared" ref="M8:M31" si="4">835.423+K8</f>
        <v>863.70048408482262</v>
      </c>
      <c r="P8" s="3">
        <f t="shared" ref="P8:P30" si="5">D8+E8/60+F8/3600</f>
        <v>62.62027777777778</v>
      </c>
      <c r="Q8" s="3">
        <f t="shared" ref="Q8:Q31" si="6">IF((191.464+P8-180)&gt;0, (191.464+P8-180)*3.1415/180, (191.464+P8+180)*3.1415/180)</f>
        <v>1.2929764368827159</v>
      </c>
    </row>
    <row r="9" spans="2:17" x14ac:dyDescent="0.25">
      <c r="B9" s="1" t="s">
        <v>118</v>
      </c>
      <c r="C9" s="3">
        <v>2</v>
      </c>
      <c r="D9" s="1">
        <v>9</v>
      </c>
      <c r="E9" s="1">
        <v>26</v>
      </c>
      <c r="F9" s="1">
        <v>16</v>
      </c>
      <c r="G9" s="1">
        <v>11.324</v>
      </c>
      <c r="H9" s="1">
        <v>0.84599999999999997</v>
      </c>
      <c r="I9" s="3">
        <f t="shared" si="0"/>
        <v>297.05899999999997</v>
      </c>
      <c r="J9" s="3">
        <f t="shared" si="1"/>
        <v>10.578849584137675</v>
      </c>
      <c r="K9" s="3">
        <f t="shared" si="2"/>
        <v>4.0399155283483523</v>
      </c>
      <c r="L9" s="3">
        <f t="shared" si="3"/>
        <v>1006.6918495841377</v>
      </c>
      <c r="M9" s="3">
        <f t="shared" si="4"/>
        <v>839.46291552834839</v>
      </c>
      <c r="P9" s="3">
        <f t="shared" si="5"/>
        <v>9.4377777777777787</v>
      </c>
      <c r="Q9" s="3">
        <f t="shared" si="6"/>
        <v>0.36479408271604918</v>
      </c>
    </row>
    <row r="10" spans="2:17" x14ac:dyDescent="0.25">
      <c r="B10" s="1">
        <v>86</v>
      </c>
      <c r="C10" s="3">
        <v>2</v>
      </c>
      <c r="D10" s="1">
        <v>89</v>
      </c>
      <c r="E10" s="1">
        <v>40</v>
      </c>
      <c r="F10" s="1">
        <v>31</v>
      </c>
      <c r="G10" s="1">
        <v>13.789</v>
      </c>
      <c r="H10" s="1">
        <v>1.159</v>
      </c>
      <c r="I10" s="3">
        <f t="shared" si="0"/>
        <v>297.37199999999996</v>
      </c>
      <c r="J10" s="3">
        <f t="shared" si="1"/>
        <v>-2.6632563184494544</v>
      </c>
      <c r="K10" s="3">
        <f t="shared" si="2"/>
        <v>13.529360176380813</v>
      </c>
      <c r="L10" s="3">
        <f t="shared" si="3"/>
        <v>993.44974368155056</v>
      </c>
      <c r="M10" s="3">
        <f t="shared" si="4"/>
        <v>848.95236017638081</v>
      </c>
      <c r="P10" s="3">
        <f t="shared" si="5"/>
        <v>89.675277777777779</v>
      </c>
      <c r="Q10" s="3">
        <f t="shared" si="6"/>
        <v>1.7651613396604944</v>
      </c>
    </row>
    <row r="11" spans="2:17" x14ac:dyDescent="0.25">
      <c r="B11" s="1">
        <v>87</v>
      </c>
      <c r="C11" s="3">
        <v>2</v>
      </c>
      <c r="D11" s="1">
        <v>90</v>
      </c>
      <c r="E11" s="1">
        <v>41</v>
      </c>
      <c r="F11" s="1">
        <v>9</v>
      </c>
      <c r="G11" s="1">
        <v>12.563000000000001</v>
      </c>
      <c r="H11" s="1">
        <v>0.66800000000000004</v>
      </c>
      <c r="I11" s="3">
        <f t="shared" si="0"/>
        <v>296.88099999999997</v>
      </c>
      <c r="J11" s="3">
        <f t="shared" si="1"/>
        <v>-2.6434752128255008</v>
      </c>
      <c r="K11" s="3">
        <f t="shared" si="2"/>
        <v>12.281734722716379</v>
      </c>
      <c r="L11" s="3">
        <f t="shared" si="3"/>
        <v>993.46952478717458</v>
      </c>
      <c r="M11" s="3">
        <f t="shared" si="4"/>
        <v>847.70473472271635</v>
      </c>
      <c r="P11" s="3">
        <f t="shared" si="5"/>
        <v>90.685833333333335</v>
      </c>
      <c r="Q11" s="3">
        <f t="shared" si="6"/>
        <v>1.7827983412037038</v>
      </c>
    </row>
    <row r="12" spans="2:17" x14ac:dyDescent="0.25">
      <c r="B12" s="1">
        <v>88</v>
      </c>
      <c r="C12" s="3">
        <v>2</v>
      </c>
      <c r="D12" s="1">
        <v>301</v>
      </c>
      <c r="E12" s="1">
        <v>18</v>
      </c>
      <c r="F12" s="1">
        <v>12</v>
      </c>
      <c r="G12" s="1">
        <v>16.553999999999998</v>
      </c>
      <c r="H12" s="1">
        <v>0.627</v>
      </c>
      <c r="I12" s="3">
        <f t="shared" si="0"/>
        <v>296.83999999999997</v>
      </c>
      <c r="J12" s="3">
        <f t="shared" si="1"/>
        <v>11.238587854429113</v>
      </c>
      <c r="K12" s="3">
        <f t="shared" si="2"/>
        <v>-12.154384354556111</v>
      </c>
      <c r="L12" s="3">
        <f t="shared" si="3"/>
        <v>1007.3515878544292</v>
      </c>
      <c r="M12" s="3">
        <f t="shared" si="4"/>
        <v>823.2686156454439</v>
      </c>
      <c r="P12" s="3">
        <f t="shared" si="5"/>
        <v>301.30333333333334</v>
      </c>
      <c r="Q12" s="3">
        <f t="shared" si="6"/>
        <v>5.4586587648148157</v>
      </c>
    </row>
    <row r="13" spans="2:17" x14ac:dyDescent="0.25">
      <c r="B13" s="1">
        <v>89</v>
      </c>
      <c r="C13" s="3">
        <v>2</v>
      </c>
      <c r="D13" s="1">
        <v>94</v>
      </c>
      <c r="E13" s="1">
        <v>52</v>
      </c>
      <c r="F13" s="1">
        <v>2</v>
      </c>
      <c r="G13" s="1">
        <v>10.814</v>
      </c>
      <c r="H13" s="1">
        <v>0.96399999999999997</v>
      </c>
      <c r="I13" s="3">
        <f t="shared" si="0"/>
        <v>297.17699999999996</v>
      </c>
      <c r="J13" s="3">
        <f t="shared" si="1"/>
        <v>-3.0402173482997892</v>
      </c>
      <c r="K13" s="3">
        <f t="shared" si="2"/>
        <v>10.37784536766168</v>
      </c>
      <c r="L13" s="3">
        <f t="shared" si="3"/>
        <v>993.07278265170032</v>
      </c>
      <c r="M13" s="3">
        <f t="shared" si="4"/>
        <v>845.80084536766174</v>
      </c>
      <c r="P13" s="3">
        <f t="shared" si="5"/>
        <v>94.86722222222221</v>
      </c>
      <c r="Q13" s="3">
        <f t="shared" si="6"/>
        <v>1.8557751922839505</v>
      </c>
    </row>
    <row r="14" spans="2:17" x14ac:dyDescent="0.25">
      <c r="B14" s="1" t="s">
        <v>19</v>
      </c>
      <c r="C14" s="3">
        <v>2</v>
      </c>
      <c r="D14" s="1">
        <v>309</v>
      </c>
      <c r="E14" s="1">
        <v>24</v>
      </c>
      <c r="F14" s="1">
        <v>54</v>
      </c>
      <c r="G14" s="1">
        <v>28.468</v>
      </c>
      <c r="H14" s="1">
        <v>1.0489999999999999</v>
      </c>
      <c r="I14" s="3">
        <f t="shared" si="0"/>
        <v>297.26199999999994</v>
      </c>
      <c r="J14" s="3">
        <f t="shared" si="1"/>
        <v>22.082940006180085</v>
      </c>
      <c r="K14" s="3">
        <f t="shared" si="2"/>
        <v>-17.965822683179614</v>
      </c>
      <c r="L14" s="3">
        <f t="shared" si="3"/>
        <v>1018.1959400061802</v>
      </c>
      <c r="M14" s="3">
        <f t="shared" si="4"/>
        <v>817.45717731682043</v>
      </c>
      <c r="P14" s="3">
        <f t="shared" si="5"/>
        <v>309.41499999999996</v>
      </c>
      <c r="Q14" s="3">
        <f t="shared" si="6"/>
        <v>5.6002298805555553</v>
      </c>
    </row>
    <row r="15" spans="2:17" x14ac:dyDescent="0.25">
      <c r="B15" s="1" t="s">
        <v>20</v>
      </c>
      <c r="C15" s="3">
        <v>2</v>
      </c>
      <c r="D15" s="1">
        <v>319</v>
      </c>
      <c r="E15" s="1">
        <v>27</v>
      </c>
      <c r="F15" s="1">
        <v>45</v>
      </c>
      <c r="G15" s="1">
        <v>29.292999999999999</v>
      </c>
      <c r="H15" s="1">
        <v>1.232</v>
      </c>
      <c r="I15" s="3">
        <f t="shared" si="0"/>
        <v>297.44499999999999</v>
      </c>
      <c r="J15" s="3">
        <f t="shared" si="1"/>
        <v>25.599570961735147</v>
      </c>
      <c r="K15" s="3">
        <f t="shared" si="2"/>
        <v>-14.238743468968273</v>
      </c>
      <c r="L15" s="3">
        <f t="shared" si="3"/>
        <v>1021.7125709617352</v>
      </c>
      <c r="M15" s="3">
        <f t="shared" si="4"/>
        <v>821.18425653103168</v>
      </c>
      <c r="P15" s="3">
        <f t="shared" si="5"/>
        <v>319.46249999999998</v>
      </c>
      <c r="Q15" s="3">
        <f t="shared" si="6"/>
        <v>5.7755866652777774</v>
      </c>
    </row>
    <row r="16" spans="2:17" x14ac:dyDescent="0.25">
      <c r="B16" s="1" t="s">
        <v>119</v>
      </c>
      <c r="C16" s="3">
        <v>2</v>
      </c>
      <c r="D16" s="1">
        <v>160</v>
      </c>
      <c r="E16" s="1">
        <v>41</v>
      </c>
      <c r="F16" s="1">
        <v>56</v>
      </c>
      <c r="G16" s="1">
        <v>44.31</v>
      </c>
      <c r="H16" s="1">
        <v>0.16900000000000001</v>
      </c>
      <c r="I16" s="3">
        <f t="shared" si="0"/>
        <v>296.38199999999995</v>
      </c>
      <c r="J16" s="3">
        <f t="shared" si="1"/>
        <v>-43.895596944868096</v>
      </c>
      <c r="K16" s="3">
        <f t="shared" si="2"/>
        <v>6.0458803208206673</v>
      </c>
      <c r="L16" s="3">
        <f t="shared" si="3"/>
        <v>952.21740305513197</v>
      </c>
      <c r="M16" s="3">
        <f t="shared" si="4"/>
        <v>841.46888032082063</v>
      </c>
      <c r="P16" s="3">
        <f t="shared" si="5"/>
        <v>160.69888888888889</v>
      </c>
      <c r="Q16" s="3">
        <f t="shared" si="6"/>
        <v>3.0047206413580252</v>
      </c>
    </row>
    <row r="17" spans="2:17" x14ac:dyDescent="0.25">
      <c r="B17" s="1" t="s">
        <v>81</v>
      </c>
      <c r="C17" s="3">
        <v>2</v>
      </c>
      <c r="D17" s="1">
        <v>315</v>
      </c>
      <c r="E17" s="1">
        <v>3</v>
      </c>
      <c r="F17" s="1">
        <v>28</v>
      </c>
      <c r="G17" s="1">
        <v>7.218</v>
      </c>
      <c r="H17" s="1">
        <v>0.81299999999999994</v>
      </c>
      <c r="I17" s="3">
        <f t="shared" si="0"/>
        <v>297.02599999999995</v>
      </c>
      <c r="J17" s="3">
        <f t="shared" si="1"/>
        <v>6.019832388480304</v>
      </c>
      <c r="K17" s="3">
        <f t="shared" si="2"/>
        <v>-3.9826049282603364</v>
      </c>
      <c r="L17" s="3">
        <f t="shared" si="3"/>
        <v>1002.1328323884803</v>
      </c>
      <c r="M17" s="3">
        <f t="shared" si="4"/>
        <v>831.44039507173966</v>
      </c>
      <c r="P17" s="3">
        <f t="shared" si="5"/>
        <v>315.0577777777778</v>
      </c>
      <c r="Q17" s="3">
        <f t="shared" si="6"/>
        <v>5.6987120271604947</v>
      </c>
    </row>
    <row r="18" spans="2:17" x14ac:dyDescent="0.25">
      <c r="B18" s="1" t="s">
        <v>120</v>
      </c>
      <c r="C18" s="3">
        <v>2</v>
      </c>
      <c r="D18" s="1">
        <v>150</v>
      </c>
      <c r="E18" s="1">
        <v>53</v>
      </c>
      <c r="F18" s="1">
        <v>20</v>
      </c>
      <c r="G18" s="1">
        <v>22.155000000000001</v>
      </c>
      <c r="H18" s="1">
        <v>-0.30020000000000002</v>
      </c>
      <c r="I18" s="3">
        <f t="shared" si="0"/>
        <v>295.91279999999995</v>
      </c>
      <c r="J18" s="3">
        <f t="shared" si="1"/>
        <v>-21.111862530508841</v>
      </c>
      <c r="K18" s="3">
        <f t="shared" si="2"/>
        <v>6.7181311011989706</v>
      </c>
      <c r="L18" s="3">
        <f t="shared" si="3"/>
        <v>975.00113746949125</v>
      </c>
      <c r="M18" s="3">
        <f t="shared" si="4"/>
        <v>842.14113110119899</v>
      </c>
      <c r="P18" s="3">
        <f t="shared" si="5"/>
        <v>150.88888888888889</v>
      </c>
      <c r="Q18" s="3">
        <f t="shared" si="6"/>
        <v>2.8335088913580244</v>
      </c>
    </row>
    <row r="19" spans="2:17" x14ac:dyDescent="0.25">
      <c r="B19" s="1" t="s">
        <v>121</v>
      </c>
      <c r="C19" s="3">
        <v>2</v>
      </c>
      <c r="D19" s="1">
        <v>113</v>
      </c>
      <c r="E19" s="1">
        <v>27</v>
      </c>
      <c r="F19" s="1">
        <v>33</v>
      </c>
      <c r="G19" s="1">
        <v>33.588000000000001</v>
      </c>
      <c r="H19" s="1">
        <v>1.2330000000000001</v>
      </c>
      <c r="I19" s="3">
        <f t="shared" si="0"/>
        <v>297.44599999999997</v>
      </c>
      <c r="J19" s="3">
        <f t="shared" si="1"/>
        <v>-19.226601419629588</v>
      </c>
      <c r="K19" s="3">
        <f t="shared" si="2"/>
        <v>27.540725151141128</v>
      </c>
      <c r="L19" s="3">
        <f t="shared" si="3"/>
        <v>976.8863985803705</v>
      </c>
      <c r="M19" s="3">
        <f t="shared" si="4"/>
        <v>862.96372515114115</v>
      </c>
      <c r="P19" s="3">
        <f t="shared" si="5"/>
        <v>113.45916666666668</v>
      </c>
      <c r="Q19" s="3">
        <f t="shared" si="6"/>
        <v>2.1802562671296304</v>
      </c>
    </row>
    <row r="20" spans="2:17" x14ac:dyDescent="0.25">
      <c r="B20" s="1" t="s">
        <v>122</v>
      </c>
      <c r="C20" s="3">
        <v>2</v>
      </c>
      <c r="D20" s="1">
        <v>201</v>
      </c>
      <c r="E20" s="1">
        <v>10</v>
      </c>
      <c r="F20" s="1">
        <v>44</v>
      </c>
      <c r="G20" s="1">
        <v>12.717000000000001</v>
      </c>
      <c r="H20" s="1">
        <v>-4.4999999999999998E-2</v>
      </c>
      <c r="I20" s="3">
        <f t="shared" si="0"/>
        <v>296.16799999999995</v>
      </c>
      <c r="J20" s="3">
        <f t="shared" si="1"/>
        <v>-10.709086147717956</v>
      </c>
      <c r="K20" s="3">
        <f t="shared" si="2"/>
        <v>-6.8583936078906573</v>
      </c>
      <c r="L20" s="3">
        <f t="shared" si="3"/>
        <v>985.40391385228213</v>
      </c>
      <c r="M20" s="3">
        <f t="shared" si="4"/>
        <v>828.56460639210934</v>
      </c>
      <c r="P20" s="3">
        <f t="shared" si="5"/>
        <v>201.17888888888888</v>
      </c>
      <c r="Q20" s="3">
        <f t="shared" si="6"/>
        <v>3.7112090858024689</v>
      </c>
    </row>
    <row r="21" spans="2:17" x14ac:dyDescent="0.25">
      <c r="B21" s="1" t="s">
        <v>83</v>
      </c>
      <c r="C21" s="3">
        <v>2</v>
      </c>
      <c r="D21" s="1">
        <v>116</v>
      </c>
      <c r="E21" s="1">
        <v>41</v>
      </c>
      <c r="F21" s="1">
        <v>99</v>
      </c>
      <c r="G21" s="1">
        <v>31.152000000000001</v>
      </c>
      <c r="H21" s="1">
        <v>1.4870000000000001</v>
      </c>
      <c r="I21" s="3">
        <f t="shared" si="0"/>
        <v>297.7</v>
      </c>
      <c r="J21" s="3">
        <f t="shared" si="1"/>
        <v>-19.252287620635787</v>
      </c>
      <c r="K21" s="3">
        <f t="shared" si="2"/>
        <v>24.49074366719627</v>
      </c>
      <c r="L21" s="3">
        <f t="shared" si="3"/>
        <v>976.86071237936426</v>
      </c>
      <c r="M21" s="3">
        <f t="shared" si="4"/>
        <v>859.91374366719629</v>
      </c>
      <c r="P21" s="3">
        <f t="shared" si="5"/>
        <v>116.71083333333334</v>
      </c>
      <c r="Q21" s="3">
        <f t="shared" si="6"/>
        <v>2.2370068828703711</v>
      </c>
    </row>
    <row r="22" spans="2:17" x14ac:dyDescent="0.25">
      <c r="B22" s="1" t="s">
        <v>123</v>
      </c>
      <c r="C22" s="3">
        <v>2</v>
      </c>
      <c r="D22" s="1">
        <v>271</v>
      </c>
      <c r="E22" s="1">
        <v>33</v>
      </c>
      <c r="F22" s="1">
        <v>41</v>
      </c>
      <c r="G22" s="1">
        <v>14.779</v>
      </c>
      <c r="H22" s="1">
        <v>2.5000000000000001E-2</v>
      </c>
      <c r="I22" s="3">
        <f t="shared" si="0"/>
        <v>296.23799999999994</v>
      </c>
      <c r="J22" s="3">
        <f t="shared" si="1"/>
        <v>3.3288346073145441</v>
      </c>
      <c r="K22" s="3">
        <f t="shared" si="2"/>
        <v>-14.399225713806455</v>
      </c>
      <c r="L22" s="3">
        <f t="shared" si="3"/>
        <v>999.4418346073146</v>
      </c>
      <c r="M22" s="3">
        <f t="shared" si="4"/>
        <v>821.02377428619354</v>
      </c>
      <c r="P22" s="3">
        <f t="shared" si="5"/>
        <v>271.56138888888893</v>
      </c>
      <c r="Q22" s="3">
        <f t="shared" si="6"/>
        <v>4.939579217746914</v>
      </c>
    </row>
    <row r="23" spans="2:17" x14ac:dyDescent="0.25">
      <c r="B23" s="1">
        <v>94</v>
      </c>
      <c r="C23" s="3">
        <v>2</v>
      </c>
      <c r="D23" s="1">
        <v>123</v>
      </c>
      <c r="E23" s="1">
        <v>12</v>
      </c>
      <c r="F23" s="1">
        <v>10</v>
      </c>
      <c r="G23" s="1">
        <v>20.648</v>
      </c>
      <c r="H23" s="1">
        <v>6.3399999999999998E-2</v>
      </c>
      <c r="I23" s="3">
        <f t="shared" si="0"/>
        <v>296.27639999999997</v>
      </c>
      <c r="J23" s="3">
        <f t="shared" si="1"/>
        <v>-14.514163371749593</v>
      </c>
      <c r="K23" s="3">
        <f t="shared" si="2"/>
        <v>14.686012584025743</v>
      </c>
      <c r="L23" s="3">
        <f t="shared" si="3"/>
        <v>981.59883662825041</v>
      </c>
      <c r="M23" s="3">
        <f t="shared" si="4"/>
        <v>850.10901258402578</v>
      </c>
      <c r="P23" s="3">
        <f t="shared" si="5"/>
        <v>123.20277777777778</v>
      </c>
      <c r="Q23" s="3">
        <f t="shared" si="6"/>
        <v>2.3503093466049383</v>
      </c>
    </row>
    <row r="24" spans="2:17" x14ac:dyDescent="0.25">
      <c r="B24" s="1">
        <v>95</v>
      </c>
      <c r="C24" s="3">
        <v>2</v>
      </c>
      <c r="D24" s="1">
        <v>273</v>
      </c>
      <c r="E24" s="1">
        <v>13</v>
      </c>
      <c r="F24" s="1">
        <v>9</v>
      </c>
      <c r="G24" s="1">
        <v>16.417000000000002</v>
      </c>
      <c r="H24" s="1">
        <v>0.25900000000000001</v>
      </c>
      <c r="I24" s="3">
        <f t="shared" si="0"/>
        <v>296.47199999999998</v>
      </c>
      <c r="J24" s="3">
        <f t="shared" si="1"/>
        <v>4.1589514053870937</v>
      </c>
      <c r="K24" s="3">
        <f t="shared" si="2"/>
        <v>-15.881467570965498</v>
      </c>
      <c r="L24" s="3">
        <f t="shared" si="3"/>
        <v>1000.2719514053872</v>
      </c>
      <c r="M24" s="3">
        <f t="shared" si="4"/>
        <v>819.54153242903453</v>
      </c>
      <c r="P24" s="3">
        <f t="shared" si="5"/>
        <v>273.21916666666664</v>
      </c>
      <c r="Q24" s="3">
        <f t="shared" si="6"/>
        <v>4.9685120449074072</v>
      </c>
    </row>
    <row r="25" spans="2:17" x14ac:dyDescent="0.25">
      <c r="B25" s="1">
        <v>96</v>
      </c>
      <c r="C25" s="3">
        <v>2</v>
      </c>
      <c r="D25" s="1">
        <v>272</v>
      </c>
      <c r="E25" s="1">
        <v>3</v>
      </c>
      <c r="F25" s="1">
        <v>3</v>
      </c>
      <c r="G25" s="1">
        <v>12.128</v>
      </c>
      <c r="H25" s="1">
        <v>0.371</v>
      </c>
      <c r="I25" s="3">
        <f t="shared" si="0"/>
        <v>296.58399999999995</v>
      </c>
      <c r="J25" s="3">
        <f t="shared" si="1"/>
        <v>2.8325574039854438</v>
      </c>
      <c r="K25" s="3">
        <f t="shared" si="2"/>
        <v>-11.792582522633761</v>
      </c>
      <c r="L25" s="3">
        <f t="shared" si="3"/>
        <v>998.9455574039855</v>
      </c>
      <c r="M25" s="3">
        <f t="shared" si="4"/>
        <v>823.63041747736622</v>
      </c>
      <c r="P25" s="3">
        <f t="shared" si="5"/>
        <v>272.05083333333334</v>
      </c>
      <c r="Q25" s="3">
        <f t="shared" si="6"/>
        <v>4.9481213828703705</v>
      </c>
    </row>
    <row r="26" spans="2:17" x14ac:dyDescent="0.25">
      <c r="B26" s="1">
        <v>97</v>
      </c>
      <c r="C26" s="3">
        <v>2</v>
      </c>
      <c r="D26" s="1">
        <v>270</v>
      </c>
      <c r="E26" s="1">
        <v>45</v>
      </c>
      <c r="F26" s="1">
        <v>28</v>
      </c>
      <c r="G26" s="1">
        <v>7.141</v>
      </c>
      <c r="H26" s="1">
        <v>0.55700000000000005</v>
      </c>
      <c r="I26" s="3">
        <f t="shared" si="0"/>
        <v>296.77</v>
      </c>
      <c r="J26" s="3">
        <f t="shared" si="1"/>
        <v>1.5107093266258838</v>
      </c>
      <c r="K26" s="3">
        <f t="shared" si="2"/>
        <v>-6.9793723450211171</v>
      </c>
      <c r="L26" s="3">
        <f t="shared" si="3"/>
        <v>997.62370932662589</v>
      </c>
      <c r="M26" s="3">
        <f t="shared" si="4"/>
        <v>828.44362765497885</v>
      </c>
      <c r="P26" s="3">
        <f t="shared" si="5"/>
        <v>270.75777777777779</v>
      </c>
      <c r="Q26" s="3">
        <f t="shared" si="6"/>
        <v>4.9255539716049395</v>
      </c>
    </row>
    <row r="27" spans="2:17" x14ac:dyDescent="0.25">
      <c r="B27" s="1">
        <v>98</v>
      </c>
      <c r="C27" s="3">
        <v>2</v>
      </c>
      <c r="D27" s="1">
        <v>219</v>
      </c>
      <c r="E27" s="1">
        <v>6</v>
      </c>
      <c r="F27" s="1">
        <v>44</v>
      </c>
      <c r="G27" s="1">
        <v>6.774</v>
      </c>
      <c r="H27" s="1">
        <v>0.35599999999999998</v>
      </c>
      <c r="I27" s="3">
        <f t="shared" si="0"/>
        <v>296.56899999999996</v>
      </c>
      <c r="J27" s="3">
        <f t="shared" si="1"/>
        <v>-4.3024574713660666</v>
      </c>
      <c r="K27" s="3">
        <f t="shared" si="2"/>
        <v>-5.2322018029780075</v>
      </c>
      <c r="L27" s="3">
        <f t="shared" si="3"/>
        <v>991.81054252863396</v>
      </c>
      <c r="M27" s="3">
        <f t="shared" si="4"/>
        <v>830.19079819702199</v>
      </c>
      <c r="P27" s="3">
        <f t="shared" si="5"/>
        <v>219.11222222222221</v>
      </c>
      <c r="Q27" s="3">
        <f t="shared" si="6"/>
        <v>4.0241955672839502</v>
      </c>
    </row>
    <row r="28" spans="2:17" x14ac:dyDescent="0.25">
      <c r="B28" s="1">
        <v>99</v>
      </c>
      <c r="C28" s="3">
        <v>2</v>
      </c>
      <c r="D28" s="1">
        <v>182</v>
      </c>
      <c r="E28" s="1">
        <v>3</v>
      </c>
      <c r="F28" s="1">
        <v>34</v>
      </c>
      <c r="G28" s="1">
        <v>10.8734</v>
      </c>
      <c r="H28" s="1">
        <v>0.28599999999999998</v>
      </c>
      <c r="I28" s="3">
        <f t="shared" si="0"/>
        <v>296.49899999999997</v>
      </c>
      <c r="J28" s="3">
        <f t="shared" si="1"/>
        <v>-10.572180795341616</v>
      </c>
      <c r="K28" s="3">
        <f t="shared" si="2"/>
        <v>-2.5416177506875282</v>
      </c>
      <c r="L28" s="3">
        <f t="shared" si="3"/>
        <v>985.54081920465842</v>
      </c>
      <c r="M28" s="3">
        <f t="shared" si="4"/>
        <v>832.88138224931242</v>
      </c>
      <c r="P28" s="3">
        <f t="shared" si="5"/>
        <v>182.05944444444447</v>
      </c>
      <c r="Q28" s="3">
        <f t="shared" si="6"/>
        <v>3.377521670679013</v>
      </c>
    </row>
    <row r="29" spans="2:17" x14ac:dyDescent="0.25">
      <c r="B29" s="1">
        <v>100</v>
      </c>
      <c r="C29" s="3">
        <v>2</v>
      </c>
      <c r="D29" s="1">
        <v>132</v>
      </c>
      <c r="E29" s="1">
        <v>41</v>
      </c>
      <c r="F29" s="1">
        <v>32</v>
      </c>
      <c r="G29" s="1">
        <v>19.350999999999999</v>
      </c>
      <c r="H29" s="1">
        <v>0.20899999999999999</v>
      </c>
      <c r="I29" s="3">
        <f t="shared" si="0"/>
        <v>296.42199999999997</v>
      </c>
      <c r="J29" s="3">
        <f t="shared" si="1"/>
        <v>-15.685401641343637</v>
      </c>
      <c r="K29" s="3">
        <f t="shared" si="2"/>
        <v>11.332668544951549</v>
      </c>
      <c r="L29" s="3">
        <f t="shared" si="3"/>
        <v>980.42759835865638</v>
      </c>
      <c r="M29" s="3">
        <f t="shared" si="4"/>
        <v>846.7556685449515</v>
      </c>
      <c r="P29" s="3">
        <f t="shared" si="5"/>
        <v>132.69222222222223</v>
      </c>
      <c r="Q29" s="3">
        <f t="shared" si="6"/>
        <v>2.5159265117283955</v>
      </c>
    </row>
    <row r="30" spans="2:17" x14ac:dyDescent="0.25">
      <c r="B30" s="1">
        <v>101</v>
      </c>
      <c r="C30" s="3">
        <v>2</v>
      </c>
      <c r="D30" s="1">
        <v>180</v>
      </c>
      <c r="E30" s="1">
        <v>19</v>
      </c>
      <c r="F30" s="1">
        <v>24</v>
      </c>
      <c r="G30" s="1">
        <v>13.093</v>
      </c>
      <c r="H30" s="1">
        <v>0.27100000000000002</v>
      </c>
      <c r="I30" s="3">
        <f t="shared" si="0"/>
        <v>296.48399999999998</v>
      </c>
      <c r="J30" s="3">
        <f t="shared" si="1"/>
        <v>-12.817166309034443</v>
      </c>
      <c r="K30" s="3">
        <f t="shared" si="2"/>
        <v>-2.673368064175297</v>
      </c>
      <c r="L30" s="3">
        <f t="shared" si="3"/>
        <v>983.29583369096565</v>
      </c>
      <c r="M30" s="3">
        <f t="shared" si="4"/>
        <v>832.74963193582471</v>
      </c>
      <c r="P30" s="3">
        <f t="shared" si="5"/>
        <v>180.32333333333332</v>
      </c>
      <c r="Q30" s="3">
        <f t="shared" si="6"/>
        <v>3.3472217092592591</v>
      </c>
    </row>
    <row r="31" spans="2:17" x14ac:dyDescent="0.25">
      <c r="B31" s="1">
        <v>102</v>
      </c>
      <c r="C31" s="3">
        <v>2</v>
      </c>
      <c r="D31" s="1">
        <v>151</v>
      </c>
      <c r="E31" s="1">
        <v>41</v>
      </c>
      <c r="F31" s="1">
        <v>35</v>
      </c>
      <c r="G31" s="1">
        <v>23.625</v>
      </c>
      <c r="H31" s="1">
        <v>-0.45600000000000002</v>
      </c>
      <c r="I31" s="3">
        <f t="shared" si="0"/>
        <v>295.75699999999995</v>
      </c>
      <c r="J31" s="3">
        <f t="shared" si="1"/>
        <v>-22.610973782647896</v>
      </c>
      <c r="K31" s="3">
        <f t="shared" si="2"/>
        <v>6.8472249561708862</v>
      </c>
      <c r="L31" s="3">
        <f t="shared" si="3"/>
        <v>973.50202621735218</v>
      </c>
      <c r="M31" s="3">
        <f t="shared" si="4"/>
        <v>842.27022495617086</v>
      </c>
      <c r="P31" s="3">
        <f>D31+E31/60+F31/3600</f>
        <v>151.69305555555556</v>
      </c>
      <c r="Q31" s="3">
        <f t="shared" si="6"/>
        <v>2.8475438334876539</v>
      </c>
    </row>
  </sheetData>
  <mergeCells count="3">
    <mergeCell ref="D5:F5"/>
    <mergeCell ref="J5:K5"/>
    <mergeCell ref="L5:M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553E4-F282-4554-9D88-1FCE8A4B2C34}">
  <dimension ref="B3:Q25"/>
  <sheetViews>
    <sheetView workbookViewId="0">
      <selection activeCell="Q7" sqref="Q7"/>
    </sheetView>
  </sheetViews>
  <sheetFormatPr defaultColWidth="9.140625" defaultRowHeight="15" x14ac:dyDescent="0.25"/>
  <cols>
    <col min="1" max="1" width="9.140625" style="1"/>
    <col min="2" max="2" width="11.28515625" style="1" customWidth="1"/>
    <col min="3" max="3" width="14.28515625" style="1" customWidth="1"/>
    <col min="4" max="8" width="9.140625" style="1"/>
    <col min="9" max="9" width="15.7109375" style="1" customWidth="1"/>
    <col min="10" max="16384" width="9.140625" style="1"/>
  </cols>
  <sheetData>
    <row r="3" spans="2:17" ht="18" x14ac:dyDescent="0.35">
      <c r="B3" s="1" t="s">
        <v>10</v>
      </c>
      <c r="C3" s="1" t="s">
        <v>124</v>
      </c>
    </row>
    <row r="4" spans="2:17" x14ac:dyDescent="0.25">
      <c r="B4" s="1" t="s">
        <v>39</v>
      </c>
      <c r="C4" s="1">
        <v>1.5820000000000001</v>
      </c>
    </row>
    <row r="5" spans="2:17" x14ac:dyDescent="0.25">
      <c r="B5" s="1" t="s">
        <v>1</v>
      </c>
      <c r="C5" s="1" t="s">
        <v>0</v>
      </c>
      <c r="D5" s="6" t="s">
        <v>42</v>
      </c>
      <c r="E5" s="6"/>
      <c r="F5" s="6"/>
      <c r="G5" s="1" t="s">
        <v>43</v>
      </c>
      <c r="H5" s="1" t="s">
        <v>7</v>
      </c>
      <c r="I5" s="1" t="s">
        <v>44</v>
      </c>
      <c r="J5" s="6" t="s">
        <v>34</v>
      </c>
      <c r="K5" s="6"/>
      <c r="L5" s="6" t="s">
        <v>46</v>
      </c>
      <c r="M5" s="6"/>
      <c r="P5" s="1" t="s">
        <v>37</v>
      </c>
      <c r="Q5" s="1" t="s">
        <v>47</v>
      </c>
    </row>
    <row r="6" spans="2:17" x14ac:dyDescent="0.25">
      <c r="D6" s="1" t="s">
        <v>2</v>
      </c>
      <c r="E6" s="1" t="s">
        <v>41</v>
      </c>
      <c r="F6" s="1" t="s">
        <v>4</v>
      </c>
      <c r="G6" s="1" t="s">
        <v>6</v>
      </c>
      <c r="H6" s="1" t="s">
        <v>6</v>
      </c>
      <c r="J6" s="1" t="s">
        <v>35</v>
      </c>
      <c r="K6" s="1" t="s">
        <v>45</v>
      </c>
      <c r="L6" s="1" t="s">
        <v>35</v>
      </c>
      <c r="M6" s="1" t="s">
        <v>45</v>
      </c>
    </row>
    <row r="7" spans="2:17" x14ac:dyDescent="0.25">
      <c r="B7" s="1" t="s">
        <v>125</v>
      </c>
      <c r="C7" s="1">
        <v>2</v>
      </c>
      <c r="D7" s="1">
        <v>76</v>
      </c>
      <c r="E7" s="1">
        <v>8</v>
      </c>
      <c r="F7" s="1">
        <v>16</v>
      </c>
      <c r="G7" s="1">
        <v>37.204000000000001</v>
      </c>
      <c r="H7" s="1">
        <v>0.76700000000000002</v>
      </c>
      <c r="I7" s="3">
        <f>294.782+1.582+H7-C7</f>
        <v>295.13099999999997</v>
      </c>
      <c r="J7" s="3">
        <f>G7*COS(Q7)</f>
        <v>-13.592703506280337</v>
      </c>
      <c r="K7" s="3">
        <f>G7*SIN(Q7)</f>
        <v>34.632008711455853</v>
      </c>
      <c r="L7" s="3">
        <f>935.449+J7</f>
        <v>921.85629649371958</v>
      </c>
      <c r="M7" s="3">
        <f>792.47+K7</f>
        <v>827.10200871145594</v>
      </c>
      <c r="P7" s="3">
        <f>D7+E7/60+F7/3600</f>
        <v>76.137777777777785</v>
      </c>
      <c r="Q7" s="3">
        <f>IF((215.295+P7-180)&gt;0, (215.295+P7-180)*3.1415/180, (215.295+P7+180)*3.1415/180)</f>
        <v>1.9448115077160499</v>
      </c>
    </row>
    <row r="8" spans="2:17" x14ac:dyDescent="0.25">
      <c r="B8" s="1">
        <v>104</v>
      </c>
      <c r="C8" s="3">
        <v>2</v>
      </c>
      <c r="D8" s="1">
        <v>48</v>
      </c>
      <c r="E8" s="1">
        <v>25</v>
      </c>
      <c r="F8" s="1">
        <v>11</v>
      </c>
      <c r="G8" s="1">
        <v>36.058</v>
      </c>
      <c r="H8" s="1">
        <v>1.1639999999999999</v>
      </c>
      <c r="I8" s="3">
        <f t="shared" ref="I8:I25" si="0">294.782+1.582+H8-C8</f>
        <v>295.52799999999996</v>
      </c>
      <c r="J8" s="3">
        <f t="shared" ref="J8:J25" si="1">G8*COS(Q8)</f>
        <v>3.9491349131167603</v>
      </c>
      <c r="K8" s="3">
        <f t="shared" ref="K8:K25" si="2">G8*SIN(Q8)</f>
        <v>35.841089512429761</v>
      </c>
      <c r="L8" s="3">
        <f t="shared" ref="L8:L25" si="3">935.449+J8</f>
        <v>939.39813491311668</v>
      </c>
      <c r="M8" s="3">
        <f t="shared" ref="M8:M25" si="4">792.47+K8</f>
        <v>828.31108951242982</v>
      </c>
      <c r="P8" s="3">
        <f t="shared" ref="P8:P25" si="5">D8+E8/60+F8/3600</f>
        <v>48.419722222222219</v>
      </c>
      <c r="Q8" s="3">
        <f t="shared" ref="Q8:Q25" si="6">IF((215.295+P8-180)&gt;0, (215.295+P8-180)*3.1415/180, (215.295+P8+180)*3.1415/180)</f>
        <v>1.4610544436728399</v>
      </c>
    </row>
    <row r="9" spans="2:17" x14ac:dyDescent="0.25">
      <c r="B9" s="1">
        <v>105</v>
      </c>
      <c r="C9" s="1">
        <v>1.6</v>
      </c>
      <c r="D9" s="1">
        <v>40</v>
      </c>
      <c r="E9" s="1">
        <v>34</v>
      </c>
      <c r="F9" s="1">
        <v>35</v>
      </c>
      <c r="G9" s="1">
        <v>35.134999999999998</v>
      </c>
      <c r="H9" s="1">
        <v>0.59099999999999997</v>
      </c>
      <c r="I9" s="3">
        <f t="shared" si="0"/>
        <v>295.35499999999996</v>
      </c>
      <c r="J9" s="3">
        <f t="shared" si="1"/>
        <v>8.5777593789693327</v>
      </c>
      <c r="K9" s="3">
        <f t="shared" si="2"/>
        <v>34.071839824648499</v>
      </c>
      <c r="L9" s="3">
        <f t="shared" si="3"/>
        <v>944.02675937896925</v>
      </c>
      <c r="M9" s="3">
        <f t="shared" si="4"/>
        <v>826.54183982464849</v>
      </c>
      <c r="P9" s="3">
        <f t="shared" si="5"/>
        <v>40.576388888888893</v>
      </c>
      <c r="Q9" s="3">
        <f t="shared" si="6"/>
        <v>1.3241664899691357</v>
      </c>
    </row>
    <row r="10" spans="2:17" x14ac:dyDescent="0.25">
      <c r="B10" s="1">
        <v>106</v>
      </c>
      <c r="C10" s="3">
        <v>1.6</v>
      </c>
      <c r="D10" s="1">
        <v>28</v>
      </c>
      <c r="E10" s="1">
        <v>50</v>
      </c>
      <c r="F10" s="1">
        <v>34</v>
      </c>
      <c r="G10" s="1">
        <v>32.514000000000003</v>
      </c>
      <c r="H10" s="1">
        <v>0.55900000000000005</v>
      </c>
      <c r="I10" s="3">
        <f t="shared" si="0"/>
        <v>295.32299999999998</v>
      </c>
      <c r="J10" s="3">
        <f t="shared" si="1"/>
        <v>14.183851459849524</v>
      </c>
      <c r="K10" s="3">
        <f t="shared" si="2"/>
        <v>29.257111165747801</v>
      </c>
      <c r="L10" s="3">
        <f t="shared" si="3"/>
        <v>949.63285145984946</v>
      </c>
      <c r="M10" s="3">
        <f t="shared" si="4"/>
        <v>821.72711116574783</v>
      </c>
      <c r="P10" s="3">
        <f t="shared" si="5"/>
        <v>28.842777777777776</v>
      </c>
      <c r="Q10" s="3">
        <f t="shared" si="6"/>
        <v>1.1193823827160492</v>
      </c>
    </row>
    <row r="11" spans="2:17" x14ac:dyDescent="0.25">
      <c r="B11" s="1">
        <v>107</v>
      </c>
      <c r="C11" s="3">
        <v>1.6</v>
      </c>
      <c r="D11" s="1">
        <v>6</v>
      </c>
      <c r="E11" s="1">
        <v>37</v>
      </c>
      <c r="F11" s="1">
        <v>17</v>
      </c>
      <c r="G11" s="1">
        <v>24.922000000000001</v>
      </c>
      <c r="H11" s="1">
        <v>0.53</v>
      </c>
      <c r="I11" s="3">
        <f t="shared" si="0"/>
        <v>295.29399999999993</v>
      </c>
      <c r="J11" s="3">
        <f t="shared" si="1"/>
        <v>18.545330041997666</v>
      </c>
      <c r="K11" s="3">
        <f t="shared" si="2"/>
        <v>16.648628100638767</v>
      </c>
      <c r="L11" s="3">
        <f t="shared" si="3"/>
        <v>953.99433004199761</v>
      </c>
      <c r="M11" s="3">
        <f t="shared" si="4"/>
        <v>809.11862810063883</v>
      </c>
      <c r="P11" s="3">
        <f t="shared" si="5"/>
        <v>6.6213888888888892</v>
      </c>
      <c r="Q11" s="3">
        <f t="shared" si="6"/>
        <v>0.73155742052469153</v>
      </c>
    </row>
    <row r="12" spans="2:17" x14ac:dyDescent="0.25">
      <c r="B12" s="1">
        <v>8</v>
      </c>
      <c r="C12" s="3">
        <v>1.6</v>
      </c>
      <c r="D12" s="1">
        <v>353</v>
      </c>
      <c r="E12" s="1">
        <v>11</v>
      </c>
      <c r="F12" s="1">
        <v>54</v>
      </c>
      <c r="G12" s="1">
        <v>21.893000000000001</v>
      </c>
      <c r="H12" s="1">
        <v>0.40899999999999997</v>
      </c>
      <c r="I12" s="3">
        <f t="shared" si="0"/>
        <v>295.17299999999994</v>
      </c>
      <c r="J12" s="3">
        <f t="shared" si="1"/>
        <v>19.243246597639342</v>
      </c>
      <c r="K12" s="3">
        <f t="shared" si="2"/>
        <v>10.440350060340023</v>
      </c>
      <c r="L12" s="3">
        <f t="shared" si="3"/>
        <v>954.69224659763927</v>
      </c>
      <c r="M12" s="3">
        <f t="shared" si="4"/>
        <v>802.91035006034008</v>
      </c>
      <c r="P12" s="3">
        <f t="shared" si="5"/>
        <v>353.19833333333332</v>
      </c>
      <c r="Q12" s="3">
        <f t="shared" si="6"/>
        <v>6.7802878148148151</v>
      </c>
    </row>
    <row r="13" spans="2:17" x14ac:dyDescent="0.25">
      <c r="B13" s="1">
        <v>109</v>
      </c>
      <c r="C13" s="3">
        <v>1.6</v>
      </c>
      <c r="D13" s="1">
        <v>34</v>
      </c>
      <c r="E13" s="1">
        <v>24</v>
      </c>
      <c r="F13" s="1">
        <v>4</v>
      </c>
      <c r="G13" s="1">
        <v>19.558</v>
      </c>
      <c r="H13" s="1">
        <v>0.56799999999999995</v>
      </c>
      <c r="I13" s="3">
        <f t="shared" si="0"/>
        <v>295.33199999999994</v>
      </c>
      <c r="J13" s="3">
        <f t="shared" si="1"/>
        <v>6.7872705370191193</v>
      </c>
      <c r="K13" s="3">
        <f t="shared" si="2"/>
        <v>18.342527706325324</v>
      </c>
      <c r="L13" s="3">
        <f t="shared" si="3"/>
        <v>942.2362705370191</v>
      </c>
      <c r="M13" s="3">
        <f t="shared" si="4"/>
        <v>810.81252770632534</v>
      </c>
      <c r="P13" s="3">
        <f t="shared" si="5"/>
        <v>34.401111111111106</v>
      </c>
      <c r="Q13" s="3">
        <f t="shared" si="6"/>
        <v>1.2163907391975306</v>
      </c>
    </row>
    <row r="14" spans="2:17" x14ac:dyDescent="0.25">
      <c r="B14" s="1">
        <v>110</v>
      </c>
      <c r="C14" s="3">
        <v>1.6</v>
      </c>
      <c r="D14" s="1">
        <v>72</v>
      </c>
      <c r="E14" s="1">
        <v>17</v>
      </c>
      <c r="F14" s="1">
        <v>54</v>
      </c>
      <c r="G14" s="1">
        <v>9.2210000000000001</v>
      </c>
      <c r="H14" s="1">
        <v>-0.158</v>
      </c>
      <c r="I14" s="3">
        <f t="shared" si="0"/>
        <v>294.60599999999994</v>
      </c>
      <c r="J14" s="3">
        <f t="shared" si="1"/>
        <v>-2.7866432515214168</v>
      </c>
      <c r="K14" s="3">
        <f t="shared" si="2"/>
        <v>8.7898498501823195</v>
      </c>
      <c r="L14" s="3">
        <f t="shared" si="3"/>
        <v>932.66235674847849</v>
      </c>
      <c r="M14" s="3">
        <f t="shared" si="4"/>
        <v>801.25984985018238</v>
      </c>
      <c r="P14" s="3">
        <f t="shared" si="5"/>
        <v>72.298333333333332</v>
      </c>
      <c r="Q14" s="3">
        <f t="shared" si="6"/>
        <v>1.8778025370370368</v>
      </c>
    </row>
    <row r="15" spans="2:17" x14ac:dyDescent="0.25">
      <c r="B15" s="1">
        <v>111</v>
      </c>
      <c r="C15" s="3">
        <v>1.6</v>
      </c>
      <c r="D15" s="1">
        <v>103</v>
      </c>
      <c r="E15" s="1">
        <v>1</v>
      </c>
      <c r="F15" s="1">
        <v>12</v>
      </c>
      <c r="G15" s="1">
        <v>24.271999999999998</v>
      </c>
      <c r="H15" s="1">
        <v>-0.45600000000000002</v>
      </c>
      <c r="I15" s="3">
        <f t="shared" si="0"/>
        <v>294.30799999999994</v>
      </c>
      <c r="J15" s="3">
        <f t="shared" si="1"/>
        <v>-18.125479194245322</v>
      </c>
      <c r="K15" s="3">
        <f t="shared" si="2"/>
        <v>16.143016693882835</v>
      </c>
      <c r="L15" s="3">
        <f t="shared" si="3"/>
        <v>917.32352080575458</v>
      </c>
      <c r="M15" s="3">
        <f t="shared" si="4"/>
        <v>808.61301669388286</v>
      </c>
      <c r="P15" s="3">
        <f t="shared" si="5"/>
        <v>103.02</v>
      </c>
      <c r="Q15" s="3">
        <f t="shared" si="6"/>
        <v>2.4139809583333331</v>
      </c>
    </row>
    <row r="16" spans="2:17" x14ac:dyDescent="0.25">
      <c r="B16" s="1">
        <v>112</v>
      </c>
      <c r="C16" s="3">
        <v>1.6</v>
      </c>
      <c r="D16" s="1">
        <v>103</v>
      </c>
      <c r="E16" s="1">
        <v>51</v>
      </c>
      <c r="F16" s="1">
        <v>14</v>
      </c>
      <c r="G16" s="1">
        <v>22.602</v>
      </c>
      <c r="H16" s="1">
        <v>-0.42399999999999999</v>
      </c>
      <c r="I16" s="3">
        <f t="shared" si="0"/>
        <v>294.33999999999997</v>
      </c>
      <c r="J16" s="3">
        <f t="shared" si="1"/>
        <v>-17.095362044927903</v>
      </c>
      <c r="K16" s="3">
        <f t="shared" si="2"/>
        <v>14.785093863511264</v>
      </c>
      <c r="L16" s="3">
        <f t="shared" si="3"/>
        <v>918.35363795507203</v>
      </c>
      <c r="M16" s="3">
        <f t="shared" si="4"/>
        <v>807.25509386351132</v>
      </c>
      <c r="P16" s="3">
        <f t="shared" si="5"/>
        <v>103.85388888888889</v>
      </c>
      <c r="Q16" s="3">
        <f t="shared" si="6"/>
        <v>2.4285346358024698</v>
      </c>
    </row>
    <row r="17" spans="2:17" x14ac:dyDescent="0.25">
      <c r="B17" s="1">
        <v>113</v>
      </c>
      <c r="C17" s="3">
        <v>1.6</v>
      </c>
      <c r="D17" s="1">
        <v>114</v>
      </c>
      <c r="E17" s="1">
        <v>37</v>
      </c>
      <c r="F17" s="1">
        <v>59</v>
      </c>
      <c r="G17" s="1">
        <v>22.602</v>
      </c>
      <c r="H17" s="1">
        <v>-0.33100000000000002</v>
      </c>
      <c r="I17" s="3">
        <f t="shared" si="0"/>
        <v>294.43299999999994</v>
      </c>
      <c r="J17" s="3">
        <f t="shared" si="1"/>
        <v>-19.558826350252037</v>
      </c>
      <c r="K17" s="3">
        <f t="shared" si="2"/>
        <v>11.327078873243824</v>
      </c>
      <c r="L17" s="3">
        <f t="shared" si="3"/>
        <v>915.89017364974791</v>
      </c>
      <c r="M17" s="3">
        <f t="shared" si="4"/>
        <v>803.79707887324389</v>
      </c>
      <c r="P17" s="3">
        <f t="shared" si="5"/>
        <v>114.63305555555554</v>
      </c>
      <c r="Q17" s="3">
        <f t="shared" si="6"/>
        <v>2.6166610362654321</v>
      </c>
    </row>
    <row r="18" spans="2:17" x14ac:dyDescent="0.25">
      <c r="B18" s="1">
        <v>114</v>
      </c>
      <c r="C18" s="3">
        <v>1.6</v>
      </c>
      <c r="D18" s="1">
        <v>126</v>
      </c>
      <c r="E18" s="1">
        <v>35</v>
      </c>
      <c r="F18" s="1">
        <v>52</v>
      </c>
      <c r="G18" s="1">
        <v>19.302</v>
      </c>
      <c r="H18" s="1">
        <v>-0.34899999999999998</v>
      </c>
      <c r="I18" s="3">
        <f t="shared" si="0"/>
        <v>294.41499999999996</v>
      </c>
      <c r="J18" s="3">
        <f t="shared" si="1"/>
        <v>-18.345598638032747</v>
      </c>
      <c r="K18" s="3">
        <f t="shared" si="2"/>
        <v>6.0005178620024928</v>
      </c>
      <c r="L18" s="3">
        <f t="shared" si="3"/>
        <v>917.10340136196726</v>
      </c>
      <c r="M18" s="3">
        <f t="shared" si="4"/>
        <v>798.47051786200257</v>
      </c>
      <c r="P18" s="3">
        <f t="shared" si="5"/>
        <v>126.59777777777778</v>
      </c>
      <c r="Q18" s="3">
        <f t="shared" si="6"/>
        <v>2.8254786743827163</v>
      </c>
    </row>
    <row r="19" spans="2:17" x14ac:dyDescent="0.25">
      <c r="B19" s="1" t="s">
        <v>126</v>
      </c>
      <c r="C19" s="3">
        <v>1.65</v>
      </c>
      <c r="D19" s="1">
        <v>145</v>
      </c>
      <c r="E19" s="1">
        <v>56</v>
      </c>
      <c r="F19" s="1">
        <v>3</v>
      </c>
      <c r="G19" s="1">
        <v>13.128</v>
      </c>
      <c r="H19" s="1">
        <v>-0.53100000000000003</v>
      </c>
      <c r="I19" s="3">
        <f t="shared" si="0"/>
        <v>294.18299999999999</v>
      </c>
      <c r="J19" s="3">
        <f t="shared" si="1"/>
        <v>-13.125005370252511</v>
      </c>
      <c r="K19" s="3">
        <f t="shared" si="2"/>
        <v>-0.28038907047663808</v>
      </c>
      <c r="L19" s="3">
        <f t="shared" si="3"/>
        <v>922.3239946297474</v>
      </c>
      <c r="M19" s="3">
        <f t="shared" si="4"/>
        <v>792.18961092952338</v>
      </c>
      <c r="P19" s="3">
        <f t="shared" si="5"/>
        <v>145.93416666666667</v>
      </c>
      <c r="Q19" s="3">
        <f t="shared" si="6"/>
        <v>3.1629523726851847</v>
      </c>
    </row>
    <row r="20" spans="2:17" x14ac:dyDescent="0.25">
      <c r="B20" s="1" t="s">
        <v>127</v>
      </c>
      <c r="C20" s="3">
        <v>1.6</v>
      </c>
      <c r="D20" s="1">
        <v>193</v>
      </c>
      <c r="E20" s="1">
        <v>36</v>
      </c>
      <c r="F20" s="1">
        <v>19</v>
      </c>
      <c r="G20" s="1">
        <v>13.742000000000001</v>
      </c>
      <c r="H20" s="1">
        <v>-9.0999999999999998E-2</v>
      </c>
      <c r="I20" s="3">
        <f t="shared" si="0"/>
        <v>294.67299999999994</v>
      </c>
      <c r="J20" s="3">
        <f t="shared" si="1"/>
        <v>-9.0348204944688977</v>
      </c>
      <c r="K20" s="3">
        <f t="shared" si="2"/>
        <v>-10.354447480803833</v>
      </c>
      <c r="L20" s="3">
        <f t="shared" si="3"/>
        <v>926.41417950553102</v>
      </c>
      <c r="M20" s="3">
        <f t="shared" si="4"/>
        <v>782.11555251919617</v>
      </c>
      <c r="P20" s="3">
        <f t="shared" si="5"/>
        <v>193.60527777777779</v>
      </c>
      <c r="Q20" s="3">
        <f t="shared" si="6"/>
        <v>3.9949456813271604</v>
      </c>
    </row>
    <row r="21" spans="2:17" x14ac:dyDescent="0.25">
      <c r="B21" s="1">
        <v>116</v>
      </c>
      <c r="C21" s="3">
        <v>1.6</v>
      </c>
      <c r="D21" s="1">
        <v>276</v>
      </c>
      <c r="E21" s="1">
        <v>42</v>
      </c>
      <c r="F21" s="1">
        <v>30</v>
      </c>
      <c r="G21" s="1">
        <v>16.201000000000001</v>
      </c>
      <c r="H21" s="1">
        <v>-0.19800000000000001</v>
      </c>
      <c r="I21" s="3">
        <f t="shared" si="0"/>
        <v>294.56599999999997</v>
      </c>
      <c r="J21" s="3">
        <f t="shared" si="1"/>
        <v>10.839351748079354</v>
      </c>
      <c r="K21" s="3">
        <f t="shared" si="2"/>
        <v>-12.040799586464724</v>
      </c>
      <c r="L21" s="3">
        <f t="shared" si="3"/>
        <v>946.28835174807932</v>
      </c>
      <c r="M21" s="3">
        <f t="shared" si="4"/>
        <v>780.42920041353534</v>
      </c>
      <c r="P21" s="3">
        <f t="shared" si="5"/>
        <v>276.70833333333331</v>
      </c>
      <c r="Q21" s="3">
        <f t="shared" si="6"/>
        <v>5.4453248425925933</v>
      </c>
    </row>
    <row r="22" spans="2:17" x14ac:dyDescent="0.25">
      <c r="B22" s="1">
        <v>117</v>
      </c>
      <c r="C22" s="3">
        <v>1.6</v>
      </c>
      <c r="D22" s="1">
        <v>274</v>
      </c>
      <c r="E22" s="1">
        <v>59</v>
      </c>
      <c r="F22" s="1">
        <v>22</v>
      </c>
      <c r="G22" s="1">
        <v>8.1820000000000004</v>
      </c>
      <c r="H22" s="1">
        <v>0.02</v>
      </c>
      <c r="I22" s="3">
        <f t="shared" si="0"/>
        <v>294.78399999999993</v>
      </c>
      <c r="J22" s="3">
        <f t="shared" si="1"/>
        <v>5.2893426545597375</v>
      </c>
      <c r="K22" s="3">
        <f t="shared" si="2"/>
        <v>-6.2424336826797733</v>
      </c>
      <c r="L22" s="3">
        <f t="shared" si="3"/>
        <v>940.73834265455969</v>
      </c>
      <c r="M22" s="3">
        <f t="shared" si="4"/>
        <v>786.22756631732022</v>
      </c>
      <c r="P22" s="3">
        <f t="shared" si="5"/>
        <v>274.98944444444447</v>
      </c>
      <c r="Q22" s="3">
        <f t="shared" si="6"/>
        <v>5.415325456790125</v>
      </c>
    </row>
    <row r="23" spans="2:17" x14ac:dyDescent="0.25">
      <c r="B23" s="1">
        <v>118</v>
      </c>
      <c r="C23" s="3">
        <v>2</v>
      </c>
      <c r="D23" s="1">
        <v>262</v>
      </c>
      <c r="E23" s="1">
        <v>23</v>
      </c>
      <c r="F23" s="1">
        <v>52</v>
      </c>
      <c r="G23" s="1">
        <v>17.088999999999999</v>
      </c>
      <c r="H23" s="1">
        <v>0.51</v>
      </c>
      <c r="I23" s="3">
        <f t="shared" si="0"/>
        <v>294.87399999999997</v>
      </c>
      <c r="J23" s="3">
        <f t="shared" si="1"/>
        <v>7.9394596663299017</v>
      </c>
      <c r="K23" s="3">
        <f t="shared" si="2"/>
        <v>-15.132709645226154</v>
      </c>
      <c r="L23" s="3">
        <f t="shared" si="3"/>
        <v>943.38845966632982</v>
      </c>
      <c r="M23" s="3">
        <f t="shared" si="4"/>
        <v>777.33729035477393</v>
      </c>
      <c r="P23" s="3">
        <f t="shared" si="5"/>
        <v>262.39777777777778</v>
      </c>
      <c r="Q23" s="3">
        <f t="shared" si="6"/>
        <v>5.1955658966049389</v>
      </c>
    </row>
    <row r="24" spans="2:17" x14ac:dyDescent="0.25">
      <c r="B24" s="1" t="s">
        <v>51</v>
      </c>
      <c r="C24" s="3">
        <v>2</v>
      </c>
      <c r="D24" s="1">
        <v>252</v>
      </c>
      <c r="E24" s="1">
        <v>28</v>
      </c>
      <c r="F24" s="1">
        <v>34</v>
      </c>
      <c r="G24" s="1">
        <v>34.909999999999997</v>
      </c>
      <c r="H24" s="1">
        <v>1.5149999999999999</v>
      </c>
      <c r="I24" s="3">
        <f t="shared" si="0"/>
        <v>295.87899999999996</v>
      </c>
      <c r="J24" s="3">
        <f t="shared" si="1"/>
        <v>10.650137998501506</v>
      </c>
      <c r="K24" s="3">
        <f t="shared" si="2"/>
        <v>-33.245791622592989</v>
      </c>
      <c r="L24" s="3">
        <f t="shared" si="3"/>
        <v>946.09913799850142</v>
      </c>
      <c r="M24" s="3">
        <f t="shared" si="4"/>
        <v>759.22420837740708</v>
      </c>
      <c r="P24" s="3">
        <f t="shared" si="5"/>
        <v>252.47611111111112</v>
      </c>
      <c r="Q24" s="3">
        <f t="shared" si="6"/>
        <v>5.0224052530864194</v>
      </c>
    </row>
    <row r="25" spans="2:17" x14ac:dyDescent="0.25">
      <c r="B25" s="1" t="s">
        <v>128</v>
      </c>
      <c r="C25" s="3">
        <v>2</v>
      </c>
      <c r="D25" s="1">
        <v>162</v>
      </c>
      <c r="E25" s="1">
        <v>5</v>
      </c>
      <c r="F25" s="1">
        <v>5</v>
      </c>
      <c r="G25" s="1">
        <v>11.173</v>
      </c>
      <c r="H25" s="1">
        <v>0.114</v>
      </c>
      <c r="I25" s="3">
        <f t="shared" si="0"/>
        <v>294.47799999999995</v>
      </c>
      <c r="J25" s="3">
        <f t="shared" si="1"/>
        <v>-10.663248038713808</v>
      </c>
      <c r="K25" s="3">
        <f t="shared" si="2"/>
        <v>-3.3363258631114125</v>
      </c>
      <c r="L25" s="3">
        <f t="shared" si="3"/>
        <v>924.78575196128611</v>
      </c>
      <c r="M25" s="3">
        <f t="shared" si="4"/>
        <v>789.13367413688866</v>
      </c>
      <c r="P25" s="3">
        <f t="shared" si="5"/>
        <v>162.08472222222224</v>
      </c>
      <c r="Q25" s="3">
        <f t="shared" si="6"/>
        <v>3.4448244297839508</v>
      </c>
    </row>
  </sheetData>
  <mergeCells count="3">
    <mergeCell ref="D5:F5"/>
    <mergeCell ref="J5:K5"/>
    <mergeCell ref="L5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Sheet6</vt:lpstr>
      <vt:lpstr>Sheet1</vt:lpstr>
      <vt:lpstr>Sheet2</vt:lpstr>
      <vt:lpstr>Sheet7</vt:lpstr>
      <vt:lpstr>Sheet8</vt:lpstr>
      <vt:lpstr>Sheet9</vt:lpstr>
      <vt:lpstr>Sheet10</vt:lpstr>
      <vt:lpstr>Sheet11</vt:lpstr>
      <vt:lpstr>Sheet12</vt:lpstr>
      <vt:lpstr>Sheet14</vt:lpstr>
      <vt:lpstr>Sheet16</vt:lpstr>
      <vt:lpstr>Sheet13</vt:lpstr>
      <vt:lpstr>Sheet15</vt:lpstr>
      <vt:lpstr>Sheet5</vt:lpstr>
      <vt:lpstr>Sheet17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Yadav</dc:creator>
  <cp:lastModifiedBy>Ayush Yadav</cp:lastModifiedBy>
  <dcterms:created xsi:type="dcterms:W3CDTF">2021-12-16T10:00:16Z</dcterms:created>
  <dcterms:modified xsi:type="dcterms:W3CDTF">2021-12-21T10:54:00Z</dcterms:modified>
</cp:coreProperties>
</file>