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32910" windowHeight="14565"/>
  </bookViews>
  <sheets>
    <sheet name="Comps" sheetId="5" r:id="rId1"/>
    <sheet name="DCF" sheetId="11" r:id="rId2"/>
  </sheets>
  <definedNames>
    <definedName name="_xlchart.v1.0" hidden="1">DCF!$J$151</definedName>
    <definedName name="_xlchart.v1.1" hidden="1">DCF!$J$152:$J$154</definedName>
    <definedName name="_xlchart.v1.2" hidden="1">DCF!$L$152:$L$154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Comps!$B$5:$P$15</definedName>
  </definedNames>
  <calcPr calcId="162913"/>
  <fileRecoveryPr autoRecover="0"/>
</workbook>
</file>

<file path=xl/calcChain.xml><?xml version="1.0" encoding="utf-8"?>
<calcChain xmlns="http://schemas.openxmlformats.org/spreadsheetml/2006/main">
  <c r="E2" i="11" l="1"/>
  <c r="F2" i="11" s="1"/>
  <c r="G2" i="11" s="1"/>
  <c r="H2" i="11" s="1"/>
  <c r="I2" i="11" s="1"/>
  <c r="J2" i="11" s="1"/>
  <c r="K2" i="11" s="1"/>
  <c r="L2" i="11" s="1"/>
  <c r="M2" i="11" s="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F12" i="11"/>
  <c r="G12" i="11"/>
  <c r="H12" i="11"/>
  <c r="D13" i="11"/>
  <c r="E13" i="11"/>
  <c r="F13" i="11"/>
  <c r="G13" i="11"/>
  <c r="H13" i="11"/>
  <c r="D15" i="11"/>
  <c r="E15" i="11"/>
  <c r="F15" i="11"/>
  <c r="G15" i="11"/>
  <c r="H15" i="11"/>
  <c r="D16" i="11"/>
  <c r="E16" i="11"/>
  <c r="F16" i="11"/>
  <c r="G16" i="11"/>
  <c r="H16" i="11"/>
  <c r="D17" i="11"/>
  <c r="E17" i="11"/>
  <c r="F17" i="11"/>
  <c r="G17" i="11"/>
  <c r="H17" i="11"/>
  <c r="D18" i="11"/>
  <c r="E18" i="11"/>
  <c r="F18" i="11"/>
  <c r="G18" i="11"/>
  <c r="H18" i="11"/>
  <c r="D19" i="11"/>
  <c r="E19" i="11"/>
  <c r="F19" i="11"/>
  <c r="G19" i="11"/>
  <c r="H19" i="11"/>
  <c r="D20" i="11"/>
  <c r="E20" i="11"/>
  <c r="F20" i="11"/>
  <c r="G20" i="11"/>
  <c r="H20" i="11"/>
  <c r="I25" i="11"/>
  <c r="I26" i="11" s="1"/>
  <c r="D27" i="11"/>
  <c r="E27" i="11"/>
  <c r="F27" i="11"/>
  <c r="G27" i="11"/>
  <c r="H27" i="11"/>
  <c r="I30" i="11"/>
  <c r="J30" i="11"/>
  <c r="K30" i="11"/>
  <c r="L30" i="11"/>
  <c r="M30" i="11"/>
  <c r="D33" i="11"/>
  <c r="E33" i="11"/>
  <c r="F33" i="11"/>
  <c r="G33" i="11"/>
  <c r="G34" i="11" s="1"/>
  <c r="H33" i="11"/>
  <c r="D34" i="11"/>
  <c r="D14" i="11" s="1"/>
  <c r="E34" i="11"/>
  <c r="E14" i="11" s="1"/>
  <c r="H34" i="11"/>
  <c r="H37" i="11" s="1"/>
  <c r="D47" i="11"/>
  <c r="E47" i="11"/>
  <c r="F47" i="11"/>
  <c r="G47" i="11"/>
  <c r="H47" i="11"/>
  <c r="D52" i="11"/>
  <c r="E52" i="11"/>
  <c r="F52" i="11"/>
  <c r="G52" i="11"/>
  <c r="H52" i="11"/>
  <c r="I54" i="11"/>
  <c r="J54" i="11" s="1"/>
  <c r="K54" i="11" s="1"/>
  <c r="D56" i="11"/>
  <c r="E56" i="11"/>
  <c r="F56" i="11"/>
  <c r="G56" i="11"/>
  <c r="G57" i="11" s="1"/>
  <c r="H56" i="11"/>
  <c r="E57" i="11"/>
  <c r="E59" i="11" s="1"/>
  <c r="E3" i="11" s="1"/>
  <c r="F57" i="11"/>
  <c r="D68" i="11"/>
  <c r="E68" i="11"/>
  <c r="F68" i="11"/>
  <c r="G68" i="11"/>
  <c r="H68" i="11"/>
  <c r="D72" i="11"/>
  <c r="D79" i="11" s="1"/>
  <c r="D81" i="11" s="1"/>
  <c r="E72" i="11"/>
  <c r="F72" i="11"/>
  <c r="G72" i="11"/>
  <c r="H72" i="11"/>
  <c r="I76" i="11"/>
  <c r="J76" i="11"/>
  <c r="K76" i="11"/>
  <c r="L76" i="11"/>
  <c r="M76" i="11"/>
  <c r="D77" i="11"/>
  <c r="E77" i="11"/>
  <c r="F77" i="11"/>
  <c r="G77" i="11"/>
  <c r="H77" i="11"/>
  <c r="E79" i="11"/>
  <c r="E81" i="11" s="1"/>
  <c r="F79" i="11"/>
  <c r="F81" i="11" s="1"/>
  <c r="D91" i="11"/>
  <c r="E91" i="11"/>
  <c r="F91" i="11"/>
  <c r="F92" i="11" s="1"/>
  <c r="G91" i="11"/>
  <c r="H91" i="11"/>
  <c r="H92" i="11" s="1"/>
  <c r="D92" i="11"/>
  <c r="I96" i="11"/>
  <c r="I71" i="11" s="1"/>
  <c r="I72" i="11" s="1"/>
  <c r="J96" i="11"/>
  <c r="J71" i="11" s="1"/>
  <c r="J72" i="11" s="1"/>
  <c r="K96" i="11"/>
  <c r="K71" i="11" s="1"/>
  <c r="K72" i="11" s="1"/>
  <c r="L96" i="11"/>
  <c r="L71" i="11" s="1"/>
  <c r="L72" i="11" s="1"/>
  <c r="M96" i="11"/>
  <c r="M71" i="11" s="1"/>
  <c r="M72" i="11" s="1"/>
  <c r="D98" i="11"/>
  <c r="E98" i="11"/>
  <c r="F98" i="11"/>
  <c r="G98" i="11"/>
  <c r="H98" i="11"/>
  <c r="I95" i="11" s="1"/>
  <c r="I102" i="11"/>
  <c r="I75" i="11" s="1"/>
  <c r="I77" i="11" s="1"/>
  <c r="J102" i="11"/>
  <c r="J75" i="11" s="1"/>
  <c r="J77" i="11" s="1"/>
  <c r="K102" i="11"/>
  <c r="K75" i="11" s="1"/>
  <c r="K77" i="11" s="1"/>
  <c r="L102" i="11"/>
  <c r="L75" i="11" s="1"/>
  <c r="L77" i="11" s="1"/>
  <c r="M102" i="11"/>
  <c r="M75" i="11" s="1"/>
  <c r="M77" i="11" s="1"/>
  <c r="D103" i="11"/>
  <c r="E103" i="11"/>
  <c r="F103" i="11"/>
  <c r="G103" i="11"/>
  <c r="H103" i="11"/>
  <c r="I101" i="11" s="1"/>
  <c r="D121" i="11"/>
  <c r="E121" i="11" s="1"/>
  <c r="F121" i="11" s="1"/>
  <c r="G121" i="11" s="1"/>
  <c r="H121" i="11" s="1"/>
  <c r="C122" i="11"/>
  <c r="D122" i="11" s="1"/>
  <c r="E123" i="11"/>
  <c r="F123" i="11"/>
  <c r="G123" i="11" s="1"/>
  <c r="F131" i="11"/>
  <c r="G131" i="11"/>
  <c r="G140" i="11"/>
  <c r="K140" i="11"/>
  <c r="C141" i="11"/>
  <c r="G142" i="11" s="1"/>
  <c r="C142" i="11"/>
  <c r="G141" i="11" s="1"/>
  <c r="G143" i="11" s="1"/>
  <c r="C137" i="11" s="1"/>
  <c r="G145" i="11"/>
  <c r="L152" i="11" s="1"/>
  <c r="E8" i="5"/>
  <c r="O8" i="5" s="1"/>
  <c r="E9" i="5"/>
  <c r="O9" i="5" s="1"/>
  <c r="E10" i="5"/>
  <c r="O10" i="5" s="1"/>
  <c r="G10" i="5"/>
  <c r="M10" i="5" s="1"/>
  <c r="E11" i="5"/>
  <c r="G11" i="5" s="1"/>
  <c r="O11" i="5"/>
  <c r="E12" i="5"/>
  <c r="O12" i="5" s="1"/>
  <c r="G12" i="5"/>
  <c r="M12" i="5" s="1"/>
  <c r="D124" i="11" l="1"/>
  <c r="D151" i="11"/>
  <c r="F59" i="11"/>
  <c r="F3" i="11" s="1"/>
  <c r="H57" i="11"/>
  <c r="H59" i="11" s="1"/>
  <c r="H3" i="11" s="1"/>
  <c r="G8" i="5"/>
  <c r="G59" i="11"/>
  <c r="G3" i="11" s="1"/>
  <c r="E92" i="11"/>
  <c r="G79" i="11"/>
  <c r="G81" i="11" s="1"/>
  <c r="F122" i="11"/>
  <c r="H79" i="11"/>
  <c r="H81" i="11" s="1"/>
  <c r="I80" i="11" s="1"/>
  <c r="F34" i="11"/>
  <c r="F37" i="11" s="1"/>
  <c r="I29" i="11"/>
  <c r="J25" i="11"/>
  <c r="H131" i="11"/>
  <c r="E122" i="11"/>
  <c r="D57" i="11"/>
  <c r="D59" i="11" s="1"/>
  <c r="D3" i="11" s="1"/>
  <c r="N12" i="5"/>
  <c r="G9" i="5"/>
  <c r="I44" i="11"/>
  <c r="I88" i="11" s="1"/>
  <c r="H123" i="11"/>
  <c r="H122" i="11" s="1"/>
  <c r="G122" i="11"/>
  <c r="G37" i="11"/>
  <c r="G14" i="11"/>
  <c r="G124" i="11"/>
  <c r="I97" i="11"/>
  <c r="I31" i="11" s="1"/>
  <c r="I66" i="11" s="1"/>
  <c r="D129" i="11" s="1"/>
  <c r="N11" i="5"/>
  <c r="M11" i="5"/>
  <c r="O15" i="5"/>
  <c r="O14" i="5"/>
  <c r="I45" i="11"/>
  <c r="I89" i="11" s="1"/>
  <c r="I27" i="11"/>
  <c r="I50" i="11"/>
  <c r="E131" i="11"/>
  <c r="D37" i="11"/>
  <c r="H14" i="11"/>
  <c r="E37" i="11"/>
  <c r="D131" i="11"/>
  <c r="L54" i="11"/>
  <c r="G92" i="11"/>
  <c r="N10" i="5"/>
  <c r="F151" i="11"/>
  <c r="I103" i="11"/>
  <c r="N9" i="5" l="1"/>
  <c r="M9" i="5"/>
  <c r="M8" i="5"/>
  <c r="M14" i="5" s="1"/>
  <c r="N8" i="5"/>
  <c r="N15" i="5" s="1"/>
  <c r="F14" i="11"/>
  <c r="E151" i="11"/>
  <c r="F124" i="11"/>
  <c r="E124" i="11"/>
  <c r="J29" i="11"/>
  <c r="J44" i="11"/>
  <c r="J88" i="11" s="1"/>
  <c r="K25" i="11"/>
  <c r="J26" i="11"/>
  <c r="I90" i="11"/>
  <c r="I91" i="11" s="1"/>
  <c r="I92" i="11" s="1"/>
  <c r="M15" i="5"/>
  <c r="J101" i="11"/>
  <c r="J103" i="11" s="1"/>
  <c r="I51" i="11"/>
  <c r="I52" i="11" s="1"/>
  <c r="I104" i="11"/>
  <c r="I32" i="11" s="1"/>
  <c r="I33" i="11" s="1"/>
  <c r="I34" i="11" s="1"/>
  <c r="H124" i="11"/>
  <c r="G151" i="11"/>
  <c r="J45" i="11"/>
  <c r="J89" i="11" s="1"/>
  <c r="J50" i="11"/>
  <c r="J27" i="11"/>
  <c r="H151" i="11"/>
  <c r="I122" i="11"/>
  <c r="M54" i="11"/>
  <c r="I98" i="11"/>
  <c r="K29" i="11" l="1"/>
  <c r="K44" i="11"/>
  <c r="K88" i="11" s="1"/>
  <c r="L25" i="11"/>
  <c r="K26" i="11"/>
  <c r="N14" i="5"/>
  <c r="I36" i="11"/>
  <c r="I37" i="11"/>
  <c r="D126" i="11"/>
  <c r="D132" i="11"/>
  <c r="I67" i="11"/>
  <c r="I46" i="11"/>
  <c r="J95" i="11"/>
  <c r="J90" i="11"/>
  <c r="J91" i="11" s="1"/>
  <c r="J92" i="11" s="1"/>
  <c r="J104" i="11"/>
  <c r="J32" i="11" s="1"/>
  <c r="J51" i="11"/>
  <c r="J52" i="11" s="1"/>
  <c r="K101" i="11"/>
  <c r="K103" i="11" s="1"/>
  <c r="K50" i="11" l="1"/>
  <c r="K90" i="11" s="1"/>
  <c r="K91" i="11" s="1"/>
  <c r="K92" i="11" s="1"/>
  <c r="F132" i="11" s="1"/>
  <c r="K27" i="11"/>
  <c r="K45" i="11"/>
  <c r="K89" i="11" s="1"/>
  <c r="M25" i="11"/>
  <c r="L44" i="11"/>
  <c r="L88" i="11" s="1"/>
  <c r="L26" i="11"/>
  <c r="L29" i="11"/>
  <c r="L27" i="11"/>
  <c r="E132" i="11"/>
  <c r="J67" i="11"/>
  <c r="D127" i="11"/>
  <c r="D130" i="11"/>
  <c r="D128" i="11"/>
  <c r="D133" i="11" s="1"/>
  <c r="D135" i="11" s="1"/>
  <c r="I65" i="11"/>
  <c r="I68" i="11" s="1"/>
  <c r="I79" i="11" s="1"/>
  <c r="I81" i="11" s="1"/>
  <c r="I55" i="11"/>
  <c r="K104" i="11"/>
  <c r="K32" i="11" s="1"/>
  <c r="K51" i="11"/>
  <c r="L101" i="11"/>
  <c r="L103" i="11" s="1"/>
  <c r="J97" i="11"/>
  <c r="J31" i="11" s="1"/>
  <c r="L50" i="11" l="1"/>
  <c r="L90" i="11" s="1"/>
  <c r="L45" i="11"/>
  <c r="L89" i="11" s="1"/>
  <c r="K52" i="11"/>
  <c r="M44" i="11"/>
  <c r="M88" i="11" s="1"/>
  <c r="M29" i="11"/>
  <c r="M26" i="11"/>
  <c r="M27" i="11"/>
  <c r="K67" i="11"/>
  <c r="J80" i="11"/>
  <c r="I43" i="11"/>
  <c r="I47" i="11" s="1"/>
  <c r="J98" i="11"/>
  <c r="L104" i="11"/>
  <c r="L32" i="11" s="1"/>
  <c r="M101" i="11"/>
  <c r="M103" i="11" s="1"/>
  <c r="L51" i="11"/>
  <c r="L52" i="11" s="1"/>
  <c r="J66" i="11"/>
  <c r="E129" i="11" s="1"/>
  <c r="J33" i="11"/>
  <c r="J34" i="11" s="1"/>
  <c r="D137" i="11"/>
  <c r="I56" i="11"/>
  <c r="I57" i="11" s="1"/>
  <c r="M50" i="11" l="1"/>
  <c r="M90" i="11" s="1"/>
  <c r="M45" i="11"/>
  <c r="M89" i="11" s="1"/>
  <c r="L91" i="11"/>
  <c r="L92" i="11" s="1"/>
  <c r="J36" i="11"/>
  <c r="J37" i="11"/>
  <c r="E126" i="11"/>
  <c r="M104" i="11"/>
  <c r="M32" i="11" s="1"/>
  <c r="M51" i="11"/>
  <c r="M52" i="11" s="1"/>
  <c r="J46" i="11"/>
  <c r="K95" i="11"/>
  <c r="I59" i="11"/>
  <c r="I3" i="11" s="1"/>
  <c r="D152" i="11"/>
  <c r="L67" i="11" l="1"/>
  <c r="G132" i="11"/>
  <c r="M91" i="11"/>
  <c r="M92" i="11" s="1"/>
  <c r="K97" i="11"/>
  <c r="K31" i="11" s="1"/>
  <c r="E130" i="11"/>
  <c r="E127" i="11"/>
  <c r="E128" i="11"/>
  <c r="E133" i="11" s="1"/>
  <c r="E135" i="11" s="1"/>
  <c r="J65" i="11"/>
  <c r="J68" i="11" s="1"/>
  <c r="J79" i="11" s="1"/>
  <c r="J81" i="11" s="1"/>
  <c r="J55" i="11"/>
  <c r="H132" i="11" l="1"/>
  <c r="M67" i="11"/>
  <c r="J56" i="11"/>
  <c r="J57" i="11" s="1"/>
  <c r="J43" i="11"/>
  <c r="J47" i="11" s="1"/>
  <c r="K80" i="11"/>
  <c r="E137" i="11"/>
  <c r="K66" i="11"/>
  <c r="F129" i="11" s="1"/>
  <c r="K33" i="11"/>
  <c r="K34" i="11" s="1"/>
  <c r="K98" i="11"/>
  <c r="K36" i="11" l="1"/>
  <c r="K37" i="11"/>
  <c r="F126" i="11"/>
  <c r="J59" i="11"/>
  <c r="J3" i="11" s="1"/>
  <c r="E152" i="11"/>
  <c r="K46" i="11"/>
  <c r="L95" i="11"/>
  <c r="L97" i="11" l="1"/>
  <c r="L31" i="11" s="1"/>
  <c r="F130" i="11"/>
  <c r="F127" i="11"/>
  <c r="F128" i="11" s="1"/>
  <c r="F133" i="11" s="1"/>
  <c r="F135" i="11" s="1"/>
  <c r="K65" i="11"/>
  <c r="K68" i="11" s="1"/>
  <c r="K79" i="11" s="1"/>
  <c r="K81" i="11" s="1"/>
  <c r="K55" i="11"/>
  <c r="F137" i="11" l="1"/>
  <c r="K43" i="11"/>
  <c r="K47" i="11" s="1"/>
  <c r="L80" i="11"/>
  <c r="K56" i="11"/>
  <c r="K57" i="11" s="1"/>
  <c r="L66" i="11"/>
  <c r="G129" i="11" s="1"/>
  <c r="L33" i="11"/>
  <c r="L34" i="11" s="1"/>
  <c r="L98" i="11"/>
  <c r="K59" i="11" l="1"/>
  <c r="K3" i="11" s="1"/>
  <c r="L36" i="11"/>
  <c r="L37" i="11" s="1"/>
  <c r="G126" i="11"/>
  <c r="L46" i="11"/>
  <c r="M95" i="11"/>
  <c r="F152" i="11"/>
  <c r="L65" i="11" l="1"/>
  <c r="L68" i="11" s="1"/>
  <c r="L79" i="11" s="1"/>
  <c r="L81" i="11" s="1"/>
  <c r="L55" i="11"/>
  <c r="M97" i="11"/>
  <c r="M31" i="11" s="1"/>
  <c r="G127" i="11"/>
  <c r="G128" i="11" s="1"/>
  <c r="G133" i="11" s="1"/>
  <c r="G135" i="11" s="1"/>
  <c r="G130" i="11"/>
  <c r="G137" i="11" l="1"/>
  <c r="G152" i="11" s="1"/>
  <c r="M66" i="11"/>
  <c r="H129" i="11" s="1"/>
  <c r="M33" i="11"/>
  <c r="M34" i="11" s="1"/>
  <c r="M98" i="11"/>
  <c r="M46" i="11" s="1"/>
  <c r="L56" i="11"/>
  <c r="L57" i="11" s="1"/>
  <c r="M80" i="11"/>
  <c r="L43" i="11"/>
  <c r="L47" i="11" s="1"/>
  <c r="L59" i="11" l="1"/>
  <c r="L3" i="11" s="1"/>
  <c r="H126" i="11"/>
  <c r="M36" i="11"/>
  <c r="M37" i="11" s="1"/>
  <c r="M65" i="11" l="1"/>
  <c r="M68" i="11" s="1"/>
  <c r="M79" i="11" s="1"/>
  <c r="M81" i="11" s="1"/>
  <c r="M43" i="11" s="1"/>
  <c r="M47" i="11" s="1"/>
  <c r="M55" i="11"/>
  <c r="M56" i="11" s="1"/>
  <c r="M57" i="11" s="1"/>
  <c r="M59" i="11" s="1"/>
  <c r="M3" i="11" s="1"/>
  <c r="H130" i="11"/>
  <c r="M122" i="11" s="1"/>
  <c r="H127" i="11"/>
  <c r="H128" i="11" s="1"/>
  <c r="H133" i="11" s="1"/>
  <c r="H135" i="11" l="1"/>
  <c r="M123" i="11"/>
  <c r="M124" i="11" s="1"/>
  <c r="I133" i="11" s="1"/>
  <c r="I135" i="11" s="1"/>
  <c r="I137" i="11" s="1"/>
  <c r="H137" i="11" l="1"/>
  <c r="H152" i="11" s="1"/>
  <c r="C140" i="11"/>
  <c r="C143" i="11" s="1"/>
  <c r="C145" i="11" s="1"/>
  <c r="L154" i="11" l="1"/>
  <c r="L153" i="11" s="1"/>
  <c r="K141" i="11"/>
  <c r="K142" i="11" s="1"/>
  <c r="K143" i="11"/>
</calcChain>
</file>

<file path=xl/comments1.xml><?xml version="1.0" encoding="utf-8"?>
<comments xmlns="http://schemas.openxmlformats.org/spreadsheetml/2006/main">
  <authors>
    <author>Author</author>
  </authors>
  <commentList>
    <comment ref="C122" authorId="0" shapeId="0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The transaction date should be between the end date of last available historical results (12/31/2017) and the end of first forecast year (12/31/2018)</t>
        </r>
      </text>
    </comment>
  </commentList>
</comments>
</file>

<file path=xl/sharedStrings.xml><?xml version="1.0" encoding="utf-8"?>
<sst xmlns="http://schemas.openxmlformats.org/spreadsheetml/2006/main" count="169" uniqueCount="147">
  <si>
    <t>Company Name</t>
  </si>
  <si>
    <t>Date</t>
  </si>
  <si>
    <t>EV/Sales</t>
  </si>
  <si>
    <t>EV/EBITDA</t>
  </si>
  <si>
    <t>Average</t>
  </si>
  <si>
    <t>Median</t>
  </si>
  <si>
    <t>Market Data</t>
  </si>
  <si>
    <t>Financial Data (FY+1)</t>
  </si>
  <si>
    <t>Valuation (FY+1)</t>
  </si>
  <si>
    <t>Price</t>
  </si>
  <si>
    <t>Shares</t>
  </si>
  <si>
    <t>Market Cap</t>
  </si>
  <si>
    <t>Net Debt</t>
  </si>
  <si>
    <t>EV</t>
  </si>
  <si>
    <t>Sales</t>
  </si>
  <si>
    <t>EBITDA</t>
  </si>
  <si>
    <t>EBIT</t>
  </si>
  <si>
    <t>Earnings</t>
  </si>
  <si>
    <t>P/E</t>
  </si>
  <si>
    <t>($/share)</t>
  </si>
  <si>
    <t>(M)</t>
  </si>
  <si>
    <t>($M)</t>
  </si>
  <si>
    <t>x</t>
  </si>
  <si>
    <t>Bohemeth Industires</t>
  </si>
  <si>
    <t>Micro Partners</t>
  </si>
  <si>
    <t>Junior Enterprises</t>
  </si>
  <si>
    <t>Minature Company</t>
  </si>
  <si>
    <t>Average Limited</t>
  </si>
  <si>
    <t>Current Price</t>
  </si>
  <si>
    <t>Equity Value</t>
  </si>
  <si>
    <t>Historical Results</t>
  </si>
  <si>
    <t xml:space="preserve"> Forecast Period</t>
  </si>
  <si>
    <t>FINANCIAL STATEMENTS</t>
  </si>
  <si>
    <t>Balance Sheet Check</t>
  </si>
  <si>
    <t>LIVE SCENARIO</t>
  </si>
  <si>
    <t>Assumptions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</si>
  <si>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</si>
  <si>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</si>
  <si>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</si>
  <si>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</si>
  <si>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</si>
  <si>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</si>
  <si>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</si>
  <si>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</si>
  <si>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</si>
  <si>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</si>
  <si>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</si>
  <si>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</si>
  <si>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</si>
  <si>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</si>
  <si>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</si>
  <si>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</si>
  <si>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</si>
  <si>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</si>
  <si>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</si>
  <si>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</si>
  <si>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</si>
  <si>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</si>
  <si>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</si>
  <si>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</si>
  <si>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</si>
  <si>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</si>
  <si>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</si>
  <si>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</si>
  <si>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</si>
  <si>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</si>
  <si>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</si>
  <si>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</si>
  <si>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</si>
  <si>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</si>
  <si>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</si>
  <si>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</si>
  <si>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</si>
  <si>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</si>
  <si>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</si>
  <si>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</si>
  <si>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</si>
  <si>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</si>
  <si>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</si>
  <si>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</si>
  <si>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</si>
  <si>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</si>
  <si>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</si>
  <si>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</si>
  <si>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</si>
  <si>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</si>
  <si>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</si>
  <si>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</si>
  <si>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</si>
  <si>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</si>
  <si>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</si>
  <si>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</si>
  <si>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</si>
  <si>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</si>
  <si>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</si>
  <si>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</si>
  <si>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</si>
  <si>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</si>
  <si>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</si>
  <si>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</si>
  <si>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</si>
  <si>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</si>
  <si>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</si>
  <si>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</si>
  <si>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</si>
  <si>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</si>
  <si>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</si>
  <si>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</si>
  <si>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</si>
  <si>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</si>
  <si>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Perpetural Growth Rate</t>
  </si>
  <si>
    <t>EV/EBITDA Mulltiple</t>
  </si>
  <si>
    <t>Transaction Date</t>
  </si>
  <si>
    <t>Shares Outstanding</t>
  </si>
  <si>
    <t>Fiscal Year End</t>
  </si>
  <si>
    <t>Charts and Graphs</t>
  </si>
  <si>
    <t>Discounted Cash Flow</t>
  </si>
  <si>
    <t>Entry</t>
  </si>
  <si>
    <t>Exit</t>
  </si>
  <si>
    <t>Terminal Value</t>
  </si>
  <si>
    <t>Less: Cash Taxes</t>
  </si>
  <si>
    <t>NOPAT</t>
  </si>
  <si>
    <t>Plus: D&amp;A</t>
  </si>
  <si>
    <t>Less: Capex</t>
  </si>
  <si>
    <t>Less: Changes in NWC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</si>
  <si>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</si>
  <si>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</si>
  <si>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</si>
  <si>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</si>
  <si>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</si>
  <si>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</si>
  <si>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</si>
  <si>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</si>
  <si>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Target Price</t>
  </si>
  <si>
    <t>Less: Debt</t>
  </si>
  <si>
    <t>Less: Cash</t>
  </si>
  <si>
    <t>IRR</t>
  </si>
  <si>
    <t>Equity Value/Share</t>
  </si>
  <si>
    <t>Market Value vs Intrinsic Value</t>
  </si>
  <si>
    <t>FCFF</t>
  </si>
  <si>
    <t>Upside</t>
  </si>
  <si>
    <t>Time periods</t>
  </si>
  <si>
    <t>Perp. Growth</t>
  </si>
  <si>
    <t>Year frac.</t>
  </si>
  <si>
    <t>Unlevered FCFF</t>
  </si>
  <si>
    <t>TP Upside</t>
  </si>
  <si>
    <t>Comps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</si>
</sst>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_-* #,##0_-;\(#,##0\)_-;_-* &quot;-&quot;_-;_-@_-"/>
    <numFmt numFmtId="167" formatCode="_(* #,##0_);_(* \(#,##0\);_(* &quot;-&quot;??_);_(@_)"/>
    <numFmt numFmtId="168" formatCode="_-* #,##0_-;\-* #,##0_-;_-* &quot;-&quot;??_-;_-@_-"/>
    <numFmt numFmtId="169" formatCode="0.0%"/>
    <numFmt numFmtId="170" formatCode="0.0000_ ;\-0.0000\ "/>
    <numFmt numFmtId="171" formatCode="_-* #,##0.00_-;\(#,##0.00\)_-;_-* &quot;-&quot;_-;_-@_-"/>
    <numFmt numFmtId="172" formatCode="&quot;$&quot;#,##0.00"/>
  </numFmts>
  <fonts count="4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i/>
      <sz val="12"/>
      <color rgb="FF0000FF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5" fillId="0" borderId="0" applyAlignment="0"/>
    <xf numFmtId="0" fontId="6" fillId="0" borderId="0" applyAlignment="0"/>
    <xf numFmtId="0" fontId="7" fillId="2" borderId="0" applyAlignment="0"/>
    <xf numFmtId="0" fontId="8" fillId="3" borderId="0" applyAlignment="0"/>
    <xf numFmtId="0" fontId="9" fillId="4" borderId="0" applyAlignment="0"/>
    <xf numFmtId="0" fontId="10" fillId="5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4" fillId="0" borderId="0" applyAlignment="0">
      <alignment wrapText="1"/>
    </xf>
    <xf numFmtId="0" fontId="16" fillId="0" borderId="0" applyAlignment="0"/>
    <xf numFmtId="0" fontId="17" fillId="0" borderId="0" applyAlignment="0"/>
    <xf numFmtId="0" fontId="18" fillId="0" borderId="0" applyAlignment="0"/>
    <xf numFmtId="0" fontId="21" fillId="0" borderId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8" fillId="0" borderId="0" applyNumberFormat="0" applyFill="0" applyBorder="0" applyAlignment="0" applyProtection="0"/>
  </cellStyleXfs>
  <cellXfs count="144">
    <xf numFmtId="0" fontId="0" fillId="0" borderId="0" xfId="0" applyFont="1"/>
    <xf numFmtId="0" fontId="20" fillId="7" borderId="0" xfId="16" applyFont="1" applyFill="1" applyAlignment="1">
      <alignment vertical="center"/>
    </xf>
    <xf numFmtId="0" fontId="19" fillId="7" borderId="0" xfId="16" applyFont="1" applyFill="1" applyAlignment="1">
      <alignment horizontal="centerContinuous" vertical="center"/>
    </xf>
    <xf numFmtId="0" fontId="20" fillId="7" borderId="0" xfId="16" applyFont="1" applyFill="1" applyAlignment="1">
      <alignment horizontal="centerContinuous" vertical="center"/>
    </xf>
    <xf numFmtId="0" fontId="19" fillId="7" borderId="0" xfId="16" applyFont="1" applyFill="1" applyAlignment="1">
      <alignment horizontal="centerContinuous"/>
    </xf>
    <xf numFmtId="0" fontId="19" fillId="7" borderId="0" xfId="16" applyFont="1" applyFill="1" applyAlignment="1">
      <alignment vertical="center"/>
    </xf>
    <xf numFmtId="0" fontId="19" fillId="7" borderId="1" xfId="16" applyFont="1" applyFill="1" applyBorder="1" applyAlignment="1">
      <alignment horizontal="right" vertical="center"/>
    </xf>
    <xf numFmtId="0" fontId="19" fillId="7" borderId="0" xfId="16" applyFont="1" applyFill="1" applyAlignment="1">
      <alignment horizontal="right" vertical="center"/>
    </xf>
    <xf numFmtId="0" fontId="20" fillId="7" borderId="0" xfId="16" applyFont="1" applyFill="1" applyAlignment="1">
      <alignment horizontal="right" vertical="center"/>
    </xf>
    <xf numFmtId="0" fontId="20" fillId="7" borderId="1" xfId="16" applyFont="1" applyFill="1" applyBorder="1" applyAlignment="1">
      <alignment horizontal="right"/>
    </xf>
    <xf numFmtId="0" fontId="22" fillId="7" borderId="0" xfId="16" applyFont="1" applyFill="1" applyBorder="1" applyAlignment="1">
      <alignment horizontal="right" vertical="center"/>
    </xf>
    <xf numFmtId="0" fontId="22" fillId="7" borderId="0" xfId="16" quotePrefix="1" applyFont="1" applyFill="1" applyBorder="1" applyAlignment="1">
      <alignment horizontal="right" vertical="center"/>
    </xf>
    <xf numFmtId="0" fontId="20" fillId="7" borderId="0" xfId="16" applyFont="1" applyFill="1" applyBorder="1" applyAlignment="1">
      <alignment horizontal="right" vertical="center"/>
    </xf>
    <xf numFmtId="0" fontId="20" fillId="7" borderId="0" xfId="16" applyFont="1" applyFill="1" applyBorder="1" applyAlignment="1">
      <alignment horizontal="right"/>
    </xf>
    <xf numFmtId="0" fontId="4" fillId="0" borderId="0" xfId="16" applyFont="1"/>
    <xf numFmtId="0" fontId="4" fillId="0" borderId="0" xfId="16" applyFont="1" applyAlignment="1">
      <alignment vertical="center"/>
    </xf>
    <xf numFmtId="7" fontId="26" fillId="0" borderId="0" xfId="16" applyNumberFormat="1" applyFont="1" applyAlignment="1">
      <alignment vertical="center"/>
    </xf>
    <xf numFmtId="37" fontId="26" fillId="0" borderId="0" xfId="16" applyNumberFormat="1" applyFont="1" applyAlignment="1">
      <alignment vertical="center"/>
    </xf>
    <xf numFmtId="5" fontId="4" fillId="0" borderId="0" xfId="16" applyNumberFormat="1" applyFont="1" applyAlignment="1">
      <alignment vertical="center"/>
    </xf>
    <xf numFmtId="5" fontId="26" fillId="0" borderId="0" xfId="16" applyNumberFormat="1" applyFont="1" applyAlignment="1">
      <alignment vertical="center"/>
    </xf>
    <xf numFmtId="165" fontId="4" fillId="0" borderId="0" xfId="16" applyNumberFormat="1" applyFont="1" applyAlignment="1">
      <alignment vertical="center"/>
    </xf>
    <xf numFmtId="0" fontId="4" fillId="6" borderId="0" xfId="16" applyFont="1" applyFill="1" applyAlignment="1">
      <alignment vertical="center"/>
    </xf>
    <xf numFmtId="165" fontId="4" fillId="6" borderId="0" xfId="16" applyNumberFormat="1" applyFont="1" applyFill="1" applyAlignment="1">
      <alignment vertical="center"/>
    </xf>
    <xf numFmtId="7" fontId="4" fillId="0" borderId="0" xfId="16" applyNumberFormat="1" applyFont="1"/>
    <xf numFmtId="7" fontId="23" fillId="0" borderId="0" xfId="16" applyNumberFormat="1" applyFont="1"/>
    <xf numFmtId="37" fontId="23" fillId="0" borderId="0" xfId="16" applyNumberFormat="1" applyFont="1" applyAlignment="1">
      <alignment vertical="center"/>
    </xf>
    <xf numFmtId="5" fontId="23" fillId="0" borderId="0" xfId="16" applyNumberFormat="1" applyFont="1" applyAlignment="1">
      <alignment vertical="center"/>
    </xf>
    <xf numFmtId="5" fontId="23" fillId="0" borderId="0" xfId="16" applyNumberFormat="1" applyFont="1"/>
    <xf numFmtId="0" fontId="23" fillId="0" borderId="0" xfId="16" applyFont="1"/>
    <xf numFmtId="166" fontId="27" fillId="7" borderId="0" xfId="22" applyNumberFormat="1" applyFont="1" applyFill="1" applyProtection="1">
      <protection locked="0"/>
    </xf>
    <xf numFmtId="166" fontId="24" fillId="7" borderId="0" xfId="22" applyNumberFormat="1" applyFont="1" applyFill="1" applyProtection="1">
      <protection locked="0"/>
    </xf>
    <xf numFmtId="166" fontId="24" fillId="7" borderId="0" xfId="22" applyNumberFormat="1" applyFont="1" applyFill="1" applyAlignment="1" applyProtection="1">
      <alignment horizontal="center"/>
      <protection locked="0"/>
    </xf>
    <xf numFmtId="166" fontId="28" fillId="8" borderId="0" xfId="22" applyNumberFormat="1" applyFont="1" applyFill="1" applyAlignment="1" applyProtection="1">
      <alignment horizontal="centerContinuous"/>
      <protection locked="0"/>
    </xf>
    <xf numFmtId="166" fontId="29" fillId="8" borderId="0" xfId="22" applyNumberFormat="1" applyFont="1" applyFill="1" applyAlignment="1" applyProtection="1">
      <alignment horizontal="centerContinuous"/>
      <protection locked="0"/>
    </xf>
    <xf numFmtId="166" fontId="28" fillId="7" borderId="0" xfId="22" applyNumberFormat="1" applyFont="1" applyFill="1" applyAlignment="1" applyProtection="1">
      <alignment horizontal="centerContinuous"/>
      <protection locked="0"/>
    </xf>
    <xf numFmtId="166" fontId="29" fillId="7" borderId="0" xfId="22" applyNumberFormat="1" applyFont="1" applyFill="1" applyAlignment="1" applyProtection="1">
      <alignment horizontal="centerContinuous"/>
      <protection locked="0"/>
    </xf>
    <xf numFmtId="166" fontId="24" fillId="0" borderId="0" xfId="22" applyNumberFormat="1" applyFont="1" applyProtection="1">
      <protection locked="0"/>
    </xf>
    <xf numFmtId="166" fontId="30" fillId="7" borderId="0" xfId="22" applyNumberFormat="1" applyFont="1" applyFill="1" applyAlignment="1" applyProtection="1">
      <protection locked="0"/>
    </xf>
    <xf numFmtId="166" fontId="31" fillId="7" borderId="0" xfId="22" applyNumberFormat="1" applyFont="1" applyFill="1" applyAlignment="1" applyProtection="1">
      <protection locked="0"/>
    </xf>
    <xf numFmtId="166" fontId="31" fillId="7" borderId="0" xfId="22" applyNumberFormat="1" applyFont="1" applyFill="1" applyAlignment="1" applyProtection="1">
      <alignment horizontal="center"/>
      <protection locked="0"/>
    </xf>
    <xf numFmtId="0" fontId="31" fillId="8" borderId="0" xfId="22" applyNumberFormat="1" applyFont="1" applyFill="1" applyAlignment="1" applyProtection="1">
      <protection locked="0"/>
    </xf>
    <xf numFmtId="0" fontId="31" fillId="7" borderId="0" xfId="22" applyNumberFormat="1" applyFont="1" applyFill="1" applyAlignment="1" applyProtection="1">
      <protection locked="0"/>
    </xf>
    <xf numFmtId="166" fontId="32" fillId="0" borderId="0" xfId="22" applyNumberFormat="1" applyFont="1" applyAlignment="1" applyProtection="1">
      <protection locked="0"/>
    </xf>
    <xf numFmtId="166" fontId="24" fillId="0" borderId="0" xfId="22" applyNumberFormat="1" applyFont="1" applyAlignment="1" applyProtection="1">
      <alignment horizontal="center"/>
      <protection locked="0"/>
    </xf>
    <xf numFmtId="166" fontId="33" fillId="0" borderId="0" xfId="22" applyNumberFormat="1" applyFont="1" applyAlignment="1" applyProtection="1">
      <alignment horizontal="right"/>
      <protection locked="0"/>
    </xf>
    <xf numFmtId="166" fontId="30" fillId="6" borderId="0" xfId="22" applyNumberFormat="1" applyFont="1" applyFill="1" applyBorder="1" applyProtection="1">
      <protection locked="0"/>
    </xf>
    <xf numFmtId="166" fontId="34" fillId="6" borderId="0" xfId="22" applyNumberFormat="1" applyFont="1" applyFill="1" applyBorder="1" applyProtection="1">
      <protection locked="0"/>
    </xf>
    <xf numFmtId="166" fontId="34" fillId="6" borderId="0" xfId="22" applyNumberFormat="1" applyFont="1" applyFill="1" applyBorder="1" applyAlignment="1" applyProtection="1">
      <alignment horizontal="center"/>
      <protection locked="0"/>
    </xf>
    <xf numFmtId="166" fontId="34" fillId="0" borderId="0" xfId="22" applyNumberFormat="1" applyFont="1" applyFill="1" applyProtection="1">
      <protection locked="0"/>
    </xf>
    <xf numFmtId="166" fontId="25" fillId="0" borderId="0" xfId="22" applyNumberFormat="1" applyFont="1" applyFill="1" applyProtection="1">
      <protection locked="0"/>
    </xf>
    <xf numFmtId="166" fontId="35" fillId="0" borderId="0" xfId="22" applyNumberFormat="1" applyFont="1" applyProtection="1">
      <protection locked="0"/>
    </xf>
    <xf numFmtId="166" fontId="24" fillId="0" borderId="2" xfId="22" applyNumberFormat="1" applyFont="1" applyBorder="1" applyProtection="1">
      <protection locked="0"/>
    </xf>
    <xf numFmtId="166" fontId="35" fillId="0" borderId="2" xfId="22" applyNumberFormat="1" applyFont="1" applyBorder="1" applyProtection="1">
      <protection locked="0"/>
    </xf>
    <xf numFmtId="166" fontId="35" fillId="0" borderId="2" xfId="22" applyNumberFormat="1" applyFont="1" applyBorder="1" applyAlignment="1" applyProtection="1">
      <alignment horizontal="center"/>
      <protection locked="0"/>
    </xf>
    <xf numFmtId="169" fontId="34" fillId="0" borderId="2" xfId="23" applyNumberFormat="1" applyFont="1" applyFill="1" applyBorder="1" applyProtection="1">
      <protection locked="0"/>
    </xf>
    <xf numFmtId="169" fontId="25" fillId="0" borderId="2" xfId="23" applyNumberFormat="1" applyFont="1" applyFill="1" applyBorder="1" applyProtection="1">
      <protection locked="0"/>
    </xf>
    <xf numFmtId="166" fontId="24" fillId="0" borderId="0" xfId="22" applyNumberFormat="1" applyFont="1" applyBorder="1" applyProtection="1">
      <protection locked="0"/>
    </xf>
    <xf numFmtId="166" fontId="24" fillId="0" borderId="0" xfId="22" applyNumberFormat="1" applyFont="1" applyBorder="1" applyAlignment="1" applyProtection="1">
      <alignment horizontal="center"/>
      <protection locked="0"/>
    </xf>
    <xf numFmtId="169" fontId="34" fillId="0" borderId="0" xfId="23" applyNumberFormat="1" applyFont="1" applyFill="1" applyBorder="1" applyProtection="1">
      <protection locked="0"/>
    </xf>
    <xf numFmtId="169" fontId="25" fillId="0" borderId="0" xfId="23" applyNumberFormat="1" applyFont="1" applyFill="1" applyBorder="1" applyProtection="1">
      <protection locked="0"/>
    </xf>
    <xf numFmtId="166" fontId="34" fillId="0" borderId="0" xfId="22" applyNumberFormat="1" applyFont="1" applyFill="1" applyBorder="1" applyProtection="1">
      <protection locked="0"/>
    </xf>
    <xf numFmtId="166" fontId="25" fillId="0" borderId="0" xfId="22" applyNumberFormat="1" applyFont="1" applyFill="1" applyBorder="1" applyProtection="1">
      <protection locked="0"/>
    </xf>
    <xf numFmtId="166" fontId="33" fillId="0" borderId="0" xfId="22" applyNumberFormat="1" applyFont="1" applyBorder="1" applyProtection="1">
      <protection locked="0"/>
    </xf>
    <xf numFmtId="166" fontId="33" fillId="0" borderId="0" xfId="22" applyNumberFormat="1" applyFont="1" applyBorder="1" applyAlignment="1" applyProtection="1">
      <alignment horizontal="center"/>
      <protection locked="0"/>
    </xf>
    <xf numFmtId="9" fontId="25" fillId="0" borderId="0" xfId="23" applyFont="1" applyFill="1" applyAlignment="1" applyProtection="1">
      <alignment horizontal="center"/>
      <protection locked="0"/>
    </xf>
    <xf numFmtId="166" fontId="35" fillId="0" borderId="0" xfId="22" applyNumberFormat="1" applyFont="1" applyBorder="1" applyProtection="1">
      <protection locked="0"/>
    </xf>
    <xf numFmtId="166" fontId="35" fillId="0" borderId="0" xfId="22" applyNumberFormat="1" applyFont="1" applyBorder="1" applyAlignment="1" applyProtection="1">
      <alignment horizontal="center"/>
      <protection locked="0"/>
    </xf>
    <xf numFmtId="166" fontId="37" fillId="0" borderId="0" xfId="22" applyNumberFormat="1" applyFont="1" applyBorder="1" applyProtection="1">
      <protection locked="0"/>
    </xf>
    <xf numFmtId="166" fontId="36" fillId="0" borderId="0" xfId="22" applyNumberFormat="1" applyFont="1" applyBorder="1" applyProtection="1">
      <protection locked="0"/>
    </xf>
    <xf numFmtId="166" fontId="35" fillId="0" borderId="0" xfId="22" applyNumberFormat="1" applyFont="1" applyAlignment="1" applyProtection="1">
      <alignment horizontal="center"/>
      <protection locked="0"/>
    </xf>
    <xf numFmtId="166" fontId="37" fillId="0" borderId="0" xfId="22" applyNumberFormat="1" applyFont="1" applyProtection="1">
      <protection locked="0"/>
    </xf>
    <xf numFmtId="166" fontId="35" fillId="0" borderId="0" xfId="22" applyNumberFormat="1" applyFont="1" applyFill="1" applyProtection="1">
      <protection locked="0"/>
    </xf>
    <xf numFmtId="166" fontId="25" fillId="0" borderId="0" xfId="22" applyNumberFormat="1" applyFont="1" applyBorder="1" applyProtection="1">
      <protection locked="0"/>
    </xf>
    <xf numFmtId="167" fontId="24" fillId="0" borderId="0" xfId="22" applyNumberFormat="1" applyFont="1" applyFill="1" applyBorder="1" applyProtection="1">
      <protection locked="0"/>
    </xf>
    <xf numFmtId="166" fontId="36" fillId="0" borderId="2" xfId="22" applyNumberFormat="1" applyFont="1" applyBorder="1" applyProtection="1">
      <protection locked="0"/>
    </xf>
    <xf numFmtId="9" fontId="37" fillId="0" borderId="0" xfId="23" applyFont="1" applyBorder="1" applyProtection="1">
      <protection locked="0"/>
    </xf>
    <xf numFmtId="166" fontId="25" fillId="0" borderId="0" xfId="22" applyNumberFormat="1" applyFont="1" applyProtection="1">
      <protection locked="0"/>
    </xf>
    <xf numFmtId="166" fontId="24" fillId="0" borderId="0" xfId="22" applyNumberFormat="1" applyFont="1" applyFill="1" applyProtection="1">
      <protection locked="0"/>
    </xf>
    <xf numFmtId="166" fontId="24" fillId="0" borderId="3" xfId="22" applyNumberFormat="1" applyFont="1" applyBorder="1" applyProtection="1">
      <protection locked="0"/>
    </xf>
    <xf numFmtId="166" fontId="24" fillId="0" borderId="3" xfId="22" applyNumberFormat="1" applyFont="1" applyBorder="1" applyAlignment="1" applyProtection="1">
      <alignment horizontal="center"/>
      <protection locked="0"/>
    </xf>
    <xf numFmtId="166" fontId="25" fillId="0" borderId="3" xfId="22" applyNumberFormat="1" applyFont="1" applyBorder="1" applyProtection="1">
      <protection locked="0"/>
    </xf>
    <xf numFmtId="166" fontId="34" fillId="0" borderId="3" xfId="22" applyNumberFormat="1" applyFont="1" applyBorder="1" applyProtection="1">
      <protection locked="0"/>
    </xf>
    <xf numFmtId="167" fontId="24" fillId="0" borderId="0" xfId="22" applyNumberFormat="1" applyFont="1" applyFill="1" applyProtection="1">
      <protection locked="0"/>
    </xf>
    <xf numFmtId="166" fontId="35" fillId="0" borderId="4" xfId="22" applyNumberFormat="1" applyFont="1" applyBorder="1" applyProtection="1">
      <protection locked="0"/>
    </xf>
    <xf numFmtId="166" fontId="35" fillId="0" borderId="4" xfId="22" applyNumberFormat="1" applyFont="1" applyBorder="1" applyAlignment="1" applyProtection="1">
      <alignment horizontal="center"/>
      <protection locked="0"/>
    </xf>
    <xf numFmtId="166" fontId="36" fillId="0" borderId="4" xfId="22" applyNumberFormat="1" applyFont="1" applyBorder="1" applyProtection="1">
      <protection locked="0"/>
    </xf>
    <xf numFmtId="0" fontId="2" fillId="0" borderId="0" xfId="24" applyProtection="1">
      <protection locked="0"/>
    </xf>
    <xf numFmtId="168" fontId="24" fillId="0" borderId="0" xfId="22" applyNumberFormat="1" applyFont="1" applyProtection="1">
      <protection locked="0"/>
    </xf>
    <xf numFmtId="166" fontId="35" fillId="0" borderId="5" xfId="22" applyNumberFormat="1" applyFont="1" applyBorder="1" applyProtection="1">
      <protection locked="0"/>
    </xf>
    <xf numFmtId="166" fontId="35" fillId="0" borderId="5" xfId="22" applyNumberFormat="1" applyFont="1" applyBorder="1" applyAlignment="1" applyProtection="1">
      <alignment horizontal="center"/>
      <protection locked="0"/>
    </xf>
    <xf numFmtId="166" fontId="36" fillId="0" borderId="5" xfId="22" applyNumberFormat="1" applyFont="1" applyBorder="1" applyProtection="1">
      <protection locked="0"/>
    </xf>
    <xf numFmtId="166" fontId="33" fillId="0" borderId="0" xfId="22" applyNumberFormat="1" applyFont="1" applyProtection="1">
      <protection locked="0"/>
    </xf>
    <xf numFmtId="170" fontId="33" fillId="0" borderId="0" xfId="22" applyNumberFormat="1" applyFont="1" applyProtection="1">
      <protection locked="0"/>
    </xf>
    <xf numFmtId="170" fontId="33" fillId="0" borderId="0" xfId="22" applyNumberFormat="1" applyFont="1" applyAlignment="1" applyProtection="1">
      <alignment horizontal="center"/>
      <protection locked="0"/>
    </xf>
    <xf numFmtId="166" fontId="24" fillId="0" borderId="2" xfId="22" applyNumberFormat="1" applyFont="1" applyBorder="1" applyAlignment="1" applyProtection="1">
      <alignment horizontal="center"/>
      <protection locked="0"/>
    </xf>
    <xf numFmtId="166" fontId="34" fillId="0" borderId="0" xfId="22" applyNumberFormat="1" applyFont="1" applyBorder="1" applyProtection="1">
      <protection locked="0"/>
    </xf>
    <xf numFmtId="166" fontId="24" fillId="0" borderId="0" xfId="22" applyNumberFormat="1" applyFont="1" applyProtection="1"/>
    <xf numFmtId="166" fontId="34" fillId="0" borderId="2" xfId="22" applyNumberFormat="1" applyFont="1" applyBorder="1" applyProtection="1">
      <protection locked="0"/>
    </xf>
    <xf numFmtId="166" fontId="34" fillId="0" borderId="2" xfId="22" applyNumberFormat="1" applyFont="1" applyBorder="1" applyProtection="1"/>
    <xf numFmtId="166" fontId="34" fillId="0" borderId="0" xfId="22" applyNumberFormat="1" applyFont="1" applyProtection="1">
      <protection locked="0"/>
    </xf>
    <xf numFmtId="167" fontId="24" fillId="0" borderId="0" xfId="22" applyNumberFormat="1" applyFont="1" applyProtection="1"/>
    <xf numFmtId="43" fontId="24" fillId="0" borderId="0" xfId="22" applyNumberFormat="1" applyFont="1" applyProtection="1"/>
    <xf numFmtId="166" fontId="34" fillId="0" borderId="0" xfId="22" applyNumberFormat="1" applyFont="1" applyFill="1" applyProtection="1"/>
    <xf numFmtId="166" fontId="24" fillId="0" borderId="2" xfId="22" applyNumberFormat="1" applyFont="1" applyBorder="1" applyProtection="1"/>
    <xf numFmtId="166" fontId="36" fillId="0" borderId="0" xfId="22" applyNumberFormat="1" applyFont="1" applyProtection="1">
      <protection locked="0"/>
    </xf>
    <xf numFmtId="166" fontId="25" fillId="0" borderId="2" xfId="22" applyNumberFormat="1" applyFont="1" applyBorder="1" applyProtection="1">
      <protection locked="0"/>
    </xf>
    <xf numFmtId="9" fontId="25" fillId="0" borderId="2" xfId="23" applyFont="1" applyBorder="1" applyAlignment="1" applyProtection="1">
      <alignment horizontal="right"/>
      <protection locked="0"/>
    </xf>
    <xf numFmtId="9" fontId="25" fillId="0" borderId="0" xfId="23" applyFont="1" applyAlignment="1" applyProtection="1">
      <alignment horizontal="right"/>
      <protection locked="0"/>
    </xf>
    <xf numFmtId="165" fontId="25" fillId="0" borderId="0" xfId="22" applyNumberFormat="1" applyFont="1" applyAlignment="1" applyProtection="1">
      <alignment horizontal="right"/>
      <protection locked="0"/>
    </xf>
    <xf numFmtId="14" fontId="25" fillId="0" borderId="0" xfId="22" applyNumberFormat="1" applyFont="1" applyProtection="1">
      <protection locked="0"/>
    </xf>
    <xf numFmtId="164" fontId="25" fillId="0" borderId="0" xfId="22" applyFont="1" applyAlignment="1" applyProtection="1">
      <alignment horizontal="right"/>
      <protection locked="0"/>
    </xf>
    <xf numFmtId="168" fontId="25" fillId="0" borderId="0" xfId="22" applyNumberFormat="1" applyFont="1" applyAlignment="1" applyProtection="1">
      <alignment horizontal="right"/>
      <protection locked="0"/>
    </xf>
    <xf numFmtId="14" fontId="25" fillId="0" borderId="0" xfId="22" applyNumberFormat="1" applyFont="1" applyBorder="1" applyProtection="1">
      <protection locked="0"/>
    </xf>
    <xf numFmtId="166" fontId="35" fillId="0" borderId="0" xfId="22" applyNumberFormat="1" applyFont="1" applyFill="1" applyBorder="1" applyProtection="1">
      <protection locked="0"/>
    </xf>
    <xf numFmtId="166" fontId="24" fillId="0" borderId="0" xfId="22" applyNumberFormat="1" applyFont="1" applyFill="1" applyBorder="1" applyProtection="1">
      <protection locked="0"/>
    </xf>
    <xf numFmtId="166" fontId="35" fillId="0" borderId="0" xfId="22" applyNumberFormat="1" applyFont="1" applyFill="1" applyBorder="1" applyAlignment="1" applyProtection="1">
      <alignment horizontal="right"/>
      <protection locked="0"/>
    </xf>
    <xf numFmtId="0" fontId="35" fillId="0" borderId="0" xfId="22" applyNumberFormat="1" applyFont="1" applyFill="1" applyBorder="1" applyAlignment="1" applyProtection="1">
      <alignment horizontal="right"/>
      <protection locked="0"/>
    </xf>
    <xf numFmtId="14" fontId="33" fillId="0" borderId="0" xfId="22" applyNumberFormat="1" applyFont="1" applyBorder="1" applyProtection="1">
      <protection locked="0"/>
    </xf>
    <xf numFmtId="167" fontId="24" fillId="0" borderId="0" xfId="22" applyNumberFormat="1" applyFont="1" applyBorder="1" applyProtection="1">
      <protection locked="0"/>
    </xf>
    <xf numFmtId="0" fontId="39" fillId="0" borderId="0" xfId="22" applyNumberFormat="1" applyFont="1" applyBorder="1" applyProtection="1">
      <protection locked="0"/>
    </xf>
    <xf numFmtId="0" fontId="33" fillId="0" borderId="0" xfId="22" applyNumberFormat="1" applyFont="1" applyBorder="1" applyProtection="1">
      <protection locked="0"/>
    </xf>
    <xf numFmtId="171" fontId="33" fillId="0" borderId="0" xfId="22" applyNumberFormat="1" applyFont="1" applyBorder="1" applyProtection="1">
      <protection locked="0"/>
    </xf>
    <xf numFmtId="171" fontId="24" fillId="0" borderId="0" xfId="22" applyNumberFormat="1" applyFont="1" applyBorder="1" applyProtection="1">
      <protection locked="0"/>
    </xf>
    <xf numFmtId="172" fontId="24" fillId="0" borderId="0" xfId="22" applyNumberFormat="1" applyFont="1" applyProtection="1">
      <protection locked="0"/>
    </xf>
    <xf numFmtId="166" fontId="33" fillId="0" borderId="2" xfId="22" applyNumberFormat="1" applyFont="1" applyBorder="1" applyProtection="1">
      <protection locked="0"/>
    </xf>
    <xf numFmtId="14" fontId="33" fillId="0" borderId="2" xfId="22" applyNumberFormat="1" applyFont="1" applyBorder="1" applyProtection="1">
      <protection locked="0"/>
    </xf>
    <xf numFmtId="167" fontId="24" fillId="0" borderId="2" xfId="22" applyNumberFormat="1" applyFont="1" applyBorder="1" applyProtection="1">
      <protection locked="0"/>
    </xf>
    <xf numFmtId="166" fontId="35" fillId="0" borderId="2" xfId="22" applyNumberFormat="1" applyFont="1" applyFill="1" applyBorder="1" applyProtection="1">
      <protection locked="0"/>
    </xf>
    <xf numFmtId="0" fontId="24" fillId="0" borderId="0" xfId="22" applyNumberFormat="1" applyFont="1" applyProtection="1">
      <protection locked="0"/>
    </xf>
    <xf numFmtId="171" fontId="39" fillId="0" borderId="0" xfId="22" applyNumberFormat="1" applyFont="1" applyBorder="1" applyProtection="1">
      <protection locked="0"/>
    </xf>
    <xf numFmtId="166" fontId="36" fillId="0" borderId="0" xfId="22" applyNumberFormat="1" applyFont="1" applyFill="1" applyBorder="1" applyProtection="1">
      <protection locked="0"/>
    </xf>
    <xf numFmtId="166" fontId="37" fillId="0" borderId="0" xfId="22" applyNumberFormat="1" applyFont="1" applyFill="1" applyBorder="1" applyProtection="1">
      <protection locked="0"/>
    </xf>
    <xf numFmtId="43" fontId="34" fillId="0" borderId="0" xfId="22" applyNumberFormat="1" applyFont="1" applyFill="1" applyBorder="1" applyProtection="1">
      <protection locked="0"/>
    </xf>
    <xf numFmtId="9" fontId="34" fillId="0" borderId="0" xfId="23" applyFont="1" applyFill="1" applyBorder="1" applyProtection="1">
      <protection locked="0"/>
    </xf>
    <xf numFmtId="166" fontId="34" fillId="0" borderId="2" xfId="22" applyNumberFormat="1" applyFont="1" applyFill="1" applyBorder="1" applyProtection="1">
      <protection locked="0"/>
    </xf>
    <xf numFmtId="164" fontId="34" fillId="0" borderId="2" xfId="23" applyNumberFormat="1" applyFont="1" applyFill="1" applyBorder="1" applyProtection="1">
      <protection locked="0"/>
    </xf>
    <xf numFmtId="164" fontId="34" fillId="0" borderId="0" xfId="22" applyFont="1" applyFill="1" applyBorder="1" applyProtection="1">
      <protection locked="0"/>
    </xf>
    <xf numFmtId="171" fontId="34" fillId="0" borderId="0" xfId="22" applyNumberFormat="1" applyFont="1" applyFill="1" applyBorder="1" applyProtection="1">
      <protection locked="0"/>
    </xf>
    <xf numFmtId="171" fontId="28" fillId="9" borderId="0" xfId="22" applyNumberFormat="1" applyFont="1" applyFill="1" applyBorder="1" applyProtection="1">
      <protection locked="0"/>
    </xf>
    <xf numFmtId="171" fontId="36" fillId="0" borderId="0" xfId="22" applyNumberFormat="1" applyFont="1" applyFill="1" applyBorder="1" applyProtection="1">
      <protection locked="0"/>
    </xf>
    <xf numFmtId="172" fontId="24" fillId="0" borderId="2" xfId="22" applyNumberFormat="1" applyFont="1" applyBorder="1" applyProtection="1">
      <protection locked="0"/>
    </xf>
    <xf numFmtId="0" fontId="42" fillId="7" borderId="0" xfId="0" applyFont="1" applyFill="1"/>
    <xf numFmtId="0" fontId="3" fillId="0" borderId="0" xfId="25" applyFont="1"/>
    <xf numFmtId="0" fontId="43" fillId="7" borderId="0" xfId="0" applyFont="1" applyFill="1" applyBorder="1" applyAlignment="1">
      <alignment horizontal="left" vertical="center" readingOrder="1"/>
    </xf>
  </cellXfs>
  <cellStyles count="27">
    <cellStyle name="ChartingText" xfId="14"/>
    <cellStyle name="CHPTop" xfId="15"/>
    <cellStyle name="ColumnHeaderNormal" xfId="6"/>
    <cellStyle name="Comma 2" xfId="17"/>
    <cellStyle name="Comma 3" xfId="19"/>
    <cellStyle name="Comma 4" xfId="22"/>
    <cellStyle name="Hyperlink 2 2" xfId="26"/>
    <cellStyle name="Invisible" xfId="13"/>
    <cellStyle name="NewColumnHeaderNormal" xfId="4"/>
    <cellStyle name="NewSectionHeaderNormal" xfId="3"/>
    <cellStyle name="NewTitleNormal" xfId="2"/>
    <cellStyle name="Normal" xfId="0" builtinId="0"/>
    <cellStyle name="Normal 2" xfId="16"/>
    <cellStyle name="Normal 2 2" xfId="25"/>
    <cellStyle name="Normal 3" xfId="21"/>
    <cellStyle name="Normal 4" xfId="24"/>
    <cellStyle name="Percent 2" xfId="18"/>
    <cellStyle name="Percent 3" xfId="20"/>
    <cellStyle name="Percent 4" xfId="23"/>
    <cellStyle name="SectionHeaderNormal" xfId="5"/>
    <cellStyle name="SubScript" xfId="9"/>
    <cellStyle name="SuperScript" xfId="8"/>
    <cellStyle name="TextBold" xfId="10"/>
    <cellStyle name="TextItalic" xfId="11"/>
    <cellStyle name="TextNormal" xfId="7"/>
    <cellStyle name="TitleNormal" xfId="1"/>
    <cellStyle name="Total" xfId="1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FCFF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DCF!$A$152</c:f>
              <c:strCache>
                <c:ptCount val="1"/>
                <c:pt idx="0">
                  <c:v>FCFF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DCF!$D$151:$H$151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DCF!$D$152:$H$152</c:f>
              <c:numCache>
                <c:formatCode>_-* #,##0_-;\(#,##0\)_-;_-* "-"_-;_-@_-</c:formatCode>
                <c:ptCount val="5"/>
                <c:pt idx="0">
                  <c:v>18642.246508304797</c:v>
                </c:pt>
                <c:pt idx="1">
                  <c:v>21391.459277106165</c:v>
                </c:pt>
                <c:pt idx="2">
                  <c:v>21202.503378146412</c:v>
                </c:pt>
                <c:pt idx="3">
                  <c:v>57797.144915374651</c:v>
                </c:pt>
                <c:pt idx="4">
                  <c:v>62790.649009615852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F74-8E37-2FBCED94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5970272"/>
        <c:axId val="705966992"/>
      </c:barChart>
      <c:catAx>
        <c:axId val="70597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05966992"/>
        <c:crosses val="autoZero"/>
        <c:auto val="1"/>
        <c:lblAlgn val="ctr"/>
        <c:lblOffset val="100"/>
        <c:noMultiLvlLbl val="1"/>
      </c:catAx>
      <c:valAx>
        <c:axId val="705966992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705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155</xdr:row>
      <xdr:rowOff>193675</xdr:rowOff>
    </xdr:from>
    <xdr:to>
      <xdr:col>6</xdr:col>
      <xdr:colOff>346075</xdr:colOff>
      <xdr:row>169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DD73-2AD9-4164-869E-48B071D3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1"/>
  <sheetViews>
    <sheetView showGridLines="0" tabSelected="1" zoomScaleNormal="100" workbookViewId="0">
      <selection activeCell="B12" sqref="B12"/>
    </sheetView>
  </sheetViews>
  <sheetFormatPr defaultColWidth="9.140625" defaultRowHeight="16.5"/>
  <cols>
    <col min="1" max="1" width="9.140625" style="14"/>
    <col min="2" max="2" width="20.85546875" style="14" customWidth="1"/>
    <col min="3" max="3" width="9.140625" style="14"/>
    <col min="4" max="4" width="9.85546875" style="14" customWidth="1"/>
    <col min="5" max="6" width="12" style="14" customWidth="1"/>
    <col min="7" max="7" width="10.7109375" style="14" customWidth="1"/>
    <col min="8" max="8" width="2" style="14" customWidth="1"/>
    <col min="9" max="9" width="9.140625" style="14"/>
    <col min="10" max="10" width="9.85546875" style="14" customWidth="1"/>
    <col min="11" max="11" width="10" style="14" customWidth="1"/>
    <col min="12" max="12" width="2" style="14" customWidth="1"/>
    <col min="13" max="13" width="9.28515625" style="14" customWidth="1"/>
    <col min="14" max="14" width="11.7109375" style="14" customWidth="1"/>
    <col min="15" max="15" width="11" style="14" customWidth="1"/>
    <col min="16" max="16" width="1" style="14" customWidth="1"/>
    <col min="17" max="16384" width="9.140625" style="14"/>
  </cols>
  <sheetData>
    <row r="1" spans="1:16" s="142" customFormat="1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6" s="142" customFormat="1" ht="18">
      <c r="A2" s="143" t="s">
        <v>146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5" spans="1:16" ht="21" customHeight="1">
      <c r="B5" s="1"/>
      <c r="C5" s="2" t="s">
        <v>6</v>
      </c>
      <c r="D5" s="2"/>
      <c r="E5" s="3"/>
      <c r="F5" s="3"/>
      <c r="G5" s="3"/>
      <c r="H5" s="1"/>
      <c r="I5" s="2" t="s">
        <v>7</v>
      </c>
      <c r="J5" s="3"/>
      <c r="K5" s="2"/>
      <c r="L5" s="1"/>
      <c r="M5" s="2" t="s">
        <v>8</v>
      </c>
      <c r="N5" s="3"/>
      <c r="O5" s="2"/>
      <c r="P5" s="4"/>
    </row>
    <row r="6" spans="1:16" ht="16.5" customHeight="1">
      <c r="B6" s="5"/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7"/>
      <c r="I6" s="6" t="s">
        <v>14</v>
      </c>
      <c r="J6" s="6" t="s">
        <v>15</v>
      </c>
      <c r="K6" s="6" t="s">
        <v>17</v>
      </c>
      <c r="L6" s="8"/>
      <c r="M6" s="6" t="s">
        <v>2</v>
      </c>
      <c r="N6" s="6" t="s">
        <v>3</v>
      </c>
      <c r="O6" s="6" t="s">
        <v>18</v>
      </c>
      <c r="P6" s="9"/>
    </row>
    <row r="7" spans="1:16" ht="14.25" customHeight="1">
      <c r="B7" s="5" t="s">
        <v>0</v>
      </c>
      <c r="C7" s="10" t="s">
        <v>19</v>
      </c>
      <c r="D7" s="11" t="s">
        <v>20</v>
      </c>
      <c r="E7" s="10" t="s">
        <v>21</v>
      </c>
      <c r="F7" s="10"/>
      <c r="G7" s="10" t="s">
        <v>21</v>
      </c>
      <c r="H7" s="7"/>
      <c r="I7" s="10" t="s">
        <v>21</v>
      </c>
      <c r="J7" s="10" t="s">
        <v>21</v>
      </c>
      <c r="K7" s="10" t="s">
        <v>21</v>
      </c>
      <c r="L7" s="8"/>
      <c r="M7" s="10" t="s">
        <v>22</v>
      </c>
      <c r="N7" s="12" t="s">
        <v>22</v>
      </c>
      <c r="O7" s="12" t="s">
        <v>22</v>
      </c>
      <c r="P7" s="13"/>
    </row>
    <row r="8" spans="1:16" ht="21" customHeight="1">
      <c r="B8" s="15" t="s">
        <v>24</v>
      </c>
      <c r="C8" s="16">
        <v>9.4499999999999993</v>
      </c>
      <c r="D8" s="17">
        <v>100</v>
      </c>
      <c r="E8" s="18">
        <f>C8*D8</f>
        <v>944.99999999999989</v>
      </c>
      <c r="F8" s="19">
        <v>125</v>
      </c>
      <c r="G8" s="18">
        <f>E8+F8</f>
        <v>1070</v>
      </c>
      <c r="H8" s="18"/>
      <c r="I8" s="19">
        <v>267.5</v>
      </c>
      <c r="J8" s="19">
        <v>75.886524822695037</v>
      </c>
      <c r="K8" s="19">
        <v>46.929824561403507</v>
      </c>
      <c r="L8" s="15"/>
      <c r="M8" s="20">
        <f>G8/I8</f>
        <v>4</v>
      </c>
      <c r="N8" s="20">
        <f>G8/J8</f>
        <v>14.1</v>
      </c>
      <c r="O8" s="20">
        <f>E8/K8</f>
        <v>20.136448598130841</v>
      </c>
    </row>
    <row r="9" spans="1:16" ht="21" customHeight="1">
      <c r="B9" s="15" t="s">
        <v>25</v>
      </c>
      <c r="C9" s="16">
        <v>5.68</v>
      </c>
      <c r="D9" s="17">
        <v>1250</v>
      </c>
      <c r="E9" s="18">
        <f t="shared" ref="E9:E12" si="0">C9*D9</f>
        <v>7100</v>
      </c>
      <c r="F9" s="19">
        <v>2000</v>
      </c>
      <c r="G9" s="18">
        <f t="shared" ref="G9:G12" si="1">E9+F9</f>
        <v>9100</v>
      </c>
      <c r="H9" s="18"/>
      <c r="I9" s="19">
        <v>4136.363636363636</v>
      </c>
      <c r="J9" s="19">
        <v>777.77777777777783</v>
      </c>
      <c r="K9" s="19">
        <v>411.76470588235293</v>
      </c>
      <c r="L9" s="15"/>
      <c r="M9" s="20">
        <f t="shared" ref="M9:M12" si="2">G9/I9</f>
        <v>2.2000000000000002</v>
      </c>
      <c r="N9" s="20">
        <f t="shared" ref="N9:N12" si="3">G9/J9</f>
        <v>11.7</v>
      </c>
      <c r="O9" s="20">
        <f t="shared" ref="O9:O12" si="4">E9/K9</f>
        <v>17.242857142857144</v>
      </c>
    </row>
    <row r="10" spans="1:16" ht="21" customHeight="1">
      <c r="B10" s="15" t="s">
        <v>26</v>
      </c>
      <c r="C10" s="16">
        <v>18.11</v>
      </c>
      <c r="D10" s="17">
        <v>50</v>
      </c>
      <c r="E10" s="18">
        <f t="shared" si="0"/>
        <v>905.5</v>
      </c>
      <c r="F10" s="19">
        <v>25</v>
      </c>
      <c r="G10" s="18">
        <f t="shared" si="1"/>
        <v>930.5</v>
      </c>
      <c r="H10" s="18"/>
      <c r="I10" s="19">
        <v>443.09523809523807</v>
      </c>
      <c r="J10" s="19">
        <v>95.927835051546396</v>
      </c>
      <c r="K10" s="19">
        <v>55.718562874251496</v>
      </c>
      <c r="L10" s="15"/>
      <c r="M10" s="20">
        <f t="shared" si="2"/>
        <v>2.1</v>
      </c>
      <c r="N10" s="20">
        <f t="shared" si="3"/>
        <v>9.6999999999999993</v>
      </c>
      <c r="O10" s="20">
        <f t="shared" si="4"/>
        <v>16.251316496507254</v>
      </c>
    </row>
    <row r="11" spans="1:16" ht="21" customHeight="1">
      <c r="B11" s="15" t="s">
        <v>27</v>
      </c>
      <c r="C11" s="16">
        <v>12.27</v>
      </c>
      <c r="D11" s="17">
        <v>630</v>
      </c>
      <c r="E11" s="18">
        <f t="shared" si="0"/>
        <v>7730.0999999999995</v>
      </c>
      <c r="F11" s="19">
        <v>350</v>
      </c>
      <c r="G11" s="18">
        <f t="shared" si="1"/>
        <v>8080.0999999999995</v>
      </c>
      <c r="H11" s="18"/>
      <c r="I11" s="19">
        <v>1949.4897959183672</v>
      </c>
      <c r="J11" s="19">
        <v>527.76243093922653</v>
      </c>
      <c r="K11" s="19">
        <v>293.92307692307691</v>
      </c>
      <c r="L11" s="15"/>
      <c r="M11" s="20">
        <f t="shared" si="2"/>
        <v>4.1447254645380793</v>
      </c>
      <c r="N11" s="20">
        <f t="shared" si="3"/>
        <v>15.310108348599842</v>
      </c>
      <c r="O11" s="20">
        <f t="shared" si="4"/>
        <v>26.299738288406175</v>
      </c>
    </row>
    <row r="12" spans="1:16" ht="21" customHeight="1">
      <c r="B12" s="15" t="s">
        <v>23</v>
      </c>
      <c r="C12" s="16">
        <v>9.0299999999999994</v>
      </c>
      <c r="D12" s="17">
        <v>1500</v>
      </c>
      <c r="E12" s="18">
        <f t="shared" si="0"/>
        <v>13544.999999999998</v>
      </c>
      <c r="F12" s="19">
        <v>0</v>
      </c>
      <c r="G12" s="18">
        <f t="shared" si="1"/>
        <v>13544.999999999998</v>
      </c>
      <c r="H12" s="18"/>
      <c r="I12" s="19">
        <v>6622</v>
      </c>
      <c r="J12" s="19">
        <v>794.64</v>
      </c>
      <c r="K12" s="19">
        <v>422.68085106382978</v>
      </c>
      <c r="L12" s="15"/>
      <c r="M12" s="20">
        <f t="shared" si="2"/>
        <v>2.045454545454545</v>
      </c>
      <c r="N12" s="20">
        <f t="shared" si="3"/>
        <v>17.045454545454543</v>
      </c>
      <c r="O12" s="20">
        <f t="shared" si="4"/>
        <v>32.04545454545454</v>
      </c>
    </row>
    <row r="13" spans="1:16" ht="16.5" customHeight="1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6" ht="21" customHeight="1">
      <c r="B14" s="21" t="s">
        <v>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>
        <f>AVERAGE(M8:M12)</f>
        <v>2.8980360019985252</v>
      </c>
      <c r="N14" s="22">
        <f>AVERAGE(N8:N12)</f>
        <v>13.571112578810878</v>
      </c>
      <c r="O14" s="22">
        <f>AVERAGE(O8:O12)</f>
        <v>22.395163014271191</v>
      </c>
    </row>
    <row r="15" spans="1:16" ht="21" customHeight="1">
      <c r="B15" s="21" t="s">
        <v>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>
        <f>MEDIAN(M8:M12)</f>
        <v>2.2000000000000002</v>
      </c>
      <c r="N15" s="22">
        <f>MEDIAN(N8:N12)</f>
        <v>14.1</v>
      </c>
      <c r="O15" s="22">
        <f>MEDIAN(O8:O12)</f>
        <v>20.136448598130841</v>
      </c>
    </row>
    <row r="17" spans="3:15">
      <c r="C17" s="23"/>
      <c r="D17" s="17"/>
      <c r="E17" s="18"/>
      <c r="F17" s="19"/>
      <c r="G17" s="18"/>
      <c r="H17" s="18"/>
      <c r="I17" s="19"/>
      <c r="J17" s="19"/>
      <c r="K17" s="19"/>
      <c r="L17" s="15"/>
      <c r="M17" s="20"/>
      <c r="N17" s="20"/>
      <c r="O17" s="20"/>
    </row>
    <row r="19" spans="3:15">
      <c r="C19" s="24"/>
      <c r="D19" s="25"/>
      <c r="E19" s="26"/>
      <c r="F19" s="26"/>
      <c r="G19" s="27"/>
      <c r="H19" s="28"/>
      <c r="I19" s="28"/>
      <c r="J19" s="28"/>
    </row>
    <row r="20" spans="3:15">
      <c r="C20" s="24"/>
      <c r="D20" s="25"/>
      <c r="E20" s="26"/>
      <c r="F20" s="26"/>
      <c r="G20" s="27"/>
      <c r="H20" s="28"/>
      <c r="I20" s="28"/>
      <c r="J20" s="28"/>
    </row>
    <row r="21" spans="3:15">
      <c r="C21" s="24"/>
      <c r="D21" s="25"/>
      <c r="E21" s="27"/>
      <c r="F21" s="26"/>
      <c r="G21" s="27"/>
      <c r="H21" s="28"/>
      <c r="I21" s="28"/>
      <c r="J21" s="28"/>
    </row>
  </sheetData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showGridLines="0" zoomScaleNormal="100" workbookViewId="0">
      <pane ySplit="3" topLeftCell="A103" activePane="bottomLeft" state="frozen"/>
      <selection pane="bottomLeft" activeCell="C1" sqref="C1"/>
    </sheetView>
  </sheetViews>
  <sheetFormatPr defaultColWidth="9.140625" defaultRowHeight="12.75" outlineLevelRow="1"/>
  <cols>
    <col min="1" max="1" width="12.7109375" customWidth="1"/>
    <col min="2" max="2" width="12.28515625" customWidth="1"/>
    <col min="3" max="3" width="11.28515625" customWidth="1"/>
    <col min="4" max="13" width="11.5703125" customWidth="1"/>
  </cols>
  <sheetData>
    <row r="1" spans="1:16" ht="15.75">
      <c r="A1" s="29"/>
      <c r="B1" s="30"/>
      <c r="C1" s="31"/>
      <c r="D1" s="32" t="s">
        <v>30</v>
      </c>
      <c r="E1" s="33"/>
      <c r="F1" s="33"/>
      <c r="G1" s="33"/>
      <c r="H1" s="33"/>
      <c r="I1" s="34" t="s">
        <v>31</v>
      </c>
      <c r="J1" s="35"/>
      <c r="K1" s="35"/>
      <c r="L1" s="35"/>
      <c r="M1" s="35"/>
      <c r="N1" s="36"/>
      <c r="O1" s="36"/>
      <c r="P1" s="36"/>
    </row>
    <row r="2" spans="1:16" ht="21" customHeight="1">
      <c r="A2" s="37" t="s">
        <v>32</v>
      </c>
      <c r="B2" s="38"/>
      <c r="C2" s="39"/>
      <c r="D2" s="40">
        <v>2013</v>
      </c>
      <c r="E2" s="40">
        <f>+D2+1</f>
        <v>2014</v>
      </c>
      <c r="F2" s="40">
        <f t="shared" ref="F2:M2" si="0">+E2+1</f>
        <v>2015</v>
      </c>
      <c r="G2" s="40">
        <f t="shared" si="0"/>
        <v>2016</v>
      </c>
      <c r="H2" s="40">
        <f t="shared" si="0"/>
        <v>2017</v>
      </c>
      <c r="I2" s="41">
        <f t="shared" si="0"/>
        <v>2018</v>
      </c>
      <c r="J2" s="41">
        <f t="shared" si="0"/>
        <v>2019</v>
      </c>
      <c r="K2" s="41">
        <f t="shared" si="0"/>
        <v>2020</v>
      </c>
      <c r="L2" s="41">
        <f t="shared" si="0"/>
        <v>2021</v>
      </c>
      <c r="M2" s="41">
        <f t="shared" si="0"/>
        <v>2022</v>
      </c>
      <c r="N2" s="42"/>
      <c r="O2" s="42"/>
      <c r="P2" s="42"/>
    </row>
    <row r="3" spans="1:16" ht="15.75">
      <c r="A3" s="36" t="s">
        <v>33</v>
      </c>
      <c r="B3" s="36"/>
      <c r="C3" s="43"/>
      <c r="D3" s="44" t="str">
        <f t="shared" ref="D3:H3" si="1">IFERROR(IF(ABS(D59)&gt;1,"ERROR","OK"),"OK")</f>
        <v>OK</v>
      </c>
      <c r="E3" s="44" t="str">
        <f t="shared" si="1"/>
        <v>OK</v>
      </c>
      <c r="F3" s="44" t="str">
        <f t="shared" si="1"/>
        <v>OK</v>
      </c>
      <c r="G3" s="44" t="str">
        <f t="shared" si="1"/>
        <v>OK</v>
      </c>
      <c r="H3" s="44" t="str">
        <f t="shared" si="1"/>
        <v>OK</v>
      </c>
      <c r="I3" s="44" t="str">
        <f>IFERROR(IF(ABS(I59)&gt;1,"ERROR","OK"),"OK")</f>
        <v>OK</v>
      </c>
      <c r="J3" s="44" t="str">
        <f t="shared" ref="J3:M3" si="2">IFERROR(IF(ABS(J59)&gt;1,"ERROR","OK"),"OK")</f>
        <v>OK</v>
      </c>
      <c r="K3" s="44" t="str">
        <f t="shared" si="2"/>
        <v>OK</v>
      </c>
      <c r="L3" s="44" t="str">
        <f t="shared" si="2"/>
        <v>OK</v>
      </c>
      <c r="M3" s="44" t="str">
        <f t="shared" si="2"/>
        <v>OK</v>
      </c>
      <c r="N3" s="36"/>
      <c r="O3" s="36"/>
      <c r="P3" s="36"/>
    </row>
    <row r="5" spans="1:16" ht="20.25">
      <c r="A5" s="45" t="s">
        <v>35</v>
      </c>
      <c r="B5" s="46"/>
      <c r="C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36"/>
      <c r="O5" s="36"/>
      <c r="P5" s="36"/>
    </row>
    <row r="6" spans="1:16" ht="15.75" outlineLevel="1">
      <c r="A6" s="36"/>
      <c r="B6" s="36"/>
      <c r="C6" s="43"/>
      <c r="D6" s="48"/>
      <c r="E6" s="48"/>
      <c r="F6" s="48"/>
      <c r="G6" s="48"/>
      <c r="H6" s="48"/>
      <c r="I6" s="49"/>
      <c r="J6" s="49"/>
      <c r="K6" s="49"/>
      <c r="L6" s="49"/>
      <c r="M6" s="49"/>
      <c r="N6" s="36"/>
      <c r="O6" s="36"/>
      <c r="P6" s="36"/>
    </row>
    <row r="7" spans="1:16" ht="15.75" outlineLevel="1">
      <c r="A7" s="50" t="s">
        <v>34</v>
      </c>
      <c r="B7" s="36"/>
      <c r="C7" s="43"/>
      <c r="D7" s="48"/>
      <c r="E7" s="48"/>
      <c r="F7" s="48"/>
      <c r="G7" s="48"/>
      <c r="H7" s="48"/>
      <c r="I7" s="49"/>
      <c r="J7" s="49"/>
      <c r="K7" s="49"/>
      <c r="L7" s="49"/>
      <c r="M7" s="49"/>
      <c r="N7" s="36"/>
      <c r="O7" s="36"/>
      <c r="P7" s="36"/>
    </row>
    <row r="8" spans="1:16" ht="15.75" outlineLevel="1">
      <c r="A8" s="51" t="s">
        <v>36</v>
      </c>
      <c r="B8" s="52"/>
      <c r="C8" s="53"/>
      <c r="D8" s="54">
        <f>IFERROR(D25/C25-1,0)</f>
        <v>0</v>
      </c>
      <c r="E8" s="54">
        <f t="shared" ref="E8:H8" si="3">IFERROR(E25/D25-1,0)</f>
        <v>0.15762643740135474</v>
      </c>
      <c r="F8" s="54">
        <f t="shared" si="3"/>
        <v>0.1122825737174602</v>
      </c>
      <c r="G8" s="54">
        <f t="shared" si="3"/>
        <v>8.3718451406600947E-2</v>
      </c>
      <c r="H8" s="54">
        <f t="shared" si="3"/>
        <v>5.9231001608812672E-2</v>
      </c>
      <c r="I8" s="55">
        <v>0.1</v>
      </c>
      <c r="J8" s="55">
        <v>0.1</v>
      </c>
      <c r="K8" s="55">
        <v>0.1</v>
      </c>
      <c r="L8" s="55">
        <v>0.1</v>
      </c>
      <c r="M8" s="55">
        <v>0.1</v>
      </c>
      <c r="N8" s="36"/>
      <c r="O8" s="36"/>
      <c r="P8" s="36"/>
    </row>
    <row r="9" spans="1:16" ht="15.75" outlineLevel="1">
      <c r="A9" s="56" t="s">
        <v>37</v>
      </c>
      <c r="B9" s="56"/>
      <c r="C9" s="57"/>
      <c r="D9" s="58">
        <f>D26/D25</f>
        <v>0.38255217779172018</v>
      </c>
      <c r="E9" s="58">
        <f t="shared" ref="E9:H9" si="4">E26/E25</f>
        <v>0.40651728401334619</v>
      </c>
      <c r="F9" s="58">
        <f t="shared" si="4"/>
        <v>0.37399977159389397</v>
      </c>
      <c r="G9" s="58">
        <f t="shared" si="4"/>
        <v>0.369914501092447</v>
      </c>
      <c r="H9" s="58">
        <f t="shared" si="4"/>
        <v>0.37613084657628737</v>
      </c>
      <c r="I9" s="59">
        <v>0.42</v>
      </c>
      <c r="J9" s="59">
        <v>0.47</v>
      </c>
      <c r="K9" s="59">
        <v>0.5</v>
      </c>
      <c r="L9" s="59">
        <v>0.36</v>
      </c>
      <c r="M9" s="59">
        <v>0.35</v>
      </c>
      <c r="N9" s="36"/>
      <c r="O9" s="36"/>
      <c r="P9" s="36"/>
    </row>
    <row r="10" spans="1:16" ht="15.75" outlineLevel="1">
      <c r="A10" s="56" t="s">
        <v>38</v>
      </c>
      <c r="B10" s="56"/>
      <c r="C10" s="57"/>
      <c r="D10" s="58">
        <f>D29/D25</f>
        <v>0.25907045594910155</v>
      </c>
      <c r="E10" s="58">
        <f t="shared" ref="E10:H10" si="5">E29/E25</f>
        <v>0.19187710651559034</v>
      </c>
      <c r="F10" s="58">
        <f t="shared" si="5"/>
        <v>0.18175035212608018</v>
      </c>
      <c r="G10" s="58">
        <f t="shared" si="5"/>
        <v>0.16159785304304453</v>
      </c>
      <c r="H10" s="58">
        <f t="shared" si="5"/>
        <v>0.16743825113416283</v>
      </c>
      <c r="I10" s="59">
        <v>0.17</v>
      </c>
      <c r="J10" s="59">
        <v>0.17</v>
      </c>
      <c r="K10" s="59">
        <v>0.17</v>
      </c>
      <c r="L10" s="59">
        <v>0.17</v>
      </c>
      <c r="M10" s="59">
        <v>0.17</v>
      </c>
      <c r="N10" s="36"/>
      <c r="O10" s="36"/>
      <c r="P10" s="36"/>
    </row>
    <row r="11" spans="1:16" ht="15.75" outlineLevel="1">
      <c r="A11" s="56" t="s">
        <v>39</v>
      </c>
      <c r="B11" s="56"/>
      <c r="C11" s="57"/>
      <c r="D11" s="60">
        <f>D30</f>
        <v>10963</v>
      </c>
      <c r="E11" s="60">
        <f t="shared" ref="E11:H11" si="6">E30</f>
        <v>10125</v>
      </c>
      <c r="F11" s="60">
        <f t="shared" si="6"/>
        <v>10087</v>
      </c>
      <c r="G11" s="60">
        <f t="shared" si="6"/>
        <v>11020</v>
      </c>
      <c r="H11" s="60">
        <f t="shared" si="6"/>
        <v>11412</v>
      </c>
      <c r="I11" s="61">
        <v>15000</v>
      </c>
      <c r="J11" s="61">
        <v>15000</v>
      </c>
      <c r="K11" s="61">
        <v>15000</v>
      </c>
      <c r="L11" s="61">
        <v>15000</v>
      </c>
      <c r="M11" s="61">
        <v>15000</v>
      </c>
      <c r="N11" s="36"/>
      <c r="O11" s="36"/>
      <c r="P11" s="36"/>
    </row>
    <row r="12" spans="1:16" ht="15.75" outlineLevel="1">
      <c r="A12" s="56" t="s">
        <v>40</v>
      </c>
      <c r="B12" s="56"/>
      <c r="C12" s="57"/>
      <c r="D12" s="58">
        <f>D31/D46</f>
        <v>0.42857142857142855</v>
      </c>
      <c r="E12" s="58">
        <f t="shared" ref="E12:H12" si="7">E31/E46</f>
        <v>0.42857142857142855</v>
      </c>
      <c r="F12" s="58">
        <f t="shared" si="7"/>
        <v>0.42857142857142855</v>
      </c>
      <c r="G12" s="58">
        <f t="shared" si="7"/>
        <v>0.42857142857142855</v>
      </c>
      <c r="H12" s="58">
        <f t="shared" si="7"/>
        <v>0.42857142857142849</v>
      </c>
      <c r="I12" s="59">
        <v>0.35</v>
      </c>
      <c r="J12" s="59">
        <v>0.35</v>
      </c>
      <c r="K12" s="59">
        <v>0.35</v>
      </c>
      <c r="L12" s="59">
        <v>0.35</v>
      </c>
      <c r="M12" s="59">
        <v>0.35</v>
      </c>
      <c r="N12" s="36"/>
      <c r="O12" s="36"/>
      <c r="P12" s="36"/>
    </row>
    <row r="13" spans="1:16" ht="15.75" outlineLevel="1">
      <c r="A13" s="56" t="s">
        <v>41</v>
      </c>
      <c r="B13" s="56"/>
      <c r="C13" s="57"/>
      <c r="D13" s="58">
        <f>D32/D51</f>
        <v>0.05</v>
      </c>
      <c r="E13" s="58">
        <f t="shared" ref="E13:H13" si="8">E32/E51</f>
        <v>0.05</v>
      </c>
      <c r="F13" s="58">
        <f t="shared" si="8"/>
        <v>0.05</v>
      </c>
      <c r="G13" s="58">
        <f t="shared" si="8"/>
        <v>0.05</v>
      </c>
      <c r="H13" s="58">
        <f t="shared" si="8"/>
        <v>0.05</v>
      </c>
      <c r="I13" s="59">
        <v>0.1</v>
      </c>
      <c r="J13" s="59">
        <v>0.1</v>
      </c>
      <c r="K13" s="59">
        <v>0.1</v>
      </c>
      <c r="L13" s="59">
        <v>0.1</v>
      </c>
      <c r="M13" s="59">
        <v>0.1</v>
      </c>
      <c r="N13" s="36"/>
      <c r="O13" s="36"/>
      <c r="P13" s="36"/>
    </row>
    <row r="14" spans="1:16" ht="15.75" outlineLevel="1">
      <c r="A14" s="56" t="s">
        <v>42</v>
      </c>
      <c r="B14" s="62"/>
      <c r="C14" s="63"/>
      <c r="D14" s="58">
        <f>D36/D34</f>
        <v>0.31167801892042296</v>
      </c>
      <c r="E14" s="58">
        <f t="shared" ref="E14:H14" si="9">E36/E34</f>
        <v>0.29180230056592171</v>
      </c>
      <c r="F14" s="58">
        <f t="shared" si="9"/>
        <v>0.28698850107817436</v>
      </c>
      <c r="G14" s="58">
        <f t="shared" si="9"/>
        <v>0.2899411500446471</v>
      </c>
      <c r="H14" s="58">
        <f t="shared" si="9"/>
        <v>0.29121899033183596</v>
      </c>
      <c r="I14" s="59">
        <v>0.28000000000000003</v>
      </c>
      <c r="J14" s="59">
        <v>0.28000000000000003</v>
      </c>
      <c r="K14" s="59">
        <v>0.28000000000000003</v>
      </c>
      <c r="L14" s="59">
        <v>0.28000000000000003</v>
      </c>
      <c r="M14" s="59">
        <v>0.28000000000000003</v>
      </c>
      <c r="N14" s="36"/>
      <c r="O14" s="36"/>
      <c r="P14" s="36"/>
    </row>
    <row r="15" spans="1:16" ht="15.75" outlineLevel="1">
      <c r="A15" s="36" t="s">
        <v>43</v>
      </c>
      <c r="B15" s="36"/>
      <c r="C15" s="64"/>
      <c r="D15" s="48">
        <f>D44/D25*365</f>
        <v>18.25</v>
      </c>
      <c r="E15" s="48">
        <f t="shared" ref="E15:H16" si="10">E44/E25*365</f>
        <v>18.25</v>
      </c>
      <c r="F15" s="48">
        <f t="shared" si="10"/>
        <v>18.25</v>
      </c>
      <c r="G15" s="48">
        <f t="shared" si="10"/>
        <v>18.25</v>
      </c>
      <c r="H15" s="48">
        <f t="shared" si="10"/>
        <v>18.25</v>
      </c>
      <c r="I15" s="49">
        <v>18</v>
      </c>
      <c r="J15" s="49">
        <v>18</v>
      </c>
      <c r="K15" s="49">
        <v>18</v>
      </c>
      <c r="L15" s="49">
        <v>18</v>
      </c>
      <c r="M15" s="49">
        <v>18</v>
      </c>
      <c r="N15" s="36"/>
      <c r="O15" s="36"/>
      <c r="P15" s="36"/>
    </row>
    <row r="16" spans="1:16" ht="15.75" outlineLevel="1">
      <c r="A16" s="36" t="s">
        <v>44</v>
      </c>
      <c r="B16" s="36"/>
      <c r="C16" s="64"/>
      <c r="D16" s="48">
        <f>D45/D26*365</f>
        <v>73</v>
      </c>
      <c r="E16" s="48">
        <f t="shared" si="10"/>
        <v>73</v>
      </c>
      <c r="F16" s="48">
        <f t="shared" si="10"/>
        <v>73</v>
      </c>
      <c r="G16" s="48">
        <f t="shared" si="10"/>
        <v>73</v>
      </c>
      <c r="H16" s="48">
        <f t="shared" si="10"/>
        <v>73</v>
      </c>
      <c r="I16" s="49">
        <v>80</v>
      </c>
      <c r="J16" s="49">
        <v>90</v>
      </c>
      <c r="K16" s="49">
        <v>100</v>
      </c>
      <c r="L16" s="49">
        <v>100</v>
      </c>
      <c r="M16" s="49">
        <v>100</v>
      </c>
      <c r="N16" s="36"/>
      <c r="O16" s="36"/>
      <c r="P16" s="36"/>
    </row>
    <row r="17" spans="1:13" ht="15.75" outlineLevel="1">
      <c r="A17" s="36" t="s">
        <v>45</v>
      </c>
      <c r="B17" s="36"/>
      <c r="C17" s="64"/>
      <c r="D17" s="48">
        <f>D50/D26*365</f>
        <v>36.5</v>
      </c>
      <c r="E17" s="48">
        <f t="shared" ref="E17:H17" si="11">E50/E26*365</f>
        <v>36.5</v>
      </c>
      <c r="F17" s="48">
        <f t="shared" si="11"/>
        <v>36.5</v>
      </c>
      <c r="G17" s="48">
        <f t="shared" si="11"/>
        <v>36.5</v>
      </c>
      <c r="H17" s="48">
        <f t="shared" si="11"/>
        <v>36.5</v>
      </c>
      <c r="I17" s="49">
        <v>37</v>
      </c>
      <c r="J17" s="49">
        <v>37</v>
      </c>
      <c r="K17" s="49">
        <v>37</v>
      </c>
      <c r="L17" s="49">
        <v>37</v>
      </c>
      <c r="M17" s="49">
        <v>37</v>
      </c>
    </row>
    <row r="18" spans="1:13" ht="15.75" outlineLevel="1">
      <c r="A18" s="36" t="s">
        <v>46</v>
      </c>
      <c r="B18" s="36"/>
      <c r="C18" s="43"/>
      <c r="D18" s="48">
        <f>D71</f>
        <v>15000</v>
      </c>
      <c r="E18" s="48">
        <f t="shared" ref="E18:H18" si="12">E71</f>
        <v>15000</v>
      </c>
      <c r="F18" s="48">
        <f t="shared" si="12"/>
        <v>15000</v>
      </c>
      <c r="G18" s="48">
        <f t="shared" si="12"/>
        <v>15000</v>
      </c>
      <c r="H18" s="48">
        <f t="shared" si="12"/>
        <v>15000</v>
      </c>
      <c r="I18" s="49">
        <v>15000</v>
      </c>
      <c r="J18" s="49">
        <v>15000</v>
      </c>
      <c r="K18" s="49">
        <v>15000</v>
      </c>
      <c r="L18" s="49">
        <v>15000</v>
      </c>
      <c r="M18" s="49">
        <v>15000</v>
      </c>
    </row>
    <row r="19" spans="1:13" ht="15.75" outlineLevel="1">
      <c r="A19" s="36" t="s">
        <v>47</v>
      </c>
      <c r="B19" s="36"/>
      <c r="C19" s="43"/>
      <c r="D19" s="48">
        <f>D75</f>
        <v>0</v>
      </c>
      <c r="E19" s="48">
        <f t="shared" ref="E19:H20" si="13">E75</f>
        <v>0</v>
      </c>
      <c r="F19" s="48">
        <f t="shared" si="13"/>
        <v>-20000</v>
      </c>
      <c r="G19" s="48">
        <f t="shared" si="13"/>
        <v>0</v>
      </c>
      <c r="H19" s="48">
        <f t="shared" si="13"/>
        <v>0</v>
      </c>
      <c r="I19" s="49">
        <v>0</v>
      </c>
      <c r="J19" s="49">
        <v>0</v>
      </c>
      <c r="K19" s="49">
        <v>-20000</v>
      </c>
      <c r="L19" s="49">
        <v>0</v>
      </c>
      <c r="M19" s="49">
        <v>0</v>
      </c>
    </row>
    <row r="20" spans="1:13" ht="15.75" outlineLevel="1">
      <c r="A20" s="36" t="s">
        <v>48</v>
      </c>
      <c r="B20" s="36"/>
      <c r="C20" s="43"/>
      <c r="D20" s="48">
        <f>D76</f>
        <v>70000</v>
      </c>
      <c r="E20" s="48">
        <f t="shared" si="13"/>
        <v>0</v>
      </c>
      <c r="F20" s="48">
        <f t="shared" si="13"/>
        <v>0</v>
      </c>
      <c r="G20" s="48">
        <f t="shared" si="13"/>
        <v>0</v>
      </c>
      <c r="H20" s="48">
        <f t="shared" si="13"/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</row>
    <row r="21" spans="1:13" ht="15.75" outlineLevel="1">
      <c r="A21" s="36"/>
      <c r="B21" s="36"/>
      <c r="C21" s="43"/>
      <c r="D21" s="48"/>
      <c r="E21" s="48"/>
      <c r="F21" s="48"/>
      <c r="G21" s="48"/>
      <c r="H21" s="48"/>
      <c r="I21" s="49"/>
      <c r="J21" s="49"/>
      <c r="K21" s="49"/>
      <c r="L21" s="49"/>
      <c r="M21" s="49"/>
    </row>
    <row r="22" spans="1:13" ht="15.75">
      <c r="A22" s="36"/>
      <c r="B22" s="36"/>
      <c r="C22" s="43"/>
      <c r="D22" s="48"/>
      <c r="E22" s="48"/>
      <c r="F22" s="48"/>
      <c r="G22" s="48"/>
      <c r="H22" s="48"/>
      <c r="I22" s="49"/>
      <c r="J22" s="49"/>
      <c r="K22" s="49"/>
      <c r="L22" s="49"/>
      <c r="M22" s="49"/>
    </row>
    <row r="23" spans="1:13" ht="20.25">
      <c r="A23" s="45" t="s">
        <v>49</v>
      </c>
      <c r="B23" s="46"/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</row>
    <row r="24" spans="1:13" ht="15.75" outlineLevel="1">
      <c r="A24" s="65"/>
      <c r="B24" s="65"/>
      <c r="C24" s="66"/>
      <c r="D24" s="67"/>
      <c r="E24" s="67"/>
      <c r="F24" s="67"/>
      <c r="G24" s="67"/>
      <c r="H24" s="67"/>
      <c r="I24" s="68"/>
      <c r="J24" s="68"/>
      <c r="K24" s="68"/>
      <c r="L24" s="68"/>
      <c r="M24" s="68"/>
    </row>
    <row r="25" spans="1:13" ht="15.75" outlineLevel="1">
      <c r="A25" s="50" t="s">
        <v>50</v>
      </c>
      <c r="B25" s="50"/>
      <c r="C25" s="69"/>
      <c r="D25" s="70">
        <v>102007</v>
      </c>
      <c r="E25" s="70">
        <v>118086</v>
      </c>
      <c r="F25" s="70">
        <v>131345</v>
      </c>
      <c r="G25" s="70">
        <v>142341</v>
      </c>
      <c r="H25" s="70">
        <v>150772</v>
      </c>
      <c r="I25" s="71">
        <f>H25*((1+I8))</f>
        <v>165849.20000000001</v>
      </c>
      <c r="J25" s="71">
        <f t="shared" ref="J25:M25" si="14">I25*((1+J8))</f>
        <v>182434.12000000002</v>
      </c>
      <c r="K25" s="71">
        <f t="shared" si="14"/>
        <v>200677.53200000004</v>
      </c>
      <c r="L25" s="71">
        <f t="shared" si="14"/>
        <v>220745.28520000007</v>
      </c>
      <c r="M25" s="71">
        <f t="shared" si="14"/>
        <v>242819.81372000009</v>
      </c>
    </row>
    <row r="26" spans="1:13" ht="15.75" outlineLevel="1">
      <c r="A26" s="56" t="s">
        <v>51</v>
      </c>
      <c r="B26" s="56"/>
      <c r="C26" s="57"/>
      <c r="D26" s="72">
        <v>39023</v>
      </c>
      <c r="E26" s="72">
        <v>48004</v>
      </c>
      <c r="F26" s="72">
        <v>49123</v>
      </c>
      <c r="G26" s="72">
        <v>52654</v>
      </c>
      <c r="H26" s="72">
        <v>56710</v>
      </c>
      <c r="I26" s="73">
        <f>I25*(I9)</f>
        <v>69656.664000000004</v>
      </c>
      <c r="J26" s="73">
        <f t="shared" ref="J26:M26" si="15">J25*(J9)</f>
        <v>85744.036400000012</v>
      </c>
      <c r="K26" s="73">
        <f t="shared" si="15"/>
        <v>100338.76600000002</v>
      </c>
      <c r="L26" s="73">
        <f t="shared" si="15"/>
        <v>79468.30267200002</v>
      </c>
      <c r="M26" s="73">
        <f t="shared" si="15"/>
        <v>84986.934802000033</v>
      </c>
    </row>
    <row r="27" spans="1:13" ht="15.75" outlineLevel="1">
      <c r="A27" s="52" t="s">
        <v>52</v>
      </c>
      <c r="B27" s="52"/>
      <c r="C27" s="53"/>
      <c r="D27" s="74">
        <f>D25-D26</f>
        <v>62984</v>
      </c>
      <c r="E27" s="74">
        <f t="shared" ref="E27:M27" si="16">E25-E26</f>
        <v>70082</v>
      </c>
      <c r="F27" s="74">
        <f t="shared" si="16"/>
        <v>82222</v>
      </c>
      <c r="G27" s="74">
        <f t="shared" si="16"/>
        <v>89687</v>
      </c>
      <c r="H27" s="74">
        <f t="shared" si="16"/>
        <v>94062</v>
      </c>
      <c r="I27" s="74">
        <f t="shared" si="16"/>
        <v>96192.536000000007</v>
      </c>
      <c r="J27" s="74">
        <f t="shared" si="16"/>
        <v>96690.083600000013</v>
      </c>
      <c r="K27" s="74">
        <f t="shared" si="16"/>
        <v>100338.76600000002</v>
      </c>
      <c r="L27" s="74">
        <f t="shared" si="16"/>
        <v>141276.98252800005</v>
      </c>
      <c r="M27" s="74">
        <f t="shared" si="16"/>
        <v>157832.87891800006</v>
      </c>
    </row>
    <row r="28" spans="1:13" ht="15.75" outlineLevel="1">
      <c r="A28" s="65" t="s">
        <v>53</v>
      </c>
      <c r="B28" s="65"/>
      <c r="C28" s="66"/>
      <c r="D28" s="75"/>
      <c r="E28" s="75"/>
      <c r="F28" s="75"/>
      <c r="G28" s="75"/>
      <c r="H28" s="75"/>
      <c r="I28" s="75"/>
      <c r="J28" s="75"/>
      <c r="K28" s="75"/>
      <c r="L28" s="68"/>
      <c r="M28" s="68"/>
    </row>
    <row r="29" spans="1:13" ht="15.75" outlineLevel="1">
      <c r="A29" s="36" t="s">
        <v>54</v>
      </c>
      <c r="B29" s="36"/>
      <c r="C29" s="43"/>
      <c r="D29" s="76">
        <v>26427</v>
      </c>
      <c r="E29" s="76">
        <v>22658</v>
      </c>
      <c r="F29" s="76">
        <v>23872</v>
      </c>
      <c r="G29" s="76">
        <v>23002</v>
      </c>
      <c r="H29" s="76">
        <v>25245</v>
      </c>
      <c r="I29" s="77">
        <f>I25*I10</f>
        <v>28194.364000000005</v>
      </c>
      <c r="J29" s="77">
        <f>J25*J10</f>
        <v>31013.800400000007</v>
      </c>
      <c r="K29" s="77">
        <f>K25*K10</f>
        <v>34115.180440000011</v>
      </c>
      <c r="L29" s="77">
        <f>L25*L10</f>
        <v>37526.698484000015</v>
      </c>
      <c r="M29" s="77">
        <f>M25*M10</f>
        <v>41279.368332400016</v>
      </c>
    </row>
    <row r="30" spans="1:13" ht="15.75" outlineLevel="1">
      <c r="A30" s="36" t="s">
        <v>55</v>
      </c>
      <c r="B30" s="36"/>
      <c r="C30" s="43"/>
      <c r="D30" s="76">
        <v>10963</v>
      </c>
      <c r="E30" s="76">
        <v>10125</v>
      </c>
      <c r="F30" s="76">
        <v>10087</v>
      </c>
      <c r="G30" s="76">
        <v>11020</v>
      </c>
      <c r="H30" s="76">
        <v>11412</v>
      </c>
      <c r="I30" s="77">
        <f>I11</f>
        <v>15000</v>
      </c>
      <c r="J30" s="77">
        <f>J11</f>
        <v>15000</v>
      </c>
      <c r="K30" s="77">
        <f>K11</f>
        <v>15000</v>
      </c>
      <c r="L30" s="77">
        <f>L11</f>
        <v>15000</v>
      </c>
      <c r="M30" s="77">
        <f>M11</f>
        <v>15000</v>
      </c>
    </row>
    <row r="31" spans="1:13" ht="15.75" outlineLevel="1">
      <c r="A31" s="36" t="s">
        <v>56</v>
      </c>
      <c r="B31" s="36"/>
      <c r="C31" s="43"/>
      <c r="D31" s="76">
        <v>19500</v>
      </c>
      <c r="E31" s="76">
        <v>18150</v>
      </c>
      <c r="F31" s="76">
        <v>17205</v>
      </c>
      <c r="G31" s="76">
        <v>16543.5</v>
      </c>
      <c r="H31" s="76">
        <v>16080.449999999999</v>
      </c>
      <c r="I31" s="77">
        <f>+I97</f>
        <v>13132.3675</v>
      </c>
      <c r="J31" s="77">
        <f t="shared" ref="J31:M31" si="17">+J97</f>
        <v>13786.038875</v>
      </c>
      <c r="K31" s="77">
        <f t="shared" si="17"/>
        <v>14210.925268750001</v>
      </c>
      <c r="L31" s="77">
        <f t="shared" si="17"/>
        <v>14487.101424687498</v>
      </c>
      <c r="M31" s="77">
        <f t="shared" si="17"/>
        <v>14666.615926046874</v>
      </c>
    </row>
    <row r="32" spans="1:13" ht="15.75" outlineLevel="1">
      <c r="A32" s="78" t="s">
        <v>57</v>
      </c>
      <c r="B32" s="78"/>
      <c r="C32" s="79"/>
      <c r="D32" s="80">
        <v>2500</v>
      </c>
      <c r="E32" s="80">
        <v>2500</v>
      </c>
      <c r="F32" s="80">
        <v>1500</v>
      </c>
      <c r="G32" s="80">
        <v>1500</v>
      </c>
      <c r="H32" s="80">
        <v>1500</v>
      </c>
      <c r="I32" s="81">
        <f>I104</f>
        <v>3000</v>
      </c>
      <c r="J32" s="81">
        <f t="shared" ref="J32:M32" si="18">J104</f>
        <v>3000</v>
      </c>
      <c r="K32" s="81">
        <f t="shared" si="18"/>
        <v>1000</v>
      </c>
      <c r="L32" s="81">
        <f t="shared" si="18"/>
        <v>1000</v>
      </c>
      <c r="M32" s="81">
        <f t="shared" si="18"/>
        <v>1000</v>
      </c>
    </row>
    <row r="33" spans="1:13" ht="15.75" outlineLevel="1">
      <c r="A33" s="65" t="s">
        <v>58</v>
      </c>
      <c r="B33" s="56"/>
      <c r="C33" s="57"/>
      <c r="D33" s="68">
        <f>SUM(D29:D32)</f>
        <v>59390</v>
      </c>
      <c r="E33" s="68">
        <f t="shared" ref="E33:M33" si="19">SUM(E29:E32)</f>
        <v>53433</v>
      </c>
      <c r="F33" s="68">
        <f t="shared" si="19"/>
        <v>52664</v>
      </c>
      <c r="G33" s="68">
        <f t="shared" si="19"/>
        <v>52065.5</v>
      </c>
      <c r="H33" s="68">
        <f t="shared" si="19"/>
        <v>54237.45</v>
      </c>
      <c r="I33" s="68">
        <f t="shared" si="19"/>
        <v>59326.731500000002</v>
      </c>
      <c r="J33" s="68">
        <f t="shared" si="19"/>
        <v>62799.839275000006</v>
      </c>
      <c r="K33" s="68">
        <f t="shared" si="19"/>
        <v>64326.105708750008</v>
      </c>
      <c r="L33" s="68">
        <f t="shared" si="19"/>
        <v>68013.799908687506</v>
      </c>
      <c r="M33" s="68">
        <f t="shared" si="19"/>
        <v>71945.984258446886</v>
      </c>
    </row>
    <row r="34" spans="1:13" ht="15.75" outlineLevel="1">
      <c r="A34" s="52" t="s">
        <v>59</v>
      </c>
      <c r="B34" s="52"/>
      <c r="C34" s="53"/>
      <c r="D34" s="74">
        <f>D27-D33</f>
        <v>3594</v>
      </c>
      <c r="E34" s="74">
        <f t="shared" ref="E34:M34" si="20">E27-E33</f>
        <v>16649</v>
      </c>
      <c r="F34" s="74">
        <f t="shared" si="20"/>
        <v>29558</v>
      </c>
      <c r="G34" s="74">
        <f t="shared" si="20"/>
        <v>37621.5</v>
      </c>
      <c r="H34" s="74">
        <f t="shared" si="20"/>
        <v>39824.550000000003</v>
      </c>
      <c r="I34" s="74">
        <f t="shared" si="20"/>
        <v>36865.804500000006</v>
      </c>
      <c r="J34" s="74">
        <f t="shared" si="20"/>
        <v>33890.244325000007</v>
      </c>
      <c r="K34" s="74">
        <f t="shared" si="20"/>
        <v>36012.660291250009</v>
      </c>
      <c r="L34" s="74">
        <f t="shared" si="20"/>
        <v>73263.182619312545</v>
      </c>
      <c r="M34" s="74">
        <f t="shared" si="20"/>
        <v>85886.894659553174</v>
      </c>
    </row>
    <row r="35" spans="1:13" ht="15.75" outlineLevel="1">
      <c r="A35" s="65"/>
      <c r="B35" s="65"/>
      <c r="C35" s="66"/>
      <c r="D35" s="67"/>
      <c r="E35" s="67"/>
      <c r="F35" s="67"/>
      <c r="G35" s="67"/>
      <c r="H35" s="67"/>
      <c r="I35" s="68"/>
      <c r="J35" s="68"/>
      <c r="K35" s="68"/>
      <c r="L35" s="68"/>
      <c r="M35" s="68"/>
    </row>
    <row r="36" spans="1:13" ht="15.75" outlineLevel="1">
      <c r="A36" s="56" t="s">
        <v>60</v>
      </c>
      <c r="B36" s="56"/>
      <c r="C36" s="57"/>
      <c r="D36" s="76">
        <v>1120.1708000000001</v>
      </c>
      <c r="E36" s="76">
        <v>4858.2165021220308</v>
      </c>
      <c r="F36" s="76">
        <v>8482.8061148686775</v>
      </c>
      <c r="G36" s="76">
        <v>10908.02097640469</v>
      </c>
      <c r="H36" s="76">
        <v>11597.665241419718</v>
      </c>
      <c r="I36" s="82">
        <f>I34*I14</f>
        <v>10322.425260000002</v>
      </c>
      <c r="J36" s="82">
        <f>J34*J14</f>
        <v>9489.2684110000027</v>
      </c>
      <c r="K36" s="82">
        <f>K34*K14</f>
        <v>10083.544881550004</v>
      </c>
      <c r="L36" s="82">
        <f>L34*L14</f>
        <v>20513.691133407516</v>
      </c>
      <c r="M36" s="82">
        <f>M34*M14</f>
        <v>24048.33050467489</v>
      </c>
    </row>
    <row r="37" spans="1:13" ht="16.5" outlineLevel="1" thickBot="1">
      <c r="A37" s="83" t="s">
        <v>61</v>
      </c>
      <c r="B37" s="83"/>
      <c r="C37" s="84"/>
      <c r="D37" s="85">
        <f>D34-D36</f>
        <v>2473.8292000000001</v>
      </c>
      <c r="E37" s="85">
        <f t="shared" ref="E37:M37" si="21">E34-E36</f>
        <v>11790.783497877968</v>
      </c>
      <c r="F37" s="85">
        <f t="shared" si="21"/>
        <v>21075.193885131324</v>
      </c>
      <c r="G37" s="85">
        <f t="shared" si="21"/>
        <v>26713.479023595311</v>
      </c>
      <c r="H37" s="85">
        <f t="shared" si="21"/>
        <v>28226.884758580287</v>
      </c>
      <c r="I37" s="85">
        <f t="shared" si="21"/>
        <v>26543.379240000002</v>
      </c>
      <c r="J37" s="85">
        <f t="shared" si="21"/>
        <v>24400.975914000002</v>
      </c>
      <c r="K37" s="85">
        <f t="shared" si="21"/>
        <v>25929.115409700004</v>
      </c>
      <c r="L37" s="85">
        <f t="shared" si="21"/>
        <v>52749.491485905033</v>
      </c>
      <c r="M37" s="85">
        <f t="shared" si="21"/>
        <v>61838.564154878288</v>
      </c>
    </row>
    <row r="38" spans="1:13" ht="16.5" outlineLevel="1" collapsed="1" thickTop="1">
      <c r="A38" s="36"/>
      <c r="B38" s="36"/>
      <c r="C38" s="43"/>
      <c r="D38" s="76"/>
      <c r="E38" s="76"/>
      <c r="F38" s="76"/>
      <c r="G38" s="76"/>
      <c r="H38" s="76"/>
      <c r="I38" s="36"/>
      <c r="J38" s="36"/>
      <c r="K38" s="36"/>
      <c r="L38" s="36"/>
      <c r="M38" s="36"/>
    </row>
    <row r="39" spans="1:13" ht="15.75">
      <c r="A39" s="36"/>
      <c r="B39" s="36"/>
      <c r="C39" s="43"/>
      <c r="D39" s="76"/>
      <c r="E39" s="76"/>
      <c r="F39" s="76"/>
      <c r="G39" s="76"/>
      <c r="H39" s="76"/>
      <c r="I39" s="36"/>
      <c r="J39" s="36"/>
      <c r="K39" s="36"/>
      <c r="L39" s="36"/>
      <c r="M39" s="36"/>
    </row>
    <row r="40" spans="1:13" ht="20.25">
      <c r="A40" s="45" t="s">
        <v>62</v>
      </c>
      <c r="B40" s="46"/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3" ht="15.75" outlineLevel="1">
      <c r="A41" s="36"/>
      <c r="B41" s="36"/>
      <c r="C41" s="43"/>
      <c r="D41" s="76"/>
      <c r="E41" s="76"/>
      <c r="F41" s="76"/>
      <c r="G41" s="76"/>
      <c r="H41" s="76"/>
      <c r="I41" s="36"/>
      <c r="J41" s="36"/>
      <c r="K41" s="36"/>
      <c r="L41" s="36"/>
      <c r="M41" s="36"/>
    </row>
    <row r="42" spans="1:13" ht="15.75" outlineLevel="1">
      <c r="A42" s="50" t="s">
        <v>63</v>
      </c>
      <c r="B42" s="36"/>
      <c r="C42" s="43"/>
      <c r="D42" s="76"/>
      <c r="E42" s="76"/>
      <c r="F42" s="76"/>
      <c r="G42" s="76"/>
      <c r="H42" s="76"/>
      <c r="I42" s="36"/>
      <c r="J42" s="36"/>
      <c r="K42" s="36"/>
      <c r="L42" s="36"/>
      <c r="M42" s="36"/>
    </row>
    <row r="43" spans="1:13" ht="15.75" outlineLevel="1">
      <c r="A43" s="36" t="s">
        <v>64</v>
      </c>
      <c r="B43" s="36"/>
      <c r="C43" s="86"/>
      <c r="D43" s="76">
        <v>67971.179200000013</v>
      </c>
      <c r="E43" s="76">
        <v>81209.912697877968</v>
      </c>
      <c r="F43" s="76">
        <v>83715.256583009294</v>
      </c>
      <c r="G43" s="76">
        <v>111069.33560660461</v>
      </c>
      <c r="H43" s="76">
        <v>139549.5203651849</v>
      </c>
      <c r="I43" s="36">
        <f>I81</f>
        <v>161049.87490792462</v>
      </c>
      <c r="J43" s="36">
        <f t="shared" ref="J43:M43" si="22">J81</f>
        <v>179174.62685528077</v>
      </c>
      <c r="K43" s="36">
        <f t="shared" si="22"/>
        <v>178546.75042468967</v>
      </c>
      <c r="L43" s="36">
        <f t="shared" si="22"/>
        <v>233395.99986148495</v>
      </c>
      <c r="M43" s="36">
        <f t="shared" si="22"/>
        <v>292860.04203131422</v>
      </c>
    </row>
    <row r="44" spans="1:13" ht="15.75" outlineLevel="1">
      <c r="A44" s="36" t="s">
        <v>65</v>
      </c>
      <c r="B44" s="36"/>
      <c r="C44" s="86"/>
      <c r="D44" s="76">
        <v>5100.3500000000004</v>
      </c>
      <c r="E44" s="76">
        <v>5904.3</v>
      </c>
      <c r="F44" s="76">
        <v>6567.25</v>
      </c>
      <c r="G44" s="76">
        <v>7117.05</v>
      </c>
      <c r="H44" s="76">
        <v>7538.6</v>
      </c>
      <c r="I44" s="87">
        <f t="shared" ref="I44:M45" si="23">I25*I15/365</f>
        <v>8178.8646575342473</v>
      </c>
      <c r="J44" s="87">
        <f t="shared" si="23"/>
        <v>8996.7511232876732</v>
      </c>
      <c r="K44" s="87">
        <f t="shared" si="23"/>
        <v>9896.42623561644</v>
      </c>
      <c r="L44" s="87">
        <f t="shared" si="23"/>
        <v>10886.068859178085</v>
      </c>
      <c r="M44" s="87">
        <f t="shared" si="23"/>
        <v>11974.675745095894</v>
      </c>
    </row>
    <row r="45" spans="1:13" ht="15.75" outlineLevel="1">
      <c r="A45" s="36" t="s">
        <v>66</v>
      </c>
      <c r="B45" s="36"/>
      <c r="C45" s="86"/>
      <c r="D45" s="76">
        <v>7804.6</v>
      </c>
      <c r="E45" s="76">
        <v>9600.8000000000011</v>
      </c>
      <c r="F45" s="76">
        <v>9824.6</v>
      </c>
      <c r="G45" s="76">
        <v>10530.800000000001</v>
      </c>
      <c r="H45" s="76">
        <v>11342</v>
      </c>
      <c r="I45" s="36">
        <f t="shared" si="23"/>
        <v>15267.21402739726</v>
      </c>
      <c r="J45" s="36">
        <f t="shared" si="23"/>
        <v>21142.365139726033</v>
      </c>
      <c r="K45" s="36">
        <f t="shared" si="23"/>
        <v>27490.072876712333</v>
      </c>
      <c r="L45" s="36">
        <f t="shared" si="23"/>
        <v>21772.137718356171</v>
      </c>
      <c r="M45" s="36">
        <f t="shared" si="23"/>
        <v>23284.091726575352</v>
      </c>
    </row>
    <row r="46" spans="1:13" ht="15.75" outlineLevel="1">
      <c r="A46" s="36" t="s">
        <v>67</v>
      </c>
      <c r="B46" s="36"/>
      <c r="C46" s="43"/>
      <c r="D46" s="76">
        <v>45500</v>
      </c>
      <c r="E46" s="76">
        <v>42350</v>
      </c>
      <c r="F46" s="76">
        <v>40145</v>
      </c>
      <c r="G46" s="76">
        <v>38601.5</v>
      </c>
      <c r="H46" s="76">
        <v>37521.050000000003</v>
      </c>
      <c r="I46" s="36">
        <f t="shared" ref="I46:M46" si="24">I98</f>
        <v>39388.682500000003</v>
      </c>
      <c r="J46" s="36">
        <f t="shared" si="24"/>
        <v>40602.643625000004</v>
      </c>
      <c r="K46" s="36">
        <f t="shared" si="24"/>
        <v>41391.718356249999</v>
      </c>
      <c r="L46" s="36">
        <f t="shared" si="24"/>
        <v>41904.616931562501</v>
      </c>
      <c r="M46" s="36">
        <f t="shared" si="24"/>
        <v>42238.001005515631</v>
      </c>
    </row>
    <row r="47" spans="1:13" ht="16.5" outlineLevel="1" thickBot="1">
      <c r="A47" s="83" t="s">
        <v>68</v>
      </c>
      <c r="B47" s="83"/>
      <c r="C47" s="84"/>
      <c r="D47" s="85">
        <f>SUM(D43:D46)</f>
        <v>126376.12920000002</v>
      </c>
      <c r="E47" s="85">
        <f t="shared" ref="E47:M47" si="25">SUM(E43:E46)</f>
        <v>139065.01269787797</v>
      </c>
      <c r="F47" s="85">
        <f t="shared" si="25"/>
        <v>140252.1065830093</v>
      </c>
      <c r="G47" s="85">
        <f t="shared" si="25"/>
        <v>167318.68560660462</v>
      </c>
      <c r="H47" s="85">
        <f t="shared" si="25"/>
        <v>195951.17036518489</v>
      </c>
      <c r="I47" s="83">
        <f t="shared" si="25"/>
        <v>223884.63609285612</v>
      </c>
      <c r="J47" s="83">
        <f t="shared" si="25"/>
        <v>249916.38674329448</v>
      </c>
      <c r="K47" s="83">
        <f t="shared" si="25"/>
        <v>257324.96789326845</v>
      </c>
      <c r="L47" s="83">
        <f t="shared" si="25"/>
        <v>307958.82337058167</v>
      </c>
      <c r="M47" s="83">
        <f t="shared" si="25"/>
        <v>370356.81050850108</v>
      </c>
    </row>
    <row r="48" spans="1:13" ht="16.5" outlineLevel="1" thickTop="1">
      <c r="A48" s="65"/>
      <c r="B48" s="65"/>
      <c r="C48" s="66"/>
      <c r="D48" s="67"/>
      <c r="E48" s="67"/>
      <c r="F48" s="67"/>
      <c r="G48" s="67"/>
      <c r="H48" s="67"/>
      <c r="I48" s="65"/>
      <c r="J48" s="65"/>
      <c r="K48" s="65"/>
      <c r="L48" s="65"/>
      <c r="M48" s="65"/>
    </row>
    <row r="49" spans="1:13" ht="15.75" outlineLevel="1">
      <c r="A49" s="50" t="s">
        <v>69</v>
      </c>
      <c r="B49" s="36"/>
      <c r="C49" s="86"/>
      <c r="D49" s="76"/>
      <c r="E49" s="76"/>
      <c r="F49" s="76"/>
      <c r="G49" s="76"/>
      <c r="H49" s="76"/>
      <c r="I49" s="36"/>
      <c r="J49" s="36"/>
      <c r="K49" s="36"/>
      <c r="L49" s="36"/>
      <c r="M49" s="36"/>
    </row>
    <row r="50" spans="1:13" ht="15.75" outlineLevel="1">
      <c r="A50" s="36" t="s">
        <v>70</v>
      </c>
      <c r="B50" s="36"/>
      <c r="C50" s="86"/>
      <c r="D50" s="76">
        <v>3902.3</v>
      </c>
      <c r="E50" s="76">
        <v>4800.4000000000005</v>
      </c>
      <c r="F50" s="76">
        <v>4912.3</v>
      </c>
      <c r="G50" s="76">
        <v>5265.4000000000005</v>
      </c>
      <c r="H50" s="76">
        <v>5671</v>
      </c>
      <c r="I50" s="36">
        <f>I26*I17/365</f>
        <v>7061.086487671233</v>
      </c>
      <c r="J50" s="36">
        <f>J26*J17/365</f>
        <v>8691.8612241095907</v>
      </c>
      <c r="K50" s="36">
        <f>K26*K17/365</f>
        <v>10171.326964383563</v>
      </c>
      <c r="L50" s="36">
        <f>L26*L17/365</f>
        <v>8055.6909557917834</v>
      </c>
      <c r="M50" s="36">
        <f>M26*M17/365</f>
        <v>8615.1139388328793</v>
      </c>
    </row>
    <row r="51" spans="1:13" ht="15.75" outlineLevel="1">
      <c r="A51" s="36" t="s">
        <v>71</v>
      </c>
      <c r="B51" s="36"/>
      <c r="C51" s="43"/>
      <c r="D51" s="76">
        <v>50000</v>
      </c>
      <c r="E51" s="76">
        <v>50000</v>
      </c>
      <c r="F51" s="76">
        <v>30000</v>
      </c>
      <c r="G51" s="76">
        <v>30000</v>
      </c>
      <c r="H51" s="76">
        <v>30000</v>
      </c>
      <c r="I51" s="36">
        <f t="shared" ref="I51:M51" si="26">I103</f>
        <v>30000</v>
      </c>
      <c r="J51" s="36">
        <f t="shared" si="26"/>
        <v>30000</v>
      </c>
      <c r="K51" s="36">
        <f t="shared" si="26"/>
        <v>10000</v>
      </c>
      <c r="L51" s="36">
        <f t="shared" si="26"/>
        <v>10000</v>
      </c>
      <c r="M51" s="36">
        <f t="shared" si="26"/>
        <v>10000</v>
      </c>
    </row>
    <row r="52" spans="1:13" ht="15.75" outlineLevel="1">
      <c r="A52" s="52" t="s">
        <v>72</v>
      </c>
      <c r="B52" s="52"/>
      <c r="C52" s="53"/>
      <c r="D52" s="74">
        <f>SUM(D50:D51)</f>
        <v>53902.3</v>
      </c>
      <c r="E52" s="74">
        <f t="shared" ref="E52:M52" si="27">SUM(E50:E51)</f>
        <v>54800.4</v>
      </c>
      <c r="F52" s="74">
        <f t="shared" si="27"/>
        <v>34912.300000000003</v>
      </c>
      <c r="G52" s="74">
        <f t="shared" si="27"/>
        <v>35265.4</v>
      </c>
      <c r="H52" s="74">
        <f t="shared" si="27"/>
        <v>35671</v>
      </c>
      <c r="I52" s="52">
        <f t="shared" si="27"/>
        <v>37061.086487671229</v>
      </c>
      <c r="J52" s="52">
        <f t="shared" si="27"/>
        <v>38691.861224109591</v>
      </c>
      <c r="K52" s="52">
        <f t="shared" si="27"/>
        <v>20171.326964383563</v>
      </c>
      <c r="L52" s="52">
        <f t="shared" si="27"/>
        <v>18055.690955791782</v>
      </c>
      <c r="M52" s="52">
        <f t="shared" si="27"/>
        <v>18615.113938832881</v>
      </c>
    </row>
    <row r="53" spans="1:13" ht="15.75" outlineLevel="1">
      <c r="A53" s="50" t="s">
        <v>73</v>
      </c>
      <c r="B53" s="36"/>
      <c r="C53" s="43"/>
      <c r="D53" s="76"/>
      <c r="E53" s="76"/>
      <c r="F53" s="76"/>
      <c r="G53" s="76"/>
      <c r="H53" s="76"/>
      <c r="I53" s="36"/>
      <c r="J53" s="36"/>
      <c r="K53" s="36"/>
      <c r="L53" s="36"/>
      <c r="M53" s="36"/>
    </row>
    <row r="54" spans="1:13" ht="15.75" outlineLevel="1">
      <c r="A54" s="36" t="s">
        <v>74</v>
      </c>
      <c r="B54" s="36"/>
      <c r="C54" s="43"/>
      <c r="D54" s="76">
        <v>70000</v>
      </c>
      <c r="E54" s="76">
        <v>70000</v>
      </c>
      <c r="F54" s="76">
        <v>70000</v>
      </c>
      <c r="G54" s="76">
        <v>70000</v>
      </c>
      <c r="H54" s="76">
        <v>70000</v>
      </c>
      <c r="I54" s="36">
        <f>H54+I20</f>
        <v>70000</v>
      </c>
      <c r="J54" s="36">
        <f>I54+J20</f>
        <v>70000</v>
      </c>
      <c r="K54" s="36">
        <f>J54+K20</f>
        <v>70000</v>
      </c>
      <c r="L54" s="36">
        <f>K54+L20</f>
        <v>70000</v>
      </c>
      <c r="M54" s="36">
        <f>L54+M20</f>
        <v>70000</v>
      </c>
    </row>
    <row r="55" spans="1:13" ht="15.75" outlineLevel="1">
      <c r="A55" s="36" t="s">
        <v>75</v>
      </c>
      <c r="B55" s="36"/>
      <c r="C55" s="43"/>
      <c r="D55" s="76">
        <v>2473.8292000000001</v>
      </c>
      <c r="E55" s="76">
        <v>14264.612697877968</v>
      </c>
      <c r="F55" s="76">
        <v>35339.806583009296</v>
      </c>
      <c r="G55" s="76">
        <v>62053.285606604608</v>
      </c>
      <c r="H55" s="76">
        <v>90280.170365184895</v>
      </c>
      <c r="I55" s="36">
        <f t="shared" ref="I55:M55" si="28">+H55+I37</f>
        <v>116823.5496051849</v>
      </c>
      <c r="J55" s="36">
        <f t="shared" si="28"/>
        <v>141224.52551918491</v>
      </c>
      <c r="K55" s="36">
        <f t="shared" si="28"/>
        <v>167153.64092888491</v>
      </c>
      <c r="L55" s="36">
        <f t="shared" si="28"/>
        <v>219903.13241478993</v>
      </c>
      <c r="M55" s="36">
        <f t="shared" si="28"/>
        <v>281741.69656966825</v>
      </c>
    </row>
    <row r="56" spans="1:13" ht="15.75" outlineLevel="1">
      <c r="A56" s="88" t="s">
        <v>73</v>
      </c>
      <c r="B56" s="88"/>
      <c r="C56" s="89"/>
      <c r="D56" s="90">
        <f>SUM(D54:D55)</f>
        <v>72473.829200000007</v>
      </c>
      <c r="E56" s="90">
        <f t="shared" ref="E56:M56" si="29">SUM(E54:E55)</f>
        <v>84264.612697877965</v>
      </c>
      <c r="F56" s="90">
        <f t="shared" si="29"/>
        <v>105339.8065830093</v>
      </c>
      <c r="G56" s="90">
        <f t="shared" si="29"/>
        <v>132053.28560660459</v>
      </c>
      <c r="H56" s="90">
        <f t="shared" si="29"/>
        <v>160280.17036518489</v>
      </c>
      <c r="I56" s="88">
        <f t="shared" si="29"/>
        <v>186823.5496051849</v>
      </c>
      <c r="J56" s="88">
        <f t="shared" si="29"/>
        <v>211224.52551918491</v>
      </c>
      <c r="K56" s="88">
        <f t="shared" si="29"/>
        <v>237153.64092888491</v>
      </c>
      <c r="L56" s="88">
        <f t="shared" si="29"/>
        <v>289903.13241478993</v>
      </c>
      <c r="M56" s="88">
        <f t="shared" si="29"/>
        <v>351741.69656966825</v>
      </c>
    </row>
    <row r="57" spans="1:13" ht="16.5" outlineLevel="1" thickBot="1">
      <c r="A57" s="83" t="s">
        <v>76</v>
      </c>
      <c r="B57" s="83"/>
      <c r="C57" s="84"/>
      <c r="D57" s="85">
        <f>D52+D56</f>
        <v>126376.12920000001</v>
      </c>
      <c r="E57" s="85">
        <f t="shared" ref="E57:H57" si="30">E52+E56</f>
        <v>139065.01269787797</v>
      </c>
      <c r="F57" s="85">
        <f t="shared" si="30"/>
        <v>140252.1065830093</v>
      </c>
      <c r="G57" s="85">
        <f t="shared" si="30"/>
        <v>167318.68560660459</v>
      </c>
      <c r="H57" s="85">
        <f t="shared" si="30"/>
        <v>195951.17036518489</v>
      </c>
      <c r="I57" s="83">
        <f t="shared" ref="I57:M57" si="31">I56+I52</f>
        <v>223884.63609285612</v>
      </c>
      <c r="J57" s="83">
        <f t="shared" si="31"/>
        <v>249916.38674329451</v>
      </c>
      <c r="K57" s="83">
        <f t="shared" si="31"/>
        <v>257324.96789326848</v>
      </c>
      <c r="L57" s="83">
        <f t="shared" si="31"/>
        <v>307958.82337058173</v>
      </c>
      <c r="M57" s="83">
        <f t="shared" si="31"/>
        <v>370356.81050850113</v>
      </c>
    </row>
    <row r="58" spans="1:13" ht="16.5" outlineLevel="1" thickTop="1">
      <c r="A58" s="36"/>
      <c r="B58" s="36"/>
      <c r="C58" s="43"/>
      <c r="D58" s="76"/>
      <c r="E58" s="76"/>
      <c r="F58" s="76"/>
      <c r="G58" s="76"/>
      <c r="H58" s="76"/>
      <c r="I58" s="36"/>
      <c r="J58" s="36"/>
      <c r="K58" s="36"/>
      <c r="L58" s="36"/>
      <c r="M58" s="36"/>
    </row>
    <row r="59" spans="1:13" ht="15.75" outlineLevel="1">
      <c r="A59" s="91" t="s">
        <v>77</v>
      </c>
      <c r="B59" s="92"/>
      <c r="C59" s="93"/>
      <c r="D59" s="92">
        <f t="shared" ref="D59:M59" si="32">D57-D47</f>
        <v>0</v>
      </c>
      <c r="E59" s="92">
        <f t="shared" si="32"/>
        <v>0</v>
      </c>
      <c r="F59" s="92">
        <f t="shared" si="32"/>
        <v>0</v>
      </c>
      <c r="G59" s="92">
        <f t="shared" si="32"/>
        <v>0</v>
      </c>
      <c r="H59" s="92">
        <f t="shared" si="32"/>
        <v>0</v>
      </c>
      <c r="I59" s="92">
        <f t="shared" si="32"/>
        <v>0</v>
      </c>
      <c r="J59" s="92">
        <f t="shared" si="32"/>
        <v>0</v>
      </c>
      <c r="K59" s="92">
        <f t="shared" si="32"/>
        <v>0</v>
      </c>
      <c r="L59" s="92">
        <f t="shared" si="32"/>
        <v>0</v>
      </c>
      <c r="M59" s="92">
        <f t="shared" si="32"/>
        <v>0</v>
      </c>
    </row>
    <row r="60" spans="1:13" ht="15.75" outlineLevel="1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L60" s="92"/>
      <c r="M60" s="92"/>
    </row>
    <row r="61" spans="1:13" ht="15.75">
      <c r="A61" s="36"/>
      <c r="B61" s="36"/>
      <c r="C61" s="43"/>
      <c r="D61" s="76"/>
      <c r="E61" s="76"/>
      <c r="F61" s="76"/>
      <c r="G61" s="76"/>
      <c r="H61" s="76"/>
      <c r="I61" s="36"/>
      <c r="J61" s="36"/>
      <c r="K61" s="36"/>
      <c r="L61" s="36"/>
      <c r="M61" s="36"/>
    </row>
    <row r="62" spans="1:13" ht="20.25">
      <c r="A62" s="45" t="s">
        <v>78</v>
      </c>
      <c r="B62" s="46"/>
      <c r="C62" s="47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1:13" ht="15.75" outlineLevel="1">
      <c r="A63" s="50"/>
      <c r="B63" s="36"/>
      <c r="C63" s="43"/>
      <c r="D63" s="67"/>
      <c r="E63" s="76"/>
      <c r="F63" s="76"/>
      <c r="G63" s="76"/>
      <c r="H63" s="76"/>
      <c r="I63" s="36"/>
      <c r="J63" s="36"/>
      <c r="K63" s="36"/>
      <c r="L63" s="36"/>
      <c r="M63" s="36"/>
    </row>
    <row r="64" spans="1:13" ht="15.75" outlineLevel="1">
      <c r="A64" s="50" t="s">
        <v>79</v>
      </c>
      <c r="B64" s="36"/>
      <c r="C64" s="43"/>
      <c r="D64" s="76"/>
      <c r="E64" s="76"/>
      <c r="F64" s="76"/>
      <c r="G64" s="76"/>
      <c r="H64" s="76"/>
      <c r="I64" s="36"/>
      <c r="J64" s="36"/>
      <c r="K64" s="36"/>
      <c r="L64" s="36"/>
      <c r="M64" s="36"/>
    </row>
    <row r="65" spans="1:13" ht="15.75" outlineLevel="1">
      <c r="A65" s="36" t="s">
        <v>61</v>
      </c>
      <c r="B65" s="36"/>
      <c r="C65" s="43"/>
      <c r="D65" s="76">
        <v>2473.8292000000001</v>
      </c>
      <c r="E65" s="76">
        <v>11790.783497877968</v>
      </c>
      <c r="F65" s="76">
        <v>21075.193885131324</v>
      </c>
      <c r="G65" s="76">
        <v>26713.479023595311</v>
      </c>
      <c r="H65" s="76">
        <v>28226.884758580287</v>
      </c>
      <c r="I65" s="36">
        <f t="shared" ref="I65:M65" si="33">I37</f>
        <v>26543.379240000002</v>
      </c>
      <c r="J65" s="36">
        <f t="shared" si="33"/>
        <v>24400.975914000002</v>
      </c>
      <c r="K65" s="36">
        <f t="shared" si="33"/>
        <v>25929.115409700004</v>
      </c>
      <c r="L65" s="36">
        <f t="shared" si="33"/>
        <v>52749.491485905033</v>
      </c>
      <c r="M65" s="36">
        <f t="shared" si="33"/>
        <v>61838.564154878288</v>
      </c>
    </row>
    <row r="66" spans="1:13" ht="15.75" outlineLevel="1">
      <c r="A66" s="36" t="s">
        <v>80</v>
      </c>
      <c r="B66" s="36"/>
      <c r="C66" s="43"/>
      <c r="D66" s="76">
        <v>19500</v>
      </c>
      <c r="E66" s="76">
        <v>18150</v>
      </c>
      <c r="F66" s="76">
        <v>17205</v>
      </c>
      <c r="G66" s="76">
        <v>16543.5</v>
      </c>
      <c r="H66" s="76">
        <v>16080.449999999999</v>
      </c>
      <c r="I66" s="36">
        <f>I31</f>
        <v>13132.3675</v>
      </c>
      <c r="J66" s="36">
        <f t="shared" ref="J66:M66" si="34">J31</f>
        <v>13786.038875</v>
      </c>
      <c r="K66" s="36">
        <f t="shared" si="34"/>
        <v>14210.925268750001</v>
      </c>
      <c r="L66" s="36">
        <f t="shared" si="34"/>
        <v>14487.101424687498</v>
      </c>
      <c r="M66" s="36">
        <f t="shared" si="34"/>
        <v>14666.615926046874</v>
      </c>
    </row>
    <row r="67" spans="1:13" ht="15.75" outlineLevel="1">
      <c r="A67" s="36" t="s">
        <v>81</v>
      </c>
      <c r="B67" s="36"/>
      <c r="C67" s="43"/>
      <c r="D67" s="76">
        <v>9002.6500000000015</v>
      </c>
      <c r="E67" s="76">
        <v>1702.0499999999993</v>
      </c>
      <c r="F67" s="76">
        <v>774.84999999999854</v>
      </c>
      <c r="G67" s="76">
        <v>902.90000000000146</v>
      </c>
      <c r="H67" s="76">
        <v>827.14999999999782</v>
      </c>
      <c r="I67" s="36">
        <f>I92</f>
        <v>3175.3921972602766</v>
      </c>
      <c r="J67" s="36">
        <f t="shared" ref="J67:M67" si="35">J92</f>
        <v>5062.2628416438383</v>
      </c>
      <c r="K67" s="36">
        <f t="shared" si="35"/>
        <v>5767.9171090411</v>
      </c>
      <c r="L67" s="36">
        <f t="shared" si="35"/>
        <v>-2612.6565262027398</v>
      </c>
      <c r="M67" s="36">
        <f t="shared" si="35"/>
        <v>2041.1379110958951</v>
      </c>
    </row>
    <row r="68" spans="1:13" ht="15.75" outlineLevel="1">
      <c r="A68" s="52" t="s">
        <v>82</v>
      </c>
      <c r="B68" s="51"/>
      <c r="C68" s="94"/>
      <c r="D68" s="74">
        <f>D65+D66-D67</f>
        <v>12971.179199999999</v>
      </c>
      <c r="E68" s="74">
        <f t="shared" ref="E68:M68" si="36">E65+E66-E67</f>
        <v>28238.733497877969</v>
      </c>
      <c r="F68" s="74">
        <f t="shared" si="36"/>
        <v>37505.343885131326</v>
      </c>
      <c r="G68" s="74">
        <f t="shared" si="36"/>
        <v>42354.07902359531</v>
      </c>
      <c r="H68" s="74">
        <f t="shared" si="36"/>
        <v>43480.18475858029</v>
      </c>
      <c r="I68" s="74">
        <f t="shared" si="36"/>
        <v>36500.354542739726</v>
      </c>
      <c r="J68" s="74">
        <f t="shared" si="36"/>
        <v>33124.751947356162</v>
      </c>
      <c r="K68" s="74">
        <f t="shared" si="36"/>
        <v>34372.123569408912</v>
      </c>
      <c r="L68" s="74">
        <f t="shared" si="36"/>
        <v>69849.249436795275</v>
      </c>
      <c r="M68" s="74">
        <f t="shared" si="36"/>
        <v>74464.042169829263</v>
      </c>
    </row>
    <row r="69" spans="1:13" ht="15.75" outlineLevel="1">
      <c r="A69" s="65"/>
      <c r="B69" s="56"/>
      <c r="C69" s="57"/>
      <c r="D69" s="67"/>
      <c r="E69" s="67"/>
      <c r="F69" s="67"/>
      <c r="G69" s="67"/>
      <c r="H69" s="67"/>
      <c r="I69" s="65"/>
      <c r="J69" s="65"/>
      <c r="K69" s="65"/>
      <c r="L69" s="65"/>
      <c r="M69" s="65"/>
    </row>
    <row r="70" spans="1:13" ht="15.75" outlineLevel="1">
      <c r="A70" s="50" t="s">
        <v>83</v>
      </c>
      <c r="B70" s="36"/>
      <c r="C70" s="43"/>
      <c r="D70" s="72"/>
      <c r="E70" s="72"/>
      <c r="F70" s="72"/>
      <c r="G70" s="72"/>
      <c r="H70" s="72"/>
      <c r="I70" s="56"/>
      <c r="J70" s="56"/>
      <c r="K70" s="56"/>
      <c r="L70" s="56"/>
      <c r="M70" s="56"/>
    </row>
    <row r="71" spans="1:13" ht="15.75" outlineLevel="1">
      <c r="A71" s="36" t="s">
        <v>84</v>
      </c>
      <c r="B71" s="36"/>
      <c r="C71" s="43"/>
      <c r="D71" s="72">
        <v>15000</v>
      </c>
      <c r="E71" s="72">
        <v>15000</v>
      </c>
      <c r="F71" s="72">
        <v>15000</v>
      </c>
      <c r="G71" s="72">
        <v>15000</v>
      </c>
      <c r="H71" s="72">
        <v>15000</v>
      </c>
      <c r="I71" s="56">
        <f>I96</f>
        <v>15000</v>
      </c>
      <c r="J71" s="56">
        <f t="shared" ref="J71:M71" si="37">J96</f>
        <v>15000</v>
      </c>
      <c r="K71" s="56">
        <f t="shared" si="37"/>
        <v>15000</v>
      </c>
      <c r="L71" s="56">
        <f t="shared" si="37"/>
        <v>15000</v>
      </c>
      <c r="M71" s="56">
        <f t="shared" si="37"/>
        <v>15000</v>
      </c>
    </row>
    <row r="72" spans="1:13" ht="15.75" outlineLevel="1">
      <c r="A72" s="52" t="s">
        <v>85</v>
      </c>
      <c r="B72" s="51"/>
      <c r="C72" s="94"/>
      <c r="D72" s="74">
        <f>SUM(D71)</f>
        <v>15000</v>
      </c>
      <c r="E72" s="74">
        <f t="shared" ref="E72:H72" si="38">SUM(E71)</f>
        <v>15000</v>
      </c>
      <c r="F72" s="74">
        <f t="shared" si="38"/>
        <v>15000</v>
      </c>
      <c r="G72" s="74">
        <f t="shared" si="38"/>
        <v>15000</v>
      </c>
      <c r="H72" s="74">
        <f t="shared" si="38"/>
        <v>15000</v>
      </c>
      <c r="I72" s="52">
        <f t="shared" ref="I72:M72" si="39">I71</f>
        <v>15000</v>
      </c>
      <c r="J72" s="52">
        <f t="shared" si="39"/>
        <v>15000</v>
      </c>
      <c r="K72" s="52">
        <f t="shared" si="39"/>
        <v>15000</v>
      </c>
      <c r="L72" s="52">
        <f t="shared" si="39"/>
        <v>15000</v>
      </c>
      <c r="M72" s="52">
        <f t="shared" si="39"/>
        <v>15000</v>
      </c>
    </row>
    <row r="73" spans="1:13" ht="15.75" outlineLevel="1">
      <c r="A73" s="65"/>
      <c r="B73" s="56"/>
      <c r="C73" s="57"/>
      <c r="D73" s="67"/>
      <c r="E73" s="67"/>
      <c r="F73" s="67"/>
      <c r="G73" s="67"/>
      <c r="H73" s="67"/>
      <c r="I73" s="65"/>
      <c r="J73" s="65"/>
      <c r="K73" s="65"/>
      <c r="L73" s="65"/>
      <c r="M73" s="65"/>
    </row>
    <row r="74" spans="1:13" ht="15.75" outlineLevel="1">
      <c r="A74" s="50" t="s">
        <v>86</v>
      </c>
      <c r="B74" s="36"/>
      <c r="C74" s="43"/>
      <c r="D74" s="72"/>
      <c r="E74" s="72"/>
      <c r="F74" s="72"/>
      <c r="G74" s="72"/>
      <c r="H74" s="72"/>
      <c r="I74" s="56"/>
      <c r="J74" s="56"/>
      <c r="K74" s="56"/>
      <c r="L74" s="56"/>
      <c r="M74" s="56"/>
    </row>
    <row r="75" spans="1:13" ht="15.75" outlineLevel="1">
      <c r="A75" s="36" t="s">
        <v>87</v>
      </c>
      <c r="B75" s="36"/>
      <c r="C75" s="43"/>
      <c r="D75" s="72">
        <v>0</v>
      </c>
      <c r="E75" s="72">
        <v>0</v>
      </c>
      <c r="F75" s="72">
        <v>-20000</v>
      </c>
      <c r="G75" s="72">
        <v>0</v>
      </c>
      <c r="H75" s="72">
        <v>0</v>
      </c>
      <c r="I75" s="56">
        <f t="shared" ref="I75:M75" si="40">I102</f>
        <v>0</v>
      </c>
      <c r="J75" s="56">
        <f t="shared" si="40"/>
        <v>0</v>
      </c>
      <c r="K75" s="56">
        <f t="shared" si="40"/>
        <v>-20000</v>
      </c>
      <c r="L75" s="56">
        <f t="shared" si="40"/>
        <v>0</v>
      </c>
      <c r="M75" s="56">
        <f t="shared" si="40"/>
        <v>0</v>
      </c>
    </row>
    <row r="76" spans="1:13" ht="15.75" outlineLevel="1">
      <c r="A76" s="36" t="s">
        <v>88</v>
      </c>
      <c r="B76" s="36"/>
      <c r="C76" s="43"/>
      <c r="D76" s="72">
        <v>70000</v>
      </c>
      <c r="E76" s="72">
        <v>0</v>
      </c>
      <c r="F76" s="72">
        <v>0</v>
      </c>
      <c r="G76" s="72">
        <v>0</v>
      </c>
      <c r="H76" s="72">
        <v>0</v>
      </c>
      <c r="I76" s="56">
        <f>I20</f>
        <v>0</v>
      </c>
      <c r="J76" s="56">
        <f>J20</f>
        <v>0</v>
      </c>
      <c r="K76" s="56">
        <f>K20</f>
        <v>0</v>
      </c>
      <c r="L76" s="56">
        <f>L20</f>
        <v>0</v>
      </c>
      <c r="M76" s="56">
        <f>M20</f>
        <v>0</v>
      </c>
    </row>
    <row r="77" spans="1:13" ht="15.75" outlineLevel="1">
      <c r="A77" s="52" t="s">
        <v>89</v>
      </c>
      <c r="B77" s="51"/>
      <c r="C77" s="94"/>
      <c r="D77" s="74">
        <f>SUM(D75:D76)</f>
        <v>70000</v>
      </c>
      <c r="E77" s="74">
        <f t="shared" ref="E77:M77" si="41">SUM(E75:E76)</f>
        <v>0</v>
      </c>
      <c r="F77" s="74">
        <f t="shared" si="41"/>
        <v>-20000</v>
      </c>
      <c r="G77" s="74">
        <f t="shared" si="41"/>
        <v>0</v>
      </c>
      <c r="H77" s="74">
        <f t="shared" si="41"/>
        <v>0</v>
      </c>
      <c r="I77" s="52">
        <f t="shared" si="41"/>
        <v>0</v>
      </c>
      <c r="J77" s="52">
        <f t="shared" si="41"/>
        <v>0</v>
      </c>
      <c r="K77" s="52">
        <f t="shared" si="41"/>
        <v>-20000</v>
      </c>
      <c r="L77" s="52">
        <f t="shared" si="41"/>
        <v>0</v>
      </c>
      <c r="M77" s="52">
        <f t="shared" si="41"/>
        <v>0</v>
      </c>
    </row>
    <row r="78" spans="1:13" ht="15.75" outlineLevel="1">
      <c r="A78" s="65"/>
      <c r="B78" s="56"/>
      <c r="C78" s="57"/>
      <c r="D78" s="67"/>
      <c r="E78" s="67"/>
      <c r="F78" s="67"/>
      <c r="G78" s="67"/>
      <c r="H78" s="67"/>
      <c r="I78" s="65"/>
      <c r="J78" s="65"/>
      <c r="K78" s="65"/>
      <c r="L78" s="65"/>
      <c r="M78" s="65"/>
    </row>
    <row r="79" spans="1:13" ht="15.75" outlineLevel="1">
      <c r="A79" s="36" t="s">
        <v>90</v>
      </c>
      <c r="B79" s="36"/>
      <c r="C79" s="43"/>
      <c r="D79" s="95">
        <f>D68-D72+D77</f>
        <v>67971.179199999999</v>
      </c>
      <c r="E79" s="95">
        <f t="shared" ref="E79:M79" si="42">E68-E72+E77</f>
        <v>13238.733497877969</v>
      </c>
      <c r="F79" s="95">
        <f t="shared" si="42"/>
        <v>2505.3438851313258</v>
      </c>
      <c r="G79" s="95">
        <f t="shared" si="42"/>
        <v>27354.07902359531</v>
      </c>
      <c r="H79" s="95">
        <f t="shared" si="42"/>
        <v>28480.18475858029</v>
      </c>
      <c r="I79" s="95">
        <f t="shared" si="42"/>
        <v>21500.354542739726</v>
      </c>
      <c r="J79" s="95">
        <f t="shared" si="42"/>
        <v>18124.751947356162</v>
      </c>
      <c r="K79" s="95">
        <f t="shared" si="42"/>
        <v>-627.87643059108814</v>
      </c>
      <c r="L79" s="95">
        <f t="shared" si="42"/>
        <v>54849.249436795275</v>
      </c>
      <c r="M79" s="95">
        <f t="shared" si="42"/>
        <v>59464.042169829263</v>
      </c>
    </row>
    <row r="80" spans="1:13" ht="15.75" outlineLevel="1">
      <c r="A80" s="36" t="s">
        <v>91</v>
      </c>
      <c r="B80" s="36"/>
      <c r="C80" s="43"/>
      <c r="D80" s="72">
        <v>0</v>
      </c>
      <c r="E80" s="72">
        <v>67971.179200000013</v>
      </c>
      <c r="F80" s="72">
        <v>81209.912697877968</v>
      </c>
      <c r="G80" s="72">
        <v>83715.256583009294</v>
      </c>
      <c r="H80" s="72">
        <v>111069.33560660461</v>
      </c>
      <c r="I80" s="56">
        <f t="shared" ref="I80:M80" si="43">H81</f>
        <v>139549.5203651849</v>
      </c>
      <c r="J80" s="56">
        <f t="shared" si="43"/>
        <v>161049.87490792462</v>
      </c>
      <c r="K80" s="56">
        <f t="shared" si="43"/>
        <v>179174.62685528077</v>
      </c>
      <c r="L80" s="56">
        <f t="shared" si="43"/>
        <v>178546.75042468967</v>
      </c>
      <c r="M80" s="56">
        <f t="shared" si="43"/>
        <v>233395.99986148495</v>
      </c>
    </row>
    <row r="81" spans="1:13" ht="15.75" outlineLevel="1">
      <c r="A81" s="52" t="s">
        <v>92</v>
      </c>
      <c r="B81" s="51"/>
      <c r="C81" s="94"/>
      <c r="D81" s="74">
        <f>SUM(D79:D80)</f>
        <v>67971.179199999999</v>
      </c>
      <c r="E81" s="74">
        <f t="shared" ref="E81:M81" si="44">SUM(E79:E80)</f>
        <v>81209.912697877982</v>
      </c>
      <c r="F81" s="74">
        <f t="shared" si="44"/>
        <v>83715.256583009294</v>
      </c>
      <c r="G81" s="74">
        <f t="shared" si="44"/>
        <v>111069.33560660461</v>
      </c>
      <c r="H81" s="74">
        <f t="shared" si="44"/>
        <v>139549.5203651849</v>
      </c>
      <c r="I81" s="74">
        <f t="shared" si="44"/>
        <v>161049.87490792462</v>
      </c>
      <c r="J81" s="74">
        <f t="shared" si="44"/>
        <v>179174.62685528077</v>
      </c>
      <c r="K81" s="74">
        <f t="shared" si="44"/>
        <v>178546.75042468967</v>
      </c>
      <c r="L81" s="74">
        <f t="shared" si="44"/>
        <v>233395.99986148495</v>
      </c>
      <c r="M81" s="74">
        <f t="shared" si="44"/>
        <v>292860.04203131422</v>
      </c>
    </row>
    <row r="82" spans="1:13" ht="15.75" outlineLevel="1">
      <c r="A82" s="50"/>
      <c r="B82" s="36"/>
      <c r="C82" s="43"/>
      <c r="D82" s="67"/>
      <c r="E82" s="76"/>
      <c r="F82" s="76"/>
      <c r="G82" s="76"/>
      <c r="H82" s="76"/>
      <c r="I82" s="36"/>
      <c r="J82" s="36"/>
      <c r="K82" s="36"/>
      <c r="L82" s="36"/>
      <c r="M82" s="36"/>
    </row>
    <row r="83" spans="1:13" ht="15.75" outlineLevel="1">
      <c r="A83" s="50"/>
      <c r="B83" s="36"/>
      <c r="C83" s="43"/>
      <c r="D83" s="67"/>
      <c r="E83" s="76"/>
      <c r="F83" s="76"/>
      <c r="G83" s="76"/>
      <c r="H83" s="76"/>
      <c r="I83" s="36"/>
      <c r="J83" s="36"/>
      <c r="K83" s="36"/>
      <c r="L83" s="36"/>
      <c r="M83" s="36"/>
    </row>
    <row r="84" spans="1:13" ht="15.75">
      <c r="A84" s="36"/>
      <c r="B84" s="36"/>
      <c r="C84" s="43"/>
      <c r="D84" s="76"/>
      <c r="E84" s="76"/>
      <c r="F84" s="76"/>
      <c r="G84" s="76"/>
      <c r="H84" s="76"/>
      <c r="I84" s="36"/>
      <c r="J84" s="36"/>
      <c r="K84" s="36"/>
      <c r="L84" s="36"/>
      <c r="M84" s="36"/>
    </row>
    <row r="85" spans="1:13" ht="20.25">
      <c r="A85" s="45" t="s">
        <v>93</v>
      </c>
      <c r="B85" s="46"/>
      <c r="C85" s="47"/>
      <c r="D85" s="46"/>
      <c r="E85" s="46"/>
      <c r="F85" s="46"/>
      <c r="G85" s="46"/>
      <c r="H85" s="46"/>
      <c r="I85" s="46"/>
      <c r="J85" s="46"/>
      <c r="K85" s="46"/>
      <c r="L85" s="46"/>
      <c r="M85" s="46"/>
    </row>
    <row r="86" spans="1:13" ht="15.75" outlineLevel="1">
      <c r="A86" s="36"/>
      <c r="B86" s="36"/>
      <c r="C86" s="43"/>
      <c r="D86" s="76"/>
      <c r="E86" s="76"/>
      <c r="F86" s="76"/>
      <c r="G86" s="76"/>
      <c r="H86" s="76"/>
      <c r="I86" s="36"/>
      <c r="J86" s="36"/>
      <c r="K86" s="36"/>
      <c r="L86" s="36"/>
      <c r="M86" s="36"/>
    </row>
    <row r="87" spans="1:13" ht="15.75" outlineLevel="1">
      <c r="A87" s="50" t="s">
        <v>94</v>
      </c>
      <c r="B87" s="36"/>
      <c r="C87" s="43"/>
      <c r="D87" s="76"/>
      <c r="E87" s="76"/>
      <c r="F87" s="76"/>
      <c r="G87" s="76"/>
      <c r="H87" s="76"/>
      <c r="I87" s="36"/>
      <c r="J87" s="36"/>
      <c r="K87" s="36"/>
      <c r="L87" s="36"/>
      <c r="M87" s="36"/>
    </row>
    <row r="88" spans="1:13" ht="15.75" outlineLevel="1">
      <c r="A88" s="36" t="s">
        <v>65</v>
      </c>
      <c r="B88" s="36"/>
      <c r="C88" s="43"/>
      <c r="D88" s="76">
        <v>5100.3500000000004</v>
      </c>
      <c r="E88" s="76">
        <v>5904.3</v>
      </c>
      <c r="F88" s="76">
        <v>6567.25</v>
      </c>
      <c r="G88" s="76">
        <v>7117.05</v>
      </c>
      <c r="H88" s="76">
        <v>7538.6</v>
      </c>
      <c r="I88" s="96">
        <f t="shared" ref="I88:M89" si="45">I44</f>
        <v>8178.8646575342473</v>
      </c>
      <c r="J88" s="96">
        <f t="shared" si="45"/>
        <v>8996.7511232876732</v>
      </c>
      <c r="K88" s="96">
        <f t="shared" si="45"/>
        <v>9896.42623561644</v>
      </c>
      <c r="L88" s="96">
        <f t="shared" si="45"/>
        <v>10886.068859178085</v>
      </c>
      <c r="M88" s="96">
        <f t="shared" si="45"/>
        <v>11974.675745095894</v>
      </c>
    </row>
    <row r="89" spans="1:13" ht="15.75" outlineLevel="1">
      <c r="A89" s="36" t="s">
        <v>66</v>
      </c>
      <c r="B89" s="36"/>
      <c r="C89" s="43"/>
      <c r="D89" s="76">
        <v>7804.6</v>
      </c>
      <c r="E89" s="76">
        <v>9600.8000000000011</v>
      </c>
      <c r="F89" s="76">
        <v>9824.6</v>
      </c>
      <c r="G89" s="76">
        <v>10530.800000000001</v>
      </c>
      <c r="H89" s="76">
        <v>11342</v>
      </c>
      <c r="I89" s="96">
        <f t="shared" si="45"/>
        <v>15267.21402739726</v>
      </c>
      <c r="J89" s="96">
        <f t="shared" si="45"/>
        <v>21142.365139726033</v>
      </c>
      <c r="K89" s="96">
        <f t="shared" si="45"/>
        <v>27490.072876712333</v>
      </c>
      <c r="L89" s="96">
        <f t="shared" si="45"/>
        <v>21772.137718356171</v>
      </c>
      <c r="M89" s="96">
        <f t="shared" si="45"/>
        <v>23284.091726575352</v>
      </c>
    </row>
    <row r="90" spans="1:13" ht="15.75" outlineLevel="1">
      <c r="A90" s="36" t="s">
        <v>70</v>
      </c>
      <c r="B90" s="36"/>
      <c r="C90" s="43"/>
      <c r="D90" s="76">
        <v>3902.3</v>
      </c>
      <c r="E90" s="76">
        <v>4800.4000000000005</v>
      </c>
      <c r="F90" s="76">
        <v>4912.3</v>
      </c>
      <c r="G90" s="76">
        <v>5265.4000000000005</v>
      </c>
      <c r="H90" s="76">
        <v>5671</v>
      </c>
      <c r="I90" s="96">
        <f>I50</f>
        <v>7061.086487671233</v>
      </c>
      <c r="J90" s="96">
        <f t="shared" ref="J90:M90" si="46">J50</f>
        <v>8691.8612241095907</v>
      </c>
      <c r="K90" s="96">
        <f t="shared" si="46"/>
        <v>10171.326964383563</v>
      </c>
      <c r="L90" s="96">
        <f t="shared" si="46"/>
        <v>8055.6909557917834</v>
      </c>
      <c r="M90" s="96">
        <f t="shared" si="46"/>
        <v>8615.1139388328793</v>
      </c>
    </row>
    <row r="91" spans="1:13" ht="15.75" outlineLevel="1">
      <c r="A91" s="51" t="s">
        <v>95</v>
      </c>
      <c r="B91" s="51"/>
      <c r="C91" s="94"/>
      <c r="D91" s="97">
        <f>D88+D89-D90</f>
        <v>9002.6500000000015</v>
      </c>
      <c r="E91" s="97">
        <f t="shared" ref="E91:M91" si="47">E88+E89-E90</f>
        <v>10704.7</v>
      </c>
      <c r="F91" s="97">
        <f t="shared" si="47"/>
        <v>11479.55</v>
      </c>
      <c r="G91" s="97">
        <f t="shared" si="47"/>
        <v>12382.45</v>
      </c>
      <c r="H91" s="97">
        <f t="shared" si="47"/>
        <v>13209.599999999999</v>
      </c>
      <c r="I91" s="98">
        <f t="shared" si="47"/>
        <v>16384.992197260275</v>
      </c>
      <c r="J91" s="98">
        <f t="shared" si="47"/>
        <v>21447.255038904113</v>
      </c>
      <c r="K91" s="98">
        <f t="shared" si="47"/>
        <v>27215.172147945214</v>
      </c>
      <c r="L91" s="98">
        <f t="shared" si="47"/>
        <v>24602.515621742474</v>
      </c>
      <c r="M91" s="98">
        <f t="shared" si="47"/>
        <v>26643.653532838369</v>
      </c>
    </row>
    <row r="92" spans="1:13" ht="15.75" outlineLevel="1">
      <c r="A92" s="36" t="s">
        <v>96</v>
      </c>
      <c r="B92" s="36"/>
      <c r="C92" s="43"/>
      <c r="D92" s="99">
        <f>D91-C91</f>
        <v>9002.6500000000015</v>
      </c>
      <c r="E92" s="99">
        <f t="shared" ref="E92:M92" si="48">E91-D91</f>
        <v>1702.0499999999993</v>
      </c>
      <c r="F92" s="99">
        <f t="shared" si="48"/>
        <v>774.84999999999854</v>
      </c>
      <c r="G92" s="99">
        <f t="shared" si="48"/>
        <v>902.90000000000146</v>
      </c>
      <c r="H92" s="99">
        <f t="shared" si="48"/>
        <v>827.14999999999782</v>
      </c>
      <c r="I92" s="96">
        <f t="shared" si="48"/>
        <v>3175.3921972602766</v>
      </c>
      <c r="J92" s="96">
        <f t="shared" si="48"/>
        <v>5062.2628416438383</v>
      </c>
      <c r="K92" s="96">
        <f t="shared" si="48"/>
        <v>5767.9171090411</v>
      </c>
      <c r="L92" s="96">
        <f t="shared" si="48"/>
        <v>-2612.6565262027398</v>
      </c>
      <c r="M92" s="96">
        <f t="shared" si="48"/>
        <v>2041.1379110958951</v>
      </c>
    </row>
    <row r="93" spans="1:13" ht="15.75" outlineLevel="1">
      <c r="A93" s="36"/>
      <c r="B93" s="36"/>
      <c r="C93" s="43"/>
      <c r="D93" s="76"/>
      <c r="E93" s="76"/>
      <c r="F93" s="76"/>
      <c r="G93" s="76"/>
      <c r="H93" s="76"/>
      <c r="I93" s="96"/>
      <c r="J93" s="96"/>
      <c r="K93" s="96"/>
      <c r="L93" s="96"/>
      <c r="M93" s="96"/>
    </row>
    <row r="94" spans="1:13" ht="15.75" outlineLevel="1">
      <c r="A94" s="50" t="s">
        <v>97</v>
      </c>
      <c r="B94" s="36"/>
      <c r="C94" s="43"/>
      <c r="D94" s="76"/>
      <c r="E94" s="76"/>
      <c r="F94" s="76"/>
      <c r="G94" s="76"/>
      <c r="H94" s="76"/>
      <c r="I94" s="96"/>
      <c r="J94" s="96"/>
      <c r="K94" s="96"/>
      <c r="L94" s="96"/>
      <c r="M94" s="96"/>
    </row>
    <row r="95" spans="1:13" ht="15.75" outlineLevel="1">
      <c r="A95" s="36" t="s">
        <v>98</v>
      </c>
      <c r="B95" s="36"/>
      <c r="C95" s="43"/>
      <c r="D95" s="76">
        <v>50000</v>
      </c>
      <c r="E95" s="76">
        <v>45500</v>
      </c>
      <c r="F95" s="76">
        <v>42350</v>
      </c>
      <c r="G95" s="76">
        <v>40145</v>
      </c>
      <c r="H95" s="76">
        <v>38601.5</v>
      </c>
      <c r="I95" s="96">
        <f t="shared" ref="I95:M95" si="49">H98</f>
        <v>37521.050000000003</v>
      </c>
      <c r="J95" s="96">
        <f t="shared" si="49"/>
        <v>39388.682500000003</v>
      </c>
      <c r="K95" s="96">
        <f t="shared" si="49"/>
        <v>40602.643625000004</v>
      </c>
      <c r="L95" s="96">
        <f t="shared" si="49"/>
        <v>41391.718356249999</v>
      </c>
      <c r="M95" s="96">
        <f t="shared" si="49"/>
        <v>41904.616931562501</v>
      </c>
    </row>
    <row r="96" spans="1:13" ht="15.75" outlineLevel="1">
      <c r="A96" s="36" t="s">
        <v>99</v>
      </c>
      <c r="B96" s="36"/>
      <c r="C96" s="43"/>
      <c r="D96" s="76">
        <v>15000</v>
      </c>
      <c r="E96" s="76">
        <v>15000</v>
      </c>
      <c r="F96" s="76">
        <v>15000</v>
      </c>
      <c r="G96" s="76">
        <v>15000</v>
      </c>
      <c r="H96" s="76">
        <v>15000</v>
      </c>
      <c r="I96" s="96">
        <f>I18</f>
        <v>15000</v>
      </c>
      <c r="J96" s="96">
        <f>J18</f>
        <v>15000</v>
      </c>
      <c r="K96" s="96">
        <f>K18</f>
        <v>15000</v>
      </c>
      <c r="L96" s="96">
        <f>L18</f>
        <v>15000</v>
      </c>
      <c r="M96" s="96">
        <f>M18</f>
        <v>15000</v>
      </c>
    </row>
    <row r="97" spans="1:13" ht="15.75" outlineLevel="1">
      <c r="A97" s="36" t="s">
        <v>100</v>
      </c>
      <c r="B97" s="36"/>
      <c r="C97" s="86"/>
      <c r="D97" s="76">
        <v>19500</v>
      </c>
      <c r="E97" s="76">
        <v>18150</v>
      </c>
      <c r="F97" s="76">
        <v>17205</v>
      </c>
      <c r="G97" s="76">
        <v>16543.5</v>
      </c>
      <c r="H97" s="76">
        <v>16080.449999999999</v>
      </c>
      <c r="I97" s="100">
        <f>I95*I12</f>
        <v>13132.3675</v>
      </c>
      <c r="J97" s="101">
        <f>J95*J12</f>
        <v>13786.038875</v>
      </c>
      <c r="K97" s="101">
        <f>K95*K12</f>
        <v>14210.925268750001</v>
      </c>
      <c r="L97" s="101">
        <f>L95*L12</f>
        <v>14487.101424687498</v>
      </c>
      <c r="M97" s="101">
        <f>M95*M12</f>
        <v>14666.615926046874</v>
      </c>
    </row>
    <row r="98" spans="1:13" ht="15.75" outlineLevel="1">
      <c r="A98" s="51" t="s">
        <v>101</v>
      </c>
      <c r="B98" s="51"/>
      <c r="C98" s="94"/>
      <c r="D98" s="97">
        <f>D95+D96-D97</f>
        <v>45500</v>
      </c>
      <c r="E98" s="97">
        <f t="shared" ref="E98:M98" si="50">E95+E96-E97</f>
        <v>42350</v>
      </c>
      <c r="F98" s="97">
        <f t="shared" si="50"/>
        <v>40145</v>
      </c>
      <c r="G98" s="97">
        <f t="shared" si="50"/>
        <v>38601.5</v>
      </c>
      <c r="H98" s="97">
        <f t="shared" si="50"/>
        <v>37521.050000000003</v>
      </c>
      <c r="I98" s="98">
        <f t="shared" si="50"/>
        <v>39388.682500000003</v>
      </c>
      <c r="J98" s="98">
        <f t="shared" si="50"/>
        <v>40602.643625000004</v>
      </c>
      <c r="K98" s="98">
        <f t="shared" si="50"/>
        <v>41391.718356249999</v>
      </c>
      <c r="L98" s="98">
        <f t="shared" si="50"/>
        <v>41904.616931562501</v>
      </c>
      <c r="M98" s="98">
        <f t="shared" si="50"/>
        <v>42238.001005515631</v>
      </c>
    </row>
    <row r="99" spans="1:13" ht="15.75" outlineLevel="1">
      <c r="A99" s="36"/>
      <c r="B99" s="36"/>
      <c r="C99" s="43"/>
      <c r="D99" s="76"/>
      <c r="E99" s="76"/>
      <c r="F99" s="76"/>
      <c r="G99" s="76"/>
      <c r="H99" s="76"/>
      <c r="I99" s="96"/>
      <c r="J99" s="96"/>
      <c r="K99" s="96"/>
      <c r="L99" s="96"/>
      <c r="M99" s="96"/>
    </row>
    <row r="100" spans="1:13" ht="15.75" outlineLevel="1">
      <c r="A100" s="50" t="s">
        <v>102</v>
      </c>
      <c r="B100" s="36"/>
      <c r="C100" s="43"/>
      <c r="D100" s="76"/>
      <c r="E100" s="76"/>
      <c r="F100" s="76"/>
      <c r="G100" s="76"/>
      <c r="H100" s="76"/>
      <c r="I100" s="96"/>
      <c r="J100" s="96"/>
      <c r="K100" s="96"/>
      <c r="L100" s="96"/>
      <c r="M100" s="96"/>
    </row>
    <row r="101" spans="1:13" ht="15.75" outlineLevel="1">
      <c r="A101" s="36" t="s">
        <v>103</v>
      </c>
      <c r="B101" s="36"/>
      <c r="C101" s="43"/>
      <c r="D101" s="76">
        <v>50000</v>
      </c>
      <c r="E101" s="76">
        <v>50000</v>
      </c>
      <c r="F101" s="76">
        <v>50000</v>
      </c>
      <c r="G101" s="76">
        <v>30000</v>
      </c>
      <c r="H101" s="76">
        <v>30000</v>
      </c>
      <c r="I101" s="96">
        <f t="shared" ref="I101:M101" si="51">H103</f>
        <v>30000</v>
      </c>
      <c r="J101" s="96">
        <f t="shared" si="51"/>
        <v>30000</v>
      </c>
      <c r="K101" s="96">
        <f t="shared" si="51"/>
        <v>30000</v>
      </c>
      <c r="L101" s="96">
        <f t="shared" si="51"/>
        <v>10000</v>
      </c>
      <c r="M101" s="96">
        <f t="shared" si="51"/>
        <v>10000</v>
      </c>
    </row>
    <row r="102" spans="1:13" ht="15.75" outlineLevel="1">
      <c r="A102" s="36" t="s">
        <v>104</v>
      </c>
      <c r="B102" s="36"/>
      <c r="C102" s="43"/>
      <c r="D102" s="76">
        <v>0</v>
      </c>
      <c r="E102" s="76">
        <v>0</v>
      </c>
      <c r="F102" s="76">
        <v>-20000</v>
      </c>
      <c r="G102" s="76">
        <v>0</v>
      </c>
      <c r="H102" s="76">
        <v>0</v>
      </c>
      <c r="I102" s="102">
        <f>I19</f>
        <v>0</v>
      </c>
      <c r="J102" s="102">
        <f>J19</f>
        <v>0</v>
      </c>
      <c r="K102" s="102">
        <f>K19</f>
        <v>-20000</v>
      </c>
      <c r="L102" s="102">
        <f>L19</f>
        <v>0</v>
      </c>
      <c r="M102" s="102">
        <f>M19</f>
        <v>0</v>
      </c>
    </row>
    <row r="103" spans="1:13" ht="15.75" outlineLevel="1">
      <c r="A103" s="51" t="s">
        <v>105</v>
      </c>
      <c r="B103" s="51"/>
      <c r="C103" s="94"/>
      <c r="D103" s="97">
        <f>SUM(D101:D102)</f>
        <v>50000</v>
      </c>
      <c r="E103" s="97">
        <f t="shared" ref="E103:M103" si="52">SUM(E101:E102)</f>
        <v>50000</v>
      </c>
      <c r="F103" s="97">
        <f t="shared" si="52"/>
        <v>30000</v>
      </c>
      <c r="G103" s="97">
        <f t="shared" si="52"/>
        <v>30000</v>
      </c>
      <c r="H103" s="97">
        <f t="shared" si="52"/>
        <v>30000</v>
      </c>
      <c r="I103" s="103">
        <f t="shared" si="52"/>
        <v>30000</v>
      </c>
      <c r="J103" s="103">
        <f t="shared" si="52"/>
        <v>30000</v>
      </c>
      <c r="K103" s="103">
        <f t="shared" si="52"/>
        <v>10000</v>
      </c>
      <c r="L103" s="103">
        <f t="shared" si="52"/>
        <v>10000</v>
      </c>
      <c r="M103" s="103">
        <f t="shared" si="52"/>
        <v>10000</v>
      </c>
    </row>
    <row r="104" spans="1:13" ht="15.75" outlineLevel="1">
      <c r="A104" s="36" t="s">
        <v>106</v>
      </c>
      <c r="B104" s="36"/>
      <c r="C104" s="86"/>
      <c r="D104" s="76">
        <v>2500</v>
      </c>
      <c r="E104" s="76">
        <v>2500</v>
      </c>
      <c r="F104" s="76">
        <v>1500</v>
      </c>
      <c r="G104" s="76">
        <v>1500</v>
      </c>
      <c r="H104" s="76">
        <v>1500</v>
      </c>
      <c r="I104" s="96">
        <f>I103*I13</f>
        <v>3000</v>
      </c>
      <c r="J104" s="96">
        <f>J103*J13</f>
        <v>3000</v>
      </c>
      <c r="K104" s="96">
        <f>K103*K13</f>
        <v>1000</v>
      </c>
      <c r="L104" s="96">
        <f>L103*L13</f>
        <v>1000</v>
      </c>
      <c r="M104" s="96">
        <f>M103*M13</f>
        <v>1000</v>
      </c>
    </row>
    <row r="105" spans="1:13" ht="15.75" outlineLevel="1">
      <c r="A105" s="36"/>
      <c r="B105" s="36"/>
      <c r="C105" s="43"/>
      <c r="D105" s="76"/>
      <c r="E105" s="76"/>
      <c r="F105" s="76"/>
      <c r="G105" s="76"/>
      <c r="H105" s="76"/>
      <c r="I105" s="36"/>
      <c r="J105" s="36"/>
      <c r="K105" s="36"/>
      <c r="L105" s="36"/>
      <c r="M105" s="36"/>
    </row>
    <row r="106" spans="1:13" ht="15.75" outlineLevel="1">
      <c r="A106" s="36"/>
      <c r="B106" s="36"/>
      <c r="C106" s="43"/>
      <c r="D106" s="76"/>
      <c r="E106" s="76"/>
      <c r="F106" s="76"/>
      <c r="G106" s="76"/>
      <c r="H106" s="76"/>
      <c r="I106" s="36"/>
      <c r="J106" s="36"/>
      <c r="K106" s="36"/>
      <c r="L106" s="36"/>
      <c r="M106" s="36"/>
    </row>
    <row r="107" spans="1:13" ht="15.75">
      <c r="A107" s="36"/>
      <c r="B107" s="36"/>
      <c r="C107" s="43"/>
      <c r="D107" s="76"/>
      <c r="E107" s="76"/>
      <c r="F107" s="76"/>
      <c r="G107" s="76"/>
      <c r="H107" s="76"/>
      <c r="I107" s="36"/>
      <c r="J107" s="36"/>
      <c r="K107" s="36"/>
      <c r="L107" s="36"/>
      <c r="M107" s="36"/>
    </row>
    <row r="108" spans="1:13" ht="20.25">
      <c r="A108" s="45" t="s">
        <v>107</v>
      </c>
      <c r="B108" s="46"/>
      <c r="C108" s="47"/>
      <c r="D108" s="46"/>
      <c r="E108" s="46"/>
      <c r="F108" s="46"/>
      <c r="G108" s="46"/>
      <c r="H108" s="46"/>
      <c r="I108" s="46"/>
      <c r="J108" s="46"/>
      <c r="K108" s="46"/>
      <c r="L108" s="46"/>
      <c r="M108" s="46"/>
    </row>
    <row r="109" spans="1:13" ht="15.75" outlineLevel="1">
      <c r="A109" s="50"/>
      <c r="B109" s="36"/>
      <c r="C109" s="43"/>
      <c r="D109" s="76"/>
      <c r="E109" s="76"/>
      <c r="F109" s="76"/>
      <c r="G109" s="76"/>
      <c r="H109" s="76"/>
      <c r="I109" s="36"/>
      <c r="J109" s="36"/>
      <c r="K109" s="36"/>
      <c r="L109" s="36"/>
      <c r="M109" s="36"/>
    </row>
    <row r="110" spans="1:13" ht="15.75" outlineLevel="1">
      <c r="A110" s="104" t="s">
        <v>35</v>
      </c>
      <c r="B110" s="76"/>
      <c r="C110" s="76"/>
      <c r="D110" s="76"/>
      <c r="E110" s="36"/>
      <c r="F110" s="36"/>
      <c r="G110" s="36"/>
      <c r="H110" s="36"/>
      <c r="I110" s="36"/>
      <c r="J110" s="36"/>
      <c r="K110" s="36"/>
      <c r="L110" s="36"/>
      <c r="M110" s="36"/>
    </row>
    <row r="111" spans="1:13" ht="15.75" outlineLevel="1">
      <c r="A111" s="97" t="s">
        <v>108</v>
      </c>
      <c r="B111" s="105"/>
      <c r="C111" s="106">
        <v>0.25</v>
      </c>
      <c r="D111" s="76"/>
      <c r="E111" s="36"/>
      <c r="F111" s="36"/>
      <c r="G111" s="36"/>
      <c r="H111" s="36"/>
      <c r="I111" s="36"/>
      <c r="J111" s="36"/>
      <c r="K111" s="36"/>
      <c r="L111" s="36"/>
      <c r="M111" s="36"/>
    </row>
    <row r="112" spans="1:13" ht="15.75" outlineLevel="1">
      <c r="A112" s="99" t="s">
        <v>109</v>
      </c>
      <c r="B112" s="36"/>
      <c r="C112" s="107">
        <v>0.12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</row>
    <row r="113" spans="1:14" ht="15.75" outlineLevel="1">
      <c r="A113" s="36" t="s">
        <v>110</v>
      </c>
      <c r="B113" s="36"/>
      <c r="C113" s="107">
        <v>0.04</v>
      </c>
      <c r="D113" s="36"/>
      <c r="E113" s="36"/>
      <c r="F113" s="36"/>
      <c r="G113" s="36"/>
      <c r="H113" s="36"/>
      <c r="I113" s="36"/>
      <c r="J113" s="86"/>
      <c r="K113" s="86"/>
      <c r="L113" s="86"/>
      <c r="M113" s="86"/>
      <c r="N113" s="36"/>
    </row>
    <row r="114" spans="1:14" ht="15.75" outlineLevel="1">
      <c r="A114" s="36" t="s">
        <v>111</v>
      </c>
      <c r="B114" s="36"/>
      <c r="C114" s="108">
        <v>8</v>
      </c>
      <c r="D114" s="36"/>
      <c r="E114" s="36"/>
      <c r="F114" s="36"/>
      <c r="G114" s="36"/>
      <c r="H114" s="36"/>
      <c r="I114" s="36"/>
      <c r="J114" s="86"/>
      <c r="K114" s="86"/>
      <c r="L114" s="86"/>
      <c r="M114" s="86"/>
      <c r="N114" s="36"/>
    </row>
    <row r="115" spans="1:14" ht="15.75" outlineLevel="1">
      <c r="A115" s="36" t="s">
        <v>112</v>
      </c>
      <c r="B115" s="36"/>
      <c r="C115" s="109">
        <v>43190</v>
      </c>
      <c r="D115" s="36"/>
      <c r="E115" s="36"/>
      <c r="F115" s="36"/>
      <c r="G115" s="36"/>
      <c r="H115" s="36"/>
      <c r="I115" s="36"/>
      <c r="J115" s="86"/>
      <c r="K115" s="86"/>
      <c r="L115" s="86"/>
      <c r="M115" s="86"/>
      <c r="N115" s="36"/>
    </row>
    <row r="116" spans="1:14" ht="15.75" outlineLevel="1">
      <c r="A116" s="36" t="s">
        <v>114</v>
      </c>
      <c r="B116" s="36"/>
      <c r="C116" s="109">
        <v>43465</v>
      </c>
      <c r="D116" s="36"/>
      <c r="E116" s="36"/>
      <c r="F116" s="36"/>
      <c r="G116" s="36"/>
      <c r="H116" s="36"/>
      <c r="I116" s="36"/>
      <c r="J116" s="86"/>
      <c r="K116" s="86"/>
      <c r="L116" s="86"/>
      <c r="M116" s="86"/>
      <c r="N116" s="36"/>
    </row>
    <row r="117" spans="1:14" ht="15.75" outlineLevel="1">
      <c r="A117" s="36" t="s">
        <v>28</v>
      </c>
      <c r="B117" s="36"/>
      <c r="C117" s="110">
        <v>16</v>
      </c>
      <c r="D117" s="36"/>
      <c r="E117" s="36"/>
      <c r="F117" s="36"/>
      <c r="G117" s="36"/>
      <c r="H117" s="36"/>
      <c r="I117" s="36"/>
      <c r="J117" s="86"/>
      <c r="K117" s="86"/>
      <c r="L117" s="86"/>
      <c r="M117" s="86"/>
      <c r="N117" s="36"/>
    </row>
    <row r="118" spans="1:14" ht="15.75" outlineLevel="1">
      <c r="A118" s="36" t="s">
        <v>113</v>
      </c>
      <c r="B118" s="36"/>
      <c r="C118" s="111">
        <v>20000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 spans="1:14" ht="15.75" outlineLevel="1">
      <c r="A119" s="36"/>
      <c r="B119" s="36"/>
      <c r="C119" s="111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ht="15.75" outlineLevel="1">
      <c r="A120" s="56"/>
      <c r="B120" s="56"/>
      <c r="C120" s="112"/>
      <c r="D120" s="112"/>
      <c r="E120" s="112"/>
      <c r="F120" s="112"/>
      <c r="G120" s="112"/>
      <c r="H120" s="112"/>
      <c r="I120" s="112"/>
      <c r="J120" s="56"/>
      <c r="K120" s="56"/>
      <c r="L120" s="56"/>
      <c r="M120" s="56"/>
      <c r="N120" s="56"/>
    </row>
    <row r="121" spans="1:14" ht="15.75" outlineLevel="1">
      <c r="A121" s="113" t="s">
        <v>116</v>
      </c>
      <c r="B121" s="114"/>
      <c r="C121" s="115" t="s">
        <v>117</v>
      </c>
      <c r="D121" s="116">
        <f>YEAR(C115)</f>
        <v>2018</v>
      </c>
      <c r="E121" s="116">
        <f>D121+1</f>
        <v>2019</v>
      </c>
      <c r="F121" s="116">
        <f t="shared" ref="F121:H121" si="53">E121+1</f>
        <v>2020</v>
      </c>
      <c r="G121" s="116">
        <f t="shared" si="53"/>
        <v>2021</v>
      </c>
      <c r="H121" s="116">
        <f t="shared" si="53"/>
        <v>2022</v>
      </c>
      <c r="I121" s="115" t="s">
        <v>118</v>
      </c>
      <c r="J121" s="56"/>
      <c r="K121" s="65" t="s">
        <v>119</v>
      </c>
      <c r="L121" s="56"/>
      <c r="M121" s="56"/>
      <c r="N121" s="56"/>
    </row>
    <row r="122" spans="1:14" ht="15.75" outlineLevel="1">
      <c r="A122" s="124" t="s">
        <v>1</v>
      </c>
      <c r="B122" s="124"/>
      <c r="C122" s="125">
        <f>C115</f>
        <v>43190</v>
      </c>
      <c r="D122" s="125">
        <f>DATE(YEAR($C$122)+D123,MONTH($C$116),DAY($C$116))</f>
        <v>43465</v>
      </c>
      <c r="E122" s="125">
        <f t="shared" ref="E122:H122" si="54">DATE(YEAR($C$122)+E123,MONTH($C$116),DAY($C$116))</f>
        <v>43830</v>
      </c>
      <c r="F122" s="125">
        <f t="shared" si="54"/>
        <v>44196</v>
      </c>
      <c r="G122" s="125">
        <f t="shared" si="54"/>
        <v>44561</v>
      </c>
      <c r="H122" s="125">
        <f t="shared" si="54"/>
        <v>44926</v>
      </c>
      <c r="I122" s="125">
        <f>H122</f>
        <v>44926</v>
      </c>
      <c r="J122" s="56"/>
      <c r="K122" s="51" t="s">
        <v>3</v>
      </c>
      <c r="L122" s="51"/>
      <c r="M122" s="126">
        <f>H130*C114</f>
        <v>812428.08468480036</v>
      </c>
      <c r="N122" s="56"/>
    </row>
    <row r="123" spans="1:14" ht="15.75" outlineLevel="1">
      <c r="A123" s="62" t="s">
        <v>141</v>
      </c>
      <c r="B123" s="62"/>
      <c r="C123" s="117"/>
      <c r="D123" s="119">
        <v>0</v>
      </c>
      <c r="E123" s="120">
        <f>D123+1</f>
        <v>1</v>
      </c>
      <c r="F123" s="120">
        <f t="shared" ref="F123:H123" si="55">E123+1</f>
        <v>2</v>
      </c>
      <c r="G123" s="120">
        <f t="shared" si="55"/>
        <v>3</v>
      </c>
      <c r="H123" s="120">
        <f t="shared" si="55"/>
        <v>4</v>
      </c>
      <c r="I123" s="120"/>
      <c r="J123" s="56"/>
      <c r="K123" s="56" t="s">
        <v>142</v>
      </c>
      <c r="L123" s="56"/>
      <c r="M123" s="118">
        <f>(H133*(1+$C$113))/(C112-C113)</f>
        <v>816278.43712500622</v>
      </c>
      <c r="N123" s="56"/>
    </row>
    <row r="124" spans="1:14" ht="15.75" outlineLevel="1">
      <c r="A124" s="62" t="s">
        <v>143</v>
      </c>
      <c r="B124" s="62"/>
      <c r="C124" s="62"/>
      <c r="D124" s="121">
        <f>YEARFRAC(C122,D122)</f>
        <v>0.75</v>
      </c>
      <c r="E124" s="121">
        <f t="shared" ref="E124:H124" si="56">YEARFRAC(D122,E122)</f>
        <v>1</v>
      </c>
      <c r="F124" s="121">
        <f t="shared" si="56"/>
        <v>1</v>
      </c>
      <c r="G124" s="121">
        <f t="shared" si="56"/>
        <v>1</v>
      </c>
      <c r="H124" s="121">
        <f t="shared" si="56"/>
        <v>1</v>
      </c>
      <c r="I124" s="129">
        <v>1</v>
      </c>
      <c r="J124" s="56"/>
      <c r="K124" s="56" t="s">
        <v>4</v>
      </c>
      <c r="L124" s="56"/>
      <c r="M124" s="51">
        <f>AVERAGE(M122:M123)</f>
        <v>814353.26090490329</v>
      </c>
      <c r="N124" s="56"/>
    </row>
    <row r="125" spans="1:14" ht="15.75" outlineLevel="1">
      <c r="A125" s="62"/>
      <c r="B125" s="62"/>
      <c r="C125" s="62"/>
      <c r="D125" s="121"/>
      <c r="E125" s="121"/>
      <c r="F125" s="121"/>
      <c r="G125" s="121"/>
      <c r="H125" s="121"/>
      <c r="I125" s="122"/>
      <c r="J125" s="56"/>
      <c r="K125" s="56"/>
      <c r="L125" s="56"/>
      <c r="M125" s="56"/>
      <c r="N125" s="56"/>
    </row>
    <row r="126" spans="1:14" ht="15.75" outlineLevel="1">
      <c r="A126" s="56" t="s">
        <v>16</v>
      </c>
      <c r="B126" s="56"/>
      <c r="C126" s="56"/>
      <c r="D126" s="56">
        <f>I34+I32</f>
        <v>39865.804500000006</v>
      </c>
      <c r="E126" s="56">
        <f t="shared" ref="E126:H126" si="57">J34+J32</f>
        <v>36890.244325000007</v>
      </c>
      <c r="F126" s="56">
        <f t="shared" si="57"/>
        <v>37012.660291250009</v>
      </c>
      <c r="G126" s="56">
        <f t="shared" si="57"/>
        <v>74263.182619312545</v>
      </c>
      <c r="H126" s="56">
        <f t="shared" si="57"/>
        <v>86886.894659553174</v>
      </c>
      <c r="I126" s="56"/>
      <c r="J126" s="56"/>
      <c r="K126" s="56"/>
      <c r="L126" s="56"/>
      <c r="M126" s="56"/>
      <c r="N126" s="56"/>
    </row>
    <row r="127" spans="1:14" ht="15.75" outlineLevel="1">
      <c r="A127" s="56" t="s">
        <v>120</v>
      </c>
      <c r="B127" s="56"/>
      <c r="C127" s="56"/>
      <c r="D127" s="118">
        <f>D126*$C$111</f>
        <v>9966.4511250000014</v>
      </c>
      <c r="E127" s="118">
        <f t="shared" ref="E127:H127" si="58">E126*$C$111</f>
        <v>9222.5610812500017</v>
      </c>
      <c r="F127" s="118">
        <f t="shared" si="58"/>
        <v>9253.1650728125023</v>
      </c>
      <c r="G127" s="118">
        <f t="shared" si="58"/>
        <v>18565.795654828136</v>
      </c>
      <c r="H127" s="118">
        <f t="shared" si="58"/>
        <v>21721.723664888294</v>
      </c>
      <c r="I127" s="56"/>
      <c r="J127" s="56"/>
      <c r="K127" s="56"/>
      <c r="L127" s="56"/>
      <c r="M127" s="56"/>
      <c r="N127" s="56"/>
    </row>
    <row r="128" spans="1:14" ht="15.75" outlineLevel="1">
      <c r="A128" s="51" t="s">
        <v>121</v>
      </c>
      <c r="B128" s="51"/>
      <c r="C128" s="51"/>
      <c r="D128" s="126">
        <f>D126-D127</f>
        <v>29899.353375000006</v>
      </c>
      <c r="E128" s="126">
        <f t="shared" ref="E128:H128" si="59">E126-E127</f>
        <v>27667.683243750005</v>
      </c>
      <c r="F128" s="126">
        <f t="shared" si="59"/>
        <v>27759.495218437507</v>
      </c>
      <c r="G128" s="126">
        <f t="shared" si="59"/>
        <v>55697.386964484409</v>
      </c>
      <c r="H128" s="126">
        <f t="shared" si="59"/>
        <v>65165.170994664877</v>
      </c>
      <c r="I128" s="56"/>
      <c r="J128" s="56"/>
      <c r="K128" s="56"/>
      <c r="L128" s="56"/>
      <c r="M128" s="56"/>
      <c r="N128" s="56"/>
    </row>
    <row r="129" spans="1:19" ht="15.75" outlineLevel="1">
      <c r="A129" s="56" t="s">
        <v>122</v>
      </c>
      <c r="B129" s="56"/>
      <c r="C129" s="56"/>
      <c r="D129" s="118">
        <f>I66</f>
        <v>13132.3675</v>
      </c>
      <c r="E129" s="118">
        <f t="shared" ref="E129:H129" si="60">J66</f>
        <v>13786.038875</v>
      </c>
      <c r="F129" s="118">
        <f t="shared" si="60"/>
        <v>14210.925268750001</v>
      </c>
      <c r="G129" s="118">
        <f t="shared" si="60"/>
        <v>14487.101424687498</v>
      </c>
      <c r="H129" s="118">
        <f t="shared" si="60"/>
        <v>14666.615926046874</v>
      </c>
      <c r="I129" s="56"/>
      <c r="J129" s="56"/>
      <c r="K129" s="56"/>
      <c r="L129" s="56"/>
      <c r="M129" s="56"/>
      <c r="N129" s="56"/>
      <c r="O129" s="36"/>
      <c r="P129" s="36"/>
      <c r="Q129" s="36"/>
      <c r="R129" s="36"/>
      <c r="S129" s="36"/>
    </row>
    <row r="130" spans="1:19" ht="15.75" outlineLevel="1">
      <c r="A130" s="56" t="s">
        <v>15</v>
      </c>
      <c r="B130" s="56"/>
      <c r="C130" s="56"/>
      <c r="D130" s="118">
        <f>D126+D129</f>
        <v>52998.172000000006</v>
      </c>
      <c r="E130" s="118">
        <f t="shared" ref="E130:H130" si="61">E126+E129</f>
        <v>50676.283200000005</v>
      </c>
      <c r="F130" s="118">
        <f t="shared" si="61"/>
        <v>51223.585560000007</v>
      </c>
      <c r="G130" s="118">
        <f t="shared" si="61"/>
        <v>88750.284044000044</v>
      </c>
      <c r="H130" s="118">
        <f t="shared" si="61"/>
        <v>101553.51058560004</v>
      </c>
      <c r="I130" s="56"/>
      <c r="J130" s="56"/>
      <c r="K130" s="56"/>
      <c r="L130" s="56"/>
      <c r="M130" s="56"/>
      <c r="N130" s="56"/>
      <c r="O130" s="36"/>
      <c r="P130" s="36"/>
      <c r="Q130" s="36"/>
      <c r="R130" s="36"/>
      <c r="S130" s="36"/>
    </row>
    <row r="131" spans="1:19" ht="15.75" outlineLevel="1">
      <c r="A131" s="56" t="s">
        <v>123</v>
      </c>
      <c r="B131" s="56"/>
      <c r="C131" s="56"/>
      <c r="D131" s="56">
        <f>I96</f>
        <v>15000</v>
      </c>
      <c r="E131" s="56">
        <f t="shared" ref="E131:H131" si="62">J96</f>
        <v>15000</v>
      </c>
      <c r="F131" s="56">
        <f t="shared" si="62"/>
        <v>15000</v>
      </c>
      <c r="G131" s="56">
        <f t="shared" si="62"/>
        <v>15000</v>
      </c>
      <c r="H131" s="56">
        <f t="shared" si="62"/>
        <v>15000</v>
      </c>
      <c r="I131" s="56"/>
      <c r="J131" s="56"/>
      <c r="K131" s="56"/>
      <c r="L131" s="56"/>
      <c r="M131" s="56"/>
      <c r="N131" s="56"/>
      <c r="O131" s="36"/>
      <c r="P131" s="36"/>
      <c r="Q131" s="36"/>
      <c r="R131" s="36"/>
      <c r="S131" s="36"/>
    </row>
    <row r="132" spans="1:19" ht="15.75" outlineLevel="1">
      <c r="A132" s="56" t="s">
        <v>124</v>
      </c>
      <c r="B132" s="56"/>
      <c r="C132" s="56"/>
      <c r="D132" s="56">
        <f>I92</f>
        <v>3175.3921972602766</v>
      </c>
      <c r="E132" s="56">
        <f t="shared" ref="E132:H132" si="63">J92</f>
        <v>5062.2628416438383</v>
      </c>
      <c r="F132" s="56">
        <f t="shared" si="63"/>
        <v>5767.9171090411</v>
      </c>
      <c r="G132" s="56">
        <f t="shared" si="63"/>
        <v>-2612.6565262027398</v>
      </c>
      <c r="H132" s="56">
        <f t="shared" si="63"/>
        <v>2041.1379110958951</v>
      </c>
      <c r="I132" s="56"/>
      <c r="J132" s="56"/>
      <c r="K132" s="56"/>
      <c r="L132" s="56"/>
      <c r="M132" s="56"/>
      <c r="N132" s="56"/>
      <c r="O132" s="36"/>
      <c r="P132" s="36"/>
      <c r="Q132" s="36"/>
      <c r="R132" s="36"/>
      <c r="S132" s="36"/>
    </row>
    <row r="133" spans="1:19" ht="15.75" outlineLevel="1">
      <c r="A133" s="52" t="s">
        <v>144</v>
      </c>
      <c r="B133" s="52"/>
      <c r="C133" s="52"/>
      <c r="D133" s="52">
        <f>D128+D129-D131-D132</f>
        <v>24856.32867773973</v>
      </c>
      <c r="E133" s="52">
        <f t="shared" ref="E133:H133" si="64">E128+E129-E131-E132</f>
        <v>21391.459277106165</v>
      </c>
      <c r="F133" s="52">
        <f t="shared" si="64"/>
        <v>21202.503378146412</v>
      </c>
      <c r="G133" s="52">
        <f t="shared" si="64"/>
        <v>57797.144915374651</v>
      </c>
      <c r="H133" s="52">
        <f t="shared" si="64"/>
        <v>62790.649009615852</v>
      </c>
      <c r="I133" s="127">
        <f>M124</f>
        <v>814353.26090490329</v>
      </c>
      <c r="J133" s="56"/>
      <c r="K133" s="56"/>
      <c r="L133" s="56"/>
      <c r="M133" s="56"/>
      <c r="N133" s="56"/>
      <c r="O133" s="36"/>
      <c r="P133" s="36"/>
      <c r="Q133" s="36"/>
      <c r="R133" s="36"/>
      <c r="S133" s="36"/>
    </row>
    <row r="134" spans="1:19" ht="15.75" outlineLevel="1">
      <c r="A134" s="56"/>
      <c r="B134" s="56"/>
      <c r="C134" s="56"/>
      <c r="D134" s="56"/>
      <c r="E134" s="56"/>
      <c r="F134" s="56"/>
      <c r="G134" s="56"/>
      <c r="H134" s="56"/>
      <c r="I134" s="114"/>
      <c r="J134" s="56"/>
      <c r="K134" s="56"/>
      <c r="L134" s="56"/>
      <c r="M134" s="56"/>
      <c r="N134" s="56"/>
      <c r="O134" s="36"/>
      <c r="P134" s="36"/>
      <c r="Q134" s="36"/>
      <c r="R134" s="36"/>
      <c r="S134" s="36"/>
    </row>
    <row r="135" spans="1:19" ht="15.75" outlineLevel="1">
      <c r="A135" s="130" t="s">
        <v>125</v>
      </c>
      <c r="B135" s="130"/>
      <c r="C135" s="131">
        <v>0</v>
      </c>
      <c r="D135" s="130">
        <f>D133*D124</f>
        <v>18642.246508304797</v>
      </c>
      <c r="E135" s="130">
        <f t="shared" ref="E135:I135" si="65">E133*E124</f>
        <v>21391.459277106165</v>
      </c>
      <c r="F135" s="130">
        <f t="shared" si="65"/>
        <v>21202.503378146412</v>
      </c>
      <c r="G135" s="130">
        <f t="shared" si="65"/>
        <v>57797.144915374651</v>
      </c>
      <c r="H135" s="130">
        <f t="shared" si="65"/>
        <v>62790.649009615852</v>
      </c>
      <c r="I135" s="130">
        <f t="shared" si="65"/>
        <v>814353.26090490329</v>
      </c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 spans="1:19" ht="15.75" outlineLevel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 spans="1:19" ht="15.75" outlineLevel="1">
      <c r="A137" s="130" t="s">
        <v>126</v>
      </c>
      <c r="B137" s="130"/>
      <c r="C137" s="130">
        <f>-G143</f>
        <v>-210450.4796348151</v>
      </c>
      <c r="D137" s="130">
        <f>D135</f>
        <v>18642.246508304797</v>
      </c>
      <c r="E137" s="130">
        <f t="shared" ref="E137:I137" si="66">E135</f>
        <v>21391.459277106165</v>
      </c>
      <c r="F137" s="130">
        <f t="shared" si="66"/>
        <v>21202.503378146412</v>
      </c>
      <c r="G137" s="130">
        <f t="shared" si="66"/>
        <v>57797.144915374651</v>
      </c>
      <c r="H137" s="130">
        <f t="shared" si="66"/>
        <v>62790.649009615852</v>
      </c>
      <c r="I137" s="130">
        <f t="shared" si="66"/>
        <v>814353.26090490329</v>
      </c>
      <c r="J137" s="60"/>
      <c r="K137" s="60"/>
      <c r="L137" s="132"/>
      <c r="M137" s="132"/>
      <c r="N137" s="132"/>
      <c r="O137" s="132"/>
      <c r="P137" s="132"/>
      <c r="Q137" s="132"/>
      <c r="R137" s="132"/>
      <c r="S137" s="60"/>
    </row>
    <row r="138" spans="1:19" ht="15.75" outlineLevel="1">
      <c r="A138" s="60"/>
      <c r="B138" s="133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</row>
    <row r="139" spans="1:19" ht="15.75" outlineLevel="1">
      <c r="A139" s="130" t="s">
        <v>127</v>
      </c>
      <c r="B139" s="60"/>
      <c r="C139" s="60"/>
      <c r="D139" s="60"/>
      <c r="E139" s="130" t="s">
        <v>128</v>
      </c>
      <c r="F139" s="60"/>
      <c r="G139" s="60"/>
      <c r="H139" s="60"/>
      <c r="I139" s="130" t="s">
        <v>129</v>
      </c>
      <c r="J139" s="60"/>
      <c r="K139" s="60"/>
      <c r="L139" s="60"/>
      <c r="M139" s="60"/>
      <c r="N139" s="60"/>
      <c r="O139" s="60"/>
      <c r="P139" s="60"/>
      <c r="Q139" s="60"/>
      <c r="R139" s="60"/>
      <c r="S139" s="60"/>
    </row>
    <row r="140" spans="1:19" ht="15.75" outlineLevel="1">
      <c r="A140" s="134" t="s">
        <v>130</v>
      </c>
      <c r="B140" s="134"/>
      <c r="C140" s="134">
        <f>XNPV(C112,C135:I135,C122:I122)</f>
        <v>599588.05792713526</v>
      </c>
      <c r="D140" s="60"/>
      <c r="E140" s="134" t="s">
        <v>11</v>
      </c>
      <c r="F140" s="134"/>
      <c r="G140" s="134">
        <f>C117*C118</f>
        <v>320000</v>
      </c>
      <c r="H140" s="60"/>
      <c r="I140" s="134" t="s">
        <v>28</v>
      </c>
      <c r="J140" s="134"/>
      <c r="K140" s="135">
        <f>C117</f>
        <v>16</v>
      </c>
      <c r="L140" s="60"/>
      <c r="M140" s="60"/>
      <c r="N140" s="60"/>
      <c r="O140" s="60"/>
      <c r="P140" s="60"/>
      <c r="Q140" s="60"/>
      <c r="R140" s="60"/>
      <c r="S140" s="60"/>
    </row>
    <row r="141" spans="1:19" ht="15.75" outlineLevel="1">
      <c r="A141" s="60" t="s">
        <v>131</v>
      </c>
      <c r="B141" s="60"/>
      <c r="C141" s="60">
        <f>H43</f>
        <v>139549.5203651849</v>
      </c>
      <c r="D141" s="60"/>
      <c r="E141" s="60" t="s">
        <v>132</v>
      </c>
      <c r="F141" s="60"/>
      <c r="G141" s="60">
        <f>C142</f>
        <v>30000</v>
      </c>
      <c r="H141" s="60"/>
      <c r="I141" s="60" t="s">
        <v>133</v>
      </c>
      <c r="J141" s="60"/>
      <c r="K141" s="136">
        <f>C145</f>
        <v>35.456878914616006</v>
      </c>
      <c r="L141" s="60"/>
      <c r="M141" s="60"/>
      <c r="N141" s="60"/>
      <c r="O141" s="60"/>
      <c r="P141" s="60"/>
      <c r="Q141" s="60"/>
      <c r="R141" s="60"/>
      <c r="S141" s="60"/>
    </row>
    <row r="142" spans="1:19" ht="15.75" outlineLevel="1">
      <c r="A142" s="60" t="s">
        <v>134</v>
      </c>
      <c r="B142" s="60"/>
      <c r="C142" s="60">
        <f>H51</f>
        <v>30000</v>
      </c>
      <c r="D142" s="60"/>
      <c r="E142" s="60" t="s">
        <v>135</v>
      </c>
      <c r="F142" s="60"/>
      <c r="G142" s="60">
        <f>C141</f>
        <v>139549.5203651849</v>
      </c>
      <c r="H142" s="60"/>
      <c r="I142" s="60" t="s">
        <v>145</v>
      </c>
      <c r="J142" s="60"/>
      <c r="K142" s="133">
        <f>K141/K140-1</f>
        <v>1.2160549321635004</v>
      </c>
      <c r="L142" s="60"/>
      <c r="M142" s="60"/>
      <c r="N142" s="60"/>
      <c r="O142" s="60"/>
      <c r="P142" s="60"/>
      <c r="Q142" s="60"/>
      <c r="R142" s="60"/>
      <c r="S142" s="60"/>
    </row>
    <row r="143" spans="1:19" ht="15.75" outlineLevel="1">
      <c r="A143" s="60" t="s">
        <v>29</v>
      </c>
      <c r="B143" s="60"/>
      <c r="C143" s="134">
        <f>C140+C141-C142</f>
        <v>709137.57829232013</v>
      </c>
      <c r="D143" s="60"/>
      <c r="E143" s="60" t="s">
        <v>130</v>
      </c>
      <c r="F143" s="60"/>
      <c r="G143" s="134">
        <f>G140+G141-G142</f>
        <v>210450.4796348151</v>
      </c>
      <c r="H143" s="60"/>
      <c r="I143" s="60" t="s">
        <v>136</v>
      </c>
      <c r="J143" s="60"/>
      <c r="K143" s="133">
        <f>XIRR(C137:I137,C122:I122)</f>
        <v>0.42715774178504951</v>
      </c>
      <c r="L143" s="60"/>
      <c r="M143" s="60"/>
      <c r="N143" s="60"/>
      <c r="O143" s="60"/>
      <c r="P143" s="60"/>
      <c r="Q143" s="60"/>
      <c r="R143" s="60"/>
      <c r="S143" s="60"/>
    </row>
    <row r="144" spans="1:19" ht="15.75" outlineLevel="1">
      <c r="A144" s="60"/>
      <c r="B144" s="60"/>
      <c r="C144" s="60"/>
      <c r="D144" s="60"/>
      <c r="E144" s="60"/>
      <c r="F144" s="60"/>
      <c r="G144" s="137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</row>
    <row r="145" spans="1:19" ht="15.75" outlineLevel="1">
      <c r="A145" s="130" t="s">
        <v>137</v>
      </c>
      <c r="B145" s="60"/>
      <c r="C145" s="138">
        <f>C143/C118</f>
        <v>35.456878914616006</v>
      </c>
      <c r="D145" s="60"/>
      <c r="E145" s="130" t="s">
        <v>137</v>
      </c>
      <c r="F145" s="130"/>
      <c r="G145" s="139">
        <f>G140/C118</f>
        <v>16</v>
      </c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</row>
    <row r="146" spans="1:19" ht="15.75" outlineLevel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</row>
    <row r="147" spans="1:19" ht="15.75" outlineLevel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36"/>
      <c r="P147" s="36"/>
      <c r="Q147" s="36"/>
      <c r="R147" s="36"/>
      <c r="S147" s="36"/>
    </row>
    <row r="148" spans="1:19" ht="15.7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1:19" ht="20.25">
      <c r="A149" s="45" t="s">
        <v>115</v>
      </c>
      <c r="B149" s="46"/>
      <c r="C149" s="47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36"/>
      <c r="O149" s="36"/>
      <c r="P149" s="36"/>
      <c r="Q149" s="36"/>
      <c r="R149" s="36"/>
      <c r="S149" s="36"/>
    </row>
    <row r="150" spans="1:19" ht="15.75" outlineLevel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1:19" ht="15.75" outlineLevel="1">
      <c r="A151" s="36" t="s">
        <v>1</v>
      </c>
      <c r="B151" s="36"/>
      <c r="C151" s="43"/>
      <c r="D151" s="128">
        <f>YEAR(D122)</f>
        <v>2018</v>
      </c>
      <c r="E151" s="128">
        <f>YEAR(E122)</f>
        <v>2019</v>
      </c>
      <c r="F151" s="128">
        <f>YEAR(F122)</f>
        <v>2020</v>
      </c>
      <c r="G151" s="128">
        <f>YEAR(G122)</f>
        <v>2021</v>
      </c>
      <c r="H151" s="128">
        <f>YEAR(H122)</f>
        <v>2022</v>
      </c>
      <c r="I151" s="36"/>
      <c r="J151" s="36" t="s">
        <v>138</v>
      </c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 ht="15.75" outlineLevel="1">
      <c r="A152" s="51" t="s">
        <v>139</v>
      </c>
      <c r="B152" s="51"/>
      <c r="C152" s="94"/>
      <c r="D152" s="51">
        <f>D137</f>
        <v>18642.246508304797</v>
      </c>
      <c r="E152" s="51">
        <f>E137</f>
        <v>21391.459277106165</v>
      </c>
      <c r="F152" s="51">
        <f>F137</f>
        <v>21202.503378146412</v>
      </c>
      <c r="G152" s="51">
        <f>G137</f>
        <v>57797.144915374651</v>
      </c>
      <c r="H152" s="51">
        <f>H137</f>
        <v>62790.649009615852</v>
      </c>
      <c r="I152" s="36"/>
      <c r="J152" s="51" t="s">
        <v>128</v>
      </c>
      <c r="K152" s="51"/>
      <c r="L152" s="140">
        <f>G145</f>
        <v>16</v>
      </c>
      <c r="M152" s="36"/>
      <c r="N152" s="36"/>
      <c r="O152" s="36"/>
      <c r="P152" s="36"/>
      <c r="Q152" s="36"/>
      <c r="R152" s="36"/>
      <c r="S152" s="36"/>
    </row>
    <row r="153" spans="1:19" ht="15.75" outlineLevel="1">
      <c r="A153" s="36"/>
      <c r="B153" s="36"/>
      <c r="C153" s="43"/>
      <c r="D153" s="36"/>
      <c r="E153" s="36"/>
      <c r="F153" s="36"/>
      <c r="G153" s="36"/>
      <c r="H153" s="36"/>
      <c r="I153" s="36"/>
      <c r="J153" s="36" t="s">
        <v>140</v>
      </c>
      <c r="K153" s="36"/>
      <c r="L153" s="123">
        <f>L154-L152</f>
        <v>19.456878914616006</v>
      </c>
      <c r="M153" s="36"/>
      <c r="N153" s="36"/>
      <c r="O153" s="36"/>
      <c r="P153" s="36"/>
      <c r="Q153" s="36"/>
      <c r="R153" s="36"/>
      <c r="S153" s="36"/>
    </row>
    <row r="154" spans="1:19" ht="15.75" outlineLevel="1">
      <c r="A154" s="36"/>
      <c r="B154" s="36"/>
      <c r="C154" s="43"/>
      <c r="D154" s="36"/>
      <c r="E154" s="36"/>
      <c r="F154" s="36"/>
      <c r="G154" s="36"/>
      <c r="H154" s="36"/>
      <c r="I154" s="36"/>
      <c r="J154" s="36" t="s">
        <v>127</v>
      </c>
      <c r="K154" s="36"/>
      <c r="L154" s="123">
        <f>C145</f>
        <v>35.456878914616006</v>
      </c>
      <c r="M154" s="36"/>
      <c r="N154" s="36"/>
      <c r="O154" s="36"/>
      <c r="P154" s="36"/>
      <c r="Q154" s="36"/>
      <c r="R154" s="36"/>
      <c r="S154" s="36"/>
    </row>
    <row r="155" spans="1:19" ht="15.75" outlineLevel="1">
      <c r="A155" s="36"/>
      <c r="B155" s="36"/>
      <c r="C155" s="43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1:19" ht="15.75" outlineLevel="1">
      <c r="A156" s="36"/>
      <c r="B156" s="36"/>
      <c r="C156" s="43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1:19" ht="15.75" outlineLevel="1">
      <c r="A157" s="36"/>
      <c r="B157" s="36"/>
      <c r="C157" s="43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1:19" ht="15.75" outlineLevel="1">
      <c r="A158" s="36"/>
      <c r="B158" s="36"/>
      <c r="C158" s="43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1:19" ht="15.75" outlineLevel="1">
      <c r="A159" s="36"/>
      <c r="B159" s="36"/>
      <c r="C159" s="43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1:19" ht="15.75" outlineLevel="1">
      <c r="A160" s="36"/>
      <c r="B160" s="36"/>
      <c r="C160" s="43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Comps</vt:lpstr>
      <vt:lpstr>DCF</vt:lpstr>
      <vt:lpstr>Comps!Print_Area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2024-09-02T14:21:32Z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