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smund.fossum\Documents\Trykktapsberegninger\"/>
    </mc:Choice>
  </mc:AlternateContent>
  <xr:revisionPtr revIDLastSave="0" documentId="13_ncr:1_{A092562A-D338-4343-9536-FC4E2EE562B6}" xr6:coauthVersionLast="47" xr6:coauthVersionMax="47" xr10:uidLastSave="{00000000-0000-0000-0000-000000000000}"/>
  <bookViews>
    <workbookView xWindow="-120" yWindow="-120" windowWidth="29040" windowHeight="17640" tabRatio="305" firstSheet="2" activeTab="4" xr2:uid="{00000000-000D-0000-FFFF-FFFF00000000}"/>
  </bookViews>
  <sheets>
    <sheet name="Hovedstrekk" sheetId="11" r:id="rId1"/>
    <sheet name="Kollektorvæske" sheetId="2" r:id="rId2"/>
    <sheet name="SM6 +SM2 + SM3 +SM5" sheetId="10" r:id="rId3"/>
    <sheet name="SM6 +SM2" sheetId="9" r:id="rId4"/>
    <sheet name="SM6" sheetId="8" r:id="rId5"/>
    <sheet name="SM5" sheetId="7" r:id="rId6"/>
    <sheet name="SM4" sheetId="6" r:id="rId7"/>
    <sheet name="SM3" sheetId="5" r:id="rId8"/>
    <sheet name="SM2" sheetId="3" r:id="rId9"/>
    <sheet name="SM1" sheetId="1" r:id="rId10"/>
    <sheet name="Oppsummering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8" l="1"/>
  <c r="C15" i="11"/>
  <c r="C14" i="11"/>
  <c r="C13" i="11"/>
  <c r="C12" i="11"/>
  <c r="E12" i="11" l="1"/>
  <c r="E67" i="11" l="1"/>
  <c r="K12" i="11"/>
  <c r="G101" i="2"/>
  <c r="G102" i="2"/>
  <c r="G103" i="2"/>
  <c r="G104" i="2"/>
  <c r="G105" i="2"/>
  <c r="C8" i="11"/>
  <c r="N5" i="11" l="1"/>
  <c r="M5" i="11"/>
  <c r="L5" i="11"/>
  <c r="K19" i="5" l="1"/>
  <c r="H19" i="5"/>
  <c r="K19" i="3"/>
  <c r="H19" i="3"/>
  <c r="K19" i="1"/>
  <c r="H19" i="1"/>
  <c r="K12" i="5"/>
  <c r="E3" i="5"/>
  <c r="E3" i="3"/>
  <c r="E3" i="1"/>
  <c r="K12" i="7"/>
  <c r="K12" i="10"/>
  <c r="K12" i="9"/>
  <c r="D82" i="4"/>
  <c r="J84" i="4"/>
  <c r="G82" i="4"/>
  <c r="C40" i="11"/>
  <c r="C39" i="11"/>
  <c r="E38" i="11"/>
  <c r="C38" i="11"/>
  <c r="D33" i="11"/>
  <c r="G32" i="11"/>
  <c r="H32" i="11" s="1"/>
  <c r="E29" i="11"/>
  <c r="G28" i="11"/>
  <c r="S25" i="11"/>
  <c r="R25" i="11"/>
  <c r="A21" i="11"/>
  <c r="E14" i="11"/>
  <c r="E17" i="11"/>
  <c r="E11" i="11" s="1"/>
  <c r="E15" i="11" s="1"/>
  <c r="K13" i="11"/>
  <c r="H13" i="11"/>
  <c r="E13" i="11"/>
  <c r="H12" i="11"/>
  <c r="H9" i="11"/>
  <c r="E9" i="11"/>
  <c r="K9" i="11" s="1"/>
  <c r="C4" i="11"/>
  <c r="B4" i="11"/>
  <c r="B5" i="11" s="1"/>
  <c r="F1" i="11"/>
  <c r="E1" i="11"/>
  <c r="G1" i="11" s="1"/>
  <c r="E5" i="11" s="1"/>
  <c r="E3" i="10"/>
  <c r="C39" i="10"/>
  <c r="E38" i="10"/>
  <c r="C38" i="10"/>
  <c r="C40" i="10" s="1"/>
  <c r="D33" i="10"/>
  <c r="G32" i="10"/>
  <c r="H32" i="10" s="1"/>
  <c r="E29" i="10"/>
  <c r="G28" i="10"/>
  <c r="S25" i="10"/>
  <c r="R25" i="10"/>
  <c r="A21" i="10"/>
  <c r="H19" i="10"/>
  <c r="C15" i="10"/>
  <c r="E14" i="10"/>
  <c r="K14" i="10" s="1"/>
  <c r="C14" i="10"/>
  <c r="E17" i="10" s="1"/>
  <c r="K13" i="10"/>
  <c r="H13" i="10"/>
  <c r="E13" i="10"/>
  <c r="C13" i="10"/>
  <c r="H12" i="10"/>
  <c r="E12" i="10"/>
  <c r="C12" i="10"/>
  <c r="H9" i="10"/>
  <c r="E9" i="10"/>
  <c r="K9" i="10" s="1"/>
  <c r="C4" i="10"/>
  <c r="B4" i="10"/>
  <c r="B5" i="10" s="1"/>
  <c r="F1" i="10"/>
  <c r="E1" i="10"/>
  <c r="G1" i="10" s="1"/>
  <c r="E5" i="10" s="1"/>
  <c r="E10" i="10" s="1"/>
  <c r="D74" i="4"/>
  <c r="J76" i="4"/>
  <c r="K19" i="10" s="1"/>
  <c r="G74" i="4"/>
  <c r="K19" i="9"/>
  <c r="E3" i="9"/>
  <c r="C39" i="9"/>
  <c r="E38" i="9"/>
  <c r="C38" i="9"/>
  <c r="C40" i="9" s="1"/>
  <c r="D33" i="9"/>
  <c r="G32" i="9"/>
  <c r="H32" i="9" s="1"/>
  <c r="E29" i="9"/>
  <c r="G28" i="9"/>
  <c r="R25" i="9"/>
  <c r="S25" i="9" s="1"/>
  <c r="A21" i="9"/>
  <c r="H19" i="9"/>
  <c r="C15" i="9"/>
  <c r="E14" i="9"/>
  <c r="K14" i="9" s="1"/>
  <c r="C14" i="9"/>
  <c r="E17" i="9" s="1"/>
  <c r="K13" i="9"/>
  <c r="H13" i="9"/>
  <c r="E13" i="9"/>
  <c r="C13" i="9"/>
  <c r="H12" i="9"/>
  <c r="E12" i="9"/>
  <c r="C12" i="9"/>
  <c r="H9" i="9"/>
  <c r="E9" i="9"/>
  <c r="K9" i="9" s="1"/>
  <c r="C4" i="9"/>
  <c r="B4" i="9"/>
  <c r="B5" i="9" s="1"/>
  <c r="F1" i="9"/>
  <c r="E1" i="9"/>
  <c r="G1" i="9" s="1"/>
  <c r="E5" i="9" s="1"/>
  <c r="E10" i="9" s="1"/>
  <c r="D65" i="4"/>
  <c r="J67" i="4"/>
  <c r="G65" i="4"/>
  <c r="K19" i="7"/>
  <c r="H19" i="8"/>
  <c r="H19" i="7"/>
  <c r="D59" i="4"/>
  <c r="E3" i="8"/>
  <c r="E3" i="7"/>
  <c r="K4" i="7" s="1"/>
  <c r="E3" i="6"/>
  <c r="K4" i="6" s="1"/>
  <c r="C39" i="8"/>
  <c r="E38" i="8"/>
  <c r="C38" i="8"/>
  <c r="C40" i="8" s="1"/>
  <c r="D33" i="8"/>
  <c r="G32" i="8"/>
  <c r="H32" i="8" s="1"/>
  <c r="E29" i="8"/>
  <c r="G28" i="8"/>
  <c r="R25" i="8"/>
  <c r="S25" i="8" s="1"/>
  <c r="A21" i="8"/>
  <c r="C15" i="8"/>
  <c r="E14" i="8" s="1"/>
  <c r="C14" i="8"/>
  <c r="E17" i="8" s="1"/>
  <c r="K13" i="8"/>
  <c r="H13" i="8"/>
  <c r="E13" i="8"/>
  <c r="C13" i="8"/>
  <c r="K12" i="8"/>
  <c r="H12" i="8"/>
  <c r="E12" i="8"/>
  <c r="C12" i="8"/>
  <c r="H9" i="8"/>
  <c r="E9" i="8"/>
  <c r="K9" i="8" s="1"/>
  <c r="K4" i="8"/>
  <c r="C4" i="8"/>
  <c r="B4" i="8"/>
  <c r="B5" i="8" s="1"/>
  <c r="F1" i="8"/>
  <c r="G1" i="8" s="1"/>
  <c r="E5" i="8" s="1"/>
  <c r="E1" i="8"/>
  <c r="C39" i="7"/>
  <c r="E38" i="7"/>
  <c r="C38" i="7"/>
  <c r="C40" i="7" s="1"/>
  <c r="D33" i="7"/>
  <c r="G32" i="7"/>
  <c r="H32" i="7" s="1"/>
  <c r="E29" i="7"/>
  <c r="G28" i="7"/>
  <c r="R25" i="7"/>
  <c r="S25" i="7" s="1"/>
  <c r="A21" i="7"/>
  <c r="C15" i="7"/>
  <c r="E14" i="7"/>
  <c r="K14" i="7" s="1"/>
  <c r="C14" i="7"/>
  <c r="E17" i="7" s="1"/>
  <c r="K13" i="7"/>
  <c r="H13" i="7"/>
  <c r="E13" i="7"/>
  <c r="C13" i="7"/>
  <c r="H12" i="7"/>
  <c r="E12" i="7"/>
  <c r="C12" i="7"/>
  <c r="E9" i="7"/>
  <c r="K9" i="7" s="1"/>
  <c r="C4" i="7"/>
  <c r="B4" i="7"/>
  <c r="B5" i="7" s="1"/>
  <c r="F1" i="7"/>
  <c r="G1" i="7" s="1"/>
  <c r="E5" i="7" s="1"/>
  <c r="E1" i="7"/>
  <c r="C39" i="6"/>
  <c r="E38" i="6"/>
  <c r="C38" i="6"/>
  <c r="C40" i="6" s="1"/>
  <c r="D33" i="6"/>
  <c r="G32" i="6"/>
  <c r="H32" i="6" s="1"/>
  <c r="E29" i="6"/>
  <c r="G28" i="6"/>
  <c r="S25" i="6"/>
  <c r="R25" i="6"/>
  <c r="A21" i="6"/>
  <c r="C15" i="6"/>
  <c r="E14" i="6" s="1"/>
  <c r="C14" i="6"/>
  <c r="E17" i="6" s="1"/>
  <c r="K13" i="6"/>
  <c r="H13" i="6"/>
  <c r="E13" i="6"/>
  <c r="C13" i="6"/>
  <c r="K12" i="6"/>
  <c r="H12" i="6"/>
  <c r="E12" i="6"/>
  <c r="C12" i="6"/>
  <c r="H9" i="6"/>
  <c r="E9" i="6"/>
  <c r="K9" i="6" s="1"/>
  <c r="C4" i="6"/>
  <c r="B4" i="6"/>
  <c r="B5" i="6" s="1"/>
  <c r="F1" i="6"/>
  <c r="G1" i="6" s="1"/>
  <c r="E5" i="6" s="1"/>
  <c r="E1" i="6"/>
  <c r="J56" i="4"/>
  <c r="K19" i="8" s="1"/>
  <c r="H56" i="4"/>
  <c r="G54" i="4"/>
  <c r="J47" i="4"/>
  <c r="H47" i="4"/>
  <c r="G45" i="4"/>
  <c r="J38" i="4"/>
  <c r="K19" i="6" s="1"/>
  <c r="H38" i="4"/>
  <c r="H19" i="6" s="1"/>
  <c r="G36" i="4"/>
  <c r="C39" i="5"/>
  <c r="E38" i="5"/>
  <c r="C38" i="5"/>
  <c r="C40" i="5" s="1"/>
  <c r="D33" i="5"/>
  <c r="G32" i="5"/>
  <c r="H32" i="5" s="1"/>
  <c r="E29" i="5"/>
  <c r="G28" i="5"/>
  <c r="S25" i="5"/>
  <c r="R25" i="5"/>
  <c r="A21" i="5"/>
  <c r="C15" i="5"/>
  <c r="E14" i="5"/>
  <c r="K14" i="5" s="1"/>
  <c r="C14" i="5"/>
  <c r="E17" i="5" s="1"/>
  <c r="K13" i="5"/>
  <c r="H13" i="5"/>
  <c r="E13" i="5"/>
  <c r="C13" i="5"/>
  <c r="H12" i="5"/>
  <c r="E12" i="5"/>
  <c r="C12" i="5"/>
  <c r="H9" i="5"/>
  <c r="E9" i="5"/>
  <c r="K9" i="5" s="1"/>
  <c r="K4" i="5"/>
  <c r="C4" i="5"/>
  <c r="B4" i="5"/>
  <c r="B5" i="5" s="1"/>
  <c r="G1" i="5"/>
  <c r="E5" i="5" s="1"/>
  <c r="F1" i="5"/>
  <c r="E1" i="5"/>
  <c r="J29" i="4"/>
  <c r="H29" i="4"/>
  <c r="G27" i="4"/>
  <c r="J20" i="4"/>
  <c r="H20" i="4"/>
  <c r="G18" i="4"/>
  <c r="K12" i="3"/>
  <c r="E10" i="3"/>
  <c r="E5" i="3"/>
  <c r="J10" i="4"/>
  <c r="H10" i="4"/>
  <c r="G7" i="4"/>
  <c r="K12" i="1"/>
  <c r="E10" i="1"/>
  <c r="C40" i="3"/>
  <c r="C39" i="3"/>
  <c r="E38" i="3"/>
  <c r="C38" i="3"/>
  <c r="D33" i="3"/>
  <c r="G32" i="3"/>
  <c r="H32" i="3" s="1"/>
  <c r="E29" i="3"/>
  <c r="G28" i="3"/>
  <c r="S25" i="3"/>
  <c r="R25" i="3"/>
  <c r="A21" i="3"/>
  <c r="C15" i="3"/>
  <c r="E14" i="3"/>
  <c r="K14" i="3" s="1"/>
  <c r="C14" i="3"/>
  <c r="E17" i="3" s="1"/>
  <c r="K13" i="3"/>
  <c r="H13" i="3"/>
  <c r="E13" i="3"/>
  <c r="C13" i="3"/>
  <c r="H12" i="3"/>
  <c r="E12" i="3"/>
  <c r="C12" i="3"/>
  <c r="K10" i="3"/>
  <c r="K2" i="3" s="1"/>
  <c r="H10" i="3"/>
  <c r="E9" i="3"/>
  <c r="K9" i="3" s="1"/>
  <c r="K4" i="3"/>
  <c r="C4" i="3"/>
  <c r="B4" i="3"/>
  <c r="B5" i="3" s="1"/>
  <c r="F1" i="3"/>
  <c r="E1" i="3"/>
  <c r="G1" i="3" s="1"/>
  <c r="G1" i="1"/>
  <c r="F1" i="1"/>
  <c r="E1" i="1"/>
  <c r="C15" i="1"/>
  <c r="C14" i="1"/>
  <c r="C13" i="1"/>
  <c r="C12" i="1"/>
  <c r="K10" i="1"/>
  <c r="H14" i="10" l="1"/>
  <c r="H14" i="9"/>
  <c r="K17" i="11"/>
  <c r="H17" i="11"/>
  <c r="H10" i="11"/>
  <c r="K14" i="11"/>
  <c r="H14" i="11"/>
  <c r="K4" i="11"/>
  <c r="K10" i="11" s="1"/>
  <c r="H17" i="10"/>
  <c r="K17" i="10"/>
  <c r="H10" i="10"/>
  <c r="E11" i="10"/>
  <c r="K10" i="10"/>
  <c r="K4" i="10"/>
  <c r="K10" i="9"/>
  <c r="H10" i="9"/>
  <c r="E11" i="9"/>
  <c r="H17" i="9"/>
  <c r="K17" i="9"/>
  <c r="K4" i="9"/>
  <c r="K14" i="8"/>
  <c r="H14" i="8"/>
  <c r="K17" i="8"/>
  <c r="H17" i="8"/>
  <c r="E10" i="8"/>
  <c r="K10" i="8"/>
  <c r="K17" i="7"/>
  <c r="H17" i="7"/>
  <c r="E10" i="7"/>
  <c r="K10" i="7"/>
  <c r="H14" i="7"/>
  <c r="H9" i="7"/>
  <c r="K17" i="6"/>
  <c r="H17" i="6"/>
  <c r="K14" i="6"/>
  <c r="H14" i="6"/>
  <c r="E10" i="6"/>
  <c r="K10" i="6"/>
  <c r="E10" i="5"/>
  <c r="K10" i="5"/>
  <c r="K17" i="5"/>
  <c r="H17" i="5"/>
  <c r="H14" i="5"/>
  <c r="E11" i="3"/>
  <c r="K17" i="3"/>
  <c r="K11" i="3" s="1"/>
  <c r="H17" i="3"/>
  <c r="H11" i="3" s="1"/>
  <c r="H14" i="3"/>
  <c r="H9" i="3"/>
  <c r="H11" i="9" l="1"/>
  <c r="H11" i="10"/>
  <c r="H11" i="11"/>
  <c r="E18" i="11"/>
  <c r="C18" i="11" s="1"/>
  <c r="B18" i="11" s="1"/>
  <c r="K2" i="11"/>
  <c r="K11" i="11"/>
  <c r="H18" i="11"/>
  <c r="H15" i="11"/>
  <c r="K2" i="10"/>
  <c r="K11" i="10"/>
  <c r="E18" i="10"/>
  <c r="C18" i="10" s="1"/>
  <c r="B18" i="10" s="1"/>
  <c r="E15" i="10"/>
  <c r="H18" i="10"/>
  <c r="H15" i="10"/>
  <c r="E18" i="9"/>
  <c r="C18" i="9" s="1"/>
  <c r="B18" i="9" s="1"/>
  <c r="E15" i="9"/>
  <c r="H18" i="9"/>
  <c r="H15" i="9"/>
  <c r="K2" i="9"/>
  <c r="K11" i="9"/>
  <c r="E11" i="8"/>
  <c r="H10" i="8"/>
  <c r="H11" i="8" s="1"/>
  <c r="K2" i="8"/>
  <c r="K11" i="8"/>
  <c r="K11" i="7"/>
  <c r="K2" i="7"/>
  <c r="E11" i="7"/>
  <c r="H10" i="7"/>
  <c r="H11" i="7" s="1"/>
  <c r="H10" i="6"/>
  <c r="H11" i="6" s="1"/>
  <c r="E11" i="6"/>
  <c r="K11" i="6"/>
  <c r="K2" i="6"/>
  <c r="K2" i="5"/>
  <c r="K11" i="5"/>
  <c r="H10" i="5"/>
  <c r="H11" i="5" s="1"/>
  <c r="E11" i="5"/>
  <c r="H15" i="3"/>
  <c r="H18" i="3"/>
  <c r="E18" i="3"/>
  <c r="C18" i="3" s="1"/>
  <c r="B18" i="3" s="1"/>
  <c r="E15" i="3"/>
  <c r="K18" i="3"/>
  <c r="K15" i="3"/>
  <c r="K18" i="11" l="1"/>
  <c r="K15" i="11"/>
  <c r="H16" i="11"/>
  <c r="H20" i="11" s="1"/>
  <c r="I20" i="11"/>
  <c r="D23" i="11"/>
  <c r="D25" i="11" s="1"/>
  <c r="D26" i="11" s="1"/>
  <c r="F20" i="11"/>
  <c r="E16" i="11"/>
  <c r="E20" i="11" s="1"/>
  <c r="I20" i="10"/>
  <c r="H16" i="10"/>
  <c r="H20" i="10" s="1"/>
  <c r="E16" i="10"/>
  <c r="E20" i="10" s="1"/>
  <c r="D23" i="10"/>
  <c r="D25" i="10" s="1"/>
  <c r="D26" i="10" s="1"/>
  <c r="F20" i="10"/>
  <c r="K18" i="10"/>
  <c r="K15" i="10"/>
  <c r="I20" i="9"/>
  <c r="H16" i="9"/>
  <c r="H20" i="9" s="1"/>
  <c r="E16" i="9"/>
  <c r="E20" i="9" s="1"/>
  <c r="D23" i="9"/>
  <c r="D25" i="9" s="1"/>
  <c r="D26" i="9" s="1"/>
  <c r="F20" i="9"/>
  <c r="K18" i="9"/>
  <c r="K15" i="9"/>
  <c r="K18" i="8"/>
  <c r="K15" i="8"/>
  <c r="H15" i="8"/>
  <c r="H18" i="8"/>
  <c r="E18" i="8"/>
  <c r="C18" i="8" s="1"/>
  <c r="B18" i="8" s="1"/>
  <c r="E15" i="8"/>
  <c r="H15" i="7"/>
  <c r="H18" i="7"/>
  <c r="E18" i="7"/>
  <c r="C18" i="7" s="1"/>
  <c r="B18" i="7" s="1"/>
  <c r="E15" i="7"/>
  <c r="K18" i="7"/>
  <c r="K15" i="7"/>
  <c r="E18" i="6"/>
  <c r="C18" i="6" s="1"/>
  <c r="B18" i="6" s="1"/>
  <c r="E15" i="6"/>
  <c r="K15" i="6"/>
  <c r="K18" i="6"/>
  <c r="H15" i="6"/>
  <c r="H18" i="6"/>
  <c r="K15" i="5"/>
  <c r="K18" i="5"/>
  <c r="E18" i="5"/>
  <c r="C18" i="5" s="1"/>
  <c r="B18" i="5" s="1"/>
  <c r="E15" i="5"/>
  <c r="H18" i="5"/>
  <c r="H15" i="5"/>
  <c r="D23" i="3"/>
  <c r="D25" i="3" s="1"/>
  <c r="D26" i="3" s="1"/>
  <c r="F20" i="3"/>
  <c r="E16" i="3"/>
  <c r="E20" i="3" s="1"/>
  <c r="F22" i="4" s="1"/>
  <c r="K16" i="3"/>
  <c r="K20" i="3" s="1"/>
  <c r="J22" i="4" s="1"/>
  <c r="L20" i="3"/>
  <c r="I20" i="3"/>
  <c r="H16" i="3"/>
  <c r="H20" i="3" s="1"/>
  <c r="H22" i="4" s="1"/>
  <c r="G24" i="11" l="1"/>
  <c r="E22" i="11"/>
  <c r="E21" i="11"/>
  <c r="H21" i="11"/>
  <c r="H22" i="11"/>
  <c r="D34" i="11"/>
  <c r="E34" i="11" s="1"/>
  <c r="D31" i="11"/>
  <c r="L20" i="11"/>
  <c r="K16" i="11"/>
  <c r="K20" i="11" s="1"/>
  <c r="K22" i="11" s="1"/>
  <c r="D34" i="10"/>
  <c r="E34" i="10" s="1"/>
  <c r="D31" i="10"/>
  <c r="L20" i="10"/>
  <c r="K16" i="10"/>
  <c r="K20" i="10" s="1"/>
  <c r="H21" i="10"/>
  <c r="H22" i="10"/>
  <c r="G24" i="10"/>
  <c r="E22" i="10"/>
  <c r="E21" i="10"/>
  <c r="L20" i="9"/>
  <c r="K16" i="9"/>
  <c r="K20" i="9" s="1"/>
  <c r="J69" i="4" s="1"/>
  <c r="D34" i="9"/>
  <c r="E34" i="9" s="1"/>
  <c r="D31" i="9"/>
  <c r="H21" i="9"/>
  <c r="H22" i="9"/>
  <c r="G24" i="9"/>
  <c r="E22" i="9"/>
  <c r="E21" i="9"/>
  <c r="H16" i="8"/>
  <c r="H20" i="8" s="1"/>
  <c r="H58" i="4" s="1"/>
  <c r="I20" i="8"/>
  <c r="F20" i="8"/>
  <c r="D25" i="8"/>
  <c r="D26" i="8" s="1"/>
  <c r="E16" i="8"/>
  <c r="E20" i="8" s="1"/>
  <c r="F58" i="4" s="1"/>
  <c r="L20" i="8"/>
  <c r="K16" i="8"/>
  <c r="K20" i="8" s="1"/>
  <c r="J58" i="4" s="1"/>
  <c r="D23" i="7"/>
  <c r="D25" i="7" s="1"/>
  <c r="D26" i="7" s="1"/>
  <c r="E16" i="7"/>
  <c r="E20" i="7" s="1"/>
  <c r="F49" i="4" s="1"/>
  <c r="F20" i="7"/>
  <c r="L20" i="7"/>
  <c r="K16" i="7"/>
  <c r="K20" i="7" s="1"/>
  <c r="J49" i="4" s="1"/>
  <c r="I20" i="7"/>
  <c r="H16" i="7"/>
  <c r="H20" i="7" s="1"/>
  <c r="H49" i="4" s="1"/>
  <c r="E16" i="6"/>
  <c r="E20" i="6" s="1"/>
  <c r="F40" i="4" s="1"/>
  <c r="D23" i="6"/>
  <c r="D25" i="6" s="1"/>
  <c r="D26" i="6" s="1"/>
  <c r="F20" i="6"/>
  <c r="L20" i="6"/>
  <c r="K16" i="6"/>
  <c r="K20" i="6" s="1"/>
  <c r="J40" i="4" s="1"/>
  <c r="I20" i="6"/>
  <c r="H16" i="6"/>
  <c r="H20" i="6" s="1"/>
  <c r="H40" i="4" s="1"/>
  <c r="I20" i="5"/>
  <c r="H16" i="5"/>
  <c r="H20" i="5" s="1"/>
  <c r="H31" i="4" s="1"/>
  <c r="E16" i="5"/>
  <c r="E20" i="5" s="1"/>
  <c r="F31" i="4" s="1"/>
  <c r="D23" i="5"/>
  <c r="D25" i="5" s="1"/>
  <c r="D26" i="5" s="1"/>
  <c r="F20" i="5"/>
  <c r="K16" i="5"/>
  <c r="L20" i="5"/>
  <c r="J22" i="3"/>
  <c r="K21" i="3"/>
  <c r="M20" i="3"/>
  <c r="G24" i="3"/>
  <c r="E22" i="3"/>
  <c r="E21" i="3"/>
  <c r="H22" i="3"/>
  <c r="H21" i="3"/>
  <c r="D34" i="3"/>
  <c r="E34" i="3" s="1"/>
  <c r="D31" i="3"/>
  <c r="K20" i="5" l="1"/>
  <c r="J31" i="4" s="1"/>
  <c r="J86" i="4"/>
  <c r="P58" i="4"/>
  <c r="P49" i="4"/>
  <c r="P40" i="4"/>
  <c r="Q40" i="4" s="1"/>
  <c r="P31" i="4"/>
  <c r="L22" i="4"/>
  <c r="L58" i="4"/>
  <c r="M20" i="10"/>
  <c r="N20" i="10" s="1"/>
  <c r="J78" i="4"/>
  <c r="M20" i="9"/>
  <c r="N20" i="9" s="1"/>
  <c r="J22" i="11"/>
  <c r="K21" i="11"/>
  <c r="M20" i="11"/>
  <c r="K21" i="10"/>
  <c r="J22" i="10"/>
  <c r="K21" i="9"/>
  <c r="J22" i="9"/>
  <c r="J22" i="8"/>
  <c r="K21" i="8"/>
  <c r="D34" i="8"/>
  <c r="E34" i="8" s="1"/>
  <c r="D31" i="8"/>
  <c r="M20" i="8"/>
  <c r="G24" i="8"/>
  <c r="E22" i="8"/>
  <c r="E21" i="8"/>
  <c r="H21" i="8"/>
  <c r="H22" i="8"/>
  <c r="J22" i="7"/>
  <c r="K21" i="7"/>
  <c r="E21" i="7"/>
  <c r="M20" i="7"/>
  <c r="G24" i="7"/>
  <c r="E22" i="7"/>
  <c r="H22" i="7"/>
  <c r="H21" i="7"/>
  <c r="D31" i="7"/>
  <c r="D34" i="7"/>
  <c r="E34" i="7" s="1"/>
  <c r="J22" i="6"/>
  <c r="K21" i="6"/>
  <c r="H22" i="6"/>
  <c r="H21" i="6"/>
  <c r="D31" i="6"/>
  <c r="D34" i="6"/>
  <c r="E34" i="6" s="1"/>
  <c r="E21" i="6"/>
  <c r="M20" i="6"/>
  <c r="G24" i="6"/>
  <c r="E22" i="6"/>
  <c r="D31" i="5"/>
  <c r="D34" i="5"/>
  <c r="E34" i="5" s="1"/>
  <c r="H21" i="5"/>
  <c r="H22" i="5"/>
  <c r="J22" i="5"/>
  <c r="K21" i="5"/>
  <c r="E22" i="5"/>
  <c r="M20" i="5"/>
  <c r="G24" i="5"/>
  <c r="E21" i="5"/>
  <c r="R16" i="3"/>
  <c r="R20" i="3" s="1"/>
  <c r="T10" i="3" s="1"/>
  <c r="N20" i="3"/>
  <c r="R16" i="10" l="1"/>
  <c r="R20" i="10" s="1"/>
  <c r="T10" i="10" s="1"/>
  <c r="T11" i="10" s="1"/>
  <c r="P22" i="4"/>
  <c r="P13" i="4"/>
  <c r="R16" i="9"/>
  <c r="R20" i="9" s="1"/>
  <c r="T10" i="9" s="1"/>
  <c r="T11" i="9" s="1"/>
  <c r="N49" i="4"/>
  <c r="Q49" i="4" s="1"/>
  <c r="N31" i="4"/>
  <c r="Q31" i="4" s="1"/>
  <c r="N58" i="4"/>
  <c r="Q58" i="4" s="1"/>
  <c r="N22" i="4"/>
  <c r="N20" i="11"/>
  <c r="R16" i="11"/>
  <c r="R20" i="11" s="1"/>
  <c r="T10" i="11" s="1"/>
  <c r="N20" i="8"/>
  <c r="R16" i="8"/>
  <c r="R20" i="8" s="1"/>
  <c r="T10" i="8" s="1"/>
  <c r="N20" i="7"/>
  <c r="R16" i="7"/>
  <c r="R20" i="7" s="1"/>
  <c r="T10" i="7" s="1"/>
  <c r="N20" i="6"/>
  <c r="R16" i="6"/>
  <c r="R20" i="6" s="1"/>
  <c r="T10" i="6" s="1"/>
  <c r="N20" i="5"/>
  <c r="R16" i="5"/>
  <c r="R20" i="5" s="1"/>
  <c r="T10" i="5" s="1"/>
  <c r="T11" i="3"/>
  <c r="T12" i="3"/>
  <c r="V12" i="3" s="1"/>
  <c r="V15" i="3" s="1"/>
  <c r="Q22" i="4" l="1"/>
  <c r="T12" i="10"/>
  <c r="V12" i="10" s="1"/>
  <c r="V15" i="10" s="1"/>
  <c r="T12" i="9"/>
  <c r="V12" i="9" s="1"/>
  <c r="V15" i="9" s="1"/>
  <c r="T11" i="11"/>
  <c r="T12" i="11"/>
  <c r="V12" i="11" s="1"/>
  <c r="V15" i="11" s="1"/>
  <c r="T11" i="8"/>
  <c r="T12" i="8"/>
  <c r="V12" i="8" s="1"/>
  <c r="V15" i="8" s="1"/>
  <c r="T11" i="7"/>
  <c r="T12" i="7"/>
  <c r="V12" i="7" s="1"/>
  <c r="V15" i="7" s="1"/>
  <c r="T11" i="6"/>
  <c r="T12" i="6"/>
  <c r="V12" i="6" s="1"/>
  <c r="V15" i="6" s="1"/>
  <c r="T11" i="5"/>
  <c r="T12" i="5"/>
  <c r="V12" i="5" s="1"/>
  <c r="V15" i="5" s="1"/>
  <c r="E12" i="1" l="1"/>
  <c r="A21" i="1" l="1"/>
  <c r="H12" i="1" l="1"/>
  <c r="C4" i="1"/>
  <c r="L105" i="2" l="1"/>
  <c r="I105" i="2"/>
  <c r="L104" i="2"/>
  <c r="I104" i="2"/>
  <c r="L103" i="2"/>
  <c r="I103" i="2"/>
  <c r="L102" i="2"/>
  <c r="I102" i="2"/>
  <c r="L101" i="2"/>
  <c r="I101" i="2"/>
  <c r="H32" i="1" l="1"/>
  <c r="G32" i="1"/>
  <c r="G28" i="1" l="1"/>
  <c r="E38" i="1" l="1"/>
  <c r="E14" i="1" l="1"/>
  <c r="C40" i="1" l="1"/>
  <c r="C39" i="1"/>
  <c r="C38" i="1"/>
  <c r="D33" i="1"/>
  <c r="E29" i="1"/>
  <c r="R25" i="1" l="1"/>
  <c r="S25" i="1" s="1"/>
  <c r="B4" i="1" l="1"/>
  <c r="B5" i="1" s="1"/>
  <c r="H10" i="1" l="1"/>
  <c r="K2" i="1" l="1"/>
  <c r="E9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7" i="2"/>
  <c r="L28" i="2"/>
  <c r="L30" i="2"/>
  <c r="L32" i="2"/>
  <c r="L33" i="2"/>
  <c r="L34" i="2"/>
  <c r="L35" i="2"/>
  <c r="L36" i="2"/>
  <c r="L37" i="2"/>
  <c r="L38" i="2"/>
  <c r="L40" i="2"/>
  <c r="L41" i="2"/>
  <c r="L42" i="2"/>
  <c r="L43" i="2"/>
  <c r="L44" i="2"/>
  <c r="L45" i="2"/>
  <c r="L46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6" i="2"/>
  <c r="L97" i="2"/>
  <c r="L99" i="2"/>
  <c r="L3" i="2"/>
  <c r="E17" i="1"/>
  <c r="K17" i="1" s="1"/>
  <c r="K11" i="1" s="1"/>
  <c r="K14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7" i="2"/>
  <c r="I28" i="2"/>
  <c r="I30" i="2"/>
  <c r="I32" i="2"/>
  <c r="I33" i="2"/>
  <c r="I34" i="2"/>
  <c r="I35" i="2"/>
  <c r="I36" i="2"/>
  <c r="I37" i="2"/>
  <c r="I38" i="2"/>
  <c r="I40" i="2"/>
  <c r="I41" i="2"/>
  <c r="I42" i="2"/>
  <c r="I43" i="2"/>
  <c r="I44" i="2"/>
  <c r="I45" i="2"/>
  <c r="I46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6" i="2"/>
  <c r="I97" i="2"/>
  <c r="I99" i="2"/>
  <c r="I3" i="2"/>
  <c r="K13" i="1"/>
  <c r="K4" i="1"/>
  <c r="E13" i="1"/>
  <c r="H13" i="1"/>
  <c r="K9" i="1"/>
  <c r="H9" i="1"/>
  <c r="E11" i="1" l="1"/>
  <c r="H14" i="1"/>
  <c r="K15" i="1"/>
  <c r="H17" i="1"/>
  <c r="H11" i="1" s="1"/>
  <c r="K16" i="1" l="1"/>
  <c r="E18" i="1"/>
  <c r="C18" i="1" s="1"/>
  <c r="B18" i="1" s="1"/>
  <c r="E15" i="1"/>
  <c r="K18" i="1"/>
  <c r="H18" i="1"/>
  <c r="H15" i="1"/>
  <c r="F20" i="1" l="1"/>
  <c r="H16" i="1"/>
  <c r="H20" i="1" s="1"/>
  <c r="I20" i="1"/>
  <c r="K20" i="1"/>
  <c r="L20" i="1"/>
  <c r="D23" i="1"/>
  <c r="D25" i="1" s="1"/>
  <c r="D26" i="1" s="1"/>
  <c r="E16" i="1"/>
  <c r="E20" i="1" s="1"/>
  <c r="H21" i="1" l="1"/>
  <c r="H13" i="4"/>
  <c r="J22" i="1"/>
  <c r="J13" i="4"/>
  <c r="E21" i="1"/>
  <c r="F13" i="4"/>
  <c r="K21" i="1"/>
  <c r="M20" i="1"/>
  <c r="N20" i="1" s="1"/>
  <c r="E22" i="1"/>
  <c r="G24" i="1"/>
  <c r="D31" i="1"/>
  <c r="D34" i="1"/>
  <c r="E34" i="1" s="1"/>
  <c r="H22" i="1"/>
  <c r="Q13" i="4" l="1"/>
  <c r="R16" i="1"/>
  <c r="R20" i="1" s="1"/>
  <c r="T10" i="1" s="1"/>
  <c r="T12" i="1" s="1"/>
  <c r="V12" i="1" s="1"/>
  <c r="V15" i="1" s="1"/>
  <c r="T11" i="1" l="1"/>
</calcChain>
</file>

<file path=xl/sharedStrings.xml><?xml version="1.0" encoding="utf-8"?>
<sst xmlns="http://schemas.openxmlformats.org/spreadsheetml/2006/main" count="921" uniqueCount="126">
  <si>
    <t>Visc</t>
  </si>
  <si>
    <t>Re</t>
  </si>
  <si>
    <t>f</t>
  </si>
  <si>
    <t>Velocity</t>
  </si>
  <si>
    <t>deltaP1 (Pa)</t>
  </si>
  <si>
    <t>m (kg/s)</t>
  </si>
  <si>
    <t xml:space="preserve">V l/s </t>
  </si>
  <si>
    <t>density kg /m3</t>
  </si>
  <si>
    <t>Energibrønn</t>
  </si>
  <si>
    <t>deltaP2 (Pa)</t>
  </si>
  <si>
    <t>Re_pipe=m*D/(viscosity*pi*r1^2);</t>
  </si>
  <si>
    <t>Trasse (lengst strekkning)</t>
  </si>
  <si>
    <t xml:space="preserve">Major losses </t>
  </si>
  <si>
    <t>deltaP3 (Pa)</t>
  </si>
  <si>
    <t>D (m)</t>
  </si>
  <si>
    <t>r (m)</t>
  </si>
  <si>
    <t xml:space="preserve">Lingninger </t>
  </si>
  <si>
    <t>L (m)</t>
  </si>
  <si>
    <t>L  (m)</t>
  </si>
  <si>
    <t>Trykktapsberegning</t>
  </si>
  <si>
    <t>deltaP2=(f*L/(D_pipe)*density*(velocity_pipe^2)/2);</t>
  </si>
  <si>
    <t>e</t>
  </si>
  <si>
    <t>Virkningsgrad pumpe</t>
  </si>
  <si>
    <t>Pumpe effekt (kW)</t>
  </si>
  <si>
    <t>totalt trykktap (bar)</t>
  </si>
  <si>
    <t>totalt trykktap (kPa)</t>
  </si>
  <si>
    <t>N=</t>
  </si>
  <si>
    <t>Totalt antal brønner (N)</t>
  </si>
  <si>
    <t>(trykktapp i trasé er korrigert med 1.1 for tapp i samlekummer )</t>
  </si>
  <si>
    <t>Trykktap</t>
  </si>
  <si>
    <t>Ledning mellom samlekum og teknisk rom</t>
  </si>
  <si>
    <t>Varmeveksler Varmepumpe fra oversendt dokumentasjon på 160 kW VP.</t>
  </si>
  <si>
    <t>Trykktap trasé energibrønner</t>
  </si>
  <si>
    <t xml:space="preserve">Brønnpark </t>
  </si>
  <si>
    <t>VP</t>
  </si>
  <si>
    <t>Sikkerhet margin</t>
  </si>
  <si>
    <t>Total SUM</t>
  </si>
  <si>
    <t xml:space="preserve">Må sjekkes med Henrik før bruk ! </t>
  </si>
  <si>
    <t>Water</t>
  </si>
  <si>
    <t>0 C</t>
  </si>
  <si>
    <t>5 C</t>
  </si>
  <si>
    <t>10 C</t>
  </si>
  <si>
    <t>15 C</t>
  </si>
  <si>
    <t>20 C</t>
  </si>
  <si>
    <t>25 C</t>
  </si>
  <si>
    <t>30 C</t>
  </si>
  <si>
    <t>35 C</t>
  </si>
  <si>
    <t>40 C</t>
  </si>
  <si>
    <t>45 C</t>
  </si>
  <si>
    <t>50 C</t>
  </si>
  <si>
    <t>55 C</t>
  </si>
  <si>
    <t>60 C</t>
  </si>
  <si>
    <t>65 C</t>
  </si>
  <si>
    <t>70 C</t>
  </si>
  <si>
    <t>75 C</t>
  </si>
  <si>
    <t>80 C</t>
  </si>
  <si>
    <t>85 C</t>
  </si>
  <si>
    <t>90 C</t>
  </si>
  <si>
    <t>95 C</t>
  </si>
  <si>
    <t>Monoethy</t>
  </si>
  <si>
    <t>le</t>
  </si>
  <si>
    <t>nglycole</t>
  </si>
  <si>
    <t>C</t>
  </si>
  <si>
    <t>Monoprop</t>
  </si>
  <si>
    <t>yl</t>
  </si>
  <si>
    <t>englycole</t>
  </si>
  <si>
    <t>Methanol</t>
  </si>
  <si>
    <t>Ethanole</t>
  </si>
  <si>
    <t>Potassiu</t>
  </si>
  <si>
    <t>m</t>
  </si>
  <si>
    <t>carbonate</t>
  </si>
  <si>
    <t>3 C</t>
  </si>
  <si>
    <t>Calcium</t>
  </si>
  <si>
    <t>ch</t>
  </si>
  <si>
    <t>loride</t>
  </si>
  <si>
    <t>8 C</t>
  </si>
  <si>
    <t>k</t>
  </si>
  <si>
    <t>cp</t>
  </si>
  <si>
    <t>dens</t>
  </si>
  <si>
    <t>visc</t>
  </si>
  <si>
    <t>fryspunk</t>
  </si>
  <si>
    <t>Pr</t>
  </si>
  <si>
    <t>Nu</t>
  </si>
  <si>
    <t>h</t>
  </si>
  <si>
    <t>k_sprit</t>
  </si>
  <si>
    <t>Dens</t>
  </si>
  <si>
    <t xml:space="preserve">Varmeovergang i kollektor </t>
  </si>
  <si>
    <t>heat transfer - Gnielinski (1976)  3*10^3 &lt;Re&lt; 5*10^6</t>
  </si>
  <si>
    <t>R_pipe</t>
  </si>
  <si>
    <t>f=1/(0.79*ln(Re)-1.64)^2; (er ikke brukt, bruker ligningen i bildet under)</t>
  </si>
  <si>
    <t>R_conv</t>
  </si>
  <si>
    <t>R_conv/R_pipe</t>
  </si>
  <si>
    <t xml:space="preserve">20 l/s </t>
  </si>
  <si>
    <t>264 pa/m</t>
  </si>
  <si>
    <t>550 Pa/m</t>
  </si>
  <si>
    <t>30 l/s</t>
  </si>
  <si>
    <t>R_pipe + Rconv</t>
  </si>
  <si>
    <t>Kilfrost</t>
  </si>
  <si>
    <t>Bankhallen</t>
  </si>
  <si>
    <t xml:space="preserve">40 m </t>
  </si>
  <si>
    <t xml:space="preserve">Turbulet </t>
  </si>
  <si>
    <t>Laminar</t>
  </si>
  <si>
    <t>Antaall brønner</t>
  </si>
  <si>
    <t>flow / brønn</t>
  </si>
  <si>
    <t>Brønn</t>
  </si>
  <si>
    <t>total flow</t>
  </si>
  <si>
    <t>Lengste traseer</t>
  </si>
  <si>
    <t xml:space="preserve">Trasee til samelkum </t>
  </si>
  <si>
    <t>SM1</t>
  </si>
  <si>
    <t xml:space="preserve">tur retur </t>
  </si>
  <si>
    <t>SM2</t>
  </si>
  <si>
    <t>SM3</t>
  </si>
  <si>
    <t>SM4</t>
  </si>
  <si>
    <t>SM5</t>
  </si>
  <si>
    <t>SM6</t>
  </si>
  <si>
    <t>SM6+SM2</t>
  </si>
  <si>
    <t>SM6+SM2+ SM3+SM5</t>
  </si>
  <si>
    <t>Hovedstrekk</t>
  </si>
  <si>
    <t>200  mm SDR 17</t>
  </si>
  <si>
    <t>180 mm SDR 17</t>
  </si>
  <si>
    <t>160 mm SDR 17</t>
  </si>
  <si>
    <t>125 mm SDR 17</t>
  </si>
  <si>
    <t>110 mm SDR 17</t>
  </si>
  <si>
    <t xml:space="preserve">Trykktapp eks komponenter. </t>
  </si>
  <si>
    <t>kPa</t>
  </si>
  <si>
    <t>total lengde 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</si>
</sst>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6" fontId="0" fillId="0" borderId="0" xfId="0" applyNumberFormat="1"/>
    <xf numFmtId="165" fontId="1" fillId="0" borderId="5" xfId="0" applyNumberFormat="1" applyFont="1" applyBorder="1"/>
    <xf numFmtId="2" fontId="0" fillId="0" borderId="5" xfId="0" applyNumberFormat="1" applyBorder="1"/>
    <xf numFmtId="2" fontId="1" fillId="0" borderId="8" xfId="0" applyNumberFormat="1" applyFont="1" applyBorder="1"/>
    <xf numFmtId="0" fontId="0" fillId="0" borderId="5" xfId="0" applyBorder="1"/>
    <xf numFmtId="0" fontId="1" fillId="0" borderId="4" xfId="0" applyFont="1" applyBorder="1"/>
    <xf numFmtId="165" fontId="0" fillId="0" borderId="5" xfId="0" applyNumberFormat="1" applyBorder="1"/>
    <xf numFmtId="166" fontId="0" fillId="0" borderId="5" xfId="0" applyNumberFormat="1" applyBorder="1"/>
    <xf numFmtId="1" fontId="0" fillId="0" borderId="5" xfId="0" applyNumberFormat="1" applyBorder="1"/>
    <xf numFmtId="164" fontId="0" fillId="0" borderId="5" xfId="0" applyNumberFormat="1" applyBorder="1"/>
    <xf numFmtId="0" fontId="0" fillId="0" borderId="8" xfId="0" applyBorder="1"/>
    <xf numFmtId="164" fontId="0" fillId="0" borderId="4" xfId="0" applyNumberFormat="1" applyBorder="1"/>
    <xf numFmtId="1" fontId="1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1" fontId="1" fillId="0" borderId="5" xfId="0" applyNumberFormat="1" applyFont="1" applyBorder="1"/>
    <xf numFmtId="0" fontId="3" fillId="0" borderId="5" xfId="0" applyFont="1" applyBorder="1"/>
    <xf numFmtId="0" fontId="1" fillId="0" borderId="5" xfId="0" applyFont="1" applyBorder="1"/>
    <xf numFmtId="9" fontId="0" fillId="0" borderId="0" xfId="0" applyNumberFormat="1"/>
    <xf numFmtId="2" fontId="0" fillId="0" borderId="0" xfId="0" applyNumberFormat="1"/>
    <xf numFmtId="9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9" fontId="0" fillId="0" borderId="0" xfId="1" applyFont="1"/>
    <xf numFmtId="0" fontId="3" fillId="0" borderId="0" xfId="0" applyFont="1"/>
    <xf numFmtId="164" fontId="1" fillId="0" borderId="0" xfId="0" applyNumberFormat="1" applyFont="1"/>
    <xf numFmtId="0" fontId="0" fillId="0" borderId="0" xfId="0" applyBorder="1"/>
    <xf numFmtId="0" fontId="1" fillId="0" borderId="6" xfId="0" applyFont="1" applyBorder="1"/>
    <xf numFmtId="0" fontId="1" fillId="0" borderId="7" xfId="0" applyFont="1" applyBorder="1"/>
    <xf numFmtId="1" fontId="1" fillId="0" borderId="7" xfId="0" applyNumberFormat="1" applyFont="1" applyBorder="1"/>
    <xf numFmtId="1" fontId="1" fillId="0" borderId="8" xfId="0" applyNumberFormat="1" applyFont="1" applyBorder="1"/>
    <xf numFmtId="0" fontId="1" fillId="0" borderId="2" xfId="0" applyFont="1" applyBorder="1"/>
    <xf numFmtId="2" fontId="1" fillId="0" borderId="5" xfId="0" applyNumberFormat="1" applyFont="1" applyBorder="1"/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2" borderId="2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1" fontId="1" fillId="3" borderId="5" xfId="0" applyNumberFormat="1" applyFont="1" applyFill="1" applyBorder="1"/>
    <xf numFmtId="0" fontId="0" fillId="3" borderId="5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867987</xdr:colOff>
      <xdr:row>29</xdr:row>
      <xdr:rowOff>68234</xdr:rowOff>
    </xdr:from>
    <xdr:to>
      <xdr:col>19</xdr:col>
      <xdr:colOff>457104</xdr:colOff>
      <xdr:row>44</xdr:row>
      <xdr:rowOff>98353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98CBC2A-B076-4A6A-B2D1-0703D903E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9117" y="5455574"/>
          <a:ext cx="10836237" cy="27695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28575</xdr:rowOff>
    </xdr:from>
    <xdr:to>
      <xdr:col>0</xdr:col>
      <xdr:colOff>3124200</xdr:colOff>
      <xdr:row>12</xdr:row>
      <xdr:rowOff>129768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EA70074-1881-4EAB-8FBE-378D9296EC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87" t="22628" b="46715"/>
        <a:stretch/>
      </xdr:blipFill>
      <xdr:spPr>
        <a:xfrm>
          <a:off x="0" y="1933575"/>
          <a:ext cx="3124200" cy="474573"/>
        </a:xfrm>
        <a:prstGeom prst="rect">
          <a:avLst/>
        </a:prstGeom>
      </xdr:spPr>
    </xdr:pic>
    <xdr:clientData/>
  </xdr:twoCellAnchor>
  <xdr:twoCellAnchor editAs="oneCell">
    <xdr:from>
      <xdr:col>7</xdr:col>
      <xdr:colOff>445424</xdr:colOff>
      <xdr:row>23</xdr:row>
      <xdr:rowOff>131443</xdr:rowOff>
    </xdr:from>
    <xdr:to>
      <xdr:col>13</xdr:col>
      <xdr:colOff>207646</xdr:colOff>
      <xdr:row>64</xdr:row>
      <xdr:rowOff>59721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A4567A8A-3BC9-4BD1-A096-242BF702A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02242" y="4435011"/>
          <a:ext cx="7835266" cy="7376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867987</xdr:colOff>
      <xdr:row>29</xdr:row>
      <xdr:rowOff>68234</xdr:rowOff>
    </xdr:from>
    <xdr:to>
      <xdr:col>19</xdr:col>
      <xdr:colOff>457104</xdr:colOff>
      <xdr:row>44</xdr:row>
      <xdr:rowOff>94543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E21A89C3-0CB3-45EE-9922-58266686C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9117" y="5455574"/>
          <a:ext cx="10836237" cy="27695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28575</xdr:rowOff>
    </xdr:from>
    <xdr:to>
      <xdr:col>0</xdr:col>
      <xdr:colOff>3124200</xdr:colOff>
      <xdr:row>12</xdr:row>
      <xdr:rowOff>133578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72595700-0A12-4EDD-8C7F-F50BC70C48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87" t="22628" b="46715"/>
        <a:stretch/>
      </xdr:blipFill>
      <xdr:spPr>
        <a:xfrm>
          <a:off x="0" y="1933575"/>
          <a:ext cx="3124200" cy="474573"/>
        </a:xfrm>
        <a:prstGeom prst="rect">
          <a:avLst/>
        </a:prstGeom>
      </xdr:spPr>
    </xdr:pic>
    <xdr:clientData/>
  </xdr:twoCellAnchor>
  <xdr:twoCellAnchor editAs="oneCell">
    <xdr:from>
      <xdr:col>9</xdr:col>
      <xdr:colOff>16279</xdr:colOff>
      <xdr:row>26</xdr:row>
      <xdr:rowOff>7444</xdr:rowOff>
    </xdr:from>
    <xdr:to>
      <xdr:col>14</xdr:col>
      <xdr:colOff>572194</xdr:colOff>
      <xdr:row>66</xdr:row>
      <xdr:rowOff>132803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227E2D34-8AC9-44BE-8086-681EB05A8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67409" y="4846144"/>
          <a:ext cx="7840635" cy="74405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867987</xdr:colOff>
      <xdr:row>29</xdr:row>
      <xdr:rowOff>68234</xdr:rowOff>
    </xdr:from>
    <xdr:to>
      <xdr:col>19</xdr:col>
      <xdr:colOff>457104</xdr:colOff>
      <xdr:row>44</xdr:row>
      <xdr:rowOff>94543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6483EE56-D1D1-4487-8E57-04106B45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9117" y="5455574"/>
          <a:ext cx="10836237" cy="27695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28575</xdr:rowOff>
    </xdr:from>
    <xdr:to>
      <xdr:col>0</xdr:col>
      <xdr:colOff>3124200</xdr:colOff>
      <xdr:row>12</xdr:row>
      <xdr:rowOff>133578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E6A184A8-CD6B-454D-874C-603C7D663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87" t="22628" b="46715"/>
        <a:stretch/>
      </xdr:blipFill>
      <xdr:spPr>
        <a:xfrm>
          <a:off x="0" y="1933575"/>
          <a:ext cx="3124200" cy="474573"/>
        </a:xfrm>
        <a:prstGeom prst="rect">
          <a:avLst/>
        </a:prstGeom>
      </xdr:spPr>
    </xdr:pic>
    <xdr:clientData/>
  </xdr:twoCellAnchor>
  <xdr:twoCellAnchor editAs="oneCell">
    <xdr:from>
      <xdr:col>9</xdr:col>
      <xdr:colOff>16279</xdr:colOff>
      <xdr:row>26</xdr:row>
      <xdr:rowOff>7444</xdr:rowOff>
    </xdr:from>
    <xdr:to>
      <xdr:col>14</xdr:col>
      <xdr:colOff>572194</xdr:colOff>
      <xdr:row>66</xdr:row>
      <xdr:rowOff>132803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50AB28D9-DB32-4068-A564-791C21FFF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67409" y="4846144"/>
          <a:ext cx="7840635" cy="74405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123306</xdr:colOff>
      <xdr:row>29</xdr:row>
      <xdr:rowOff>76893</xdr:rowOff>
    </xdr:from>
    <xdr:to>
      <xdr:col>28</xdr:col>
      <xdr:colOff>292581</xdr:colOff>
      <xdr:row>44</xdr:row>
      <xdr:rowOff>103202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A4765CD3-5B9A-4D72-8DE0-46A178A4B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7601" y="5731279"/>
          <a:ext cx="10187844" cy="288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28575</xdr:rowOff>
    </xdr:from>
    <xdr:to>
      <xdr:col>0</xdr:col>
      <xdr:colOff>3124200</xdr:colOff>
      <xdr:row>12</xdr:row>
      <xdr:rowOff>133578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7BA6E11-6B05-48BA-B98B-29B9485031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87" t="22628" b="46715"/>
        <a:stretch/>
      </xdr:blipFill>
      <xdr:spPr>
        <a:xfrm>
          <a:off x="0" y="1933575"/>
          <a:ext cx="3124200" cy="474573"/>
        </a:xfrm>
        <a:prstGeom prst="rect">
          <a:avLst/>
        </a:prstGeom>
      </xdr:spPr>
    </xdr:pic>
    <xdr:clientData/>
  </xdr:twoCellAnchor>
  <xdr:twoCellAnchor editAs="oneCell">
    <xdr:from>
      <xdr:col>9</xdr:col>
      <xdr:colOff>16279</xdr:colOff>
      <xdr:row>26</xdr:row>
      <xdr:rowOff>7444</xdr:rowOff>
    </xdr:from>
    <xdr:to>
      <xdr:col>14</xdr:col>
      <xdr:colOff>572194</xdr:colOff>
      <xdr:row>66</xdr:row>
      <xdr:rowOff>132803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6F2C698B-5ADD-4E4A-BDE0-B39FC12BB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67409" y="4846144"/>
          <a:ext cx="7840635" cy="74405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867987</xdr:colOff>
      <xdr:row>29</xdr:row>
      <xdr:rowOff>68234</xdr:rowOff>
    </xdr:from>
    <xdr:to>
      <xdr:col>19</xdr:col>
      <xdr:colOff>457104</xdr:colOff>
      <xdr:row>44</xdr:row>
      <xdr:rowOff>94543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CAF9ADEE-4859-4350-B675-1D183104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9117" y="5455574"/>
          <a:ext cx="10836237" cy="27695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28575</xdr:rowOff>
    </xdr:from>
    <xdr:to>
      <xdr:col>0</xdr:col>
      <xdr:colOff>3124200</xdr:colOff>
      <xdr:row>12</xdr:row>
      <xdr:rowOff>133578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C7BF05DF-A6F7-49C9-A353-D1705C9EAC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87" t="22628" b="46715"/>
        <a:stretch/>
      </xdr:blipFill>
      <xdr:spPr>
        <a:xfrm>
          <a:off x="0" y="1933575"/>
          <a:ext cx="3124200" cy="474573"/>
        </a:xfrm>
        <a:prstGeom prst="rect">
          <a:avLst/>
        </a:prstGeom>
      </xdr:spPr>
    </xdr:pic>
    <xdr:clientData/>
  </xdr:twoCellAnchor>
  <xdr:twoCellAnchor editAs="oneCell">
    <xdr:from>
      <xdr:col>9</xdr:col>
      <xdr:colOff>16279</xdr:colOff>
      <xdr:row>26</xdr:row>
      <xdr:rowOff>7444</xdr:rowOff>
    </xdr:from>
    <xdr:to>
      <xdr:col>14</xdr:col>
      <xdr:colOff>572194</xdr:colOff>
      <xdr:row>66</xdr:row>
      <xdr:rowOff>132803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A92EC25D-D718-4AF9-B09D-6E7EA9E5A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67409" y="4846144"/>
          <a:ext cx="7840635" cy="744055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867987</xdr:colOff>
      <xdr:row>29</xdr:row>
      <xdr:rowOff>68234</xdr:rowOff>
    </xdr:from>
    <xdr:to>
      <xdr:col>19</xdr:col>
      <xdr:colOff>457104</xdr:colOff>
      <xdr:row>44</xdr:row>
      <xdr:rowOff>94543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5CCFE0BD-C34F-495D-808C-AE3070315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9117" y="5455574"/>
          <a:ext cx="10836237" cy="27695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28575</xdr:rowOff>
    </xdr:from>
    <xdr:to>
      <xdr:col>0</xdr:col>
      <xdr:colOff>3124200</xdr:colOff>
      <xdr:row>12</xdr:row>
      <xdr:rowOff>133578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2EAD001D-2C72-4C85-8893-B3B644E81C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87" t="22628" b="46715"/>
        <a:stretch/>
      </xdr:blipFill>
      <xdr:spPr>
        <a:xfrm>
          <a:off x="0" y="1933575"/>
          <a:ext cx="3124200" cy="474573"/>
        </a:xfrm>
        <a:prstGeom prst="rect">
          <a:avLst/>
        </a:prstGeom>
      </xdr:spPr>
    </xdr:pic>
    <xdr:clientData/>
  </xdr:twoCellAnchor>
  <xdr:twoCellAnchor editAs="oneCell">
    <xdr:from>
      <xdr:col>9</xdr:col>
      <xdr:colOff>16279</xdr:colOff>
      <xdr:row>26</xdr:row>
      <xdr:rowOff>7444</xdr:rowOff>
    </xdr:from>
    <xdr:to>
      <xdr:col>14</xdr:col>
      <xdr:colOff>572194</xdr:colOff>
      <xdr:row>66</xdr:row>
      <xdr:rowOff>132803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410AB14-E26D-428A-B128-AFFFA3244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67409" y="4846144"/>
          <a:ext cx="7840635" cy="744055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867987</xdr:colOff>
      <xdr:row>29</xdr:row>
      <xdr:rowOff>68234</xdr:rowOff>
    </xdr:from>
    <xdr:to>
      <xdr:col>19</xdr:col>
      <xdr:colOff>457104</xdr:colOff>
      <xdr:row>44</xdr:row>
      <xdr:rowOff>94543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7297B2CE-B5D2-441A-AD3E-571419043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9117" y="5455574"/>
          <a:ext cx="10836237" cy="27695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28575</xdr:rowOff>
    </xdr:from>
    <xdr:to>
      <xdr:col>0</xdr:col>
      <xdr:colOff>3124200</xdr:colOff>
      <xdr:row>12</xdr:row>
      <xdr:rowOff>133578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FF34E06-A7B0-4D73-9EE5-9743A6A2A0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87" t="22628" b="46715"/>
        <a:stretch/>
      </xdr:blipFill>
      <xdr:spPr>
        <a:xfrm>
          <a:off x="0" y="1933575"/>
          <a:ext cx="3124200" cy="474573"/>
        </a:xfrm>
        <a:prstGeom prst="rect">
          <a:avLst/>
        </a:prstGeom>
      </xdr:spPr>
    </xdr:pic>
    <xdr:clientData/>
  </xdr:twoCellAnchor>
  <xdr:twoCellAnchor editAs="oneCell">
    <xdr:from>
      <xdr:col>9</xdr:col>
      <xdr:colOff>16279</xdr:colOff>
      <xdr:row>26</xdr:row>
      <xdr:rowOff>7444</xdr:rowOff>
    </xdr:from>
    <xdr:to>
      <xdr:col>14</xdr:col>
      <xdr:colOff>572194</xdr:colOff>
      <xdr:row>66</xdr:row>
      <xdr:rowOff>132803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D47723AF-E577-4655-B6E6-C3D26CD82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67409" y="4846144"/>
          <a:ext cx="7840635" cy="744055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867987</xdr:colOff>
      <xdr:row>29</xdr:row>
      <xdr:rowOff>68234</xdr:rowOff>
    </xdr:from>
    <xdr:to>
      <xdr:col>19</xdr:col>
      <xdr:colOff>457104</xdr:colOff>
      <xdr:row>44</xdr:row>
      <xdr:rowOff>94543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3E6519C-075F-44A8-A622-D5D5D5C88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9117" y="5455574"/>
          <a:ext cx="10836237" cy="27695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28575</xdr:rowOff>
    </xdr:from>
    <xdr:to>
      <xdr:col>0</xdr:col>
      <xdr:colOff>3124200</xdr:colOff>
      <xdr:row>12</xdr:row>
      <xdr:rowOff>133578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AC07B007-F2EE-42D7-A6A4-D034C3FA9E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87" t="22628" b="46715"/>
        <a:stretch/>
      </xdr:blipFill>
      <xdr:spPr>
        <a:xfrm>
          <a:off x="0" y="1933575"/>
          <a:ext cx="3124200" cy="474573"/>
        </a:xfrm>
        <a:prstGeom prst="rect">
          <a:avLst/>
        </a:prstGeom>
      </xdr:spPr>
    </xdr:pic>
    <xdr:clientData/>
  </xdr:twoCellAnchor>
  <xdr:twoCellAnchor editAs="oneCell">
    <xdr:from>
      <xdr:col>9</xdr:col>
      <xdr:colOff>16279</xdr:colOff>
      <xdr:row>26</xdr:row>
      <xdr:rowOff>7444</xdr:rowOff>
    </xdr:from>
    <xdr:to>
      <xdr:col>14</xdr:col>
      <xdr:colOff>572194</xdr:colOff>
      <xdr:row>66</xdr:row>
      <xdr:rowOff>132803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63A99587-CF65-4236-B984-A0B14058C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67409" y="4846144"/>
          <a:ext cx="7840635" cy="74405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867987</xdr:colOff>
      <xdr:row>29</xdr:row>
      <xdr:rowOff>68234</xdr:rowOff>
    </xdr:from>
    <xdr:to>
      <xdr:col>19</xdr:col>
      <xdr:colOff>457104</xdr:colOff>
      <xdr:row>44</xdr:row>
      <xdr:rowOff>94543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83737" y="5722620"/>
          <a:ext cx="10130175" cy="28742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28575</xdr:rowOff>
    </xdr:from>
    <xdr:to>
      <xdr:col>0</xdr:col>
      <xdr:colOff>3124200</xdr:colOff>
      <xdr:row>12</xdr:row>
      <xdr:rowOff>133578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2487" t="22628" b="46715"/>
        <a:stretch/>
      </xdr:blipFill>
      <xdr:spPr>
        <a:xfrm>
          <a:off x="0" y="2047875"/>
          <a:ext cx="3114675" cy="499338"/>
        </a:xfrm>
        <a:prstGeom prst="rect">
          <a:avLst/>
        </a:prstGeom>
      </xdr:spPr>
    </xdr:pic>
    <xdr:clientData/>
  </xdr:twoCellAnchor>
  <xdr:twoCellAnchor editAs="oneCell">
    <xdr:from>
      <xdr:col>9</xdr:col>
      <xdr:colOff>16279</xdr:colOff>
      <xdr:row>26</xdr:row>
      <xdr:rowOff>7444</xdr:rowOff>
    </xdr:from>
    <xdr:to>
      <xdr:col>14</xdr:col>
      <xdr:colOff>572194</xdr:colOff>
      <xdr:row>66</xdr:row>
      <xdr:rowOff>132803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49052" y="4856535"/>
          <a:ext cx="7833361" cy="7398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CC4C8-3573-472B-B291-0FCACC0ACE16}">
  <dimension ref="A1:V73"/>
  <sheetViews>
    <sheetView zoomScaleNormal="100" workbookViewId="0">
      <selection activeCell="E1" sqref="E1"/>
    </sheetView>
  </sheetViews>
  <sheetFormatPr defaultColWidth="11.5703125" defaultRowHeight="15" x14ac:dyDescent="0.25"/>
  <cols>
    <col min="1" max="1" width="58.7109375" bestFit="1" customWidth="1"/>
    <col min="2" max="2" width="18.85546875" customWidth="1"/>
    <col min="3" max="3" width="21" customWidth="1"/>
    <col min="4" max="4" width="22.140625" bestFit="1" customWidth="1"/>
    <col min="5" max="5" width="12" bestFit="1" customWidth="1"/>
    <col min="7" max="7" width="12" bestFit="1" customWidth="1"/>
    <col min="10" max="10" width="39" bestFit="1" customWidth="1"/>
    <col min="11" max="12" width="12" bestFit="1" customWidth="1"/>
    <col min="13" max="13" width="26.7109375" bestFit="1" customWidth="1"/>
  </cols>
  <sheetData>
    <row r="1" spans="1:22" ht="18.75" x14ac:dyDescent="0.3">
      <c r="A1" s="1" t="s">
        <v>19</v>
      </c>
      <c r="C1" t="s">
        <v>32</v>
      </c>
      <c r="E1">
        <f>150/3.6</f>
        <v>41.666666666666664</v>
      </c>
      <c r="F1">
        <f>60</f>
        <v>60</v>
      </c>
      <c r="G1">
        <f>E1/F1</f>
        <v>0.69444444444444442</v>
      </c>
    </row>
    <row r="2" spans="1:22" ht="15.75" thickBot="1" x14ac:dyDescent="0.3">
      <c r="K2">
        <f>K10*10*4200/1000</f>
        <v>252</v>
      </c>
    </row>
    <row r="3" spans="1:22" ht="15.75" thickBot="1" x14ac:dyDescent="0.3">
      <c r="D3" s="53" t="s">
        <v>27</v>
      </c>
      <c r="E3" s="52">
        <v>12</v>
      </c>
      <c r="F3" s="3"/>
      <c r="G3" s="3"/>
      <c r="H3" s="4"/>
      <c r="I3" s="2"/>
      <c r="J3" s="3"/>
      <c r="K3" s="4"/>
      <c r="L3" s="2"/>
      <c r="M3" s="3"/>
      <c r="N3" s="3"/>
      <c r="O3" s="3"/>
      <c r="P3" s="4"/>
    </row>
    <row r="4" spans="1:22" ht="15.75" thickBot="1" x14ac:dyDescent="0.3">
      <c r="B4">
        <f>45000/(3*4200)</f>
        <v>3.5714285714285716</v>
      </c>
      <c r="C4">
        <f>6/26</f>
        <v>0.23076923076923078</v>
      </c>
      <c r="D4" s="5"/>
      <c r="H4" s="19"/>
      <c r="I4" s="28"/>
      <c r="J4" s="29" t="s">
        <v>26</v>
      </c>
      <c r="K4" s="30">
        <f>E3</f>
        <v>12</v>
      </c>
      <c r="L4" s="5">
        <v>200</v>
      </c>
      <c r="P4" s="19"/>
    </row>
    <row r="5" spans="1:22" ht="15.75" thickBot="1" x14ac:dyDescent="0.3">
      <c r="B5">
        <f>B4*3600</f>
        <v>12857.142857142859</v>
      </c>
      <c r="D5" s="5"/>
      <c r="E5" s="8">
        <f>G1</f>
        <v>0.69444444444444442</v>
      </c>
      <c r="H5" s="19"/>
      <c r="I5" s="5"/>
      <c r="K5" s="19"/>
      <c r="L5" s="5">
        <f>L4/4</f>
        <v>50</v>
      </c>
      <c r="M5">
        <f>L4-L5</f>
        <v>150</v>
      </c>
      <c r="N5">
        <f>M5/(3*4.2)</f>
        <v>11.904761904761903</v>
      </c>
      <c r="P5" s="19"/>
    </row>
    <row r="6" spans="1:22" x14ac:dyDescent="0.25">
      <c r="A6" s="12" t="s">
        <v>16</v>
      </c>
      <c r="D6" s="5" t="s">
        <v>12</v>
      </c>
      <c r="H6" s="19"/>
      <c r="I6" s="5"/>
      <c r="K6" s="19"/>
      <c r="L6" s="5"/>
      <c r="P6" s="19"/>
    </row>
    <row r="7" spans="1:22" ht="15.75" thickBot="1" x14ac:dyDescent="0.3">
      <c r="A7" s="13" t="s">
        <v>10</v>
      </c>
      <c r="D7" s="5"/>
      <c r="E7" t="s">
        <v>100</v>
      </c>
      <c r="F7" t="s">
        <v>101</v>
      </c>
      <c r="H7" t="s">
        <v>100</v>
      </c>
      <c r="I7" t="s">
        <v>101</v>
      </c>
      <c r="K7" s="19"/>
      <c r="L7" s="5"/>
      <c r="P7" s="19"/>
    </row>
    <row r="8" spans="1:22" ht="15.75" thickBot="1" x14ac:dyDescent="0.3">
      <c r="A8" s="13" t="s">
        <v>89</v>
      </c>
      <c r="C8">
        <f>5/30</f>
        <v>0.16666666666666666</v>
      </c>
      <c r="D8" s="20" t="s">
        <v>8</v>
      </c>
      <c r="G8" s="6" t="s">
        <v>11</v>
      </c>
      <c r="H8" s="19"/>
      <c r="I8" s="5"/>
      <c r="J8" s="6" t="s">
        <v>30</v>
      </c>
      <c r="K8" s="19"/>
      <c r="L8" s="5"/>
      <c r="M8" s="2" t="s">
        <v>31</v>
      </c>
      <c r="N8" s="3"/>
      <c r="O8" s="4" t="s">
        <v>29</v>
      </c>
      <c r="P8" s="33"/>
    </row>
    <row r="9" spans="1:22" x14ac:dyDescent="0.25">
      <c r="A9" s="13" t="s">
        <v>20</v>
      </c>
      <c r="D9" s="5" t="s">
        <v>21</v>
      </c>
      <c r="E9">
        <f>0.0015/1000</f>
        <v>1.5E-6</v>
      </c>
      <c r="G9" t="s">
        <v>21</v>
      </c>
      <c r="H9" s="19">
        <f>E9</f>
        <v>1.5E-6</v>
      </c>
      <c r="I9" s="5"/>
      <c r="J9" t="s">
        <v>21</v>
      </c>
      <c r="K9" s="19">
        <f>E9</f>
        <v>1.5E-6</v>
      </c>
      <c r="L9" s="5"/>
      <c r="M9" s="5"/>
      <c r="O9" s="32"/>
      <c r="P9" s="19"/>
      <c r="R9" s="2" t="s">
        <v>22</v>
      </c>
      <c r="S9" s="3"/>
      <c r="T9" s="4">
        <v>0.6</v>
      </c>
    </row>
    <row r="10" spans="1:22" ht="15.75" thickBot="1" x14ac:dyDescent="0.3">
      <c r="A10" s="14"/>
      <c r="C10">
        <v>1</v>
      </c>
      <c r="D10" s="5" t="s">
        <v>6</v>
      </c>
      <c r="E10" s="41">
        <v>0.5</v>
      </c>
      <c r="G10" t="s">
        <v>6</v>
      </c>
      <c r="H10" s="33">
        <f>E10</f>
        <v>0.5</v>
      </c>
      <c r="I10" s="5"/>
      <c r="J10" t="s">
        <v>6</v>
      </c>
      <c r="K10" s="33">
        <f>E10*K4</f>
        <v>6</v>
      </c>
      <c r="L10" s="5"/>
      <c r="M10" s="5"/>
      <c r="O10" s="19"/>
      <c r="P10" s="19"/>
      <c r="R10" s="5" t="s">
        <v>25</v>
      </c>
      <c r="T10" s="16">
        <f>(R20)</f>
        <v>77.510051939169131</v>
      </c>
    </row>
    <row r="11" spans="1:22" x14ac:dyDescent="0.25">
      <c r="B11" s="49"/>
      <c r="C11" s="49"/>
      <c r="D11" s="5" t="s">
        <v>5</v>
      </c>
      <c r="E11" s="15">
        <f>E10*E17/1000</f>
        <v>0.48525000000000001</v>
      </c>
      <c r="G11" t="s">
        <v>5</v>
      </c>
      <c r="H11" s="19">
        <f>H10*H17/1000</f>
        <v>0.48525000000000001</v>
      </c>
      <c r="I11" s="5"/>
      <c r="J11" t="s">
        <v>5</v>
      </c>
      <c r="K11" s="19">
        <f>K10*K17/1000</f>
        <v>5.8230000000000004</v>
      </c>
      <c r="L11" s="5"/>
      <c r="M11" s="5"/>
      <c r="O11" s="19"/>
      <c r="P11" s="19"/>
      <c r="R11" s="5" t="s">
        <v>24</v>
      </c>
      <c r="T11" s="17">
        <f>T10/10^2</f>
        <v>0.77510051939169133</v>
      </c>
    </row>
    <row r="12" spans="1:22" ht="15.75" thickBot="1" x14ac:dyDescent="0.3">
      <c r="B12" s="49" t="s">
        <v>81</v>
      </c>
      <c r="C12" s="50">
        <f>Kollektorvæske!I51</f>
        <v>44.667185185185197</v>
      </c>
      <c r="D12" s="5" t="s">
        <v>14</v>
      </c>
      <c r="E12">
        <f>(45-2.6*2) / 1000</f>
        <v>3.9799999999999995E-2</v>
      </c>
      <c r="G12" t="s">
        <v>14</v>
      </c>
      <c r="H12" s="19">
        <f>(40-2.4*2) / 1000</f>
        <v>3.5200000000000002E-2</v>
      </c>
      <c r="I12" s="5"/>
      <c r="J12" t="s">
        <v>14</v>
      </c>
      <c r="K12" s="19">
        <f>(L12-2*L12/17) / 1000</f>
        <v>9.7058823529411767E-2</v>
      </c>
      <c r="L12" s="54">
        <v>110</v>
      </c>
      <c r="M12" s="11"/>
      <c r="N12" s="10"/>
      <c r="O12" s="25"/>
      <c r="P12" s="19"/>
      <c r="R12" s="11" t="s">
        <v>23</v>
      </c>
      <c r="S12" s="10"/>
      <c r="T12" s="18">
        <f>((E3*E11/E17)*(1000*T10)/T9)/1000</f>
        <v>0.77510051939169144</v>
      </c>
      <c r="V12">
        <f>T12*3</f>
        <v>2.3253015581750742</v>
      </c>
    </row>
    <row r="13" spans="1:22" x14ac:dyDescent="0.25">
      <c r="B13" s="49" t="s">
        <v>84</v>
      </c>
      <c r="C13" s="49">
        <f>Kollektorvæske!D51</f>
        <v>0.432</v>
      </c>
      <c r="D13" s="5" t="s">
        <v>15</v>
      </c>
      <c r="E13">
        <f>E12/2</f>
        <v>1.9899999999999998E-2</v>
      </c>
      <c r="G13" t="s">
        <v>15</v>
      </c>
      <c r="H13" s="19">
        <f>H12/2</f>
        <v>1.7600000000000001E-2</v>
      </c>
      <c r="I13" s="5"/>
      <c r="J13" t="s">
        <v>15</v>
      </c>
      <c r="K13" s="19">
        <f>K12/2</f>
        <v>4.8529411764705883E-2</v>
      </c>
      <c r="L13" s="5"/>
      <c r="P13" s="19"/>
    </row>
    <row r="14" spans="1:22" x14ac:dyDescent="0.25">
      <c r="B14" s="49" t="s">
        <v>85</v>
      </c>
      <c r="C14" s="49">
        <f>Kollektorvæske!F51</f>
        <v>970.5</v>
      </c>
      <c r="D14" s="5" t="s">
        <v>0</v>
      </c>
      <c r="E14">
        <f>C15</f>
        <v>4.4900000000000001E-3</v>
      </c>
      <c r="G14" t="s">
        <v>0</v>
      </c>
      <c r="H14" s="19">
        <f>E14</f>
        <v>4.4900000000000001E-3</v>
      </c>
      <c r="I14" s="5"/>
      <c r="J14" t="s">
        <v>0</v>
      </c>
      <c r="K14" s="19">
        <f>E14</f>
        <v>4.4900000000000001E-3</v>
      </c>
      <c r="L14" s="5"/>
      <c r="P14" s="19"/>
    </row>
    <row r="15" spans="1:22" x14ac:dyDescent="0.25">
      <c r="B15" s="49" t="s">
        <v>0</v>
      </c>
      <c r="C15" s="49">
        <f>Kollektorvæske!G51</f>
        <v>4.4900000000000001E-3</v>
      </c>
      <c r="D15" s="5" t="s">
        <v>1</v>
      </c>
      <c r="E15" s="27">
        <f>E11*E12/(E14*PI()*E13^2)</f>
        <v>3457.3731076470203</v>
      </c>
      <c r="G15" t="s">
        <v>1</v>
      </c>
      <c r="H15" s="21">
        <f>H11*H12/(H14*PI()*H13^2)</f>
        <v>3909.1889114872552</v>
      </c>
      <c r="I15" s="5"/>
      <c r="J15" t="s">
        <v>1</v>
      </c>
      <c r="K15" s="21">
        <f>K11*K12/(K14*PI()*K13^2)</f>
        <v>17012.790142792535</v>
      </c>
      <c r="L15" s="5"/>
      <c r="N15" s="7"/>
      <c r="P15" s="19"/>
      <c r="Q15" s="7"/>
      <c r="V15" s="40">
        <f>V12*8760</f>
        <v>20369.641649613652</v>
      </c>
    </row>
    <row r="16" spans="1:22" x14ac:dyDescent="0.25">
      <c r="B16" s="49"/>
      <c r="C16" s="49"/>
      <c r="D16" s="5" t="s">
        <v>2</v>
      </c>
      <c r="E16" s="15">
        <f>(1/(-1.8*LOG(6.9/$E$15 +(($E$9/$E$12)/3.7)^1.11)))^2</f>
        <v>4.2360571761537395E-2</v>
      </c>
      <c r="G16" t="s">
        <v>2</v>
      </c>
      <c r="H16" s="22">
        <f>(1/(-1.8*LOG(6.9/$H$15 +(($H$9/$H$12)/3.7)^1.11)))^2</f>
        <v>4.0740215816248218E-2</v>
      </c>
      <c r="I16" s="26"/>
      <c r="J16" t="s">
        <v>2</v>
      </c>
      <c r="K16" s="22">
        <f>(1/(-1.8*LOG(6.9/$K$15 +(($K$9/$K$12)/3.7)^1.11)))^2</f>
        <v>2.6844482848207223E-2</v>
      </c>
      <c r="L16" s="5"/>
      <c r="N16" s="15"/>
      <c r="P16" s="19"/>
      <c r="Q16" s="15" t="s">
        <v>33</v>
      </c>
      <c r="R16" s="9">
        <f>M20/1000</f>
        <v>77.510051939169131</v>
      </c>
    </row>
    <row r="17" spans="1:19" x14ac:dyDescent="0.25">
      <c r="B17" s="49"/>
      <c r="C17" s="49"/>
      <c r="D17" s="5" t="s">
        <v>7</v>
      </c>
      <c r="E17" s="9">
        <f>C14</f>
        <v>970.5</v>
      </c>
      <c r="G17" t="s">
        <v>7</v>
      </c>
      <c r="H17" s="23">
        <f>E17</f>
        <v>970.5</v>
      </c>
      <c r="I17" s="5"/>
      <c r="J17" t="s">
        <v>7</v>
      </c>
      <c r="K17" s="23">
        <f>E17</f>
        <v>970.5</v>
      </c>
      <c r="L17" s="5"/>
      <c r="N17" s="9"/>
      <c r="P17" s="19"/>
      <c r="Q17" s="9" t="s">
        <v>34</v>
      </c>
      <c r="R17">
        <v>0</v>
      </c>
    </row>
    <row r="18" spans="1:19" x14ac:dyDescent="0.25">
      <c r="B18">
        <f>C18/2</f>
        <v>120.56888191603396</v>
      </c>
      <c r="C18">
        <f>10*60*E18</f>
        <v>241.13776383206792</v>
      </c>
      <c r="D18" s="5" t="s">
        <v>3</v>
      </c>
      <c r="E18" s="8">
        <f>E11/(E17*PI()*E13^2)</f>
        <v>0.40189627305344655</v>
      </c>
      <c r="G18" t="s">
        <v>3</v>
      </c>
      <c r="H18" s="24">
        <f>H11/(H17*PI()*H13^2)</f>
        <v>0.5138008235146414</v>
      </c>
      <c r="I18" s="5"/>
      <c r="J18" t="s">
        <v>3</v>
      </c>
      <c r="K18" s="24">
        <f>K11/(K17*PI()*K13^2)</f>
        <v>0.81094485604068767</v>
      </c>
      <c r="L18" s="5"/>
      <c r="N18" s="8"/>
      <c r="P18" s="19"/>
      <c r="Q18" t="s">
        <v>35</v>
      </c>
      <c r="R18">
        <v>0</v>
      </c>
    </row>
    <row r="19" spans="1:19" x14ac:dyDescent="0.25">
      <c r="D19" s="5" t="s">
        <v>17</v>
      </c>
      <c r="E19">
        <v>600</v>
      </c>
      <c r="G19" t="s">
        <v>18</v>
      </c>
      <c r="H19" s="19">
        <v>134</v>
      </c>
      <c r="I19" s="5"/>
      <c r="J19" t="s">
        <v>125</v>
      </c>
      <c r="K19" s="55">
        <v>86</v>
      </c>
      <c r="L19" s="5">
        <v>220</v>
      </c>
      <c r="M19" s="9"/>
      <c r="P19" s="19"/>
    </row>
    <row r="20" spans="1:19" x14ac:dyDescent="0.25">
      <c r="D20" s="20" t="s">
        <v>4</v>
      </c>
      <c r="E20" s="56">
        <f>(E16*E19/E12)*E17*(E18^2)/2</f>
        <v>50052.237123484025</v>
      </c>
      <c r="F20" s="27">
        <f>(64/E15)*(E19/E12)*(C14*E18^2)/2</f>
        <v>21872.347862043585</v>
      </c>
      <c r="G20" s="6" t="s">
        <v>9</v>
      </c>
      <c r="H20" s="56">
        <f>(H16*H19/H12)*H17*(H18^2)/2</f>
        <v>19867.379896153212</v>
      </c>
      <c r="I20" s="27">
        <f>(64/H15)*(H19/H12)*(C14*H18^2)/2</f>
        <v>7983.8172385283851</v>
      </c>
      <c r="J20" s="6" t="s">
        <v>13</v>
      </c>
      <c r="K20" s="56">
        <f>(K16*K19/K12)*K17*(K18^2)/2</f>
        <v>7590.4349195318928</v>
      </c>
      <c r="L20" s="27">
        <f>(64/K15)*(K19/K12)*(C14*K18^2)/2</f>
        <v>1063.6923803814232</v>
      </c>
      <c r="M20" s="27">
        <f>E20+H20+K20</f>
        <v>77510.051939169134</v>
      </c>
      <c r="N20" s="9">
        <f>M20+15000</f>
        <v>92510.051939169134</v>
      </c>
      <c r="P20" s="19"/>
      <c r="Q20" s="6" t="s">
        <v>36</v>
      </c>
      <c r="R20" s="27">
        <f>R16+R17+R18</f>
        <v>77.510051939169131</v>
      </c>
    </row>
    <row r="21" spans="1:19" x14ac:dyDescent="0.25">
      <c r="A21">
        <f>0.034*10^5</f>
        <v>3400.0000000000005</v>
      </c>
      <c r="D21" s="5"/>
      <c r="E21">
        <f>E20/10^5</f>
        <v>0.50052237123484022</v>
      </c>
      <c r="H21">
        <f>H20/H19</f>
        <v>148.26402907577025</v>
      </c>
      <c r="I21" s="5"/>
      <c r="J21" t="s">
        <v>124</v>
      </c>
      <c r="K21" s="57">
        <f>K20/10^3</f>
        <v>7.5904349195318925</v>
      </c>
      <c r="L21" s="5"/>
      <c r="P21" s="19"/>
    </row>
    <row r="22" spans="1:19" ht="15.75" thickBot="1" x14ac:dyDescent="0.3">
      <c r="D22" s="11"/>
      <c r="E22" s="10">
        <f>E20/E19</f>
        <v>83.420395205806713</v>
      </c>
      <c r="F22" s="10"/>
      <c r="G22" s="10"/>
      <c r="H22" s="10">
        <f>H20/10^3</f>
        <v>19.867379896153214</v>
      </c>
      <c r="I22" s="11"/>
      <c r="J22" s="10">
        <f>K20/10^5</f>
        <v>7.5904349195318924E-2</v>
      </c>
      <c r="K22" s="25">
        <f>K20/K19</f>
        <v>88.260871157347594</v>
      </c>
      <c r="L22" s="11"/>
      <c r="M22" s="10" t="s">
        <v>28</v>
      </c>
      <c r="N22" s="10"/>
      <c r="O22" s="10"/>
      <c r="P22" s="25"/>
    </row>
    <row r="23" spans="1:19" x14ac:dyDescent="0.25">
      <c r="B23" t="s">
        <v>86</v>
      </c>
      <c r="D23">
        <f>IF(E15&gt;2300, (((1/((0.79*LN(E15)-1.64)^2))/8)*(E15-1000)*C12)/(1+12.7*(((1/((0.79*LN(E15)-1.64)^2))/8)^0.5)*(C12^(2/3)-1)), 4.36)</f>
        <v>50.325127137292029</v>
      </c>
    </row>
    <row r="24" spans="1:19" x14ac:dyDescent="0.25">
      <c r="B24" t="s">
        <v>87</v>
      </c>
      <c r="C24" s="49" t="s">
        <v>82</v>
      </c>
      <c r="D24" s="49"/>
      <c r="E24" s="49"/>
      <c r="G24" s="9">
        <f>E20+H20</f>
        <v>69919.61701963724</v>
      </c>
      <c r="K24" t="s">
        <v>92</v>
      </c>
      <c r="L24" t="s">
        <v>93</v>
      </c>
    </row>
    <row r="25" spans="1:19" x14ac:dyDescent="0.25">
      <c r="C25" s="49" t="s">
        <v>83</v>
      </c>
      <c r="D25" s="49">
        <f>D23*C13/E12</f>
        <v>546.24258601281804</v>
      </c>
      <c r="E25" s="49"/>
      <c r="H25" s="9"/>
      <c r="K25" t="s">
        <v>95</v>
      </c>
      <c r="L25" t="s">
        <v>94</v>
      </c>
      <c r="O25" s="9"/>
      <c r="R25">
        <f>414/3</f>
        <v>138</v>
      </c>
      <c r="S25">
        <f>R25/2</f>
        <v>69</v>
      </c>
    </row>
    <row r="26" spans="1:19" x14ac:dyDescent="0.25">
      <c r="C26" s="49" t="s">
        <v>90</v>
      </c>
      <c r="D26" s="49">
        <f>1/(2*PI()*E13*D25)</f>
        <v>1.4641362717874789E-2</v>
      </c>
      <c r="E26" s="49"/>
    </row>
    <row r="27" spans="1:19" x14ac:dyDescent="0.25">
      <c r="C27" s="49"/>
      <c r="D27" s="51" t="s">
        <v>37</v>
      </c>
      <c r="E27" s="51"/>
      <c r="F27" s="6"/>
    </row>
    <row r="28" spans="1:19" x14ac:dyDescent="0.25">
      <c r="C28" s="49"/>
      <c r="D28" s="49"/>
      <c r="E28" s="49"/>
      <c r="G28">
        <f>70/(1.5*4.2)</f>
        <v>11.111111111111111</v>
      </c>
    </row>
    <row r="29" spans="1:19" x14ac:dyDescent="0.25">
      <c r="C29" t="s">
        <v>88</v>
      </c>
      <c r="D29">
        <v>4.8439999999999997E-2</v>
      </c>
      <c r="E29">
        <f>15*D29</f>
        <v>0.72659999999999991</v>
      </c>
    </row>
    <row r="31" spans="1:19" x14ac:dyDescent="0.25">
      <c r="C31" t="s">
        <v>91</v>
      </c>
      <c r="D31" s="39">
        <f>D26/D29</f>
        <v>0.3022576944235093</v>
      </c>
    </row>
    <row r="32" spans="1:19" x14ac:dyDescent="0.25">
      <c r="G32">
        <f>45/2</f>
        <v>22.5</v>
      </c>
      <c r="H32">
        <f>G32-2.6</f>
        <v>19.899999999999999</v>
      </c>
    </row>
    <row r="33" spans="3:11" x14ac:dyDescent="0.25">
      <c r="C33" t="s">
        <v>88</v>
      </c>
      <c r="D33" s="6">
        <f>(1/(2*PI()*0.42))*LN(0.02/0.0176)</f>
        <v>4.8441221352144841E-2</v>
      </c>
    </row>
    <row r="34" spans="3:11" x14ac:dyDescent="0.25">
      <c r="C34" t="s">
        <v>96</v>
      </c>
      <c r="D34">
        <f>D26+D33</f>
        <v>6.3082584070019626E-2</v>
      </c>
      <c r="E34">
        <f>D34*15</f>
        <v>0.94623876105029436</v>
      </c>
    </row>
    <row r="38" spans="3:11" x14ac:dyDescent="0.25">
      <c r="C38">
        <f>-3.3</f>
        <v>-3.3</v>
      </c>
      <c r="E38">
        <f>32*0.55</f>
        <v>17.600000000000001</v>
      </c>
      <c r="G38" s="6"/>
      <c r="H38" s="9"/>
      <c r="J38" s="6"/>
      <c r="K38" s="9"/>
    </row>
    <row r="39" spans="3:11" x14ac:dyDescent="0.25">
      <c r="C39">
        <f>-0.4</f>
        <v>-0.4</v>
      </c>
    </row>
    <row r="40" spans="3:11" x14ac:dyDescent="0.25">
      <c r="C40">
        <f>AVERAGE(C38:C39)</f>
        <v>-1.8499999999999999</v>
      </c>
      <c r="E40" s="7"/>
    </row>
    <row r="41" spans="3:11" x14ac:dyDescent="0.25">
      <c r="E41" s="15"/>
    </row>
    <row r="42" spans="3:11" x14ac:dyDescent="0.25">
      <c r="E42" s="9"/>
    </row>
    <row r="43" spans="3:11" x14ac:dyDescent="0.25">
      <c r="E43" s="8"/>
    </row>
    <row r="45" spans="3:11" x14ac:dyDescent="0.25">
      <c r="D45" s="6"/>
      <c r="E45" s="9"/>
    </row>
    <row r="46" spans="3:11" x14ac:dyDescent="0.25">
      <c r="C46" t="s">
        <v>98</v>
      </c>
      <c r="D46" t="s">
        <v>99</v>
      </c>
    </row>
    <row r="66" spans="5:8" x14ac:dyDescent="0.25">
      <c r="E66">
        <v>60</v>
      </c>
      <c r="F66">
        <v>800</v>
      </c>
      <c r="G66">
        <v>86</v>
      </c>
      <c r="H66" t="s">
        <v>124</v>
      </c>
    </row>
    <row r="67" spans="5:8" x14ac:dyDescent="0.25">
      <c r="E67">
        <f>30+43</f>
        <v>73</v>
      </c>
      <c r="F67">
        <v>350</v>
      </c>
      <c r="G67">
        <v>53</v>
      </c>
      <c r="H67" t="s">
        <v>124</v>
      </c>
    </row>
    <row r="72" spans="5:8" x14ac:dyDescent="0.25">
      <c r="E72">
        <v>43</v>
      </c>
      <c r="F72">
        <v>1100</v>
      </c>
      <c r="G72">
        <v>65</v>
      </c>
      <c r="H72" t="s">
        <v>124</v>
      </c>
    </row>
    <row r="73" spans="5:8" x14ac:dyDescent="0.25">
      <c r="E73">
        <v>90</v>
      </c>
      <c r="F73">
        <v>350</v>
      </c>
      <c r="G73">
        <v>78</v>
      </c>
      <c r="H73" t="s">
        <v>124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zoomScale="110" zoomScaleNormal="110" workbookViewId="0">
      <selection activeCell="G24" sqref="G24"/>
    </sheetView>
  </sheetViews>
  <sheetFormatPr defaultColWidth="11.5703125" defaultRowHeight="15" x14ac:dyDescent="0.25"/>
  <cols>
    <col min="1" max="1" width="58.7109375" bestFit="1" customWidth="1"/>
    <col min="2" max="2" width="18.85546875" customWidth="1"/>
    <col min="3" max="3" width="21" customWidth="1"/>
    <col min="4" max="4" width="22.140625" bestFit="1" customWidth="1"/>
    <col min="5" max="5" width="12" bestFit="1" customWidth="1"/>
    <col min="7" max="7" width="12" bestFit="1" customWidth="1"/>
    <col min="10" max="10" width="39" bestFit="1" customWidth="1"/>
    <col min="11" max="12" width="12" bestFit="1" customWidth="1"/>
    <col min="13" max="13" width="26.7109375" bestFit="1" customWidth="1"/>
  </cols>
  <sheetData>
    <row r="1" spans="1:22" ht="18.75" x14ac:dyDescent="0.3">
      <c r="A1" s="1" t="s">
        <v>19</v>
      </c>
      <c r="C1" t="s">
        <v>32</v>
      </c>
      <c r="E1">
        <f>150/3.6</f>
        <v>41.666666666666664</v>
      </c>
      <c r="F1">
        <f>60</f>
        <v>60</v>
      </c>
      <c r="G1">
        <f>E1/F1</f>
        <v>0.69444444444444442</v>
      </c>
    </row>
    <row r="2" spans="1:22" ht="15.75" thickBot="1" x14ac:dyDescent="0.3">
      <c r="K2">
        <f>K10*10*4200/1000</f>
        <v>405.72</v>
      </c>
    </row>
    <row r="3" spans="1:22" ht="15.75" thickBot="1" x14ac:dyDescent="0.3">
      <c r="D3" s="2" t="s">
        <v>27</v>
      </c>
      <c r="E3" s="3">
        <f>Oppsummering!D7</f>
        <v>14</v>
      </c>
      <c r="F3" s="3"/>
      <c r="G3" s="3"/>
      <c r="H3" s="4"/>
      <c r="I3" s="2"/>
      <c r="J3" s="3"/>
      <c r="K3" s="4"/>
      <c r="L3" s="2"/>
      <c r="M3" s="3"/>
      <c r="N3" s="3"/>
      <c r="O3" s="3"/>
      <c r="P3" s="4"/>
    </row>
    <row r="4" spans="1:22" ht="15.75" thickBot="1" x14ac:dyDescent="0.3">
      <c r="B4">
        <f>45000/(3*4200)</f>
        <v>3.5714285714285716</v>
      </c>
      <c r="C4">
        <f>6/26</f>
        <v>0.23076923076923078</v>
      </c>
      <c r="D4" s="5"/>
      <c r="H4" s="19"/>
      <c r="I4" s="28"/>
      <c r="J4" s="29" t="s">
        <v>26</v>
      </c>
      <c r="K4" s="30">
        <f>E3</f>
        <v>14</v>
      </c>
      <c r="L4" s="5"/>
      <c r="P4" s="19"/>
    </row>
    <row r="5" spans="1:22" ht="15.75" thickBot="1" x14ac:dyDescent="0.3">
      <c r="B5">
        <f>B4*3600</f>
        <v>12857.142857142859</v>
      </c>
      <c r="D5" s="5"/>
      <c r="E5">
        <v>0.69</v>
      </c>
      <c r="H5" s="19"/>
      <c r="I5" s="5"/>
      <c r="K5" s="19"/>
      <c r="L5" s="5"/>
      <c r="P5" s="19"/>
    </row>
    <row r="6" spans="1:22" x14ac:dyDescent="0.25">
      <c r="A6" s="12" t="s">
        <v>16</v>
      </c>
      <c r="D6" s="5" t="s">
        <v>12</v>
      </c>
      <c r="H6" s="19"/>
      <c r="I6" s="5"/>
      <c r="K6" s="19"/>
      <c r="L6" s="5"/>
      <c r="P6" s="19"/>
    </row>
    <row r="7" spans="1:22" ht="15.75" thickBot="1" x14ac:dyDescent="0.3">
      <c r="A7" s="13" t="s">
        <v>10</v>
      </c>
      <c r="D7" s="5"/>
      <c r="E7" t="s">
        <v>100</v>
      </c>
      <c r="F7" t="s">
        <v>101</v>
      </c>
      <c r="H7" t="s">
        <v>100</v>
      </c>
      <c r="I7" t="s">
        <v>101</v>
      </c>
      <c r="K7" s="19"/>
      <c r="L7" s="5"/>
      <c r="P7" s="19"/>
    </row>
    <row r="8" spans="1:22" ht="15.75" thickBot="1" x14ac:dyDescent="0.3">
      <c r="A8" s="13" t="s">
        <v>89</v>
      </c>
      <c r="D8" s="20" t="s">
        <v>8</v>
      </c>
      <c r="G8" s="6" t="s">
        <v>11</v>
      </c>
      <c r="H8" s="19"/>
      <c r="I8" s="5"/>
      <c r="J8" s="6" t="s">
        <v>30</v>
      </c>
      <c r="K8" s="19"/>
      <c r="L8" s="5"/>
      <c r="M8" s="2" t="s">
        <v>31</v>
      </c>
      <c r="N8" s="3"/>
      <c r="O8" s="4" t="s">
        <v>29</v>
      </c>
      <c r="P8" s="33"/>
    </row>
    <row r="9" spans="1:22" x14ac:dyDescent="0.25">
      <c r="A9" s="13" t="s">
        <v>20</v>
      </c>
      <c r="D9" s="5" t="s">
        <v>21</v>
      </c>
      <c r="E9">
        <f>0.0015/1000</f>
        <v>1.5E-6</v>
      </c>
      <c r="G9" t="s">
        <v>21</v>
      </c>
      <c r="H9" s="19">
        <f>E9</f>
        <v>1.5E-6</v>
      </c>
      <c r="I9" s="5"/>
      <c r="J9" t="s">
        <v>21</v>
      </c>
      <c r="K9" s="19">
        <f>E9</f>
        <v>1.5E-6</v>
      </c>
      <c r="L9" s="5"/>
      <c r="M9" s="5"/>
      <c r="O9" s="32"/>
      <c r="P9" s="19"/>
      <c r="R9" s="2" t="s">
        <v>22</v>
      </c>
      <c r="S9" s="3"/>
      <c r="T9" s="4">
        <v>0.6</v>
      </c>
    </row>
    <row r="10" spans="1:22" ht="15.75" thickBot="1" x14ac:dyDescent="0.3">
      <c r="A10" s="14"/>
      <c r="D10" s="5" t="s">
        <v>6</v>
      </c>
      <c r="E10" s="6">
        <f>E5</f>
        <v>0.69</v>
      </c>
      <c r="G10" t="s">
        <v>6</v>
      </c>
      <c r="H10" s="33">
        <f>E10</f>
        <v>0.69</v>
      </c>
      <c r="I10" s="5"/>
      <c r="J10" t="s">
        <v>6</v>
      </c>
      <c r="K10" s="33">
        <f>E3*E5</f>
        <v>9.66</v>
      </c>
      <c r="L10" s="5"/>
      <c r="M10" s="5"/>
      <c r="O10" s="19"/>
      <c r="P10" s="19"/>
      <c r="R10" s="5" t="s">
        <v>25</v>
      </c>
      <c r="T10" s="16">
        <f>(R20)</f>
        <v>192.92984698194252</v>
      </c>
    </row>
    <row r="11" spans="1:22" x14ac:dyDescent="0.25">
      <c r="D11" s="5" t="s">
        <v>5</v>
      </c>
      <c r="E11">
        <f>E10*E17/1000</f>
        <v>0.66170999999999991</v>
      </c>
      <c r="G11" t="s">
        <v>5</v>
      </c>
      <c r="H11" s="19">
        <f>H10*H17/1000</f>
        <v>0.66170999999999991</v>
      </c>
      <c r="I11" s="5"/>
      <c r="J11" t="s">
        <v>5</v>
      </c>
      <c r="K11" s="19">
        <f>K10*K17/1000</f>
        <v>9.2639399999999998</v>
      </c>
      <c r="L11" s="5"/>
      <c r="M11" s="5"/>
      <c r="O11" s="19"/>
      <c r="P11" s="19"/>
      <c r="R11" s="5" t="s">
        <v>24</v>
      </c>
      <c r="T11" s="17">
        <f>T10/10^2</f>
        <v>1.9292984698194251</v>
      </c>
    </row>
    <row r="12" spans="1:22" ht="15.75" thickBot="1" x14ac:dyDescent="0.3">
      <c r="B12" t="s">
        <v>81</v>
      </c>
      <c r="C12" s="35">
        <f>Kollektorvæske!I81</f>
        <v>82.075935828877007</v>
      </c>
      <c r="D12" s="5" t="s">
        <v>14</v>
      </c>
      <c r="E12">
        <f>(45-2.6*2) / 1000</f>
        <v>3.9799999999999995E-2</v>
      </c>
      <c r="G12" t="s">
        <v>14</v>
      </c>
      <c r="H12" s="19">
        <f>(40-2.4*2) / 1000</f>
        <v>3.5200000000000002E-2</v>
      </c>
      <c r="I12" s="5"/>
      <c r="J12" t="s">
        <v>14</v>
      </c>
      <c r="K12" s="19">
        <f>(125-7.4*2) / 1000</f>
        <v>0.11020000000000001</v>
      </c>
      <c r="L12" s="5"/>
      <c r="M12" s="11"/>
      <c r="N12" s="10"/>
      <c r="O12" s="25"/>
      <c r="P12" s="19"/>
      <c r="R12" s="11" t="s">
        <v>23</v>
      </c>
      <c r="S12" s="10"/>
      <c r="T12" s="18">
        <f>((E3*E11/E17)*(1000*T10)/T9)/1000</f>
        <v>3.106170536409274</v>
      </c>
      <c r="V12">
        <f>T12*3</f>
        <v>9.3185116092278228</v>
      </c>
    </row>
    <row r="13" spans="1:22" x14ac:dyDescent="0.25">
      <c r="B13" t="s">
        <v>84</v>
      </c>
      <c r="C13">
        <f>Kollektorvæske!D81</f>
        <v>0.374</v>
      </c>
      <c r="D13" s="5" t="s">
        <v>15</v>
      </c>
      <c r="E13">
        <f>E12/2</f>
        <v>1.9899999999999998E-2</v>
      </c>
      <c r="G13" t="s">
        <v>15</v>
      </c>
      <c r="H13" s="19">
        <f>H12/2</f>
        <v>1.7600000000000001E-2</v>
      </c>
      <c r="I13" s="5"/>
      <c r="J13" t="s">
        <v>15</v>
      </c>
      <c r="K13" s="19">
        <f>K12/2</f>
        <v>5.5100000000000003E-2</v>
      </c>
      <c r="L13" s="5"/>
      <c r="P13" s="19"/>
    </row>
    <row r="14" spans="1:22" x14ac:dyDescent="0.25">
      <c r="B14" t="s">
        <v>85</v>
      </c>
      <c r="C14">
        <f>Kollektorvæske!F81</f>
        <v>959</v>
      </c>
      <c r="D14" s="5" t="s">
        <v>0</v>
      </c>
      <c r="E14">
        <f>C15</f>
        <v>7.6E-3</v>
      </c>
      <c r="G14" t="s">
        <v>0</v>
      </c>
      <c r="H14" s="19">
        <f>E14</f>
        <v>7.6E-3</v>
      </c>
      <c r="I14" s="5"/>
      <c r="J14" t="s">
        <v>0</v>
      </c>
      <c r="K14" s="19">
        <f>E14</f>
        <v>7.6E-3</v>
      </c>
      <c r="L14" s="5"/>
      <c r="P14" s="19"/>
    </row>
    <row r="15" spans="1:22" x14ac:dyDescent="0.25">
      <c r="B15" t="s">
        <v>0</v>
      </c>
      <c r="C15">
        <f>Kollektorvæske!G81</f>
        <v>7.6E-3</v>
      </c>
      <c r="D15" s="5" t="s">
        <v>1</v>
      </c>
      <c r="E15" s="7">
        <f>E11*E12/(E14*PI()*E13^2)</f>
        <v>2785.3588308208959</v>
      </c>
      <c r="G15" t="s">
        <v>1</v>
      </c>
      <c r="H15" s="21">
        <f>H11*H12/(H14*PI()*H13^2)</f>
        <v>3149.3545871213537</v>
      </c>
      <c r="I15" s="5"/>
      <c r="J15" t="s">
        <v>1</v>
      </c>
      <c r="K15" s="21">
        <f>K11*K12/(K14*PI()*K13^2)</f>
        <v>14083.502182698756</v>
      </c>
      <c r="L15" s="5"/>
      <c r="N15" s="7"/>
      <c r="P15" s="19"/>
      <c r="Q15" s="7"/>
      <c r="V15" s="40">
        <f>V12*8760</f>
        <v>81630.161696835727</v>
      </c>
    </row>
    <row r="16" spans="1:22" x14ac:dyDescent="0.25">
      <c r="D16" s="5" t="s">
        <v>2</v>
      </c>
      <c r="E16" s="15">
        <f>(1/(-1.8*LOG(6.9/$E$15 +(($E$9/$E$12)/3.7)^1.11)))^2</f>
        <v>4.546356505178905E-2</v>
      </c>
      <c r="G16" t="s">
        <v>2</v>
      </c>
      <c r="H16" s="22">
        <f>(1/(-1.8*LOG(6.9/$H$15 +(($H$9/$H$12)/3.7)^1.11)))^2</f>
        <v>4.366263724969565E-2</v>
      </c>
      <c r="I16" s="26"/>
      <c r="J16" t="s">
        <v>2</v>
      </c>
      <c r="K16" s="22">
        <f>(1/(-1.8*LOG(6.9/$K$15 +(($K$9/$K$12)/3.7)^1.11)))^2</f>
        <v>2.8187153194088141E-2</v>
      </c>
      <c r="L16" s="5"/>
      <c r="N16" s="15"/>
      <c r="P16" s="19"/>
      <c r="Q16" s="15" t="s">
        <v>33</v>
      </c>
      <c r="R16" s="9">
        <f>M20/1000</f>
        <v>192.92984698194252</v>
      </c>
    </row>
    <row r="17" spans="1:19" x14ac:dyDescent="0.25">
      <c r="D17" s="5" t="s">
        <v>7</v>
      </c>
      <c r="E17" s="9">
        <f>C14</f>
        <v>959</v>
      </c>
      <c r="G17" t="s">
        <v>7</v>
      </c>
      <c r="H17" s="23">
        <f>E17</f>
        <v>959</v>
      </c>
      <c r="I17" s="5"/>
      <c r="J17" t="s">
        <v>7</v>
      </c>
      <c r="K17" s="23">
        <f>E17</f>
        <v>959</v>
      </c>
      <c r="L17" s="5"/>
      <c r="N17" s="9"/>
      <c r="P17" s="19"/>
      <c r="Q17" s="9" t="s">
        <v>34</v>
      </c>
      <c r="R17">
        <v>0</v>
      </c>
    </row>
    <row r="18" spans="1:19" x14ac:dyDescent="0.25">
      <c r="B18">
        <f>C18/2</f>
        <v>166.38505704412685</v>
      </c>
      <c r="C18">
        <f>10*60*E18</f>
        <v>332.77011408825371</v>
      </c>
      <c r="D18" s="5" t="s">
        <v>3</v>
      </c>
      <c r="E18" s="8">
        <f>E11/(E17*PI()*E13^2)</f>
        <v>0.55461685681375616</v>
      </c>
      <c r="G18" t="s">
        <v>3</v>
      </c>
      <c r="H18" s="24">
        <f>H11/(H17*PI()*H13^2)</f>
        <v>0.70904513645020517</v>
      </c>
      <c r="I18" s="5"/>
      <c r="J18" t="s">
        <v>3</v>
      </c>
      <c r="K18" s="24">
        <f>K11/(K17*PI()*K13^2)</f>
        <v>1.0128008473408907</v>
      </c>
      <c r="L18" s="5"/>
      <c r="N18" s="8"/>
      <c r="P18" s="19"/>
      <c r="Q18" t="s">
        <v>35</v>
      </c>
      <c r="R18">
        <v>0</v>
      </c>
    </row>
    <row r="19" spans="1:19" x14ac:dyDescent="0.25">
      <c r="D19" s="5" t="s">
        <v>17</v>
      </c>
      <c r="E19">
        <v>640</v>
      </c>
      <c r="G19" t="s">
        <v>18</v>
      </c>
      <c r="H19" s="19">
        <f>Oppsummering!H10</f>
        <v>240</v>
      </c>
      <c r="I19" s="5"/>
      <c r="J19" t="s">
        <v>18</v>
      </c>
      <c r="K19" s="19">
        <f>Oppsummering!J10</f>
        <v>106</v>
      </c>
      <c r="L19" s="5"/>
      <c r="M19" s="9"/>
      <c r="P19" s="19"/>
    </row>
    <row r="20" spans="1:19" x14ac:dyDescent="0.25">
      <c r="D20" s="20" t="s">
        <v>4</v>
      </c>
      <c r="E20" s="31">
        <f>(E16*E19/E12)*E17*(E18^2)/2</f>
        <v>107828.88937300732</v>
      </c>
      <c r="F20" s="27">
        <f>(64/E15)*(E19/E12)*(C14*E18^2)/2</f>
        <v>54496.732739922933</v>
      </c>
      <c r="G20" s="6" t="s">
        <v>9</v>
      </c>
      <c r="H20" s="31">
        <f>(H16*H19/H12)*H17*(H18^2)/2</f>
        <v>71765.36836452529</v>
      </c>
      <c r="I20" s="27">
        <f>(64/H15)*(H19/H12)*(C14*H18^2)/2</f>
        <v>33401.299816249331</v>
      </c>
      <c r="J20" s="6" t="s">
        <v>13</v>
      </c>
      <c r="K20" s="31">
        <f>(K16*K19/K12)*K17*(K18^2)/2</f>
        <v>13335.589244409912</v>
      </c>
      <c r="L20" s="27">
        <f>(64/K15)*(K19/K12)*(C14*K18^2)/2</f>
        <v>2149.9596183617878</v>
      </c>
      <c r="M20" s="27">
        <f>E20+H20+K20</f>
        <v>192929.84698194251</v>
      </c>
      <c r="N20" s="9">
        <f>M20+15000</f>
        <v>207929.84698194251</v>
      </c>
      <c r="P20" s="19"/>
      <c r="Q20" s="6" t="s">
        <v>36</v>
      </c>
      <c r="R20" s="27">
        <f>R16+R17+R18</f>
        <v>192.92984698194252</v>
      </c>
    </row>
    <row r="21" spans="1:19" x14ac:dyDescent="0.25">
      <c r="A21">
        <f>0.034*10^5</f>
        <v>3400.0000000000005</v>
      </c>
      <c r="D21" s="5"/>
      <c r="E21">
        <f>E20/10^5</f>
        <v>1.0782888937300732</v>
      </c>
      <c r="H21">
        <f>H20/H19</f>
        <v>299.02236818552205</v>
      </c>
      <c r="I21" s="5"/>
      <c r="K21" s="19">
        <f>K20/10^3</f>
        <v>13.335589244409912</v>
      </c>
      <c r="L21" s="5"/>
      <c r="P21" s="19"/>
    </row>
    <row r="22" spans="1:19" ht="15.75" thickBot="1" x14ac:dyDescent="0.3">
      <c r="D22" s="11"/>
      <c r="E22" s="10">
        <f>E20/E19</f>
        <v>168.48263964532393</v>
      </c>
      <c r="F22" s="10"/>
      <c r="G22" s="10"/>
      <c r="H22" s="10">
        <f>H20/10^3</f>
        <v>71.765368364525287</v>
      </c>
      <c r="I22" s="11"/>
      <c r="J22" s="10">
        <f>K20/10^5</f>
        <v>0.13335589244409912</v>
      </c>
      <c r="K22" s="25"/>
      <c r="L22" s="11"/>
      <c r="M22" s="10" t="s">
        <v>28</v>
      </c>
      <c r="N22" s="10"/>
      <c r="O22" s="10"/>
      <c r="P22" s="25"/>
    </row>
    <row r="23" spans="1:19" x14ac:dyDescent="0.25">
      <c r="B23" t="s">
        <v>86</v>
      </c>
      <c r="D23">
        <f>IF(E15&gt;2300, (((1/((0.79*LN(E15)-1.64)^2))/8)*(E15-1000)*C12)/(1+12.7*(((1/((0.79*LN(E15)-1.64)^2))/8)^0.5)*(C12^(2/3)-1)), 4.36)</f>
        <v>46.613294128406721</v>
      </c>
    </row>
    <row r="24" spans="1:19" x14ac:dyDescent="0.25">
      <c r="B24" t="s">
        <v>87</v>
      </c>
      <c r="C24" t="s">
        <v>82</v>
      </c>
      <c r="G24" s="9">
        <f>E20+H20</f>
        <v>179594.25773753261</v>
      </c>
      <c r="K24" t="s">
        <v>92</v>
      </c>
      <c r="L24" t="s">
        <v>93</v>
      </c>
    </row>
    <row r="25" spans="1:19" x14ac:dyDescent="0.25">
      <c r="C25" t="s">
        <v>83</v>
      </c>
      <c r="D25">
        <f>D23*C13/E12</f>
        <v>438.0244222116612</v>
      </c>
      <c r="H25" s="9"/>
      <c r="K25" t="s">
        <v>95</v>
      </c>
      <c r="L25" t="s">
        <v>94</v>
      </c>
      <c r="O25" s="9"/>
      <c r="R25">
        <f>414/3</f>
        <v>138</v>
      </c>
      <c r="S25">
        <f>R25/2</f>
        <v>69</v>
      </c>
    </row>
    <row r="26" spans="1:19" x14ac:dyDescent="0.25">
      <c r="C26" t="s">
        <v>90</v>
      </c>
      <c r="D26">
        <f>1/(2*PI()*E13*D25)</f>
        <v>1.8258652778723232E-2</v>
      </c>
    </row>
    <row r="27" spans="1:19" x14ac:dyDescent="0.25">
      <c r="D27" s="6" t="s">
        <v>37</v>
      </c>
      <c r="E27" s="6"/>
      <c r="F27" s="6"/>
    </row>
    <row r="28" spans="1:19" x14ac:dyDescent="0.25">
      <c r="G28">
        <f>70/(1.5*4.2)</f>
        <v>11.111111111111111</v>
      </c>
    </row>
    <row r="29" spans="1:19" x14ac:dyDescent="0.25">
      <c r="C29" t="s">
        <v>88</v>
      </c>
      <c r="D29">
        <v>4.8439999999999997E-2</v>
      </c>
      <c r="E29">
        <f>15*D29</f>
        <v>0.72659999999999991</v>
      </c>
    </row>
    <row r="31" spans="1:19" x14ac:dyDescent="0.25">
      <c r="C31" t="s">
        <v>91</v>
      </c>
      <c r="D31" s="39">
        <f>D26/D29</f>
        <v>0.37693337693483142</v>
      </c>
    </row>
    <row r="32" spans="1:19" x14ac:dyDescent="0.25">
      <c r="G32">
        <f>45/2</f>
        <v>22.5</v>
      </c>
      <c r="H32">
        <f>G32-2.6</f>
        <v>19.899999999999999</v>
      </c>
    </row>
    <row r="33" spans="3:11" x14ac:dyDescent="0.25">
      <c r="C33" t="s">
        <v>88</v>
      </c>
      <c r="D33" s="6">
        <f>(1/(2*PI()*0.42))*LN(0.02/0.0176)</f>
        <v>4.8441221352144841E-2</v>
      </c>
    </row>
    <row r="34" spans="3:11" x14ac:dyDescent="0.25">
      <c r="C34" t="s">
        <v>96</v>
      </c>
      <c r="D34">
        <f>D26+D33</f>
        <v>6.6699874130868073E-2</v>
      </c>
      <c r="E34">
        <f>D34*15</f>
        <v>1.0004981119630212</v>
      </c>
    </row>
    <row r="38" spans="3:11" x14ac:dyDescent="0.25">
      <c r="C38">
        <f>-3.3</f>
        <v>-3.3</v>
      </c>
      <c r="E38">
        <f>32*0.55</f>
        <v>17.600000000000001</v>
      </c>
      <c r="G38" s="6"/>
      <c r="H38" s="9"/>
      <c r="J38" s="6"/>
      <c r="K38" s="9"/>
    </row>
    <row r="39" spans="3:11" x14ac:dyDescent="0.25">
      <c r="C39">
        <f>-0.4</f>
        <v>-0.4</v>
      </c>
    </row>
    <row r="40" spans="3:11" x14ac:dyDescent="0.25">
      <c r="C40">
        <f>AVERAGE(C38:C39)</f>
        <v>-1.8499999999999999</v>
      </c>
      <c r="E40" s="7"/>
    </row>
    <row r="41" spans="3:11" x14ac:dyDescent="0.25">
      <c r="E41" s="15"/>
    </row>
    <row r="42" spans="3:11" x14ac:dyDescent="0.25">
      <c r="E42" s="9"/>
    </row>
    <row r="43" spans="3:11" x14ac:dyDescent="0.25">
      <c r="E43" s="8"/>
    </row>
    <row r="45" spans="3:11" x14ac:dyDescent="0.25">
      <c r="D45" s="6"/>
      <c r="E45" s="9"/>
    </row>
    <row r="46" spans="3:11" x14ac:dyDescent="0.25">
      <c r="C46" t="s">
        <v>98</v>
      </c>
      <c r="D4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C013-20AD-4BE7-B4F0-B34A68E7A397}">
  <dimension ref="C2:Q86"/>
  <sheetViews>
    <sheetView topLeftCell="B1" workbookViewId="0">
      <selection activeCell="Q22" sqref="Q22"/>
    </sheetView>
  </sheetViews>
  <sheetFormatPr defaultColWidth="11.5703125" defaultRowHeight="15" x14ac:dyDescent="0.25"/>
  <cols>
    <col min="6" max="6" width="13.7109375" bestFit="1" customWidth="1"/>
  </cols>
  <sheetData>
    <row r="2" spans="3:17" x14ac:dyDescent="0.25">
      <c r="H2" s="9"/>
    </row>
    <row r="4" spans="3:17" x14ac:dyDescent="0.25">
      <c r="D4" t="s">
        <v>102</v>
      </c>
      <c r="E4" t="s">
        <v>103</v>
      </c>
      <c r="F4" t="s">
        <v>104</v>
      </c>
      <c r="G4" t="s">
        <v>105</v>
      </c>
    </row>
    <row r="5" spans="3:17" x14ac:dyDescent="0.25">
      <c r="H5" t="s">
        <v>106</v>
      </c>
      <c r="J5" t="s">
        <v>107</v>
      </c>
      <c r="Q5" t="s">
        <v>123</v>
      </c>
    </row>
    <row r="6" spans="3:17" ht="15.75" thickBot="1" x14ac:dyDescent="0.3"/>
    <row r="7" spans="3:17" x14ac:dyDescent="0.25">
      <c r="C7" s="2" t="s">
        <v>108</v>
      </c>
      <c r="D7" s="3">
        <v>14</v>
      </c>
      <c r="E7" s="3">
        <v>0.69</v>
      </c>
      <c r="F7" s="47" t="s">
        <v>121</v>
      </c>
      <c r="G7" s="3">
        <f>D7*E7</f>
        <v>9.66</v>
      </c>
      <c r="H7" s="3">
        <v>120</v>
      </c>
      <c r="I7" s="3"/>
      <c r="J7" s="4">
        <v>53</v>
      </c>
    </row>
    <row r="8" spans="3:17" x14ac:dyDescent="0.25">
      <c r="C8" s="5"/>
      <c r="D8" s="42"/>
      <c r="E8" s="42"/>
      <c r="F8" s="42"/>
      <c r="G8" s="42"/>
      <c r="H8" s="42"/>
      <c r="I8" s="42"/>
      <c r="J8" s="19"/>
    </row>
    <row r="9" spans="3:17" x14ac:dyDescent="0.25">
      <c r="C9" s="5"/>
      <c r="D9" s="42"/>
      <c r="E9" s="42"/>
      <c r="F9" s="42"/>
      <c r="G9" s="42"/>
      <c r="H9" s="42"/>
      <c r="I9" s="42"/>
      <c r="J9" s="19"/>
    </row>
    <row r="10" spans="3:17" x14ac:dyDescent="0.25">
      <c r="C10" s="5" t="s">
        <v>109</v>
      </c>
      <c r="D10" s="42"/>
      <c r="E10" s="42"/>
      <c r="F10" s="42"/>
      <c r="G10" s="42"/>
      <c r="H10" s="42">
        <f>H7*2</f>
        <v>240</v>
      </c>
      <c r="I10" s="42"/>
      <c r="J10" s="19">
        <f>J7*2</f>
        <v>106</v>
      </c>
    </row>
    <row r="11" spans="3:17" x14ac:dyDescent="0.25">
      <c r="C11" s="5"/>
      <c r="D11" s="42"/>
      <c r="E11" s="42"/>
      <c r="F11" s="42"/>
      <c r="G11" s="42"/>
      <c r="H11" s="42"/>
      <c r="I11" s="42"/>
      <c r="J11" s="19"/>
    </row>
    <row r="12" spans="3:17" x14ac:dyDescent="0.25">
      <c r="C12" s="5"/>
      <c r="D12" s="42"/>
      <c r="E12" s="42"/>
      <c r="F12" s="42"/>
      <c r="G12" s="42"/>
      <c r="H12" s="42"/>
      <c r="I12" s="42"/>
      <c r="J12" s="19"/>
      <c r="P12" t="s">
        <v>117</v>
      </c>
    </row>
    <row r="13" spans="3:17" ht="15.75" thickBot="1" x14ac:dyDescent="0.3">
      <c r="C13" s="43" t="s">
        <v>29</v>
      </c>
      <c r="D13" s="44"/>
      <c r="E13" s="44"/>
      <c r="F13" s="45">
        <f>'SM1'!E20</f>
        <v>107828.88937300732</v>
      </c>
      <c r="G13" s="44"/>
      <c r="H13" s="45">
        <f>'SM1'!H20</f>
        <v>71765.36836452529</v>
      </c>
      <c r="I13" s="44"/>
      <c r="J13" s="46">
        <f>'SM1'!K20</f>
        <v>13335.589244409912</v>
      </c>
      <c r="P13" s="27">
        <f>J86</f>
        <v>7590.4349195318928</v>
      </c>
      <c r="Q13" s="27">
        <f>SUM(F13:P13)</f>
        <v>200520.2819014744</v>
      </c>
    </row>
    <row r="14" spans="3:17" x14ac:dyDescent="0.25">
      <c r="Q14" s="6"/>
    </row>
    <row r="15" spans="3:17" ht="15.75" thickBot="1" x14ac:dyDescent="0.3">
      <c r="Q15" s="6"/>
    </row>
    <row r="16" spans="3:17" x14ac:dyDescent="0.25">
      <c r="C16" s="2" t="s">
        <v>110</v>
      </c>
      <c r="D16" s="3"/>
      <c r="E16" s="3"/>
      <c r="F16" s="47" t="s">
        <v>121</v>
      </c>
      <c r="G16" s="3"/>
      <c r="H16" s="3"/>
      <c r="I16" s="3"/>
      <c r="J16" s="4"/>
      <c r="K16" s="35"/>
      <c r="Q16" s="6"/>
    </row>
    <row r="17" spans="3:17" x14ac:dyDescent="0.25">
      <c r="C17" s="5"/>
      <c r="D17" s="42"/>
      <c r="E17" s="42"/>
      <c r="F17" s="42"/>
      <c r="G17" s="42"/>
      <c r="H17" s="42"/>
      <c r="I17" s="42"/>
      <c r="J17" s="19"/>
      <c r="Q17" s="6"/>
    </row>
    <row r="18" spans="3:17" x14ac:dyDescent="0.25">
      <c r="C18" s="5"/>
      <c r="D18" s="42">
        <v>12</v>
      </c>
      <c r="E18" s="42">
        <v>0.69</v>
      </c>
      <c r="F18" s="42"/>
      <c r="G18" s="42">
        <f>E18*D18</f>
        <v>8.2799999999999994</v>
      </c>
      <c r="H18" s="42">
        <v>120</v>
      </c>
      <c r="I18" s="42"/>
      <c r="J18" s="19">
        <v>30</v>
      </c>
      <c r="Q18" s="6"/>
    </row>
    <row r="19" spans="3:17" x14ac:dyDescent="0.25">
      <c r="C19" s="5" t="s">
        <v>109</v>
      </c>
      <c r="D19" s="42"/>
      <c r="E19" s="42"/>
      <c r="F19" s="42"/>
      <c r="G19" s="42"/>
      <c r="H19" s="42"/>
      <c r="I19" s="42"/>
      <c r="J19" s="19"/>
      <c r="Q19" s="6"/>
    </row>
    <row r="20" spans="3:17" x14ac:dyDescent="0.25">
      <c r="C20" s="5"/>
      <c r="D20" s="42"/>
      <c r="E20" s="42"/>
      <c r="F20" s="42"/>
      <c r="G20" s="42"/>
      <c r="H20" s="42">
        <f>H18*2</f>
        <v>240</v>
      </c>
      <c r="I20" s="42"/>
      <c r="J20" s="19">
        <f>J18*2</f>
        <v>60</v>
      </c>
      <c r="Q20" s="6"/>
    </row>
    <row r="21" spans="3:17" x14ac:dyDescent="0.25">
      <c r="C21" s="5"/>
      <c r="D21" s="42"/>
      <c r="E21" s="42"/>
      <c r="F21" s="42"/>
      <c r="G21" s="42"/>
      <c r="H21" s="42"/>
      <c r="I21" s="42"/>
      <c r="J21" s="19"/>
      <c r="L21" t="s">
        <v>115</v>
      </c>
      <c r="N21" t="s">
        <v>116</v>
      </c>
      <c r="P21" t="s">
        <v>117</v>
      </c>
      <c r="Q21" s="6"/>
    </row>
    <row r="22" spans="3:17" ht="15.75" thickBot="1" x14ac:dyDescent="0.3">
      <c r="C22" s="43" t="s">
        <v>29</v>
      </c>
      <c r="D22" s="44"/>
      <c r="E22" s="44"/>
      <c r="F22" s="45">
        <f>'SM2'!E20</f>
        <v>108989.33087991337</v>
      </c>
      <c r="G22" s="44"/>
      <c r="H22" s="45">
        <f>'SM2'!H20</f>
        <v>72540.850189744771</v>
      </c>
      <c r="I22" s="44"/>
      <c r="J22" s="46">
        <f>'SM2'!K20</f>
        <v>5841.4001634621482</v>
      </c>
      <c r="K22" s="6"/>
      <c r="L22" s="27">
        <f>J69</f>
        <v>4805.644874178698</v>
      </c>
      <c r="M22" s="6"/>
      <c r="N22" s="27">
        <f>J78</f>
        <v>5926.1523084218816</v>
      </c>
      <c r="O22" s="6"/>
      <c r="P22" s="27">
        <f>J86</f>
        <v>7590.4349195318928</v>
      </c>
      <c r="Q22" s="27">
        <f>SUM(F22:P22)</f>
        <v>205693.81333525275</v>
      </c>
    </row>
    <row r="23" spans="3:17" x14ac:dyDescent="0.25">
      <c r="Q23" s="6"/>
    </row>
    <row r="24" spans="3:17" ht="15.75" thickBot="1" x14ac:dyDescent="0.3">
      <c r="Q24" s="6"/>
    </row>
    <row r="25" spans="3:17" x14ac:dyDescent="0.25">
      <c r="C25" s="2" t="s">
        <v>111</v>
      </c>
      <c r="D25" s="3"/>
      <c r="E25" s="3"/>
      <c r="F25" s="47" t="s">
        <v>122</v>
      </c>
      <c r="G25" s="3"/>
      <c r="H25" s="3"/>
      <c r="I25" s="3"/>
      <c r="J25" s="4"/>
      <c r="K25" s="7"/>
      <c r="Q25" s="6"/>
    </row>
    <row r="26" spans="3:17" x14ac:dyDescent="0.25">
      <c r="C26" s="5"/>
      <c r="D26" s="42"/>
      <c r="E26" s="42"/>
      <c r="F26" s="42"/>
      <c r="G26" s="42"/>
      <c r="H26" s="42"/>
      <c r="I26" s="42"/>
      <c r="J26" s="19"/>
      <c r="Q26" s="6"/>
    </row>
    <row r="27" spans="3:17" x14ac:dyDescent="0.25">
      <c r="C27" s="5"/>
      <c r="D27" s="42">
        <v>8</v>
      </c>
      <c r="E27" s="42">
        <v>0.69</v>
      </c>
      <c r="F27" s="42"/>
      <c r="G27" s="42">
        <f>E27*D27</f>
        <v>5.52</v>
      </c>
      <c r="H27" s="42">
        <v>70</v>
      </c>
      <c r="I27" s="42"/>
      <c r="J27" s="19">
        <v>15</v>
      </c>
      <c r="Q27" s="6"/>
    </row>
    <row r="28" spans="3:17" x14ac:dyDescent="0.25">
      <c r="C28" s="5" t="s">
        <v>109</v>
      </c>
      <c r="D28" s="42"/>
      <c r="E28" s="42"/>
      <c r="F28" s="42"/>
      <c r="G28" s="42"/>
      <c r="H28" s="42"/>
      <c r="I28" s="42"/>
      <c r="J28" s="19"/>
      <c r="Q28" s="6"/>
    </row>
    <row r="29" spans="3:17" x14ac:dyDescent="0.25">
      <c r="C29" s="5"/>
      <c r="D29" s="42"/>
      <c r="E29" s="42"/>
      <c r="F29" s="42"/>
      <c r="G29" s="42"/>
      <c r="H29" s="42">
        <f>H27*2</f>
        <v>140</v>
      </c>
      <c r="I29" s="42"/>
      <c r="J29" s="19">
        <f>J27*2</f>
        <v>30</v>
      </c>
      <c r="Q29" s="6"/>
    </row>
    <row r="30" spans="3:17" x14ac:dyDescent="0.25">
      <c r="C30" s="5"/>
      <c r="D30" s="42"/>
      <c r="E30" s="42"/>
      <c r="F30" s="42"/>
      <c r="G30" s="42"/>
      <c r="H30" s="42"/>
      <c r="I30" s="42"/>
      <c r="J30" s="19"/>
      <c r="N30" t="s">
        <v>116</v>
      </c>
      <c r="P30" t="s">
        <v>117</v>
      </c>
      <c r="Q30" s="6"/>
    </row>
    <row r="31" spans="3:17" ht="15.75" thickBot="1" x14ac:dyDescent="0.3">
      <c r="C31" s="43" t="s">
        <v>29</v>
      </c>
      <c r="D31" s="44"/>
      <c r="E31" s="44"/>
      <c r="F31" s="45">
        <f>'SM3'!E20</f>
        <v>108989.33087991337</v>
      </c>
      <c r="G31" s="44"/>
      <c r="H31" s="45">
        <f>'SM3'!H20</f>
        <v>42315.495944017784</v>
      </c>
      <c r="I31" s="44"/>
      <c r="J31" s="46">
        <f>'SM3'!K20</f>
        <v>2675.9682041428982</v>
      </c>
      <c r="N31" s="27">
        <f>J78</f>
        <v>5926.1523084218816</v>
      </c>
      <c r="P31" s="27">
        <f>Hovedstrekk!K20</f>
        <v>7590.4349195318928</v>
      </c>
      <c r="Q31" s="27">
        <f>SUM(F31:P31)</f>
        <v>167497.38225602783</v>
      </c>
    </row>
    <row r="32" spans="3:17" x14ac:dyDescent="0.25">
      <c r="Q32" s="6"/>
    </row>
    <row r="33" spans="3:17" ht="15.75" thickBot="1" x14ac:dyDescent="0.3">
      <c r="Q33" s="6"/>
    </row>
    <row r="34" spans="3:17" x14ac:dyDescent="0.25">
      <c r="C34" s="2" t="s">
        <v>112</v>
      </c>
      <c r="D34" s="3"/>
      <c r="E34" s="3"/>
      <c r="F34" s="47" t="s">
        <v>121</v>
      </c>
      <c r="G34" s="3"/>
      <c r="H34" s="3"/>
      <c r="I34" s="3"/>
      <c r="J34" s="4"/>
      <c r="Q34" s="6"/>
    </row>
    <row r="35" spans="3:17" x14ac:dyDescent="0.25">
      <c r="C35" s="5"/>
      <c r="D35" s="42"/>
      <c r="E35" s="42"/>
      <c r="F35" s="42"/>
      <c r="G35" s="42"/>
      <c r="H35" s="42"/>
      <c r="I35" s="42"/>
      <c r="J35" s="19"/>
      <c r="Q35" s="6"/>
    </row>
    <row r="36" spans="3:17" x14ac:dyDescent="0.25">
      <c r="C36" s="5"/>
      <c r="D36" s="42">
        <v>9</v>
      </c>
      <c r="E36" s="42">
        <v>0.69</v>
      </c>
      <c r="F36" s="42"/>
      <c r="G36" s="42">
        <f>E36*D36</f>
        <v>6.2099999999999991</v>
      </c>
      <c r="H36" s="42">
        <v>120</v>
      </c>
      <c r="I36" s="42"/>
      <c r="J36" s="19">
        <v>160</v>
      </c>
      <c r="Q36" s="6"/>
    </row>
    <row r="37" spans="3:17" x14ac:dyDescent="0.25">
      <c r="C37" s="5" t="s">
        <v>109</v>
      </c>
      <c r="D37" s="42"/>
      <c r="E37" s="42"/>
      <c r="F37" s="42"/>
      <c r="G37" s="42"/>
      <c r="H37" s="42"/>
      <c r="I37" s="42"/>
      <c r="J37" s="19"/>
      <c r="Q37" s="6"/>
    </row>
    <row r="38" spans="3:17" x14ac:dyDescent="0.25">
      <c r="C38" s="5"/>
      <c r="D38" s="42"/>
      <c r="E38" s="42"/>
      <c r="F38" s="42"/>
      <c r="G38" s="42"/>
      <c r="H38" s="42">
        <f>H36*2</f>
        <v>240</v>
      </c>
      <c r="I38" s="42"/>
      <c r="J38" s="19">
        <f>J36*2</f>
        <v>320</v>
      </c>
      <c r="Q38" s="6"/>
    </row>
    <row r="39" spans="3:17" x14ac:dyDescent="0.25">
      <c r="C39" s="5"/>
      <c r="D39" s="42"/>
      <c r="E39" s="42"/>
      <c r="F39" s="42"/>
      <c r="G39" s="42"/>
      <c r="H39" s="42"/>
      <c r="I39" s="42"/>
      <c r="J39" s="19"/>
      <c r="P39" t="s">
        <v>117</v>
      </c>
      <c r="Q39" s="6"/>
    </row>
    <row r="40" spans="3:17" ht="15.75" thickBot="1" x14ac:dyDescent="0.3">
      <c r="C40" s="43" t="s">
        <v>29</v>
      </c>
      <c r="D40" s="44"/>
      <c r="E40" s="44"/>
      <c r="F40" s="45">
        <f>'SM4'!E20</f>
        <v>108989.33087991337</v>
      </c>
      <c r="G40" s="44"/>
      <c r="H40" s="45">
        <f>'SM4'!H20</f>
        <v>72540.850189744771</v>
      </c>
      <c r="I40" s="44"/>
      <c r="J40" s="46">
        <f>'SM4'!K20</f>
        <v>18953.616149299243</v>
      </c>
      <c r="P40" s="27">
        <f>Hovedstrekk!K20</f>
        <v>7590.4349195318928</v>
      </c>
      <c r="Q40" s="27">
        <f>SUM(F40:P40)</f>
        <v>208074.23213848929</v>
      </c>
    </row>
    <row r="41" spans="3:17" x14ac:dyDescent="0.25">
      <c r="Q41" s="6"/>
    </row>
    <row r="42" spans="3:17" ht="15.75" thickBot="1" x14ac:dyDescent="0.3">
      <c r="Q42" s="6"/>
    </row>
    <row r="43" spans="3:17" x14ac:dyDescent="0.25">
      <c r="C43" s="2" t="s">
        <v>113</v>
      </c>
      <c r="D43" s="3"/>
      <c r="E43" s="3"/>
      <c r="F43" s="47" t="s">
        <v>122</v>
      </c>
      <c r="G43" s="3"/>
      <c r="H43" s="3"/>
      <c r="I43" s="3"/>
      <c r="J43" s="4"/>
      <c r="K43" s="35"/>
      <c r="Q43" s="6"/>
    </row>
    <row r="44" spans="3:17" x14ac:dyDescent="0.25">
      <c r="C44" s="5"/>
      <c r="D44" s="42"/>
      <c r="E44" s="42"/>
      <c r="F44" s="42"/>
      <c r="G44" s="42"/>
      <c r="H44" s="42"/>
      <c r="I44" s="42"/>
      <c r="J44" s="19"/>
      <c r="Q44" s="6"/>
    </row>
    <row r="45" spans="3:17" x14ac:dyDescent="0.25">
      <c r="C45" s="5"/>
      <c r="D45" s="42">
        <v>8</v>
      </c>
      <c r="E45" s="42">
        <v>0.69</v>
      </c>
      <c r="F45" s="42"/>
      <c r="G45" s="42">
        <f>E45*D45</f>
        <v>5.52</v>
      </c>
      <c r="H45" s="42">
        <v>6</v>
      </c>
      <c r="I45" s="42"/>
      <c r="J45" s="19">
        <v>15</v>
      </c>
      <c r="Q45" s="6"/>
    </row>
    <row r="46" spans="3:17" x14ac:dyDescent="0.25">
      <c r="C46" s="5" t="s">
        <v>109</v>
      </c>
      <c r="D46" s="42"/>
      <c r="E46" s="42"/>
      <c r="F46" s="42"/>
      <c r="G46" s="42"/>
      <c r="H46" s="42"/>
      <c r="I46" s="42"/>
      <c r="J46" s="19"/>
      <c r="Q46" s="6"/>
    </row>
    <row r="47" spans="3:17" x14ac:dyDescent="0.25">
      <c r="C47" s="5"/>
      <c r="D47" s="42"/>
      <c r="E47" s="42"/>
      <c r="F47" s="42"/>
      <c r="G47" s="42"/>
      <c r="H47" s="42">
        <f>H45*2</f>
        <v>12</v>
      </c>
      <c r="I47" s="42"/>
      <c r="J47" s="19">
        <f>J45*2</f>
        <v>30</v>
      </c>
      <c r="Q47" s="6"/>
    </row>
    <row r="48" spans="3:17" x14ac:dyDescent="0.25">
      <c r="C48" s="5"/>
      <c r="D48" s="42"/>
      <c r="E48" s="42"/>
      <c r="F48" s="42"/>
      <c r="G48" s="42"/>
      <c r="H48" s="42"/>
      <c r="I48" s="42"/>
      <c r="J48" s="19"/>
      <c r="N48" t="s">
        <v>116</v>
      </c>
      <c r="P48" t="s">
        <v>117</v>
      </c>
      <c r="Q48" s="6"/>
    </row>
    <row r="49" spans="3:17" ht="15.75" thickBot="1" x14ac:dyDescent="0.3">
      <c r="C49" s="43" t="s">
        <v>29</v>
      </c>
      <c r="D49" s="44"/>
      <c r="E49" s="44"/>
      <c r="F49" s="45">
        <f>'SM5'!E20</f>
        <v>108989.33087991337</v>
      </c>
      <c r="G49" s="44"/>
      <c r="H49" s="45">
        <f>'SM5'!H20</f>
        <v>3627.0425094872385</v>
      </c>
      <c r="I49" s="44"/>
      <c r="J49" s="46">
        <f>'SM5'!K20</f>
        <v>2675.9682041428982</v>
      </c>
      <c r="N49" s="27">
        <f>J78</f>
        <v>5926.1523084218816</v>
      </c>
      <c r="P49" s="27">
        <f>Hovedstrekk!K20</f>
        <v>7590.4349195318928</v>
      </c>
      <c r="Q49" s="27">
        <f>SUM(F49:P49)</f>
        <v>128808.92882149728</v>
      </c>
    </row>
    <row r="50" spans="3:17" x14ac:dyDescent="0.25">
      <c r="Q50" s="6"/>
    </row>
    <row r="51" spans="3:17" ht="15.75" thickBot="1" x14ac:dyDescent="0.3">
      <c r="Q51" s="6"/>
    </row>
    <row r="52" spans="3:17" x14ac:dyDescent="0.25">
      <c r="C52" s="2" t="s">
        <v>114</v>
      </c>
      <c r="D52" s="3"/>
      <c r="E52" s="3"/>
      <c r="F52" s="47" t="s">
        <v>121</v>
      </c>
      <c r="G52" s="3"/>
      <c r="H52" s="3"/>
      <c r="I52" s="3"/>
      <c r="J52" s="4"/>
      <c r="Q52" s="6"/>
    </row>
    <row r="53" spans="3:17" x14ac:dyDescent="0.25">
      <c r="C53" s="5"/>
      <c r="D53" s="42"/>
      <c r="E53" s="42"/>
      <c r="F53" s="42"/>
      <c r="G53" s="42"/>
      <c r="H53" s="42"/>
      <c r="I53" s="42"/>
      <c r="J53" s="19"/>
      <c r="Q53" s="6"/>
    </row>
    <row r="54" spans="3:17" x14ac:dyDescent="0.25">
      <c r="C54" s="5"/>
      <c r="D54" s="42">
        <v>9</v>
      </c>
      <c r="E54" s="42">
        <v>0.69</v>
      </c>
      <c r="F54" s="42"/>
      <c r="G54" s="42">
        <f>E54*D54</f>
        <v>6.2099999999999991</v>
      </c>
      <c r="H54" s="42">
        <v>55</v>
      </c>
      <c r="I54" s="42"/>
      <c r="J54" s="19">
        <v>55</v>
      </c>
      <c r="Q54" s="6"/>
    </row>
    <row r="55" spans="3:17" x14ac:dyDescent="0.25">
      <c r="C55" s="5" t="s">
        <v>109</v>
      </c>
      <c r="D55" s="42"/>
      <c r="E55" s="42"/>
      <c r="F55" s="42"/>
      <c r="G55" s="42"/>
      <c r="H55" s="42"/>
      <c r="I55" s="42"/>
      <c r="J55" s="19"/>
      <c r="Q55" s="6"/>
    </row>
    <row r="56" spans="3:17" x14ac:dyDescent="0.25">
      <c r="C56" s="5"/>
      <c r="D56" s="42"/>
      <c r="E56" s="42"/>
      <c r="F56" s="42"/>
      <c r="G56" s="42"/>
      <c r="H56" s="42">
        <f>H54*2</f>
        <v>110</v>
      </c>
      <c r="I56" s="42"/>
      <c r="J56" s="19">
        <f>J54*2</f>
        <v>110</v>
      </c>
      <c r="Q56" s="6"/>
    </row>
    <row r="57" spans="3:17" x14ac:dyDescent="0.25">
      <c r="C57" s="5"/>
      <c r="D57" s="42"/>
      <c r="E57" s="42"/>
      <c r="F57" s="42"/>
      <c r="G57" s="42"/>
      <c r="H57" s="42"/>
      <c r="I57" s="42"/>
      <c r="J57" s="19"/>
      <c r="L57" t="s">
        <v>115</v>
      </c>
      <c r="N57" t="s">
        <v>116</v>
      </c>
      <c r="P57" t="s">
        <v>117</v>
      </c>
      <c r="Q57" s="6"/>
    </row>
    <row r="58" spans="3:17" ht="15.75" thickBot="1" x14ac:dyDescent="0.3">
      <c r="C58" s="43" t="s">
        <v>29</v>
      </c>
      <c r="D58" s="44"/>
      <c r="E58" s="44"/>
      <c r="F58" s="45">
        <f>'SM6'!E20</f>
        <v>108989.33087991337</v>
      </c>
      <c r="G58" s="44"/>
      <c r="H58" s="45">
        <f>'SM6'!H20</f>
        <v>33247.889670299686</v>
      </c>
      <c r="I58" s="44"/>
      <c r="J58" s="46">
        <f>'SM6'!K20</f>
        <v>6515.305551321615</v>
      </c>
      <c r="L58" s="27">
        <f>J69</f>
        <v>4805.644874178698</v>
      </c>
      <c r="N58" s="27">
        <f>J78</f>
        <v>5926.1523084218816</v>
      </c>
      <c r="P58" s="27">
        <f>Hovedstrekk!K20</f>
        <v>7590.4349195318928</v>
      </c>
      <c r="Q58" s="27">
        <f>SUM(F58:P58)</f>
        <v>167074.75820366715</v>
      </c>
    </row>
    <row r="59" spans="3:17" x14ac:dyDescent="0.25">
      <c r="D59">
        <f>SUM(D7:D58)</f>
        <v>60</v>
      </c>
    </row>
    <row r="62" spans="3:17" ht="15.75" thickBot="1" x14ac:dyDescent="0.3"/>
    <row r="63" spans="3:17" x14ac:dyDescent="0.25">
      <c r="C63" t="s">
        <v>115</v>
      </c>
      <c r="D63" s="3"/>
      <c r="E63" s="3"/>
      <c r="F63" s="47" t="s">
        <v>120</v>
      </c>
      <c r="G63" s="3"/>
      <c r="H63" s="3"/>
      <c r="I63" s="3"/>
      <c r="J63" s="4"/>
    </row>
    <row r="64" spans="3:17" x14ac:dyDescent="0.25">
      <c r="C64" s="5"/>
      <c r="D64" s="42"/>
      <c r="E64" s="42"/>
      <c r="F64" s="42"/>
      <c r="G64" s="42"/>
      <c r="H64" s="42"/>
      <c r="I64" s="42"/>
      <c r="J64" s="19"/>
    </row>
    <row r="65" spans="3:10" x14ac:dyDescent="0.25">
      <c r="C65" s="5"/>
      <c r="D65" s="42">
        <f>D54+D18</f>
        <v>21</v>
      </c>
      <c r="E65" s="42">
        <v>0.69</v>
      </c>
      <c r="F65" s="42"/>
      <c r="G65" s="42">
        <f>E65*D65</f>
        <v>14.489999999999998</v>
      </c>
      <c r="H65" s="42"/>
      <c r="I65" s="42"/>
      <c r="J65" s="19">
        <v>30</v>
      </c>
    </row>
    <row r="66" spans="3:10" x14ac:dyDescent="0.25">
      <c r="C66" s="5" t="s">
        <v>109</v>
      </c>
      <c r="D66" s="42"/>
      <c r="E66" s="42"/>
      <c r="F66" s="42"/>
      <c r="G66" s="42"/>
      <c r="H66" s="42"/>
      <c r="I66" s="42"/>
      <c r="J66" s="19"/>
    </row>
    <row r="67" spans="3:10" x14ac:dyDescent="0.25">
      <c r="C67" s="5"/>
      <c r="D67" s="42"/>
      <c r="E67" s="42"/>
      <c r="F67" s="42"/>
      <c r="G67" s="42"/>
      <c r="H67" s="42"/>
      <c r="I67" s="42"/>
      <c r="J67" s="19">
        <f>J65*2</f>
        <v>60</v>
      </c>
    </row>
    <row r="68" spans="3:10" x14ac:dyDescent="0.25">
      <c r="C68" s="5"/>
      <c r="D68" s="42"/>
      <c r="E68" s="42"/>
      <c r="F68" s="42"/>
      <c r="G68" s="42"/>
      <c r="H68" s="42"/>
      <c r="I68" s="42"/>
      <c r="J68" s="19"/>
    </row>
    <row r="69" spans="3:10" ht="15.75" thickBot="1" x14ac:dyDescent="0.3">
      <c r="C69" s="43" t="s">
        <v>29</v>
      </c>
      <c r="D69" s="44"/>
      <c r="E69" s="44"/>
      <c r="F69" s="45"/>
      <c r="G69" s="44"/>
      <c r="H69" s="45"/>
      <c r="I69" s="44"/>
      <c r="J69" s="46">
        <f>'SM6 +SM2'!K20</f>
        <v>4805.644874178698</v>
      </c>
    </row>
    <row r="71" spans="3:10" ht="15.75" thickBot="1" x14ac:dyDescent="0.3"/>
    <row r="72" spans="3:10" x14ac:dyDescent="0.25">
      <c r="C72" t="s">
        <v>116</v>
      </c>
      <c r="D72" s="3"/>
      <c r="E72" s="3"/>
      <c r="F72" s="47" t="s">
        <v>119</v>
      </c>
      <c r="G72" s="3"/>
      <c r="H72" s="3"/>
      <c r="I72" s="3"/>
      <c r="J72" s="4"/>
    </row>
    <row r="73" spans="3:10" x14ac:dyDescent="0.25">
      <c r="C73" s="5"/>
      <c r="D73" s="42"/>
      <c r="E73" s="42"/>
      <c r="F73" s="42"/>
      <c r="G73" s="42"/>
      <c r="H73" s="42"/>
      <c r="I73" s="42"/>
      <c r="J73" s="19"/>
    </row>
    <row r="74" spans="3:10" x14ac:dyDescent="0.25">
      <c r="C74" s="5"/>
      <c r="D74" s="42">
        <f>D18+D27+D45+D54</f>
        <v>37</v>
      </c>
      <c r="E74" s="42">
        <v>0.69</v>
      </c>
      <c r="F74" s="42"/>
      <c r="G74" s="42">
        <f>E74*D74</f>
        <v>25.529999999999998</v>
      </c>
      <c r="H74" s="42"/>
      <c r="I74" s="42"/>
      <c r="J74" s="19">
        <v>24</v>
      </c>
    </row>
    <row r="75" spans="3:10" x14ac:dyDescent="0.25">
      <c r="C75" s="5" t="s">
        <v>109</v>
      </c>
      <c r="D75" s="42"/>
      <c r="E75" s="42"/>
      <c r="F75" s="42"/>
      <c r="G75" s="42"/>
      <c r="H75" s="42"/>
      <c r="I75" s="42"/>
      <c r="J75" s="19"/>
    </row>
    <row r="76" spans="3:10" x14ac:dyDescent="0.25">
      <c r="C76" s="5"/>
      <c r="D76" s="42"/>
      <c r="E76" s="42"/>
      <c r="F76" s="42"/>
      <c r="G76" s="42"/>
      <c r="H76" s="42"/>
      <c r="I76" s="42"/>
      <c r="J76" s="19">
        <f>J74*2</f>
        <v>48</v>
      </c>
    </row>
    <row r="77" spans="3:10" x14ac:dyDescent="0.25">
      <c r="C77" s="5"/>
      <c r="D77" s="42"/>
      <c r="E77" s="42"/>
      <c r="F77" s="42"/>
      <c r="G77" s="42"/>
      <c r="H77" s="42"/>
      <c r="I77" s="42"/>
      <c r="J77" s="19"/>
    </row>
    <row r="78" spans="3:10" ht="15.75" thickBot="1" x14ac:dyDescent="0.3">
      <c r="C78" s="43" t="s">
        <v>29</v>
      </c>
      <c r="D78" s="44"/>
      <c r="E78" s="44"/>
      <c r="F78" s="45"/>
      <c r="G78" s="44"/>
      <c r="H78" s="45"/>
      <c r="I78" s="44"/>
      <c r="J78" s="46">
        <f>'SM6 +SM2 + SM3 +SM5'!K20</f>
        <v>5926.1523084218816</v>
      </c>
    </row>
    <row r="79" spans="3:10" ht="15.75" thickBot="1" x14ac:dyDescent="0.3"/>
    <row r="80" spans="3:10" x14ac:dyDescent="0.25">
      <c r="C80" t="s">
        <v>117</v>
      </c>
      <c r="E80" s="3"/>
      <c r="F80" s="47" t="s">
        <v>118</v>
      </c>
      <c r="G80" s="3"/>
      <c r="H80" s="3"/>
      <c r="I80" s="3"/>
      <c r="J80" s="4"/>
    </row>
    <row r="81" spans="3:10" x14ac:dyDescent="0.25">
      <c r="C81" s="5"/>
      <c r="D81" s="42"/>
      <c r="E81" s="42"/>
      <c r="F81" s="42"/>
      <c r="G81" s="42"/>
      <c r="H81" s="42"/>
      <c r="I81" s="42"/>
      <c r="J81" s="19"/>
    </row>
    <row r="82" spans="3:10" x14ac:dyDescent="0.25">
      <c r="C82" s="5"/>
      <c r="D82" s="42">
        <f>D59</f>
        <v>60</v>
      </c>
      <c r="E82" s="42">
        <v>0.69</v>
      </c>
      <c r="F82" s="42"/>
      <c r="G82" s="42">
        <f>E82*D82</f>
        <v>41.4</v>
      </c>
      <c r="H82" s="42"/>
      <c r="I82" s="42"/>
      <c r="J82" s="19">
        <v>17</v>
      </c>
    </row>
    <row r="83" spans="3:10" x14ac:dyDescent="0.25">
      <c r="C83" s="5" t="s">
        <v>109</v>
      </c>
      <c r="D83" s="42"/>
      <c r="E83" s="42"/>
      <c r="F83" s="42"/>
      <c r="G83" s="42"/>
      <c r="H83" s="42"/>
      <c r="I83" s="42"/>
      <c r="J83" s="19"/>
    </row>
    <row r="84" spans="3:10" x14ac:dyDescent="0.25">
      <c r="C84" s="5"/>
      <c r="D84" s="42"/>
      <c r="E84" s="42"/>
      <c r="F84" s="42"/>
      <c r="G84" s="42"/>
      <c r="H84" s="42"/>
      <c r="I84" s="42"/>
      <c r="J84" s="19">
        <f>J82*2</f>
        <v>34</v>
      </c>
    </row>
    <row r="85" spans="3:10" x14ac:dyDescent="0.25">
      <c r="C85" s="5"/>
      <c r="D85" s="42"/>
      <c r="E85" s="42"/>
      <c r="F85" s="42"/>
      <c r="G85" s="42"/>
      <c r="H85" s="42"/>
      <c r="I85" s="42"/>
      <c r="J85" s="19"/>
    </row>
    <row r="86" spans="3:10" ht="15.75" thickBot="1" x14ac:dyDescent="0.3">
      <c r="C86" s="43" t="s">
        <v>29</v>
      </c>
      <c r="D86" s="44"/>
      <c r="E86" s="44"/>
      <c r="F86" s="45"/>
      <c r="G86" s="44"/>
      <c r="H86" s="45"/>
      <c r="I86" s="44"/>
      <c r="J86" s="46">
        <f>Hovedstrekk!K20</f>
        <v>7590.4349195318928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1"/>
  <sheetViews>
    <sheetView workbookViewId="0">
      <selection activeCell="G7" sqref="G7"/>
    </sheetView>
  </sheetViews>
  <sheetFormatPr defaultColWidth="11.5703125" defaultRowHeight="15" x14ac:dyDescent="0.25"/>
  <cols>
    <col min="1" max="1" width="7.28515625" customWidth="1"/>
    <col min="2" max="2" width="6.42578125" customWidth="1"/>
    <col min="3" max="3" width="7.7109375" customWidth="1"/>
    <col min="4" max="4" width="9" customWidth="1"/>
    <col min="5" max="5" width="14.42578125" customWidth="1"/>
    <col min="6" max="6" width="14.28515625" customWidth="1"/>
    <col min="7" max="7" width="21.7109375" customWidth="1"/>
    <col min="8" max="8" width="41.42578125" customWidth="1"/>
    <col min="9" max="12" width="41.28515625" customWidth="1"/>
  </cols>
  <sheetData>
    <row r="1" spans="1:12" x14ac:dyDescent="0.25"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12" x14ac:dyDescent="0.25">
      <c r="A2" t="s">
        <v>38</v>
      </c>
    </row>
    <row r="3" spans="1:12" x14ac:dyDescent="0.25">
      <c r="A3" t="s">
        <v>39</v>
      </c>
      <c r="D3">
        <v>0.56200000000000006</v>
      </c>
      <c r="E3">
        <v>4217</v>
      </c>
      <c r="F3">
        <v>999.8</v>
      </c>
      <c r="G3">
        <v>1.7910000000000001E-3</v>
      </c>
      <c r="H3">
        <v>0</v>
      </c>
      <c r="I3" s="35">
        <f>(G3/F3)/(D3/(E3*F3))</f>
        <v>13.438873665480427</v>
      </c>
      <c r="L3">
        <f>E3*F3</f>
        <v>4216156.5999999996</v>
      </c>
    </row>
    <row r="4" spans="1:12" x14ac:dyDescent="0.25">
      <c r="A4" t="s">
        <v>40</v>
      </c>
      <c r="D4">
        <v>0.57199999999999995</v>
      </c>
      <c r="E4">
        <v>4202</v>
      </c>
      <c r="F4">
        <v>1000</v>
      </c>
      <c r="G4">
        <v>1.5200000000000001E-3</v>
      </c>
      <c r="H4">
        <v>0</v>
      </c>
      <c r="I4" s="35">
        <f t="shared" ref="I4:I67" si="0">(G4/F4)/(D4/(E4*F4))</f>
        <v>11.166153846153847</v>
      </c>
      <c r="L4">
        <f t="shared" ref="L4:L67" si="1">E4*F4</f>
        <v>4202000</v>
      </c>
    </row>
    <row r="5" spans="1:12" x14ac:dyDescent="0.25">
      <c r="A5" t="s">
        <v>41</v>
      </c>
      <c r="D5">
        <v>0.58199999999999996</v>
      </c>
      <c r="E5">
        <v>4192</v>
      </c>
      <c r="F5">
        <v>999.8</v>
      </c>
      <c r="G5">
        <v>1.3079999999999999E-3</v>
      </c>
      <c r="H5">
        <v>0</v>
      </c>
      <c r="I5" s="35">
        <f t="shared" si="0"/>
        <v>9.4211958762886603</v>
      </c>
      <c r="L5">
        <f t="shared" si="1"/>
        <v>4191161.5999999996</v>
      </c>
    </row>
    <row r="6" spans="1:12" x14ac:dyDescent="0.25">
      <c r="A6" t="s">
        <v>42</v>
      </c>
      <c r="D6">
        <v>0.59099999999999997</v>
      </c>
      <c r="E6">
        <v>4186</v>
      </c>
      <c r="F6">
        <v>999.2</v>
      </c>
      <c r="G6">
        <v>1.139E-3</v>
      </c>
      <c r="H6">
        <v>0</v>
      </c>
      <c r="I6" s="35">
        <f t="shared" si="0"/>
        <v>8.0674348561759732</v>
      </c>
      <c r="L6">
        <f t="shared" si="1"/>
        <v>4182651.2</v>
      </c>
    </row>
    <row r="7" spans="1:12" x14ac:dyDescent="0.25">
      <c r="A7" t="s">
        <v>43</v>
      </c>
      <c r="D7">
        <v>0.6</v>
      </c>
      <c r="E7">
        <v>4182</v>
      </c>
      <c r="F7">
        <v>998.3</v>
      </c>
      <c r="G7">
        <v>1.003E-3</v>
      </c>
      <c r="H7">
        <v>0</v>
      </c>
      <c r="I7" s="35">
        <f t="shared" si="0"/>
        <v>6.9909099999999995</v>
      </c>
      <c r="L7">
        <f t="shared" si="1"/>
        <v>4174890.5999999996</v>
      </c>
    </row>
    <row r="8" spans="1:12" x14ac:dyDescent="0.25">
      <c r="A8" t="s">
        <v>44</v>
      </c>
      <c r="D8">
        <v>0.60799999999999998</v>
      </c>
      <c r="E8">
        <v>4180</v>
      </c>
      <c r="F8">
        <v>997.2</v>
      </c>
      <c r="G8">
        <v>8.9099999999999997E-4</v>
      </c>
      <c r="H8">
        <v>0</v>
      </c>
      <c r="I8" s="35">
        <f t="shared" si="0"/>
        <v>6.1256249999999994</v>
      </c>
      <c r="L8">
        <f t="shared" si="1"/>
        <v>4168296</v>
      </c>
    </row>
    <row r="9" spans="1:12" x14ac:dyDescent="0.25">
      <c r="A9" t="s">
        <v>45</v>
      </c>
      <c r="D9">
        <v>0.61499999999999999</v>
      </c>
      <c r="E9">
        <v>4178</v>
      </c>
      <c r="F9">
        <v>995.8</v>
      </c>
      <c r="G9">
        <v>7.9799999999999999E-4</v>
      </c>
      <c r="H9">
        <v>0</v>
      </c>
      <c r="I9" s="35">
        <f t="shared" si="0"/>
        <v>5.4212097560975607</v>
      </c>
      <c r="L9">
        <f t="shared" si="1"/>
        <v>4160452.4</v>
      </c>
    </row>
    <row r="10" spans="1:12" x14ac:dyDescent="0.25">
      <c r="A10" t="s">
        <v>46</v>
      </c>
      <c r="D10">
        <v>0.622</v>
      </c>
      <c r="E10">
        <v>4178</v>
      </c>
      <c r="F10">
        <v>994.1</v>
      </c>
      <c r="G10">
        <v>7.2000000000000005E-4</v>
      </c>
      <c r="H10">
        <v>0</v>
      </c>
      <c r="I10" s="35">
        <f t="shared" si="0"/>
        <v>4.8362700964630223</v>
      </c>
      <c r="L10">
        <f t="shared" si="1"/>
        <v>4153349.8000000003</v>
      </c>
    </row>
    <row r="11" spans="1:12" x14ac:dyDescent="0.25">
      <c r="A11" t="s">
        <v>47</v>
      </c>
      <c r="D11">
        <v>0.629</v>
      </c>
      <c r="E11">
        <v>4179</v>
      </c>
      <c r="F11">
        <v>992.3</v>
      </c>
      <c r="G11">
        <v>6.5300000000000004E-4</v>
      </c>
      <c r="H11">
        <v>0</v>
      </c>
      <c r="I11" s="35">
        <f t="shared" si="0"/>
        <v>4.3384531001589819</v>
      </c>
      <c r="L11">
        <f t="shared" si="1"/>
        <v>4146821.6999999997</v>
      </c>
    </row>
    <row r="12" spans="1:12" x14ac:dyDescent="0.25">
      <c r="A12" t="s">
        <v>48</v>
      </c>
      <c r="D12">
        <v>0.63500000000000001</v>
      </c>
      <c r="E12">
        <v>4180</v>
      </c>
      <c r="F12">
        <v>990.3</v>
      </c>
      <c r="G12">
        <v>5.9599999999999996E-4</v>
      </c>
      <c r="H12">
        <v>0</v>
      </c>
      <c r="I12" s="35">
        <f t="shared" si="0"/>
        <v>3.9232755905511807</v>
      </c>
      <c r="L12">
        <f t="shared" si="1"/>
        <v>4139454</v>
      </c>
    </row>
    <row r="13" spans="1:12" x14ac:dyDescent="0.25">
      <c r="A13" t="s">
        <v>49</v>
      </c>
      <c r="D13">
        <v>0.64</v>
      </c>
      <c r="E13">
        <v>4181</v>
      </c>
      <c r="F13">
        <v>988.1</v>
      </c>
      <c r="G13">
        <v>5.4699999999999996E-4</v>
      </c>
      <c r="H13">
        <v>0</v>
      </c>
      <c r="I13" s="35">
        <f t="shared" si="0"/>
        <v>3.5734484374999997</v>
      </c>
      <c r="L13">
        <f t="shared" si="1"/>
        <v>4131246.1</v>
      </c>
    </row>
    <row r="14" spans="1:12" x14ac:dyDescent="0.25">
      <c r="A14" t="s">
        <v>50</v>
      </c>
      <c r="D14">
        <v>0.64600000000000002</v>
      </c>
      <c r="E14">
        <v>4183</v>
      </c>
      <c r="F14">
        <v>985.7</v>
      </c>
      <c r="G14">
        <v>5.04E-4</v>
      </c>
      <c r="H14">
        <v>0</v>
      </c>
      <c r="I14" s="35">
        <f t="shared" si="0"/>
        <v>3.2635170278637768</v>
      </c>
      <c r="L14">
        <f t="shared" si="1"/>
        <v>4123183.1</v>
      </c>
    </row>
    <row r="15" spans="1:12" x14ac:dyDescent="0.25">
      <c r="A15" t="s">
        <v>51</v>
      </c>
      <c r="D15">
        <v>0.65100000000000002</v>
      </c>
      <c r="E15">
        <v>4185</v>
      </c>
      <c r="F15">
        <v>983.2</v>
      </c>
      <c r="G15">
        <v>4.66E-4</v>
      </c>
      <c r="H15">
        <v>0</v>
      </c>
      <c r="I15" s="35">
        <f t="shared" si="0"/>
        <v>2.9957142857142851</v>
      </c>
      <c r="L15">
        <f t="shared" si="1"/>
        <v>4114692</v>
      </c>
    </row>
    <row r="16" spans="1:12" x14ac:dyDescent="0.25">
      <c r="A16" t="s">
        <v>52</v>
      </c>
      <c r="D16">
        <v>0.65500000000000003</v>
      </c>
      <c r="E16">
        <v>4187</v>
      </c>
      <c r="F16">
        <v>980.5</v>
      </c>
      <c r="G16">
        <v>4.3399999999999998E-4</v>
      </c>
      <c r="H16">
        <v>0</v>
      </c>
      <c r="I16" s="35">
        <f t="shared" si="0"/>
        <v>2.7742870229007628</v>
      </c>
      <c r="L16">
        <f t="shared" si="1"/>
        <v>4105353.5</v>
      </c>
    </row>
    <row r="17" spans="1:12" x14ac:dyDescent="0.25">
      <c r="A17" t="s">
        <v>53</v>
      </c>
      <c r="D17">
        <v>0.66</v>
      </c>
      <c r="E17">
        <v>4190</v>
      </c>
      <c r="F17">
        <v>977.7</v>
      </c>
      <c r="G17">
        <v>4.0499999999999998E-4</v>
      </c>
      <c r="H17">
        <v>0</v>
      </c>
      <c r="I17" s="35">
        <f t="shared" si="0"/>
        <v>2.5711363636363633</v>
      </c>
      <c r="L17">
        <f t="shared" si="1"/>
        <v>4096563</v>
      </c>
    </row>
    <row r="18" spans="1:12" x14ac:dyDescent="0.25">
      <c r="A18" t="s">
        <v>54</v>
      </c>
      <c r="D18">
        <v>0.66300000000000003</v>
      </c>
      <c r="E18">
        <v>4193</v>
      </c>
      <c r="F18">
        <v>974.7</v>
      </c>
      <c r="G18">
        <v>3.7800000000000003E-4</v>
      </c>
      <c r="H18">
        <v>0</v>
      </c>
      <c r="I18" s="35">
        <f t="shared" si="0"/>
        <v>2.390579185520362</v>
      </c>
      <c r="L18">
        <f t="shared" si="1"/>
        <v>4086917.1</v>
      </c>
    </row>
    <row r="19" spans="1:12" x14ac:dyDescent="0.25">
      <c r="A19" t="s">
        <v>55</v>
      </c>
      <c r="D19">
        <v>0.66700000000000004</v>
      </c>
      <c r="E19">
        <v>4196</v>
      </c>
      <c r="F19">
        <v>971.4</v>
      </c>
      <c r="G19">
        <v>3.5500000000000001E-4</v>
      </c>
      <c r="H19">
        <v>0</v>
      </c>
      <c r="I19" s="35">
        <f t="shared" si="0"/>
        <v>2.2332533733133433</v>
      </c>
      <c r="L19">
        <f t="shared" si="1"/>
        <v>4075994.4</v>
      </c>
    </row>
    <row r="20" spans="1:12" x14ac:dyDescent="0.25">
      <c r="A20" t="s">
        <v>56</v>
      </c>
      <c r="D20">
        <v>0.67</v>
      </c>
      <c r="E20">
        <v>4200</v>
      </c>
      <c r="F20">
        <v>968.5</v>
      </c>
      <c r="G20">
        <v>3.3399999999999999E-4</v>
      </c>
      <c r="H20">
        <v>0</v>
      </c>
      <c r="I20" s="35">
        <f t="shared" si="0"/>
        <v>2.0937313432835816</v>
      </c>
      <c r="L20">
        <f t="shared" si="1"/>
        <v>4067700</v>
      </c>
    </row>
    <row r="21" spans="1:12" x14ac:dyDescent="0.25">
      <c r="A21" t="s">
        <v>57</v>
      </c>
      <c r="D21">
        <v>0.67300000000000004</v>
      </c>
      <c r="E21">
        <v>4205</v>
      </c>
      <c r="F21">
        <v>965.1</v>
      </c>
      <c r="G21">
        <v>3.1500000000000001E-4</v>
      </c>
      <c r="H21">
        <v>0</v>
      </c>
      <c r="I21" s="35">
        <f t="shared" si="0"/>
        <v>1.9681649331352156</v>
      </c>
      <c r="L21">
        <f t="shared" si="1"/>
        <v>4058245.5</v>
      </c>
    </row>
    <row r="22" spans="1:12" x14ac:dyDescent="0.25">
      <c r="A22" t="s">
        <v>58</v>
      </c>
      <c r="D22">
        <v>0.67500000000000004</v>
      </c>
      <c r="E22">
        <v>4210</v>
      </c>
      <c r="F22">
        <v>961.7</v>
      </c>
      <c r="G22">
        <v>2.9799999999999998E-4</v>
      </c>
      <c r="H22">
        <v>0</v>
      </c>
      <c r="I22" s="35">
        <f t="shared" si="0"/>
        <v>1.8586370370370366</v>
      </c>
      <c r="L22">
        <f t="shared" si="1"/>
        <v>4048757</v>
      </c>
    </row>
    <row r="23" spans="1:12" x14ac:dyDescent="0.25">
      <c r="A23" t="s">
        <v>59</v>
      </c>
      <c r="B23" t="s">
        <v>60</v>
      </c>
      <c r="C23" t="s">
        <v>61</v>
      </c>
      <c r="I23" s="35"/>
    </row>
    <row r="24" spans="1:12" x14ac:dyDescent="0.25">
      <c r="A24" s="34">
        <v>0.25</v>
      </c>
      <c r="B24">
        <v>-5</v>
      </c>
      <c r="C24" t="s">
        <v>62</v>
      </c>
      <c r="D24">
        <v>0.48</v>
      </c>
      <c r="E24">
        <v>3795</v>
      </c>
      <c r="F24">
        <v>1052</v>
      </c>
      <c r="G24">
        <v>5.1999999999999998E-3</v>
      </c>
      <c r="H24">
        <v>-14</v>
      </c>
      <c r="I24" s="35">
        <f t="shared" si="0"/>
        <v>41.112499999999997</v>
      </c>
      <c r="L24">
        <f t="shared" si="1"/>
        <v>3992340</v>
      </c>
    </row>
    <row r="25" spans="1:12" x14ac:dyDescent="0.25">
      <c r="A25" s="34">
        <v>0.33</v>
      </c>
      <c r="B25">
        <v>-5</v>
      </c>
      <c r="C25" t="s">
        <v>62</v>
      </c>
      <c r="D25">
        <v>0.45300000000000001</v>
      </c>
      <c r="E25">
        <v>3565</v>
      </c>
      <c r="F25">
        <v>1068</v>
      </c>
      <c r="G25">
        <v>7.6E-3</v>
      </c>
      <c r="H25">
        <v>-21</v>
      </c>
      <c r="I25" s="35">
        <f t="shared" si="0"/>
        <v>59.810154525386316</v>
      </c>
      <c r="L25">
        <f t="shared" si="1"/>
        <v>3807420</v>
      </c>
    </row>
    <row r="26" spans="1:12" x14ac:dyDescent="0.25">
      <c r="A26" t="s">
        <v>63</v>
      </c>
      <c r="B26" t="s">
        <v>64</v>
      </c>
      <c r="C26" t="s">
        <v>65</v>
      </c>
      <c r="I26" s="35"/>
    </row>
    <row r="27" spans="1:12" x14ac:dyDescent="0.25">
      <c r="A27" s="34">
        <v>0.25</v>
      </c>
      <c r="B27">
        <v>-5</v>
      </c>
      <c r="C27" t="s">
        <v>62</v>
      </c>
      <c r="D27">
        <v>0.47499999999999998</v>
      </c>
      <c r="E27">
        <v>3930</v>
      </c>
      <c r="F27">
        <v>1033</v>
      </c>
      <c r="G27">
        <v>7.9000000000000008E-3</v>
      </c>
      <c r="H27">
        <v>-10</v>
      </c>
      <c r="I27" s="35">
        <f t="shared" si="0"/>
        <v>65.3621052631579</v>
      </c>
      <c r="L27">
        <f t="shared" si="1"/>
        <v>4059690</v>
      </c>
    </row>
    <row r="28" spans="1:12" x14ac:dyDescent="0.25">
      <c r="A28" s="34">
        <v>0.33</v>
      </c>
      <c r="B28">
        <v>-5</v>
      </c>
      <c r="C28" t="s">
        <v>62</v>
      </c>
      <c r="D28">
        <v>0.45</v>
      </c>
      <c r="E28">
        <v>3725</v>
      </c>
      <c r="F28">
        <v>1042</v>
      </c>
      <c r="G28">
        <v>1.12E-2</v>
      </c>
      <c r="H28">
        <v>-17</v>
      </c>
      <c r="I28" s="35">
        <f t="shared" si="0"/>
        <v>92.711111111111109</v>
      </c>
      <c r="L28">
        <f t="shared" si="1"/>
        <v>3881450</v>
      </c>
    </row>
    <row r="29" spans="1:12" x14ac:dyDescent="0.25">
      <c r="A29" t="s">
        <v>66</v>
      </c>
      <c r="B29" t="s">
        <v>21</v>
      </c>
      <c r="I29" s="35"/>
    </row>
    <row r="30" spans="1:12" x14ac:dyDescent="0.25">
      <c r="A30" s="34">
        <v>0.25</v>
      </c>
      <c r="B30">
        <v>-5</v>
      </c>
      <c r="C30" t="s">
        <v>62</v>
      </c>
      <c r="D30">
        <v>0.45</v>
      </c>
      <c r="E30">
        <v>4000</v>
      </c>
      <c r="F30">
        <v>960</v>
      </c>
      <c r="G30">
        <v>4.0000000000000001E-3</v>
      </c>
      <c r="H30">
        <v>-20</v>
      </c>
      <c r="I30" s="35">
        <f t="shared" si="0"/>
        <v>35.555555555555557</v>
      </c>
      <c r="L30">
        <f t="shared" si="1"/>
        <v>3840000</v>
      </c>
    </row>
    <row r="31" spans="1:12" x14ac:dyDescent="0.25">
      <c r="A31" t="s">
        <v>67</v>
      </c>
      <c r="B31">
        <v>1</v>
      </c>
      <c r="C31" s="34">
        <v>0.05</v>
      </c>
      <c r="I31" s="35"/>
    </row>
    <row r="32" spans="1:12" x14ac:dyDescent="0.25">
      <c r="A32" s="34">
        <v>0.15</v>
      </c>
      <c r="B32">
        <v>-5</v>
      </c>
      <c r="C32" t="s">
        <v>62</v>
      </c>
      <c r="D32">
        <v>0.46899999999999997</v>
      </c>
      <c r="E32">
        <v>4382.5</v>
      </c>
      <c r="F32">
        <v>980.6</v>
      </c>
      <c r="G32">
        <v>5.4999999999999997E-3</v>
      </c>
      <c r="H32">
        <v>-7.2</v>
      </c>
      <c r="I32" s="35">
        <f t="shared" si="0"/>
        <v>51.393923240938165</v>
      </c>
      <c r="L32">
        <f t="shared" si="1"/>
        <v>4297479.5</v>
      </c>
    </row>
    <row r="33" spans="1:12" x14ac:dyDescent="0.25">
      <c r="A33" s="34">
        <v>0.15</v>
      </c>
      <c r="B33">
        <v>-2</v>
      </c>
      <c r="C33" t="s">
        <v>62</v>
      </c>
      <c r="D33">
        <v>0.47299999999999998</v>
      </c>
      <c r="E33">
        <v>4376.8999999999996</v>
      </c>
      <c r="F33">
        <v>980.3</v>
      </c>
      <c r="G33">
        <v>4.5999999999999999E-3</v>
      </c>
      <c r="H33">
        <v>-7.2</v>
      </c>
      <c r="I33" s="35">
        <f t="shared" si="0"/>
        <v>42.566046511627903</v>
      </c>
      <c r="L33">
        <f t="shared" si="1"/>
        <v>4290675.0699999994</v>
      </c>
    </row>
    <row r="34" spans="1:12" x14ac:dyDescent="0.25">
      <c r="A34" s="34">
        <v>0.15</v>
      </c>
      <c r="B34">
        <v>0</v>
      </c>
      <c r="C34" t="s">
        <v>62</v>
      </c>
      <c r="D34">
        <v>0.47499999999999998</v>
      </c>
      <c r="E34">
        <v>4373.2</v>
      </c>
      <c r="F34">
        <v>980.1</v>
      </c>
      <c r="G34">
        <v>4.1999999999999997E-3</v>
      </c>
      <c r="H34">
        <v>-7.2</v>
      </c>
      <c r="I34" s="35">
        <f t="shared" si="0"/>
        <v>38.668294736842107</v>
      </c>
      <c r="L34">
        <f t="shared" si="1"/>
        <v>4286173.32</v>
      </c>
    </row>
    <row r="35" spans="1:12" x14ac:dyDescent="0.25">
      <c r="A35" s="34">
        <v>0.15</v>
      </c>
      <c r="B35">
        <v>5</v>
      </c>
      <c r="C35" t="s">
        <v>62</v>
      </c>
      <c r="D35">
        <v>0.48</v>
      </c>
      <c r="E35">
        <v>4364.7</v>
      </c>
      <c r="F35">
        <v>979.2</v>
      </c>
      <c r="G35">
        <v>3.3E-3</v>
      </c>
      <c r="H35">
        <v>-7.2</v>
      </c>
      <c r="I35" s="35">
        <f t="shared" si="0"/>
        <v>30.007312500000001</v>
      </c>
      <c r="L35">
        <f t="shared" si="1"/>
        <v>4273914.24</v>
      </c>
    </row>
    <row r="36" spans="1:12" x14ac:dyDescent="0.25">
      <c r="A36" s="34">
        <v>0.15</v>
      </c>
      <c r="B36">
        <v>10</v>
      </c>
      <c r="C36" t="s">
        <v>62</v>
      </c>
      <c r="D36">
        <v>0.48599999999999999</v>
      </c>
      <c r="E36">
        <v>4356.8999999999996</v>
      </c>
      <c r="F36">
        <v>978.2</v>
      </c>
      <c r="G36">
        <v>2.7000000000000001E-3</v>
      </c>
      <c r="H36">
        <v>-7.2</v>
      </c>
      <c r="I36" s="35">
        <f t="shared" si="0"/>
        <v>24.204999999999998</v>
      </c>
      <c r="L36">
        <f t="shared" si="1"/>
        <v>4261919.58</v>
      </c>
    </row>
    <row r="37" spans="1:12" x14ac:dyDescent="0.25">
      <c r="A37" s="34">
        <v>0.15</v>
      </c>
      <c r="B37">
        <v>15</v>
      </c>
      <c r="C37" t="s">
        <v>62</v>
      </c>
      <c r="D37">
        <v>0.49199999999999999</v>
      </c>
      <c r="E37">
        <v>4350.2</v>
      </c>
      <c r="F37">
        <v>976.8</v>
      </c>
      <c r="G37">
        <v>2.2000000000000001E-3</v>
      </c>
      <c r="H37">
        <v>-7.2</v>
      </c>
      <c r="I37" s="35">
        <f t="shared" si="0"/>
        <v>19.452113821138209</v>
      </c>
      <c r="L37">
        <f t="shared" si="1"/>
        <v>4249275.3599999994</v>
      </c>
    </row>
    <row r="38" spans="1:12" x14ac:dyDescent="0.25">
      <c r="A38" s="34">
        <v>0.15</v>
      </c>
      <c r="B38">
        <v>20</v>
      </c>
      <c r="C38" t="s">
        <v>62</v>
      </c>
      <c r="D38">
        <v>0.497</v>
      </c>
      <c r="E38">
        <v>4344.6000000000004</v>
      </c>
      <c r="F38">
        <v>975.2</v>
      </c>
      <c r="G38">
        <v>1.8E-3</v>
      </c>
      <c r="H38">
        <v>-7.2</v>
      </c>
      <c r="I38" s="35">
        <f t="shared" si="0"/>
        <v>15.734969818913482</v>
      </c>
      <c r="L38">
        <f t="shared" si="1"/>
        <v>4236853.9200000009</v>
      </c>
    </row>
    <row r="39" spans="1:12" x14ac:dyDescent="0.25">
      <c r="A39" t="s">
        <v>67</v>
      </c>
      <c r="B39">
        <v>2</v>
      </c>
      <c r="C39" s="34">
        <v>0</v>
      </c>
      <c r="I39" s="35"/>
    </row>
    <row r="40" spans="1:12" x14ac:dyDescent="0.25">
      <c r="A40" s="34">
        <v>0.2</v>
      </c>
      <c r="B40">
        <v>-5</v>
      </c>
      <c r="C40" t="s">
        <v>62</v>
      </c>
      <c r="D40">
        <v>0.443</v>
      </c>
      <c r="E40">
        <v>4352</v>
      </c>
      <c r="F40">
        <v>977</v>
      </c>
      <c r="G40">
        <v>6.7999999999999996E-3</v>
      </c>
      <c r="H40">
        <v>-11</v>
      </c>
      <c r="I40" s="35">
        <f t="shared" si="0"/>
        <v>66.802708803611736</v>
      </c>
      <c r="L40">
        <f t="shared" si="1"/>
        <v>4251904</v>
      </c>
    </row>
    <row r="41" spans="1:12" x14ac:dyDescent="0.25">
      <c r="A41" s="34">
        <v>0.2</v>
      </c>
      <c r="B41">
        <v>-2</v>
      </c>
      <c r="C41" t="s">
        <v>62</v>
      </c>
      <c r="D41">
        <v>0.44600000000000001</v>
      </c>
      <c r="E41">
        <v>4349</v>
      </c>
      <c r="F41">
        <v>976</v>
      </c>
      <c r="G41">
        <v>5.7000000000000002E-3</v>
      </c>
      <c r="H41">
        <v>-11</v>
      </c>
      <c r="I41" s="35">
        <f t="shared" si="0"/>
        <v>55.581390134529144</v>
      </c>
      <c r="L41">
        <f t="shared" si="1"/>
        <v>4244624</v>
      </c>
    </row>
    <row r="42" spans="1:12" x14ac:dyDescent="0.25">
      <c r="A42" s="34">
        <v>0.2</v>
      </c>
      <c r="B42">
        <v>0</v>
      </c>
      <c r="C42" t="s">
        <v>62</v>
      </c>
      <c r="D42">
        <v>0.44800000000000001</v>
      </c>
      <c r="E42">
        <v>4348</v>
      </c>
      <c r="F42">
        <v>976</v>
      </c>
      <c r="G42">
        <v>5.1000000000000004E-3</v>
      </c>
      <c r="H42">
        <v>-11</v>
      </c>
      <c r="I42" s="35">
        <f t="shared" si="0"/>
        <v>49.497321428571432</v>
      </c>
      <c r="L42">
        <f t="shared" si="1"/>
        <v>4243648</v>
      </c>
    </row>
    <row r="43" spans="1:12" x14ac:dyDescent="0.25">
      <c r="A43" s="34">
        <v>0.2</v>
      </c>
      <c r="B43">
        <v>5</v>
      </c>
      <c r="C43" t="s">
        <v>62</v>
      </c>
      <c r="D43">
        <v>0.45300000000000001</v>
      </c>
      <c r="E43">
        <v>4345</v>
      </c>
      <c r="F43">
        <v>974</v>
      </c>
      <c r="G43">
        <v>4.0000000000000001E-3</v>
      </c>
      <c r="H43">
        <v>-11</v>
      </c>
      <c r="I43" s="35">
        <f t="shared" si="0"/>
        <v>38.366445916114792</v>
      </c>
      <c r="L43">
        <f t="shared" si="1"/>
        <v>4232030</v>
      </c>
    </row>
    <row r="44" spans="1:12" x14ac:dyDescent="0.25">
      <c r="A44" s="34">
        <v>0.2</v>
      </c>
      <c r="B44">
        <v>10</v>
      </c>
      <c r="C44" t="s">
        <v>62</v>
      </c>
      <c r="D44">
        <v>0.45800000000000002</v>
      </c>
      <c r="E44">
        <v>4342</v>
      </c>
      <c r="F44">
        <v>973</v>
      </c>
      <c r="G44">
        <v>3.2000000000000002E-3</v>
      </c>
      <c r="H44">
        <v>-11</v>
      </c>
      <c r="I44" s="35">
        <f t="shared" si="0"/>
        <v>30.337117903930132</v>
      </c>
      <c r="L44">
        <f t="shared" si="1"/>
        <v>4224766</v>
      </c>
    </row>
    <row r="45" spans="1:12" x14ac:dyDescent="0.25">
      <c r="A45" s="34">
        <v>0.2</v>
      </c>
      <c r="B45">
        <v>15</v>
      </c>
      <c r="C45" t="s">
        <v>62</v>
      </c>
      <c r="D45">
        <v>0.46200000000000002</v>
      </c>
      <c r="E45">
        <v>4340</v>
      </c>
      <c r="F45">
        <v>971</v>
      </c>
      <c r="G45">
        <v>2.5999999999999999E-3</v>
      </c>
      <c r="H45">
        <v>-11</v>
      </c>
      <c r="I45" s="35">
        <f t="shared" si="0"/>
        <v>24.424242424242426</v>
      </c>
      <c r="L45">
        <f t="shared" si="1"/>
        <v>4214140</v>
      </c>
    </row>
    <row r="46" spans="1:12" x14ac:dyDescent="0.25">
      <c r="A46" s="34">
        <v>0.2</v>
      </c>
      <c r="B46">
        <v>20</v>
      </c>
      <c r="C46" t="s">
        <v>62</v>
      </c>
      <c r="D46">
        <v>0.46700000000000003</v>
      </c>
      <c r="E46">
        <v>4339</v>
      </c>
      <c r="F46">
        <v>969</v>
      </c>
      <c r="G46">
        <v>2.2000000000000001E-3</v>
      </c>
      <c r="H46">
        <v>-11</v>
      </c>
      <c r="I46" s="35">
        <f t="shared" si="0"/>
        <v>20.440685224839399</v>
      </c>
      <c r="L46">
        <f t="shared" si="1"/>
        <v>4204491</v>
      </c>
    </row>
    <row r="47" spans="1:12" x14ac:dyDescent="0.25">
      <c r="A47" t="s">
        <v>67</v>
      </c>
      <c r="B47">
        <v>2</v>
      </c>
      <c r="C47" s="34">
        <v>0.04</v>
      </c>
      <c r="I47" s="35"/>
    </row>
    <row r="48" spans="1:12" x14ac:dyDescent="0.25">
      <c r="A48" s="34">
        <v>0.24</v>
      </c>
      <c r="B48">
        <v>-5</v>
      </c>
      <c r="C48" t="s">
        <v>62</v>
      </c>
      <c r="D48">
        <v>0.42299999999999999</v>
      </c>
      <c r="E48">
        <v>4293.3</v>
      </c>
      <c r="F48">
        <v>973.8</v>
      </c>
      <c r="G48">
        <v>7.7000000000000002E-3</v>
      </c>
      <c r="H48">
        <v>-14.6</v>
      </c>
      <c r="I48" s="35">
        <f t="shared" si="0"/>
        <v>78.152269503546108</v>
      </c>
      <c r="L48">
        <f t="shared" si="1"/>
        <v>4180815.54</v>
      </c>
    </row>
    <row r="49" spans="1:12" x14ac:dyDescent="0.25">
      <c r="A49" s="34">
        <v>0.24</v>
      </c>
      <c r="B49">
        <v>-2</v>
      </c>
      <c r="C49" t="s">
        <v>62</v>
      </c>
      <c r="D49">
        <v>0.42599999999999999</v>
      </c>
      <c r="E49">
        <v>4294.5</v>
      </c>
      <c r="F49">
        <v>972.9</v>
      </c>
      <c r="G49">
        <v>6.4700000000000001E-3</v>
      </c>
      <c r="H49">
        <v>-14.6</v>
      </c>
      <c r="I49" s="35">
        <f t="shared" si="0"/>
        <v>65.223978873239432</v>
      </c>
      <c r="L49">
        <f t="shared" si="1"/>
        <v>4178119.05</v>
      </c>
    </row>
    <row r="50" spans="1:12" x14ac:dyDescent="0.25">
      <c r="A50" s="36">
        <v>0.24</v>
      </c>
      <c r="B50" s="37">
        <v>0</v>
      </c>
      <c r="C50" s="37" t="s">
        <v>62</v>
      </c>
      <c r="D50" s="37">
        <v>0.42799999999999999</v>
      </c>
      <c r="E50" s="37">
        <v>4295.3</v>
      </c>
      <c r="F50" s="37">
        <v>972.3</v>
      </c>
      <c r="G50" s="37">
        <v>5.79E-3</v>
      </c>
      <c r="H50" s="37">
        <v>-14.6</v>
      </c>
      <c r="I50" s="38">
        <f t="shared" si="0"/>
        <v>58.106978971962626</v>
      </c>
      <c r="L50">
        <f t="shared" si="1"/>
        <v>4176320.19</v>
      </c>
    </row>
    <row r="51" spans="1:12" x14ac:dyDescent="0.25">
      <c r="A51" s="34">
        <v>0.24</v>
      </c>
      <c r="B51">
        <v>5</v>
      </c>
      <c r="C51" t="s">
        <v>62</v>
      </c>
      <c r="D51">
        <v>0.432</v>
      </c>
      <c r="E51">
        <v>4297.6000000000004</v>
      </c>
      <c r="F51">
        <v>970.5</v>
      </c>
      <c r="G51">
        <v>4.4900000000000001E-3</v>
      </c>
      <c r="H51">
        <v>-14.6</v>
      </c>
      <c r="I51" s="35">
        <f t="shared" si="0"/>
        <v>44.667185185185197</v>
      </c>
      <c r="L51">
        <f t="shared" si="1"/>
        <v>4170820.8000000003</v>
      </c>
    </row>
    <row r="52" spans="1:12" x14ac:dyDescent="0.25">
      <c r="A52" s="34">
        <v>0.24</v>
      </c>
      <c r="B52">
        <v>10</v>
      </c>
      <c r="C52" t="s">
        <v>62</v>
      </c>
      <c r="D52">
        <v>0.436</v>
      </c>
      <c r="E52">
        <v>4300.2</v>
      </c>
      <c r="F52">
        <v>968.4</v>
      </c>
      <c r="G52">
        <v>3.5699999999999998E-3</v>
      </c>
      <c r="H52">
        <v>-14.6</v>
      </c>
      <c r="I52" s="35">
        <f t="shared" si="0"/>
        <v>35.210353211009171</v>
      </c>
      <c r="L52">
        <f t="shared" si="1"/>
        <v>4164313.6799999997</v>
      </c>
    </row>
    <row r="53" spans="1:12" x14ac:dyDescent="0.25">
      <c r="A53" s="34">
        <v>0.24</v>
      </c>
      <c r="B53">
        <v>11</v>
      </c>
      <c r="C53" t="s">
        <v>62</v>
      </c>
      <c r="D53">
        <v>0.437</v>
      </c>
      <c r="E53">
        <v>4300.7</v>
      </c>
      <c r="F53">
        <v>968</v>
      </c>
      <c r="G53">
        <v>3.4199999999999999E-3</v>
      </c>
      <c r="H53">
        <v>-14.6</v>
      </c>
      <c r="I53" s="35">
        <f t="shared" si="0"/>
        <v>33.657652173913043</v>
      </c>
      <c r="L53">
        <f t="shared" si="1"/>
        <v>4163077.5999999996</v>
      </c>
    </row>
    <row r="54" spans="1:12" x14ac:dyDescent="0.25">
      <c r="A54" s="34">
        <v>0.24</v>
      </c>
      <c r="B54">
        <v>12</v>
      </c>
      <c r="C54" t="s">
        <v>62</v>
      </c>
      <c r="D54">
        <v>0.437</v>
      </c>
      <c r="E54">
        <v>4301.3</v>
      </c>
      <c r="F54">
        <v>967.5</v>
      </c>
      <c r="G54">
        <v>3.2799999999999999E-3</v>
      </c>
      <c r="H54">
        <v>-14.6</v>
      </c>
      <c r="I54" s="35">
        <f t="shared" si="0"/>
        <v>32.284356979405032</v>
      </c>
      <c r="L54">
        <f t="shared" si="1"/>
        <v>4161507.75</v>
      </c>
    </row>
    <row r="55" spans="1:12" x14ac:dyDescent="0.25">
      <c r="A55" s="34">
        <v>0.24</v>
      </c>
      <c r="B55">
        <v>13</v>
      </c>
      <c r="C55" t="s">
        <v>62</v>
      </c>
      <c r="D55">
        <v>0.438</v>
      </c>
      <c r="E55">
        <v>4301.8999999999996</v>
      </c>
      <c r="F55">
        <v>967</v>
      </c>
      <c r="G55">
        <v>3.15E-3</v>
      </c>
      <c r="H55">
        <v>-14.6</v>
      </c>
      <c r="I55" s="35">
        <f t="shared" si="0"/>
        <v>30.938321917808214</v>
      </c>
      <c r="L55">
        <f t="shared" si="1"/>
        <v>4159937.3</v>
      </c>
    </row>
    <row r="56" spans="1:12" x14ac:dyDescent="0.25">
      <c r="A56" s="34">
        <v>0.24</v>
      </c>
      <c r="B56">
        <v>14</v>
      </c>
      <c r="C56" t="s">
        <v>62</v>
      </c>
      <c r="D56">
        <v>0.439</v>
      </c>
      <c r="E56">
        <v>4302.5</v>
      </c>
      <c r="F56">
        <v>966.5</v>
      </c>
      <c r="G56">
        <v>3.0200000000000001E-3</v>
      </c>
      <c r="H56">
        <v>-14.6</v>
      </c>
      <c r="I56" s="35">
        <f t="shared" si="0"/>
        <v>29.598063781321187</v>
      </c>
      <c r="L56">
        <f t="shared" si="1"/>
        <v>4158366.25</v>
      </c>
    </row>
    <row r="57" spans="1:12" x14ac:dyDescent="0.25">
      <c r="A57" s="34">
        <v>0.24</v>
      </c>
      <c r="B57">
        <v>15</v>
      </c>
      <c r="C57" t="s">
        <v>62</v>
      </c>
      <c r="D57">
        <v>0.44</v>
      </c>
      <c r="E57">
        <v>4303.1000000000004</v>
      </c>
      <c r="F57">
        <v>966</v>
      </c>
      <c r="G57">
        <v>2.8999999999999998E-3</v>
      </c>
      <c r="H57">
        <v>-14.6</v>
      </c>
      <c r="I57" s="35">
        <f t="shared" si="0"/>
        <v>28.361340909090913</v>
      </c>
      <c r="L57">
        <f t="shared" si="1"/>
        <v>4156794.6000000006</v>
      </c>
    </row>
    <row r="58" spans="1:12" x14ac:dyDescent="0.25">
      <c r="A58" s="34">
        <v>0.24</v>
      </c>
      <c r="B58">
        <v>16</v>
      </c>
      <c r="C58" t="s">
        <v>62</v>
      </c>
      <c r="D58">
        <v>0.441</v>
      </c>
      <c r="E58">
        <v>4303.8</v>
      </c>
      <c r="F58">
        <v>965.5</v>
      </c>
      <c r="G58">
        <v>2.7799999999999999E-3</v>
      </c>
      <c r="H58">
        <v>-14.6</v>
      </c>
      <c r="I58" s="35">
        <f t="shared" si="0"/>
        <v>27.1305306122449</v>
      </c>
      <c r="L58">
        <f t="shared" si="1"/>
        <v>4155318.9000000004</v>
      </c>
    </row>
    <row r="59" spans="1:12" x14ac:dyDescent="0.25">
      <c r="A59" s="34">
        <v>0.24</v>
      </c>
      <c r="B59">
        <v>17</v>
      </c>
      <c r="C59" t="s">
        <v>62</v>
      </c>
      <c r="D59">
        <v>0.442</v>
      </c>
      <c r="E59">
        <v>4304.5</v>
      </c>
      <c r="F59">
        <v>965</v>
      </c>
      <c r="G59">
        <v>2.6700000000000001E-3</v>
      </c>
      <c r="H59">
        <v>-14.6</v>
      </c>
      <c r="I59" s="35">
        <f t="shared" si="0"/>
        <v>26.002296380090499</v>
      </c>
      <c r="L59">
        <f t="shared" si="1"/>
        <v>4153842.5</v>
      </c>
    </row>
    <row r="60" spans="1:12" x14ac:dyDescent="0.25">
      <c r="A60" s="34">
        <v>0.24</v>
      </c>
      <c r="B60">
        <v>18</v>
      </c>
      <c r="C60" t="s">
        <v>62</v>
      </c>
      <c r="D60">
        <v>0.442</v>
      </c>
      <c r="E60">
        <v>4305.1000000000004</v>
      </c>
      <c r="F60">
        <v>964.4</v>
      </c>
      <c r="G60">
        <v>2.5699999999999998E-3</v>
      </c>
      <c r="H60">
        <v>-14.6</v>
      </c>
      <c r="I60" s="35">
        <f t="shared" si="0"/>
        <v>25.031916289592761</v>
      </c>
      <c r="L60">
        <f t="shared" si="1"/>
        <v>4151838.4400000004</v>
      </c>
    </row>
    <row r="61" spans="1:12" x14ac:dyDescent="0.25">
      <c r="A61" s="34">
        <v>0.24</v>
      </c>
      <c r="B61">
        <v>19</v>
      </c>
      <c r="C61" t="s">
        <v>62</v>
      </c>
      <c r="D61">
        <v>0.443</v>
      </c>
      <c r="E61">
        <v>4305.8999999999996</v>
      </c>
      <c r="F61">
        <v>963.9</v>
      </c>
      <c r="G61">
        <v>2.47E-3</v>
      </c>
      <c r="H61">
        <v>-14.6</v>
      </c>
      <c r="I61" s="35">
        <f t="shared" si="0"/>
        <v>24.008065462753951</v>
      </c>
      <c r="L61">
        <f t="shared" si="1"/>
        <v>4150457.01</v>
      </c>
    </row>
    <row r="62" spans="1:12" x14ac:dyDescent="0.25">
      <c r="A62" s="34">
        <v>0.24</v>
      </c>
      <c r="B62">
        <v>20</v>
      </c>
      <c r="C62" t="s">
        <v>62</v>
      </c>
      <c r="D62">
        <v>0.44400000000000001</v>
      </c>
      <c r="E62">
        <v>4306.6000000000004</v>
      </c>
      <c r="F62">
        <v>963.3</v>
      </c>
      <c r="G62">
        <v>2.3800000000000002E-3</v>
      </c>
      <c r="H62">
        <v>-14.6</v>
      </c>
      <c r="I62" s="35">
        <f t="shared" si="0"/>
        <v>23.084927927927932</v>
      </c>
      <c r="L62">
        <f t="shared" si="1"/>
        <v>4148547.7800000003</v>
      </c>
    </row>
    <row r="63" spans="1:12" x14ac:dyDescent="0.25">
      <c r="A63" t="s">
        <v>67</v>
      </c>
      <c r="B63">
        <v>2</v>
      </c>
      <c r="C63" s="34">
        <v>0.08</v>
      </c>
      <c r="I63" s="35"/>
    </row>
    <row r="64" spans="1:12" x14ac:dyDescent="0.25">
      <c r="A64" s="34">
        <v>0.28000000000000003</v>
      </c>
      <c r="B64">
        <v>-5</v>
      </c>
      <c r="C64" t="s">
        <v>62</v>
      </c>
      <c r="D64">
        <v>0.40500000000000003</v>
      </c>
      <c r="E64">
        <v>4209</v>
      </c>
      <c r="F64">
        <v>970</v>
      </c>
      <c r="G64">
        <v>8.3999999999999995E-3</v>
      </c>
      <c r="H64">
        <v>-18.5</v>
      </c>
      <c r="I64" s="35">
        <f t="shared" si="0"/>
        <v>87.297777777777767</v>
      </c>
      <c r="L64">
        <f t="shared" si="1"/>
        <v>4082730</v>
      </c>
    </row>
    <row r="65" spans="1:12" x14ac:dyDescent="0.25">
      <c r="A65" s="34">
        <v>0.28000000000000003</v>
      </c>
      <c r="B65">
        <v>-2</v>
      </c>
      <c r="C65" t="s">
        <v>62</v>
      </c>
      <c r="D65">
        <v>0.40699999999999997</v>
      </c>
      <c r="E65">
        <v>4213</v>
      </c>
      <c r="F65">
        <v>969</v>
      </c>
      <c r="G65">
        <v>7.0000000000000001E-3</v>
      </c>
      <c r="H65">
        <v>-18.5</v>
      </c>
      <c r="I65" s="35">
        <f t="shared" si="0"/>
        <v>72.459459459459467</v>
      </c>
      <c r="L65">
        <f t="shared" si="1"/>
        <v>4082397</v>
      </c>
    </row>
    <row r="66" spans="1:12" x14ac:dyDescent="0.25">
      <c r="A66" s="34">
        <v>0.28000000000000003</v>
      </c>
      <c r="B66">
        <v>0</v>
      </c>
      <c r="C66" t="s">
        <v>62</v>
      </c>
      <c r="D66">
        <v>0.40799999999999997</v>
      </c>
      <c r="E66">
        <v>4216</v>
      </c>
      <c r="F66">
        <v>968</v>
      </c>
      <c r="G66">
        <v>6.3E-3</v>
      </c>
      <c r="H66">
        <v>-18.5</v>
      </c>
      <c r="I66" s="35">
        <f t="shared" si="0"/>
        <v>65.100000000000009</v>
      </c>
      <c r="L66">
        <f t="shared" si="1"/>
        <v>4081088</v>
      </c>
    </row>
    <row r="67" spans="1:12" x14ac:dyDescent="0.25">
      <c r="A67" s="34">
        <v>0.28000000000000003</v>
      </c>
      <c r="B67">
        <v>5</v>
      </c>
      <c r="C67" t="s">
        <v>62</v>
      </c>
      <c r="D67">
        <v>0.41199999999999998</v>
      </c>
      <c r="E67">
        <v>4224</v>
      </c>
      <c r="F67">
        <v>966</v>
      </c>
      <c r="G67">
        <v>4.8999999999999998E-3</v>
      </c>
      <c r="H67">
        <v>-18.5</v>
      </c>
      <c r="I67" s="35">
        <f t="shared" si="0"/>
        <v>50.236893203883497</v>
      </c>
      <c r="L67">
        <f t="shared" si="1"/>
        <v>4080384</v>
      </c>
    </row>
    <row r="68" spans="1:12" x14ac:dyDescent="0.25">
      <c r="A68" s="34">
        <v>0.28000000000000003</v>
      </c>
      <c r="B68">
        <v>10</v>
      </c>
      <c r="C68" t="s">
        <v>62</v>
      </c>
      <c r="D68">
        <v>0.41499999999999998</v>
      </c>
      <c r="E68">
        <v>4232</v>
      </c>
      <c r="F68">
        <v>963</v>
      </c>
      <c r="G68">
        <v>3.8999999999999998E-3</v>
      </c>
      <c r="H68">
        <v>-18.5</v>
      </c>
      <c r="I68" s="35">
        <f t="shared" ref="I68:I99" si="2">(G68/F68)/(D68/(E68*F68))</f>
        <v>39.770602409638556</v>
      </c>
      <c r="L68">
        <f t="shared" ref="L68:L99" si="3">E68*F68</f>
        <v>4075416</v>
      </c>
    </row>
    <row r="69" spans="1:12" x14ac:dyDescent="0.25">
      <c r="A69" s="34">
        <v>0.28000000000000003</v>
      </c>
      <c r="B69">
        <v>11</v>
      </c>
      <c r="C69" t="s">
        <v>62</v>
      </c>
      <c r="D69">
        <v>0.41599999999999998</v>
      </c>
      <c r="E69">
        <v>4233.2</v>
      </c>
      <c r="F69">
        <v>962.6</v>
      </c>
      <c r="G69">
        <v>3.7000000000000002E-3</v>
      </c>
      <c r="H69">
        <v>-18.5</v>
      </c>
      <c r="I69" s="35">
        <f t="shared" si="2"/>
        <v>37.651057692307695</v>
      </c>
      <c r="L69">
        <f t="shared" si="3"/>
        <v>4074878.32</v>
      </c>
    </row>
    <row r="70" spans="1:12" x14ac:dyDescent="0.25">
      <c r="A70" s="34">
        <v>0.28000000000000003</v>
      </c>
      <c r="B70">
        <v>12</v>
      </c>
      <c r="C70" t="s">
        <v>62</v>
      </c>
      <c r="D70">
        <v>0.41599999999999998</v>
      </c>
      <c r="E70">
        <v>4234.8</v>
      </c>
      <c r="F70">
        <v>962.1</v>
      </c>
      <c r="G70">
        <v>3.5400000000000002E-3</v>
      </c>
      <c r="H70">
        <v>-18.5</v>
      </c>
      <c r="I70" s="35">
        <f t="shared" si="2"/>
        <v>36.036519230769237</v>
      </c>
      <c r="L70">
        <f t="shared" si="3"/>
        <v>4074301.08</v>
      </c>
    </row>
    <row r="71" spans="1:12" x14ac:dyDescent="0.25">
      <c r="A71" s="34">
        <v>0.28000000000000003</v>
      </c>
      <c r="B71">
        <v>13</v>
      </c>
      <c r="C71" t="s">
        <v>62</v>
      </c>
      <c r="D71">
        <v>0.41699999999999998</v>
      </c>
      <c r="E71">
        <v>4236.3999999999996</v>
      </c>
      <c r="F71">
        <v>961.5</v>
      </c>
      <c r="G71">
        <v>3.3899999999999998E-3</v>
      </c>
      <c r="H71">
        <v>-18.5</v>
      </c>
      <c r="I71" s="35">
        <f t="shared" si="2"/>
        <v>34.439798561151072</v>
      </c>
      <c r="L71">
        <f t="shared" si="3"/>
        <v>4073298.5999999996</v>
      </c>
    </row>
    <row r="72" spans="1:12" x14ac:dyDescent="0.25">
      <c r="A72" s="34">
        <v>0.28000000000000003</v>
      </c>
      <c r="B72">
        <v>14</v>
      </c>
      <c r="C72" t="s">
        <v>62</v>
      </c>
      <c r="D72">
        <v>0.41799999999999998</v>
      </c>
      <c r="E72">
        <v>4238</v>
      </c>
      <c r="F72">
        <v>960.9</v>
      </c>
      <c r="G72">
        <v>3.2599999999999999E-3</v>
      </c>
      <c r="H72">
        <v>-18.5</v>
      </c>
      <c r="I72" s="35">
        <f t="shared" si="2"/>
        <v>33.052344497607656</v>
      </c>
      <c r="L72">
        <f t="shared" si="3"/>
        <v>4072294.1999999997</v>
      </c>
    </row>
    <row r="73" spans="1:12" x14ac:dyDescent="0.25">
      <c r="A73" s="34">
        <v>0.28000000000000003</v>
      </c>
      <c r="B73">
        <v>15</v>
      </c>
      <c r="C73" t="s">
        <v>62</v>
      </c>
      <c r="D73">
        <v>0.41899999999999998</v>
      </c>
      <c r="E73">
        <v>4239.7</v>
      </c>
      <c r="F73">
        <v>960.3</v>
      </c>
      <c r="G73">
        <v>3.1199999999999999E-3</v>
      </c>
      <c r="H73">
        <v>-18.5</v>
      </c>
      <c r="I73" s="35">
        <f t="shared" si="2"/>
        <v>31.570081145584723</v>
      </c>
      <c r="L73">
        <f t="shared" si="3"/>
        <v>4071383.9099999997</v>
      </c>
    </row>
    <row r="74" spans="1:12" x14ac:dyDescent="0.25">
      <c r="A74" s="34">
        <v>0.28000000000000003</v>
      </c>
      <c r="B74">
        <v>16</v>
      </c>
      <c r="C74" t="s">
        <v>62</v>
      </c>
      <c r="D74">
        <v>0.41899999999999998</v>
      </c>
      <c r="E74">
        <v>4241.3</v>
      </c>
      <c r="F74">
        <v>959.7</v>
      </c>
      <c r="G74">
        <v>3.0000000000000001E-3</v>
      </c>
      <c r="H74">
        <v>-18.5</v>
      </c>
      <c r="I74" s="35">
        <f t="shared" si="2"/>
        <v>30.3673031026253</v>
      </c>
      <c r="L74">
        <f t="shared" si="3"/>
        <v>4070375.6100000003</v>
      </c>
    </row>
    <row r="75" spans="1:12" x14ac:dyDescent="0.25">
      <c r="A75" s="34">
        <v>0.28000000000000003</v>
      </c>
      <c r="B75">
        <v>17</v>
      </c>
      <c r="C75" t="s">
        <v>62</v>
      </c>
      <c r="D75">
        <v>0.42</v>
      </c>
      <c r="E75">
        <v>4242.8999999999996</v>
      </c>
      <c r="F75">
        <v>959.1</v>
      </c>
      <c r="G75">
        <v>2.8800000000000002E-3</v>
      </c>
      <c r="H75">
        <v>-18.5</v>
      </c>
      <c r="I75" s="35">
        <f t="shared" si="2"/>
        <v>29.094171428571428</v>
      </c>
      <c r="L75">
        <f t="shared" si="3"/>
        <v>4069365.3899999997</v>
      </c>
    </row>
    <row r="76" spans="1:12" x14ac:dyDescent="0.25">
      <c r="A76" s="34">
        <v>0.28000000000000003</v>
      </c>
      <c r="B76">
        <v>18</v>
      </c>
      <c r="C76" t="s">
        <v>62</v>
      </c>
      <c r="D76">
        <v>0.42099999999999999</v>
      </c>
      <c r="E76">
        <v>4244.6000000000004</v>
      </c>
      <c r="F76">
        <v>958.5</v>
      </c>
      <c r="G76">
        <v>2.7699999999999999E-3</v>
      </c>
      <c r="H76">
        <v>-18.5</v>
      </c>
      <c r="I76" s="35">
        <f t="shared" si="2"/>
        <v>27.927653206650835</v>
      </c>
      <c r="L76">
        <f t="shared" si="3"/>
        <v>4068449.1000000006</v>
      </c>
    </row>
    <row r="77" spans="1:12" x14ac:dyDescent="0.25">
      <c r="A77" s="34">
        <v>0.28000000000000003</v>
      </c>
      <c r="B77">
        <v>19</v>
      </c>
      <c r="C77" t="s">
        <v>62</v>
      </c>
      <c r="D77">
        <v>0.42099999999999999</v>
      </c>
      <c r="E77">
        <v>4246.3</v>
      </c>
      <c r="F77">
        <v>957.8</v>
      </c>
      <c r="G77">
        <v>2.66E-3</v>
      </c>
      <c r="H77">
        <v>-18.5</v>
      </c>
      <c r="I77" s="35">
        <f t="shared" si="2"/>
        <v>26.82935391923991</v>
      </c>
      <c r="L77">
        <f t="shared" si="3"/>
        <v>4067106.14</v>
      </c>
    </row>
    <row r="78" spans="1:12" x14ac:dyDescent="0.25">
      <c r="A78" s="34">
        <v>0.28000000000000003</v>
      </c>
      <c r="B78">
        <v>20</v>
      </c>
      <c r="C78" t="s">
        <v>62</v>
      </c>
      <c r="D78">
        <v>0.42199999999999999</v>
      </c>
      <c r="E78">
        <v>4248</v>
      </c>
      <c r="F78">
        <v>957</v>
      </c>
      <c r="G78">
        <v>2.5999999999999999E-3</v>
      </c>
      <c r="H78">
        <v>-18.5</v>
      </c>
      <c r="I78" s="35">
        <f t="shared" si="2"/>
        <v>26.17251184834123</v>
      </c>
      <c r="L78">
        <f t="shared" si="3"/>
        <v>4065336</v>
      </c>
    </row>
    <row r="79" spans="1:12" x14ac:dyDescent="0.25">
      <c r="A79" t="s">
        <v>67</v>
      </c>
      <c r="B79">
        <v>3</v>
      </c>
      <c r="C79" s="34">
        <v>0.05</v>
      </c>
      <c r="I79" s="35"/>
    </row>
    <row r="80" spans="1:12" x14ac:dyDescent="0.25">
      <c r="A80" s="34">
        <v>0.35</v>
      </c>
      <c r="B80">
        <v>-5</v>
      </c>
      <c r="C80" t="s">
        <v>62</v>
      </c>
      <c r="D80">
        <v>0.372</v>
      </c>
      <c r="E80">
        <v>4030</v>
      </c>
      <c r="F80">
        <v>961</v>
      </c>
      <c r="G80">
        <v>8.9999999999999993E-3</v>
      </c>
      <c r="H80">
        <v>-25</v>
      </c>
      <c r="I80" s="35">
        <f t="shared" si="2"/>
        <v>97.499999999999986</v>
      </c>
      <c r="L80">
        <f t="shared" si="3"/>
        <v>3872830</v>
      </c>
    </row>
    <row r="81" spans="1:12" x14ac:dyDescent="0.25">
      <c r="A81" s="34">
        <v>0.35</v>
      </c>
      <c r="B81">
        <v>-2</v>
      </c>
      <c r="C81" t="s">
        <v>62</v>
      </c>
      <c r="D81">
        <v>0.374</v>
      </c>
      <c r="E81">
        <v>4039</v>
      </c>
      <c r="F81">
        <v>959</v>
      </c>
      <c r="G81">
        <v>7.6E-3</v>
      </c>
      <c r="H81">
        <v>-25</v>
      </c>
      <c r="I81" s="35">
        <f t="shared" si="2"/>
        <v>82.075935828877007</v>
      </c>
      <c r="L81">
        <f t="shared" si="3"/>
        <v>3873401</v>
      </c>
    </row>
    <row r="82" spans="1:12" x14ac:dyDescent="0.25">
      <c r="A82" s="34">
        <v>0.35</v>
      </c>
      <c r="B82">
        <v>0</v>
      </c>
      <c r="C82" t="s">
        <v>62</v>
      </c>
      <c r="D82">
        <v>0.375</v>
      </c>
      <c r="E82">
        <v>4045</v>
      </c>
      <c r="F82">
        <v>958</v>
      </c>
      <c r="G82">
        <v>6.7999999999999996E-3</v>
      </c>
      <c r="H82">
        <v>-25</v>
      </c>
      <c r="I82" s="35">
        <f t="shared" si="2"/>
        <v>73.34933333333332</v>
      </c>
      <c r="L82">
        <f t="shared" si="3"/>
        <v>3875110</v>
      </c>
    </row>
    <row r="83" spans="1:12" x14ac:dyDescent="0.25">
      <c r="A83" s="34">
        <v>0.35</v>
      </c>
      <c r="B83">
        <v>5</v>
      </c>
      <c r="C83" t="s">
        <v>62</v>
      </c>
      <c r="D83">
        <v>0.377</v>
      </c>
      <c r="E83">
        <v>4061</v>
      </c>
      <c r="F83">
        <v>955</v>
      </c>
      <c r="G83">
        <v>5.3E-3</v>
      </c>
      <c r="H83">
        <v>-25</v>
      </c>
      <c r="I83" s="35">
        <f t="shared" si="2"/>
        <v>57.090981432360742</v>
      </c>
      <c r="L83">
        <f t="shared" si="3"/>
        <v>3878255</v>
      </c>
    </row>
    <row r="84" spans="1:12" x14ac:dyDescent="0.25">
      <c r="A84" s="34">
        <v>0.35</v>
      </c>
      <c r="B84">
        <v>10</v>
      </c>
      <c r="C84" t="s">
        <v>62</v>
      </c>
      <c r="D84">
        <v>0.38</v>
      </c>
      <c r="E84">
        <v>4077</v>
      </c>
      <c r="F84">
        <v>952</v>
      </c>
      <c r="G84">
        <v>4.1999999999999997E-3</v>
      </c>
      <c r="H84">
        <v>-25</v>
      </c>
      <c r="I84" s="35">
        <f t="shared" si="2"/>
        <v>45.061578947368417</v>
      </c>
      <c r="L84">
        <f t="shared" si="3"/>
        <v>3881304</v>
      </c>
    </row>
    <row r="85" spans="1:12" x14ac:dyDescent="0.25">
      <c r="A85" s="34">
        <v>0.35</v>
      </c>
      <c r="B85">
        <v>11</v>
      </c>
      <c r="C85" t="s">
        <v>62</v>
      </c>
      <c r="D85">
        <v>0.38</v>
      </c>
      <c r="E85">
        <v>4080</v>
      </c>
      <c r="F85">
        <v>951</v>
      </c>
      <c r="G85">
        <v>4.0200000000000001E-3</v>
      </c>
      <c r="H85">
        <v>-25</v>
      </c>
      <c r="I85" s="35">
        <f t="shared" si="2"/>
        <v>43.162105263157898</v>
      </c>
      <c r="L85">
        <f t="shared" si="3"/>
        <v>3880080</v>
      </c>
    </row>
    <row r="86" spans="1:12" x14ac:dyDescent="0.25">
      <c r="A86" s="34">
        <v>0.35</v>
      </c>
      <c r="B86">
        <v>12</v>
      </c>
      <c r="C86" t="s">
        <v>62</v>
      </c>
      <c r="D86">
        <v>0.38100000000000001</v>
      </c>
      <c r="E86">
        <v>4083</v>
      </c>
      <c r="F86">
        <v>950</v>
      </c>
      <c r="G86">
        <v>3.8500000000000001E-3</v>
      </c>
      <c r="H86">
        <v>-25</v>
      </c>
      <c r="I86" s="35">
        <f t="shared" si="2"/>
        <v>41.258661417322827</v>
      </c>
      <c r="L86">
        <f t="shared" si="3"/>
        <v>3878850</v>
      </c>
    </row>
    <row r="87" spans="1:12" x14ac:dyDescent="0.25">
      <c r="A87" s="34">
        <v>0.35</v>
      </c>
      <c r="B87">
        <v>13</v>
      </c>
      <c r="C87" t="s">
        <v>62</v>
      </c>
      <c r="D87">
        <v>0.38100000000000001</v>
      </c>
      <c r="E87">
        <v>4086</v>
      </c>
      <c r="F87">
        <v>950</v>
      </c>
      <c r="G87">
        <v>3.6900000000000001E-3</v>
      </c>
      <c r="H87">
        <v>-25</v>
      </c>
      <c r="I87" s="35">
        <f t="shared" si="2"/>
        <v>39.573070866141734</v>
      </c>
      <c r="L87">
        <f t="shared" si="3"/>
        <v>3881700</v>
      </c>
    </row>
    <row r="88" spans="1:12" x14ac:dyDescent="0.25">
      <c r="A88" s="34">
        <v>0.35</v>
      </c>
      <c r="B88">
        <v>14</v>
      </c>
      <c r="C88" t="s">
        <v>62</v>
      </c>
      <c r="D88">
        <v>0.38200000000000001</v>
      </c>
      <c r="E88">
        <v>4089</v>
      </c>
      <c r="F88">
        <v>949</v>
      </c>
      <c r="G88">
        <v>3.5400000000000002E-3</v>
      </c>
      <c r="H88">
        <v>-25</v>
      </c>
      <c r="I88" s="35">
        <f t="shared" si="2"/>
        <v>37.892827225130887</v>
      </c>
      <c r="L88">
        <f t="shared" si="3"/>
        <v>3880461</v>
      </c>
    </row>
    <row r="89" spans="1:12" x14ac:dyDescent="0.25">
      <c r="A89" s="34">
        <v>0.35</v>
      </c>
      <c r="B89">
        <v>15</v>
      </c>
      <c r="C89" t="s">
        <v>62</v>
      </c>
      <c r="D89">
        <v>0.38200000000000001</v>
      </c>
      <c r="E89">
        <v>4092</v>
      </c>
      <c r="F89">
        <v>948</v>
      </c>
      <c r="G89">
        <v>3.3999999999999998E-3</v>
      </c>
      <c r="H89">
        <v>-25</v>
      </c>
      <c r="I89" s="35">
        <f t="shared" si="2"/>
        <v>36.420942408376959</v>
      </c>
      <c r="L89">
        <f t="shared" si="3"/>
        <v>3879216</v>
      </c>
    </row>
    <row r="90" spans="1:12" x14ac:dyDescent="0.25">
      <c r="A90" s="34">
        <v>0.35</v>
      </c>
      <c r="B90">
        <v>16</v>
      </c>
      <c r="C90" t="s">
        <v>62</v>
      </c>
      <c r="D90">
        <v>0.38300000000000001</v>
      </c>
      <c r="E90">
        <v>4095</v>
      </c>
      <c r="F90">
        <v>948</v>
      </c>
      <c r="G90">
        <v>3.3E-3</v>
      </c>
      <c r="H90">
        <v>-25</v>
      </c>
      <c r="I90" s="35">
        <f t="shared" si="2"/>
        <v>35.283289817232379</v>
      </c>
      <c r="L90">
        <f t="shared" si="3"/>
        <v>3882060</v>
      </c>
    </row>
    <row r="91" spans="1:12" x14ac:dyDescent="0.25">
      <c r="A91" s="34">
        <v>0.35</v>
      </c>
      <c r="B91">
        <v>17</v>
      </c>
      <c r="C91" t="s">
        <v>62</v>
      </c>
      <c r="D91">
        <v>0.38300000000000001</v>
      </c>
      <c r="E91">
        <v>4099</v>
      </c>
      <c r="F91">
        <v>947</v>
      </c>
      <c r="G91">
        <v>3.0999999999999999E-3</v>
      </c>
      <c r="H91">
        <v>-25</v>
      </c>
      <c r="I91" s="35">
        <f t="shared" si="2"/>
        <v>33.177284595300257</v>
      </c>
      <c r="L91">
        <f t="shared" si="3"/>
        <v>3881753</v>
      </c>
    </row>
    <row r="92" spans="1:12" x14ac:dyDescent="0.25">
      <c r="A92" s="34">
        <v>0.35</v>
      </c>
      <c r="B92">
        <v>18</v>
      </c>
      <c r="C92" t="s">
        <v>62</v>
      </c>
      <c r="D92">
        <v>0.38400000000000001</v>
      </c>
      <c r="E92">
        <v>4102</v>
      </c>
      <c r="F92">
        <v>946</v>
      </c>
      <c r="G92">
        <v>3.0000000000000001E-3</v>
      </c>
      <c r="H92">
        <v>-25</v>
      </c>
      <c r="I92" s="35">
        <f t="shared" si="2"/>
        <v>32.046875</v>
      </c>
      <c r="L92">
        <f t="shared" si="3"/>
        <v>3880492</v>
      </c>
    </row>
    <row r="93" spans="1:12" x14ac:dyDescent="0.25">
      <c r="A93" s="34">
        <v>0.35</v>
      </c>
      <c r="B93">
        <v>19</v>
      </c>
      <c r="C93" t="s">
        <v>62</v>
      </c>
      <c r="D93">
        <v>0.38400000000000001</v>
      </c>
      <c r="E93">
        <v>4105</v>
      </c>
      <c r="F93">
        <v>945</v>
      </c>
      <c r="G93">
        <v>2.8999999999999998E-3</v>
      </c>
      <c r="H93">
        <v>-25</v>
      </c>
      <c r="I93" s="35">
        <f t="shared" si="2"/>
        <v>31.001302083333329</v>
      </c>
      <c r="L93">
        <f t="shared" si="3"/>
        <v>3879225</v>
      </c>
    </row>
    <row r="94" spans="1:12" x14ac:dyDescent="0.25">
      <c r="A94" s="34">
        <v>0.35</v>
      </c>
      <c r="B94">
        <v>20</v>
      </c>
      <c r="C94" t="s">
        <v>62</v>
      </c>
      <c r="D94">
        <v>0.38500000000000001</v>
      </c>
      <c r="E94">
        <v>4108</v>
      </c>
      <c r="F94">
        <v>945</v>
      </c>
      <c r="G94">
        <v>2.8E-3</v>
      </c>
      <c r="H94">
        <v>-25</v>
      </c>
      <c r="I94" s="35">
        <f t="shared" si="2"/>
        <v>29.876363636363635</v>
      </c>
      <c r="L94">
        <f t="shared" si="3"/>
        <v>3882060</v>
      </c>
    </row>
    <row r="95" spans="1:12" x14ac:dyDescent="0.25">
      <c r="A95" t="s">
        <v>68</v>
      </c>
      <c r="B95" t="s">
        <v>69</v>
      </c>
      <c r="C95" t="s">
        <v>70</v>
      </c>
      <c r="I95" s="35"/>
    </row>
    <row r="96" spans="1:12" x14ac:dyDescent="0.25">
      <c r="A96" s="34">
        <v>0.25</v>
      </c>
      <c r="B96">
        <v>-1</v>
      </c>
      <c r="C96" t="s">
        <v>71</v>
      </c>
      <c r="D96">
        <v>0.53400000000000003</v>
      </c>
      <c r="E96">
        <v>3080</v>
      </c>
      <c r="F96">
        <v>1247</v>
      </c>
      <c r="G96">
        <v>3.8999999999999998E-3</v>
      </c>
      <c r="H96">
        <v>-13</v>
      </c>
      <c r="I96" s="35">
        <f t="shared" si="2"/>
        <v>22.494382022471907</v>
      </c>
      <c r="L96">
        <f t="shared" si="3"/>
        <v>3840760</v>
      </c>
    </row>
    <row r="97" spans="1:12" x14ac:dyDescent="0.25">
      <c r="A97" s="34">
        <v>0.33</v>
      </c>
      <c r="B97">
        <v>-2</v>
      </c>
      <c r="C97" t="s">
        <v>39</v>
      </c>
      <c r="D97">
        <v>0.52400000000000002</v>
      </c>
      <c r="E97">
        <v>2830</v>
      </c>
      <c r="F97">
        <v>1336</v>
      </c>
      <c r="G97">
        <v>5.5999999999999999E-3</v>
      </c>
      <c r="H97">
        <v>-20</v>
      </c>
      <c r="I97" s="35">
        <f t="shared" si="2"/>
        <v>30.244274809160306</v>
      </c>
      <c r="L97">
        <f t="shared" si="3"/>
        <v>3780880</v>
      </c>
    </row>
    <row r="98" spans="1:12" x14ac:dyDescent="0.25">
      <c r="A98" t="s">
        <v>72</v>
      </c>
      <c r="B98" t="s">
        <v>73</v>
      </c>
      <c r="C98" t="s">
        <v>74</v>
      </c>
      <c r="I98" s="35"/>
    </row>
    <row r="99" spans="1:12" x14ac:dyDescent="0.25">
      <c r="A99" s="34">
        <v>0.2</v>
      </c>
      <c r="B99">
        <v>-1</v>
      </c>
      <c r="C99" t="s">
        <v>75</v>
      </c>
      <c r="D99">
        <v>0.53</v>
      </c>
      <c r="E99">
        <v>3050</v>
      </c>
      <c r="F99">
        <v>1195</v>
      </c>
      <c r="G99">
        <v>3.7000000000000002E-3</v>
      </c>
      <c r="H99">
        <v>-18</v>
      </c>
      <c r="I99" s="35">
        <f t="shared" si="2"/>
        <v>21.292452830188676</v>
      </c>
      <c r="L99">
        <f t="shared" si="3"/>
        <v>3644750</v>
      </c>
    </row>
    <row r="100" spans="1:12" x14ac:dyDescent="0.25">
      <c r="A100" t="s">
        <v>97</v>
      </c>
    </row>
    <row r="101" spans="1:12" x14ac:dyDescent="0.25">
      <c r="A101" s="34">
        <v>0.24</v>
      </c>
      <c r="B101">
        <v>0</v>
      </c>
      <c r="D101">
        <v>0.436</v>
      </c>
      <c r="E101">
        <v>3439</v>
      </c>
      <c r="F101">
        <v>1107</v>
      </c>
      <c r="G101">
        <f>3.534/1000</f>
        <v>3.5339999999999998E-3</v>
      </c>
      <c r="H101">
        <v>-10</v>
      </c>
      <c r="I101" s="35">
        <f t="shared" ref="I101:I105" si="4">(G101/F101)/(D101/(E101*F101))</f>
        <v>27.874830275229353</v>
      </c>
      <c r="L101">
        <f t="shared" ref="L101:L105" si="5">E101*F101</f>
        <v>3806973</v>
      </c>
    </row>
    <row r="102" spans="1:12" x14ac:dyDescent="0.25">
      <c r="A102" s="34">
        <v>0.24</v>
      </c>
      <c r="B102">
        <v>5</v>
      </c>
      <c r="D102">
        <v>0.442</v>
      </c>
      <c r="E102">
        <v>3455</v>
      </c>
      <c r="F102">
        <v>1105</v>
      </c>
      <c r="G102">
        <f>2.98/1000</f>
        <v>2.98E-3</v>
      </c>
      <c r="H102">
        <v>-10</v>
      </c>
      <c r="I102" s="35">
        <f t="shared" si="4"/>
        <v>23.29389140271493</v>
      </c>
      <c r="L102">
        <f t="shared" si="5"/>
        <v>3817775</v>
      </c>
    </row>
    <row r="103" spans="1:12" x14ac:dyDescent="0.25">
      <c r="A103" s="34">
        <v>0.24</v>
      </c>
      <c r="B103">
        <v>10</v>
      </c>
      <c r="D103">
        <v>0.44800000000000001</v>
      </c>
      <c r="E103">
        <v>3471</v>
      </c>
      <c r="F103">
        <v>1103</v>
      </c>
      <c r="G103">
        <f>2.548/1000</f>
        <v>2.5479999999999999E-3</v>
      </c>
      <c r="H103">
        <v>-10</v>
      </c>
      <c r="I103" s="35">
        <f t="shared" si="4"/>
        <v>19.741312499999999</v>
      </c>
      <c r="L103">
        <f t="shared" si="5"/>
        <v>3828513</v>
      </c>
    </row>
    <row r="104" spans="1:12" x14ac:dyDescent="0.25">
      <c r="A104" s="34">
        <v>0.24</v>
      </c>
      <c r="B104">
        <v>15</v>
      </c>
      <c r="D104">
        <v>0.45400000000000001</v>
      </c>
      <c r="E104">
        <v>3487</v>
      </c>
      <c r="F104">
        <v>1101</v>
      </c>
      <c r="G104">
        <f>2.205/1000</f>
        <v>2.2049999999999999E-3</v>
      </c>
      <c r="H104">
        <v>-10</v>
      </c>
      <c r="I104" s="35">
        <f t="shared" si="4"/>
        <v>16.935759911894273</v>
      </c>
      <c r="L104">
        <f t="shared" si="5"/>
        <v>3839187</v>
      </c>
    </row>
    <row r="105" spans="1:12" x14ac:dyDescent="0.25">
      <c r="A105" s="34">
        <v>0.24</v>
      </c>
      <c r="B105">
        <v>20</v>
      </c>
      <c r="D105">
        <v>0.46</v>
      </c>
      <c r="E105">
        <v>3503</v>
      </c>
      <c r="F105">
        <v>1099</v>
      </c>
      <c r="G105">
        <f>1.93/1000</f>
        <v>1.9299999999999999E-3</v>
      </c>
      <c r="H105">
        <v>-10</v>
      </c>
      <c r="I105" s="35">
        <f t="shared" si="4"/>
        <v>14.697369565217391</v>
      </c>
      <c r="L105">
        <f t="shared" si="5"/>
        <v>3849797</v>
      </c>
    </row>
    <row r="106" spans="1:12" x14ac:dyDescent="0.25">
      <c r="A106" s="34"/>
    </row>
    <row r="117" spans="3:4" x14ac:dyDescent="0.25">
      <c r="C117">
        <v>0</v>
      </c>
      <c r="D117">
        <v>3.4390000000000001</v>
      </c>
    </row>
    <row r="118" spans="3:4" x14ac:dyDescent="0.25">
      <c r="C118">
        <v>5</v>
      </c>
      <c r="D118">
        <v>3.4550000000000001</v>
      </c>
    </row>
    <row r="119" spans="3:4" x14ac:dyDescent="0.25">
      <c r="C119">
        <v>10</v>
      </c>
      <c r="D119">
        <v>3.4710000000000001</v>
      </c>
    </row>
    <row r="120" spans="3:4" x14ac:dyDescent="0.25">
      <c r="C120">
        <v>15</v>
      </c>
      <c r="D120">
        <v>3.4870000000000001</v>
      </c>
    </row>
    <row r="121" spans="3:4" x14ac:dyDescent="0.25">
      <c r="C121">
        <v>20</v>
      </c>
      <c r="D121">
        <v>3.5030000000000001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BD8E-B107-4279-92D7-126819F3A211}">
  <dimension ref="A1:V46"/>
  <sheetViews>
    <sheetView topLeftCell="B1" zoomScale="110" zoomScaleNormal="110" workbookViewId="0">
      <selection activeCell="K20" sqref="K20"/>
    </sheetView>
  </sheetViews>
  <sheetFormatPr defaultColWidth="11.5703125" defaultRowHeight="15" x14ac:dyDescent="0.25"/>
  <cols>
    <col min="1" max="1" width="58.7109375" bestFit="1" customWidth="1"/>
    <col min="2" max="2" width="18.85546875" customWidth="1"/>
    <col min="3" max="3" width="21" customWidth="1"/>
    <col min="4" max="4" width="22.140625" bestFit="1" customWidth="1"/>
    <col min="5" max="5" width="12" bestFit="1" customWidth="1"/>
    <col min="7" max="7" width="12" bestFit="1" customWidth="1"/>
    <col min="10" max="10" width="39" bestFit="1" customWidth="1"/>
    <col min="11" max="12" width="12" bestFit="1" customWidth="1"/>
    <col min="13" max="13" width="26.7109375" bestFit="1" customWidth="1"/>
  </cols>
  <sheetData>
    <row r="1" spans="1:22" ht="18.75" x14ac:dyDescent="0.3">
      <c r="A1" s="1" t="s">
        <v>19</v>
      </c>
      <c r="C1" t="s">
        <v>32</v>
      </c>
      <c r="E1">
        <f>150/3.6</f>
        <v>41.666666666666664</v>
      </c>
      <c r="F1">
        <f>60</f>
        <v>60</v>
      </c>
      <c r="G1">
        <f>E1/F1</f>
        <v>0.69444444444444442</v>
      </c>
    </row>
    <row r="2" spans="1:22" ht="15.75" thickBot="1" x14ac:dyDescent="0.3">
      <c r="K2">
        <f>K10*10*4200/1000</f>
        <v>1079.1666666666667</v>
      </c>
    </row>
    <row r="3" spans="1:22" ht="15.75" thickBot="1" x14ac:dyDescent="0.3">
      <c r="D3" s="2" t="s">
        <v>27</v>
      </c>
      <c r="E3" s="3">
        <f>Oppsummering!D74</f>
        <v>37</v>
      </c>
      <c r="F3" s="3"/>
      <c r="G3" s="3"/>
      <c r="H3" s="4"/>
      <c r="I3" s="2"/>
      <c r="J3" s="3"/>
      <c r="K3" s="4"/>
      <c r="L3" s="2"/>
      <c r="M3" s="3"/>
      <c r="N3" s="3"/>
      <c r="O3" s="3"/>
      <c r="P3" s="4"/>
    </row>
    <row r="4" spans="1:22" ht="15.75" thickBot="1" x14ac:dyDescent="0.3">
      <c r="B4">
        <f>45000/(3*4200)</f>
        <v>3.5714285714285716</v>
      </c>
      <c r="C4">
        <f>6/26</f>
        <v>0.23076923076923078</v>
      </c>
      <c r="D4" s="5"/>
      <c r="H4" s="19"/>
      <c r="I4" s="28"/>
      <c r="J4" s="29" t="s">
        <v>26</v>
      </c>
      <c r="K4" s="30">
        <f>E3</f>
        <v>37</v>
      </c>
      <c r="L4" s="5"/>
      <c r="P4" s="19"/>
    </row>
    <row r="5" spans="1:22" ht="15.75" thickBot="1" x14ac:dyDescent="0.3">
      <c r="B5">
        <f>B4*3600</f>
        <v>12857.142857142859</v>
      </c>
      <c r="D5" s="5"/>
      <c r="E5" s="8">
        <f>G1</f>
        <v>0.69444444444444442</v>
      </c>
      <c r="H5" s="19"/>
      <c r="I5" s="5"/>
      <c r="K5" s="19"/>
      <c r="L5" s="5"/>
      <c r="P5" s="19"/>
    </row>
    <row r="6" spans="1:22" x14ac:dyDescent="0.25">
      <c r="A6" s="12" t="s">
        <v>16</v>
      </c>
      <c r="D6" s="5" t="s">
        <v>12</v>
      </c>
      <c r="H6" s="19"/>
      <c r="I6" s="5"/>
      <c r="K6" s="19"/>
      <c r="L6" s="5"/>
      <c r="P6" s="19"/>
    </row>
    <row r="7" spans="1:22" ht="15.75" thickBot="1" x14ac:dyDescent="0.3">
      <c r="A7" s="13" t="s">
        <v>10</v>
      </c>
      <c r="D7" s="5"/>
      <c r="E7" t="s">
        <v>100</v>
      </c>
      <c r="F7" t="s">
        <v>101</v>
      </c>
      <c r="H7" t="s">
        <v>100</v>
      </c>
      <c r="I7" t="s">
        <v>101</v>
      </c>
      <c r="K7" s="19"/>
      <c r="L7" s="5"/>
      <c r="P7" s="19"/>
    </row>
    <row r="8" spans="1:22" ht="15.75" thickBot="1" x14ac:dyDescent="0.3">
      <c r="A8" s="13" t="s">
        <v>89</v>
      </c>
      <c r="D8" s="20" t="s">
        <v>8</v>
      </c>
      <c r="G8" s="6" t="s">
        <v>11</v>
      </c>
      <c r="H8" s="19"/>
      <c r="I8" s="5"/>
      <c r="J8" s="6" t="s">
        <v>30</v>
      </c>
      <c r="K8" s="19"/>
      <c r="L8" s="5"/>
      <c r="M8" s="2" t="s">
        <v>31</v>
      </c>
      <c r="N8" s="3"/>
      <c r="O8" s="4" t="s">
        <v>29</v>
      </c>
      <c r="P8" s="33"/>
    </row>
    <row r="9" spans="1:22" x14ac:dyDescent="0.25">
      <c r="A9" s="13" t="s">
        <v>20</v>
      </c>
      <c r="D9" s="5" t="s">
        <v>21</v>
      </c>
      <c r="E9">
        <f>0.0015/1000</f>
        <v>1.5E-6</v>
      </c>
      <c r="G9" t="s">
        <v>21</v>
      </c>
      <c r="H9" s="19">
        <f>E9</f>
        <v>1.5E-6</v>
      </c>
      <c r="I9" s="5"/>
      <c r="J9" t="s">
        <v>21</v>
      </c>
      <c r="K9" s="19">
        <f>E9</f>
        <v>1.5E-6</v>
      </c>
      <c r="L9" s="5"/>
      <c r="M9" s="5"/>
      <c r="O9" s="32"/>
      <c r="P9" s="19"/>
      <c r="R9" s="2" t="s">
        <v>22</v>
      </c>
      <c r="S9" s="3"/>
      <c r="T9" s="4">
        <v>0.6</v>
      </c>
    </row>
    <row r="10" spans="1:22" ht="15.75" thickBot="1" x14ac:dyDescent="0.3">
      <c r="A10" s="14"/>
      <c r="D10" s="5" t="s">
        <v>6</v>
      </c>
      <c r="E10" s="41">
        <f>E5</f>
        <v>0.69444444444444442</v>
      </c>
      <c r="G10" t="s">
        <v>6</v>
      </c>
      <c r="H10" s="33">
        <f>E10</f>
        <v>0.69444444444444442</v>
      </c>
      <c r="I10" s="5"/>
      <c r="J10" t="s">
        <v>6</v>
      </c>
      <c r="K10" s="33">
        <f>E3*E5</f>
        <v>25.694444444444443</v>
      </c>
      <c r="L10" s="5"/>
      <c r="M10" s="5"/>
      <c r="O10" s="19"/>
      <c r="P10" s="19"/>
      <c r="R10" s="5" t="s">
        <v>25</v>
      </c>
      <c r="T10" s="16">
        <f>(R20)</f>
        <v>148.16337285863494</v>
      </c>
    </row>
    <row r="11" spans="1:22" x14ac:dyDescent="0.25">
      <c r="D11" s="5" t="s">
        <v>5</v>
      </c>
      <c r="E11" s="15">
        <f>E10*E17/1000</f>
        <v>0.66597222222222219</v>
      </c>
      <c r="G11" t="s">
        <v>5</v>
      </c>
      <c r="H11" s="19">
        <f>H10*H17/1000</f>
        <v>0.66597222222222219</v>
      </c>
      <c r="I11" s="5"/>
      <c r="J11" t="s">
        <v>5</v>
      </c>
      <c r="K11" s="19">
        <f>K10*K17/1000</f>
        <v>24.640972222222221</v>
      </c>
      <c r="L11" s="5"/>
      <c r="M11" s="5"/>
      <c r="O11" s="19"/>
      <c r="P11" s="19"/>
      <c r="R11" s="5" t="s">
        <v>24</v>
      </c>
      <c r="T11" s="17">
        <f>T10/10^2</f>
        <v>1.4816337285863495</v>
      </c>
    </row>
    <row r="12" spans="1:22" ht="15.75" thickBot="1" x14ac:dyDescent="0.3">
      <c r="B12" t="s">
        <v>81</v>
      </c>
      <c r="C12" s="35">
        <f>Kollektorvæske!I81</f>
        <v>82.075935828877007</v>
      </c>
      <c r="D12" s="5" t="s">
        <v>14</v>
      </c>
      <c r="E12">
        <f>(45-2.6*2) / 1000</f>
        <v>3.9799999999999995E-2</v>
      </c>
      <c r="G12" t="s">
        <v>14</v>
      </c>
      <c r="H12" s="19">
        <f>(40-2.4*2) / 1000</f>
        <v>3.5200000000000002E-2</v>
      </c>
      <c r="I12" s="5"/>
      <c r="J12" t="s">
        <v>14</v>
      </c>
      <c r="K12" s="19">
        <f>(180-10.7*2) / 1000</f>
        <v>0.15859999999999999</v>
      </c>
      <c r="L12" s="5"/>
      <c r="M12" s="11"/>
      <c r="N12" s="10"/>
      <c r="O12" s="25"/>
      <c r="P12" s="19"/>
      <c r="R12" s="11" t="s">
        <v>23</v>
      </c>
      <c r="S12" s="10"/>
      <c r="T12" s="18">
        <f>((E3*E11/E17)*(1000*T10)/T9)/1000</f>
        <v>6.3449592543628386</v>
      </c>
      <c r="V12">
        <f>T12*3</f>
        <v>19.034877763088517</v>
      </c>
    </row>
    <row r="13" spans="1:22" x14ac:dyDescent="0.25">
      <c r="B13" t="s">
        <v>84</v>
      </c>
      <c r="C13">
        <f>Kollektorvæske!D81</f>
        <v>0.374</v>
      </c>
      <c r="D13" s="5" t="s">
        <v>15</v>
      </c>
      <c r="E13">
        <f>E12/2</f>
        <v>1.9899999999999998E-2</v>
      </c>
      <c r="G13" t="s">
        <v>15</v>
      </c>
      <c r="H13" s="19">
        <f>H12/2</f>
        <v>1.7600000000000001E-2</v>
      </c>
      <c r="I13" s="5"/>
      <c r="J13" t="s">
        <v>15</v>
      </c>
      <c r="K13" s="19">
        <f>K12/2</f>
        <v>7.9299999999999995E-2</v>
      </c>
      <c r="L13" s="5"/>
      <c r="P13" s="19"/>
    </row>
    <row r="14" spans="1:22" x14ac:dyDescent="0.25">
      <c r="B14" t="s">
        <v>85</v>
      </c>
      <c r="C14">
        <f>Kollektorvæske!F81</f>
        <v>959</v>
      </c>
      <c r="D14" s="5" t="s">
        <v>0</v>
      </c>
      <c r="E14">
        <f>C15</f>
        <v>7.6E-3</v>
      </c>
      <c r="G14" t="s">
        <v>0</v>
      </c>
      <c r="H14" s="19">
        <f>E14</f>
        <v>7.6E-3</v>
      </c>
      <c r="I14" s="5"/>
      <c r="J14" t="s">
        <v>0</v>
      </c>
      <c r="K14" s="19">
        <f>E14</f>
        <v>7.6E-3</v>
      </c>
      <c r="L14" s="5"/>
      <c r="P14" s="19"/>
    </row>
    <row r="15" spans="1:22" x14ac:dyDescent="0.25">
      <c r="B15" t="s">
        <v>0</v>
      </c>
      <c r="C15">
        <f>Kollektorvæske!G81</f>
        <v>7.6E-3</v>
      </c>
      <c r="D15" s="5" t="s">
        <v>1</v>
      </c>
      <c r="E15" s="7">
        <f>E11*E12/(E14*PI()*E13^2)</f>
        <v>2803.2999505041225</v>
      </c>
      <c r="G15" t="s">
        <v>1</v>
      </c>
      <c r="H15" s="21">
        <f>H11*H12/(H14*PI()*H13^2)</f>
        <v>3169.6402849450014</v>
      </c>
      <c r="I15" s="5"/>
      <c r="J15" t="s">
        <v>1</v>
      </c>
      <c r="K15" s="21">
        <f>K11*K12/(K14*PI()*K13^2)</f>
        <v>26028.622365147356</v>
      </c>
      <c r="L15" s="5"/>
      <c r="N15" s="7"/>
      <c r="P15" s="19"/>
      <c r="Q15" s="7"/>
      <c r="V15" s="40">
        <f>V12*8760</f>
        <v>166745.52920465541</v>
      </c>
    </row>
    <row r="16" spans="1:22" x14ac:dyDescent="0.25">
      <c r="D16" s="5" t="s">
        <v>2</v>
      </c>
      <c r="E16" s="15">
        <f>(1/(-1.8*LOG(6.9/$E$15 +(($E$9/$E$12)/3.7)^1.11)))^2</f>
        <v>4.5366524353511413E-2</v>
      </c>
      <c r="G16" t="s">
        <v>2</v>
      </c>
      <c r="H16" s="22">
        <f>(1/(-1.8*LOG(6.9/$H$15 +(($H$9/$H$12)/3.7)^1.11)))^2</f>
        <v>4.3571333565347294E-2</v>
      </c>
      <c r="I16" s="26"/>
      <c r="J16" t="s">
        <v>2</v>
      </c>
      <c r="K16" s="22">
        <f>(1/(-1.8*LOG(6.9/$K$15 +(($K$9/$K$12)/3.7)^1.11)))^2</f>
        <v>2.4141273370622982E-2</v>
      </c>
      <c r="L16" s="5"/>
      <c r="N16" s="15"/>
      <c r="P16" s="19"/>
      <c r="Q16" s="15" t="s">
        <v>33</v>
      </c>
      <c r="R16" s="9">
        <f>M20/1000</f>
        <v>148.16337285863494</v>
      </c>
    </row>
    <row r="17" spans="1:19" x14ac:dyDescent="0.25">
      <c r="D17" s="5" t="s">
        <v>7</v>
      </c>
      <c r="E17" s="9">
        <f>C14</f>
        <v>959</v>
      </c>
      <c r="G17" t="s">
        <v>7</v>
      </c>
      <c r="H17" s="23">
        <f>E17</f>
        <v>959</v>
      </c>
      <c r="I17" s="5"/>
      <c r="J17" t="s">
        <v>7</v>
      </c>
      <c r="K17" s="23">
        <f>E17</f>
        <v>959</v>
      </c>
      <c r="L17" s="5"/>
      <c r="N17" s="9"/>
      <c r="P17" s="19"/>
      <c r="Q17" s="9" t="s">
        <v>34</v>
      </c>
      <c r="R17">
        <v>0</v>
      </c>
    </row>
    <row r="18" spans="1:19" x14ac:dyDescent="0.25">
      <c r="B18">
        <f>C18/2</f>
        <v>167.45678043893605</v>
      </c>
      <c r="C18">
        <f>10*60*E18</f>
        <v>334.9135608778721</v>
      </c>
      <c r="D18" s="5" t="s">
        <v>3</v>
      </c>
      <c r="E18" s="8">
        <f>E11/(E17*PI()*E13^2)</f>
        <v>0.55818926812978686</v>
      </c>
      <c r="G18" t="s">
        <v>3</v>
      </c>
      <c r="H18" s="24">
        <f>H11/(H17*PI()*H13^2)</f>
        <v>0.71361225488144642</v>
      </c>
      <c r="I18" s="5"/>
      <c r="J18" t="s">
        <v>3</v>
      </c>
      <c r="K18" s="24">
        <f>K11/(K17*PI()*K13^2)</f>
        <v>1.3005977089359839</v>
      </c>
      <c r="L18" s="5"/>
      <c r="N18" s="8"/>
      <c r="P18" s="19"/>
      <c r="Q18" t="s">
        <v>35</v>
      </c>
      <c r="R18">
        <v>0</v>
      </c>
    </row>
    <row r="19" spans="1:19" x14ac:dyDescent="0.25">
      <c r="D19" s="5" t="s">
        <v>17</v>
      </c>
      <c r="E19">
        <v>640</v>
      </c>
      <c r="G19" t="s">
        <v>18</v>
      </c>
      <c r="H19" s="19">
        <f>Oppsummering!H56</f>
        <v>110</v>
      </c>
      <c r="I19" s="5"/>
      <c r="J19" t="s">
        <v>18</v>
      </c>
      <c r="K19" s="19">
        <f>Oppsummering!J76</f>
        <v>48</v>
      </c>
      <c r="L19" s="5"/>
      <c r="M19" s="9"/>
      <c r="P19" s="19"/>
    </row>
    <row r="20" spans="1:19" x14ac:dyDescent="0.25">
      <c r="D20" s="20" t="s">
        <v>4</v>
      </c>
      <c r="E20" s="31">
        <f>(E16*E19/E12)*E17*(E18^2)/2</f>
        <v>108989.33087991337</v>
      </c>
      <c r="F20" s="27">
        <f>(64/E15)*(E19/E12)*(C14*E18^2)/2</f>
        <v>54847.75839364226</v>
      </c>
      <c r="G20" s="6" t="s">
        <v>9</v>
      </c>
      <c r="H20" s="31">
        <f>(H16*H19/H12)*H17*(H18^2)/2</f>
        <v>33247.889670299686</v>
      </c>
      <c r="I20" s="27">
        <f>(64/H15)*(H19/H12)*(C14*H18^2)/2</f>
        <v>15407.537321303957</v>
      </c>
      <c r="J20" s="6" t="s">
        <v>13</v>
      </c>
      <c r="K20" s="31">
        <f>(K16*K19/K12)*K17*(K18^2)/2</f>
        <v>5926.1523084218816</v>
      </c>
      <c r="L20" s="27">
        <f>(64/K15)*(K19/K12)*(C14*K18^2)/2</f>
        <v>603.58915316058017</v>
      </c>
      <c r="M20" s="27">
        <f>E20+H20+K20</f>
        <v>148163.37285863495</v>
      </c>
      <c r="N20" s="9">
        <f>M20+15000</f>
        <v>163163.37285863495</v>
      </c>
      <c r="P20" s="19"/>
      <c r="Q20" s="6" t="s">
        <v>36</v>
      </c>
      <c r="R20" s="27">
        <f>R16+R17+R18</f>
        <v>148.16337285863494</v>
      </c>
    </row>
    <row r="21" spans="1:19" x14ac:dyDescent="0.25">
      <c r="A21">
        <f>0.034*10^5</f>
        <v>3400.0000000000005</v>
      </c>
      <c r="D21" s="5"/>
      <c r="E21">
        <f>E20/10^5</f>
        <v>1.0898933087991336</v>
      </c>
      <c r="H21">
        <f>H20/H19</f>
        <v>302.25354245726987</v>
      </c>
      <c r="I21" s="5"/>
      <c r="K21" s="19">
        <f>K20/10^3</f>
        <v>5.9261523084218819</v>
      </c>
      <c r="L21" s="5"/>
      <c r="P21" s="19"/>
    </row>
    <row r="22" spans="1:19" ht="15.75" thickBot="1" x14ac:dyDescent="0.3">
      <c r="D22" s="11"/>
      <c r="E22" s="10">
        <f>E20/E19</f>
        <v>170.29582949986462</v>
      </c>
      <c r="F22" s="10"/>
      <c r="G22" s="10"/>
      <c r="H22" s="10">
        <f>H20/10^3</f>
        <v>33.247889670299685</v>
      </c>
      <c r="I22" s="11"/>
      <c r="J22" s="10">
        <f>K20/10^5</f>
        <v>5.9261523084218816E-2</v>
      </c>
      <c r="K22" s="25"/>
      <c r="L22" s="11"/>
      <c r="M22" s="10" t="s">
        <v>28</v>
      </c>
      <c r="N22" s="10"/>
      <c r="O22" s="10"/>
      <c r="P22" s="25"/>
    </row>
    <row r="23" spans="1:19" x14ac:dyDescent="0.25">
      <c r="B23" t="s">
        <v>86</v>
      </c>
      <c r="D23">
        <f>IF(E15&gt;2300, (((1/((0.79*LN(E15)-1.64)^2))/8)*(E15-1000)*C12)/(1+12.7*(((1/((0.79*LN(E15)-1.64)^2))/8)^0.5)*(C12^(2/3)-1)), 4.36)</f>
        <v>47.0273414010314</v>
      </c>
    </row>
    <row r="24" spans="1:19" x14ac:dyDescent="0.25">
      <c r="B24" t="s">
        <v>87</v>
      </c>
      <c r="C24" t="s">
        <v>82</v>
      </c>
      <c r="G24" s="9">
        <f>E20+H20</f>
        <v>142237.22055021307</v>
      </c>
      <c r="K24" t="s">
        <v>92</v>
      </c>
      <c r="L24" t="s">
        <v>93</v>
      </c>
    </row>
    <row r="25" spans="1:19" x14ac:dyDescent="0.25">
      <c r="C25" t="s">
        <v>83</v>
      </c>
      <c r="D25">
        <f>D23*C13/E12</f>
        <v>441.91521819059665</v>
      </c>
      <c r="H25" s="9"/>
      <c r="K25" t="s">
        <v>95</v>
      </c>
      <c r="L25" t="s">
        <v>94</v>
      </c>
      <c r="O25" s="9"/>
      <c r="R25">
        <f>414/3</f>
        <v>138</v>
      </c>
      <c r="S25">
        <f>R25/2</f>
        <v>69</v>
      </c>
    </row>
    <row r="26" spans="1:19" x14ac:dyDescent="0.25">
      <c r="C26" t="s">
        <v>90</v>
      </c>
      <c r="D26">
        <f>1/(2*PI()*E13*D25)</f>
        <v>1.809789639404133E-2</v>
      </c>
    </row>
    <row r="27" spans="1:19" x14ac:dyDescent="0.25">
      <c r="D27" s="6" t="s">
        <v>37</v>
      </c>
      <c r="E27" s="6"/>
      <c r="F27" s="6"/>
    </row>
    <row r="28" spans="1:19" x14ac:dyDescent="0.25">
      <c r="G28">
        <f>70/(1.5*4.2)</f>
        <v>11.111111111111111</v>
      </c>
    </row>
    <row r="29" spans="1:19" x14ac:dyDescent="0.25">
      <c r="C29" t="s">
        <v>88</v>
      </c>
      <c r="D29">
        <v>4.8439999999999997E-2</v>
      </c>
      <c r="E29">
        <f>15*D29</f>
        <v>0.72659999999999991</v>
      </c>
    </row>
    <row r="31" spans="1:19" x14ac:dyDescent="0.25">
      <c r="C31" t="s">
        <v>91</v>
      </c>
      <c r="D31" s="39">
        <f>D26/D29</f>
        <v>0.37361470673082847</v>
      </c>
    </row>
    <row r="32" spans="1:19" x14ac:dyDescent="0.25">
      <c r="G32">
        <f>45/2</f>
        <v>22.5</v>
      </c>
      <c r="H32">
        <f>G32-2.6</f>
        <v>19.899999999999999</v>
      </c>
    </row>
    <row r="33" spans="3:11" x14ac:dyDescent="0.25">
      <c r="C33" t="s">
        <v>88</v>
      </c>
      <c r="D33" s="6">
        <f>(1/(2*PI()*0.42))*LN(0.02/0.0176)</f>
        <v>4.8441221352144841E-2</v>
      </c>
    </row>
    <row r="34" spans="3:11" x14ac:dyDescent="0.25">
      <c r="C34" t="s">
        <v>96</v>
      </c>
      <c r="D34">
        <f>D26+D33</f>
        <v>6.6539117746186177E-2</v>
      </c>
      <c r="E34">
        <f>D34*15</f>
        <v>0.99808676619279268</v>
      </c>
    </row>
    <row r="38" spans="3:11" x14ac:dyDescent="0.25">
      <c r="C38">
        <f>-3.3</f>
        <v>-3.3</v>
      </c>
      <c r="E38">
        <f>32*0.55</f>
        <v>17.600000000000001</v>
      </c>
      <c r="G38" s="6"/>
      <c r="H38" s="9"/>
      <c r="J38" s="6"/>
      <c r="K38" s="9"/>
    </row>
    <row r="39" spans="3:11" x14ac:dyDescent="0.25">
      <c r="C39">
        <f>-0.4</f>
        <v>-0.4</v>
      </c>
    </row>
    <row r="40" spans="3:11" x14ac:dyDescent="0.25">
      <c r="C40">
        <f>AVERAGE(C38:C39)</f>
        <v>-1.8499999999999999</v>
      </c>
      <c r="E40" s="7"/>
    </row>
    <row r="41" spans="3:11" x14ac:dyDescent="0.25">
      <c r="E41" s="15"/>
    </row>
    <row r="42" spans="3:11" x14ac:dyDescent="0.25">
      <c r="E42" s="9"/>
    </row>
    <row r="43" spans="3:11" x14ac:dyDescent="0.25">
      <c r="E43" s="8"/>
    </row>
    <row r="45" spans="3:11" x14ac:dyDescent="0.25">
      <c r="D45" s="6"/>
      <c r="E45" s="9"/>
    </row>
    <row r="46" spans="3:11" x14ac:dyDescent="0.25">
      <c r="C46" t="s">
        <v>98</v>
      </c>
      <c r="D4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D6CE-0BA7-4D23-AF00-C1DFBEE5B8F0}">
  <dimension ref="A1:V46"/>
  <sheetViews>
    <sheetView topLeftCell="B1" zoomScale="110" zoomScaleNormal="110" workbookViewId="0">
      <selection activeCell="K12" sqref="K12"/>
    </sheetView>
  </sheetViews>
  <sheetFormatPr defaultColWidth="11.5703125" defaultRowHeight="15" x14ac:dyDescent="0.25"/>
  <cols>
    <col min="1" max="1" width="58.7109375" bestFit="1" customWidth="1"/>
    <col min="2" max="2" width="18.85546875" customWidth="1"/>
    <col min="3" max="3" width="21" customWidth="1"/>
    <col min="4" max="4" width="22.140625" bestFit="1" customWidth="1"/>
    <col min="5" max="5" width="12" bestFit="1" customWidth="1"/>
    <col min="7" max="7" width="12" bestFit="1" customWidth="1"/>
    <col min="10" max="10" width="39" bestFit="1" customWidth="1"/>
    <col min="11" max="12" width="12" bestFit="1" customWidth="1"/>
    <col min="13" max="13" width="26.7109375" bestFit="1" customWidth="1"/>
  </cols>
  <sheetData>
    <row r="1" spans="1:22" ht="18.75" x14ac:dyDescent="0.3">
      <c r="A1" s="1" t="s">
        <v>19</v>
      </c>
      <c r="C1" t="s">
        <v>32</v>
      </c>
      <c r="E1">
        <f>150/3.6</f>
        <v>41.666666666666664</v>
      </c>
      <c r="F1">
        <f>60</f>
        <v>60</v>
      </c>
      <c r="G1">
        <f>E1/F1</f>
        <v>0.69444444444444442</v>
      </c>
    </row>
    <row r="2" spans="1:22" ht="15.75" thickBot="1" x14ac:dyDescent="0.3">
      <c r="K2">
        <f>K10*10*4200/1000</f>
        <v>612.49999999999989</v>
      </c>
    </row>
    <row r="3" spans="1:22" ht="15.75" thickBot="1" x14ac:dyDescent="0.3">
      <c r="D3" s="2" t="s">
        <v>27</v>
      </c>
      <c r="E3" s="3">
        <f>Oppsummering!D65</f>
        <v>21</v>
      </c>
      <c r="F3" s="3"/>
      <c r="G3" s="3"/>
      <c r="H3" s="4"/>
      <c r="I3" s="2"/>
      <c r="J3" s="3"/>
      <c r="K3" s="4"/>
      <c r="L3" s="2"/>
      <c r="M3" s="3"/>
      <c r="N3" s="3"/>
      <c r="O3" s="3"/>
      <c r="P3" s="4"/>
    </row>
    <row r="4" spans="1:22" ht="15.75" thickBot="1" x14ac:dyDescent="0.3">
      <c r="B4">
        <f>45000/(3*4200)</f>
        <v>3.5714285714285716</v>
      </c>
      <c r="C4">
        <f>6/26</f>
        <v>0.23076923076923078</v>
      </c>
      <c r="D4" s="5"/>
      <c r="H4" s="19"/>
      <c r="I4" s="28"/>
      <c r="J4" s="29" t="s">
        <v>26</v>
      </c>
      <c r="K4" s="30">
        <f>E3</f>
        <v>21</v>
      </c>
      <c r="L4" s="5"/>
      <c r="P4" s="19"/>
    </row>
    <row r="5" spans="1:22" ht="15.75" thickBot="1" x14ac:dyDescent="0.3">
      <c r="B5">
        <f>B4*3600</f>
        <v>12857.142857142859</v>
      </c>
      <c r="D5" s="5"/>
      <c r="E5" s="8">
        <f>G1</f>
        <v>0.69444444444444442</v>
      </c>
      <c r="H5" s="19"/>
      <c r="I5" s="5"/>
      <c r="K5" s="19"/>
      <c r="L5" s="5"/>
      <c r="P5" s="19"/>
    </row>
    <row r="6" spans="1:22" x14ac:dyDescent="0.25">
      <c r="A6" s="12" t="s">
        <v>16</v>
      </c>
      <c r="D6" s="5" t="s">
        <v>12</v>
      </c>
      <c r="H6" s="19"/>
      <c r="I6" s="5"/>
      <c r="K6" s="19"/>
      <c r="L6" s="5"/>
      <c r="P6" s="19"/>
    </row>
    <row r="7" spans="1:22" ht="15.75" thickBot="1" x14ac:dyDescent="0.3">
      <c r="A7" s="13" t="s">
        <v>10</v>
      </c>
      <c r="D7" s="5"/>
      <c r="E7" t="s">
        <v>100</v>
      </c>
      <c r="F7" t="s">
        <v>101</v>
      </c>
      <c r="H7" t="s">
        <v>100</v>
      </c>
      <c r="I7" t="s">
        <v>101</v>
      </c>
      <c r="K7" s="19"/>
      <c r="L7" s="5"/>
      <c r="P7" s="19"/>
    </row>
    <row r="8" spans="1:22" ht="15.75" thickBot="1" x14ac:dyDescent="0.3">
      <c r="A8" s="13" t="s">
        <v>89</v>
      </c>
      <c r="D8" s="20" t="s">
        <v>8</v>
      </c>
      <c r="G8" s="6" t="s">
        <v>11</v>
      </c>
      <c r="H8" s="19"/>
      <c r="I8" s="5"/>
      <c r="J8" s="6" t="s">
        <v>30</v>
      </c>
      <c r="K8" s="19"/>
      <c r="L8" s="5"/>
      <c r="M8" s="2" t="s">
        <v>31</v>
      </c>
      <c r="N8" s="3"/>
      <c r="O8" s="4" t="s">
        <v>29</v>
      </c>
      <c r="P8" s="33"/>
    </row>
    <row r="9" spans="1:22" x14ac:dyDescent="0.25">
      <c r="A9" s="13" t="s">
        <v>20</v>
      </c>
      <c r="D9" s="5" t="s">
        <v>21</v>
      </c>
      <c r="E9">
        <f>0.0015/1000</f>
        <v>1.5E-6</v>
      </c>
      <c r="G9" t="s">
        <v>21</v>
      </c>
      <c r="H9" s="19">
        <f>E9</f>
        <v>1.5E-6</v>
      </c>
      <c r="I9" s="5"/>
      <c r="J9" t="s">
        <v>21</v>
      </c>
      <c r="K9" s="19">
        <f>E9</f>
        <v>1.5E-6</v>
      </c>
      <c r="L9" s="5"/>
      <c r="M9" s="5"/>
      <c r="O9" s="32"/>
      <c r="P9" s="19"/>
      <c r="R9" s="2" t="s">
        <v>22</v>
      </c>
      <c r="S9" s="3"/>
      <c r="T9" s="4">
        <v>0.6</v>
      </c>
    </row>
    <row r="10" spans="1:22" ht="15.75" thickBot="1" x14ac:dyDescent="0.3">
      <c r="A10" s="14"/>
      <c r="D10" s="5" t="s">
        <v>6</v>
      </c>
      <c r="E10" s="41">
        <f>E5</f>
        <v>0.69444444444444442</v>
      </c>
      <c r="G10" t="s">
        <v>6</v>
      </c>
      <c r="H10" s="33">
        <f>E10</f>
        <v>0.69444444444444442</v>
      </c>
      <c r="I10" s="5"/>
      <c r="J10" t="s">
        <v>6</v>
      </c>
      <c r="K10" s="33">
        <f>E3*E5</f>
        <v>14.583333333333332</v>
      </c>
      <c r="L10" s="5"/>
      <c r="M10" s="5"/>
      <c r="O10" s="19"/>
      <c r="P10" s="19"/>
      <c r="R10" s="5" t="s">
        <v>25</v>
      </c>
      <c r="T10" s="16">
        <f>(R20)</f>
        <v>147.04286542439175</v>
      </c>
    </row>
    <row r="11" spans="1:22" x14ac:dyDescent="0.25">
      <c r="D11" s="5" t="s">
        <v>5</v>
      </c>
      <c r="E11" s="15">
        <f>E10*E17/1000</f>
        <v>0.66597222222222219</v>
      </c>
      <c r="G11" t="s">
        <v>5</v>
      </c>
      <c r="H11" s="19">
        <f>H10*H17/1000</f>
        <v>0.66597222222222219</v>
      </c>
      <c r="I11" s="5"/>
      <c r="J11" t="s">
        <v>5</v>
      </c>
      <c r="K11" s="19">
        <f>K10*K17/1000</f>
        <v>13.985416666666666</v>
      </c>
      <c r="L11" s="5"/>
      <c r="M11" s="5"/>
      <c r="O11" s="19"/>
      <c r="P11" s="19"/>
      <c r="R11" s="5" t="s">
        <v>24</v>
      </c>
      <c r="T11" s="17">
        <f>T10/10^2</f>
        <v>1.4704286542439176</v>
      </c>
    </row>
    <row r="12" spans="1:22" ht="15.75" thickBot="1" x14ac:dyDescent="0.3">
      <c r="B12" t="s">
        <v>81</v>
      </c>
      <c r="C12" s="35">
        <f>Kollektorvæske!I81</f>
        <v>82.075935828877007</v>
      </c>
      <c r="D12" s="5" t="s">
        <v>14</v>
      </c>
      <c r="E12">
        <f>(45-2.6*2) / 1000</f>
        <v>3.9799999999999995E-2</v>
      </c>
      <c r="G12" t="s">
        <v>14</v>
      </c>
      <c r="H12" s="19">
        <f>(40-2.4*2) / 1000</f>
        <v>3.5200000000000002E-2</v>
      </c>
      <c r="I12" s="5"/>
      <c r="J12" t="s">
        <v>14</v>
      </c>
      <c r="K12" s="19">
        <f>(160-9.5*2) / 1000</f>
        <v>0.14099999999999999</v>
      </c>
      <c r="L12" s="5"/>
      <c r="M12" s="11"/>
      <c r="N12" s="10"/>
      <c r="O12" s="25"/>
      <c r="P12" s="19"/>
      <c r="R12" s="11" t="s">
        <v>23</v>
      </c>
      <c r="S12" s="10"/>
      <c r="T12" s="18">
        <f>((E3*E11/E17)*(1000*T10)/T9)/1000</f>
        <v>3.5739585346206328</v>
      </c>
      <c r="V12">
        <f>T12*3</f>
        <v>10.721875603861898</v>
      </c>
    </row>
    <row r="13" spans="1:22" x14ac:dyDescent="0.25">
      <c r="B13" t="s">
        <v>84</v>
      </c>
      <c r="C13">
        <f>Kollektorvæske!D81</f>
        <v>0.374</v>
      </c>
      <c r="D13" s="5" t="s">
        <v>15</v>
      </c>
      <c r="E13">
        <f>E12/2</f>
        <v>1.9899999999999998E-2</v>
      </c>
      <c r="G13" t="s">
        <v>15</v>
      </c>
      <c r="H13" s="19">
        <f>H12/2</f>
        <v>1.7600000000000001E-2</v>
      </c>
      <c r="I13" s="5"/>
      <c r="J13" t="s">
        <v>15</v>
      </c>
      <c r="K13" s="19">
        <f>K12/2</f>
        <v>7.0499999999999993E-2</v>
      </c>
      <c r="L13" s="5"/>
      <c r="P13" s="19"/>
    </row>
    <row r="14" spans="1:22" x14ac:dyDescent="0.25">
      <c r="B14" t="s">
        <v>85</v>
      </c>
      <c r="C14">
        <f>Kollektorvæske!F81</f>
        <v>959</v>
      </c>
      <c r="D14" s="5" t="s">
        <v>0</v>
      </c>
      <c r="E14">
        <f>C15</f>
        <v>7.6E-3</v>
      </c>
      <c r="G14" t="s">
        <v>0</v>
      </c>
      <c r="H14" s="19">
        <f>E14</f>
        <v>7.6E-3</v>
      </c>
      <c r="I14" s="5"/>
      <c r="J14" t="s">
        <v>0</v>
      </c>
      <c r="K14" s="19">
        <f>E14</f>
        <v>7.6E-3</v>
      </c>
      <c r="L14" s="5"/>
      <c r="P14" s="19"/>
    </row>
    <row r="15" spans="1:22" x14ac:dyDescent="0.25">
      <c r="B15" t="s">
        <v>0</v>
      </c>
      <c r="C15">
        <f>Kollektorvæske!G81</f>
        <v>7.6E-3</v>
      </c>
      <c r="D15" s="5" t="s">
        <v>1</v>
      </c>
      <c r="E15" s="7">
        <f>E11*E12/(E14*PI()*E13^2)</f>
        <v>2803.2999505041225</v>
      </c>
      <c r="G15" t="s">
        <v>1</v>
      </c>
      <c r="H15" s="21">
        <f>H11*H12/(H14*PI()*H13^2)</f>
        <v>3169.6402849450014</v>
      </c>
      <c r="I15" s="5"/>
      <c r="J15" t="s">
        <v>1</v>
      </c>
      <c r="K15" s="21">
        <f>K11*K12/(K14*PI()*K13^2)</f>
        <v>16617.007791711669</v>
      </c>
      <c r="L15" s="5"/>
      <c r="N15" s="7"/>
      <c r="P15" s="19"/>
      <c r="Q15" s="7"/>
      <c r="V15" s="40">
        <f>V12*8760</f>
        <v>93923.630289830224</v>
      </c>
    </row>
    <row r="16" spans="1:22" x14ac:dyDescent="0.25">
      <c r="D16" s="5" t="s">
        <v>2</v>
      </c>
      <c r="E16" s="15">
        <f>(1/(-1.8*LOG(6.9/$E$15 +(($E$9/$E$12)/3.7)^1.11)))^2</f>
        <v>4.5366524353511413E-2</v>
      </c>
      <c r="G16" t="s">
        <v>2</v>
      </c>
      <c r="H16" s="22">
        <f>(1/(-1.8*LOG(6.9/$H$15 +(($H$9/$H$12)/3.7)^1.11)))^2</f>
        <v>4.3571333565347294E-2</v>
      </c>
      <c r="I16" s="26"/>
      <c r="J16" t="s">
        <v>2</v>
      </c>
      <c r="K16" s="22">
        <f>(1/(-1.8*LOG(6.9/$K$15 +(($K$9/$K$12)/3.7)^1.11)))^2</f>
        <v>2.7000607343481021E-2</v>
      </c>
      <c r="L16" s="5"/>
      <c r="N16" s="15"/>
      <c r="P16" s="19"/>
      <c r="Q16" s="15" t="s">
        <v>33</v>
      </c>
      <c r="R16" s="9">
        <f>M20/1000</f>
        <v>147.04286542439175</v>
      </c>
    </row>
    <row r="17" spans="1:19" x14ac:dyDescent="0.25">
      <c r="D17" s="5" t="s">
        <v>7</v>
      </c>
      <c r="E17" s="9">
        <f>C14</f>
        <v>959</v>
      </c>
      <c r="G17" t="s">
        <v>7</v>
      </c>
      <c r="H17" s="23">
        <f>E17</f>
        <v>959</v>
      </c>
      <c r="I17" s="5"/>
      <c r="J17" t="s">
        <v>7</v>
      </c>
      <c r="K17" s="23">
        <f>E17</f>
        <v>959</v>
      </c>
      <c r="L17" s="5"/>
      <c r="N17" s="9"/>
      <c r="P17" s="19"/>
      <c r="Q17" s="9" t="s">
        <v>34</v>
      </c>
      <c r="R17">
        <v>0</v>
      </c>
    </row>
    <row r="18" spans="1:19" x14ac:dyDescent="0.25">
      <c r="B18">
        <f>C18/2</f>
        <v>167.45678043893605</v>
      </c>
      <c r="C18">
        <f>10*60*E18</f>
        <v>334.9135608778721</v>
      </c>
      <c r="D18" s="5" t="s">
        <v>3</v>
      </c>
      <c r="E18" s="8">
        <f>E11/(E17*PI()*E13^2)</f>
        <v>0.55818926812978686</v>
      </c>
      <c r="G18" t="s">
        <v>3</v>
      </c>
      <c r="H18" s="24">
        <f>H11/(H17*PI()*H13^2)</f>
        <v>0.71361225488144642</v>
      </c>
      <c r="I18" s="5"/>
      <c r="J18" t="s">
        <v>3</v>
      </c>
      <c r="K18" s="24">
        <f>K11/(K17*PI()*K13^2)</f>
        <v>0.93396090207003968</v>
      </c>
      <c r="L18" s="5"/>
      <c r="N18" s="8"/>
      <c r="P18" s="19"/>
      <c r="Q18" t="s">
        <v>35</v>
      </c>
      <c r="R18">
        <v>0</v>
      </c>
    </row>
    <row r="19" spans="1:19" x14ac:dyDescent="0.25">
      <c r="D19" s="5" t="s">
        <v>17</v>
      </c>
      <c r="E19">
        <v>640</v>
      </c>
      <c r="G19" t="s">
        <v>18</v>
      </c>
      <c r="H19" s="19">
        <f>Oppsummering!H56</f>
        <v>110</v>
      </c>
      <c r="I19" s="5"/>
      <c r="J19" t="s">
        <v>18</v>
      </c>
      <c r="K19" s="19">
        <f>Oppsummering!J67</f>
        <v>60</v>
      </c>
      <c r="L19" s="5"/>
      <c r="M19" s="9"/>
      <c r="P19" s="19"/>
    </row>
    <row r="20" spans="1:19" x14ac:dyDescent="0.25">
      <c r="D20" s="20" t="s">
        <v>4</v>
      </c>
      <c r="E20" s="31">
        <f>(E16*E19/E12)*E17*(E18^2)/2</f>
        <v>108989.33087991337</v>
      </c>
      <c r="F20" s="27">
        <f>(64/E15)*(E19/E12)*(C14*E18^2)/2</f>
        <v>54847.75839364226</v>
      </c>
      <c r="G20" s="6" t="s">
        <v>9</v>
      </c>
      <c r="H20" s="31">
        <f>(H16*H19/H12)*H17*(H18^2)/2</f>
        <v>33247.889670299686</v>
      </c>
      <c r="I20" s="27">
        <f>(64/H15)*(H19/H12)*(C14*H18^2)/2</f>
        <v>15407.537321303957</v>
      </c>
      <c r="J20" s="6" t="s">
        <v>13</v>
      </c>
      <c r="K20" s="31">
        <f>(K16*K19/K12)*K17*(K18^2)/2</f>
        <v>4805.644874178698</v>
      </c>
      <c r="L20" s="27">
        <f>(64/K15)*(K19/K12)*(C14*K18^2)/2</f>
        <v>685.49657879412609</v>
      </c>
      <c r="M20" s="27">
        <f>E20+H20+K20</f>
        <v>147042.86542439176</v>
      </c>
      <c r="N20" s="9">
        <f>M20+15000</f>
        <v>162042.86542439176</v>
      </c>
      <c r="P20" s="19"/>
      <c r="Q20" s="6" t="s">
        <v>36</v>
      </c>
      <c r="R20" s="27">
        <f>R16+R17+R18</f>
        <v>147.04286542439175</v>
      </c>
    </row>
    <row r="21" spans="1:19" x14ac:dyDescent="0.25">
      <c r="A21">
        <f>0.034*10^5</f>
        <v>3400.0000000000005</v>
      </c>
      <c r="D21" s="5"/>
      <c r="E21">
        <f>E20/10^5</f>
        <v>1.0898933087991336</v>
      </c>
      <c r="H21">
        <f>H20/H19</f>
        <v>302.25354245726987</v>
      </c>
      <c r="I21" s="5"/>
      <c r="K21" s="19">
        <f>K20/10^3</f>
        <v>4.8056448741786983</v>
      </c>
      <c r="L21" s="5"/>
      <c r="P21" s="19"/>
    </row>
    <row r="22" spans="1:19" ht="15.75" thickBot="1" x14ac:dyDescent="0.3">
      <c r="D22" s="11"/>
      <c r="E22" s="10">
        <f>E20/E19</f>
        <v>170.29582949986462</v>
      </c>
      <c r="F22" s="10"/>
      <c r="G22" s="10"/>
      <c r="H22" s="10">
        <f>H20/10^3</f>
        <v>33.247889670299685</v>
      </c>
      <c r="I22" s="11"/>
      <c r="J22" s="10">
        <f>K20/10^5</f>
        <v>4.8056448741786981E-2</v>
      </c>
      <c r="K22" s="25"/>
      <c r="L22" s="11"/>
      <c r="M22" s="10" t="s">
        <v>28</v>
      </c>
      <c r="N22" s="10"/>
      <c r="O22" s="10"/>
      <c r="P22" s="25"/>
    </row>
    <row r="23" spans="1:19" x14ac:dyDescent="0.25">
      <c r="B23" t="s">
        <v>86</v>
      </c>
      <c r="D23">
        <f>IF(E15&gt;2300, (((1/((0.79*LN(E15)-1.64)^2))/8)*(E15-1000)*C12)/(1+12.7*(((1/((0.79*LN(E15)-1.64)^2))/8)^0.5)*(C12^(2/3)-1)), 4.36)</f>
        <v>47.0273414010314</v>
      </c>
    </row>
    <row r="24" spans="1:19" x14ac:dyDescent="0.25">
      <c r="B24" t="s">
        <v>87</v>
      </c>
      <c r="C24" t="s">
        <v>82</v>
      </c>
      <c r="G24" s="9">
        <f>E20+H20</f>
        <v>142237.22055021307</v>
      </c>
      <c r="K24" t="s">
        <v>92</v>
      </c>
      <c r="L24" t="s">
        <v>93</v>
      </c>
    </row>
    <row r="25" spans="1:19" x14ac:dyDescent="0.25">
      <c r="C25" t="s">
        <v>83</v>
      </c>
      <c r="D25">
        <f>D23*C13/E12</f>
        <v>441.91521819059665</v>
      </c>
      <c r="H25" s="9"/>
      <c r="K25" t="s">
        <v>95</v>
      </c>
      <c r="L25" t="s">
        <v>94</v>
      </c>
      <c r="O25" s="9"/>
      <c r="R25">
        <f>414/3</f>
        <v>138</v>
      </c>
      <c r="S25">
        <f>R25/2</f>
        <v>69</v>
      </c>
    </row>
    <row r="26" spans="1:19" x14ac:dyDescent="0.25">
      <c r="C26" t="s">
        <v>90</v>
      </c>
      <c r="D26">
        <f>1/(2*PI()*E13*D25)</f>
        <v>1.809789639404133E-2</v>
      </c>
    </row>
    <row r="27" spans="1:19" x14ac:dyDescent="0.25">
      <c r="D27" s="6" t="s">
        <v>37</v>
      </c>
      <c r="E27" s="6"/>
      <c r="F27" s="6"/>
    </row>
    <row r="28" spans="1:19" x14ac:dyDescent="0.25">
      <c r="G28">
        <f>70/(1.5*4.2)</f>
        <v>11.111111111111111</v>
      </c>
    </row>
    <row r="29" spans="1:19" x14ac:dyDescent="0.25">
      <c r="C29" t="s">
        <v>88</v>
      </c>
      <c r="D29">
        <v>4.8439999999999997E-2</v>
      </c>
      <c r="E29">
        <f>15*D29</f>
        <v>0.72659999999999991</v>
      </c>
    </row>
    <row r="31" spans="1:19" x14ac:dyDescent="0.25">
      <c r="C31" t="s">
        <v>91</v>
      </c>
      <c r="D31" s="39">
        <f>D26/D29</f>
        <v>0.37361470673082847</v>
      </c>
    </row>
    <row r="32" spans="1:19" x14ac:dyDescent="0.25">
      <c r="G32">
        <f>45/2</f>
        <v>22.5</v>
      </c>
      <c r="H32">
        <f>G32-2.6</f>
        <v>19.899999999999999</v>
      </c>
    </row>
    <row r="33" spans="3:11" x14ac:dyDescent="0.25">
      <c r="C33" t="s">
        <v>88</v>
      </c>
      <c r="D33" s="6">
        <f>(1/(2*PI()*0.42))*LN(0.02/0.0176)</f>
        <v>4.8441221352144841E-2</v>
      </c>
    </row>
    <row r="34" spans="3:11" x14ac:dyDescent="0.25">
      <c r="C34" t="s">
        <v>96</v>
      </c>
      <c r="D34">
        <f>D26+D33</f>
        <v>6.6539117746186177E-2</v>
      </c>
      <c r="E34">
        <f>D34*15</f>
        <v>0.99808676619279268</v>
      </c>
    </row>
    <row r="38" spans="3:11" x14ac:dyDescent="0.25">
      <c r="C38">
        <f>-3.3</f>
        <v>-3.3</v>
      </c>
      <c r="E38">
        <f>32*0.55</f>
        <v>17.600000000000001</v>
      </c>
      <c r="G38" s="6"/>
      <c r="H38" s="9"/>
      <c r="J38" s="6"/>
      <c r="K38" s="9"/>
    </row>
    <row r="39" spans="3:11" x14ac:dyDescent="0.25">
      <c r="C39">
        <f>-0.4</f>
        <v>-0.4</v>
      </c>
    </row>
    <row r="40" spans="3:11" x14ac:dyDescent="0.25">
      <c r="C40">
        <f>AVERAGE(C38:C39)</f>
        <v>-1.8499999999999999</v>
      </c>
      <c r="E40" s="7"/>
    </row>
    <row r="41" spans="3:11" x14ac:dyDescent="0.25">
      <c r="E41" s="15"/>
    </row>
    <row r="42" spans="3:11" x14ac:dyDescent="0.25">
      <c r="E42" s="9"/>
    </row>
    <row r="43" spans="3:11" x14ac:dyDescent="0.25">
      <c r="E43" s="8"/>
    </row>
    <row r="45" spans="3:11" x14ac:dyDescent="0.25">
      <c r="D45" s="6"/>
      <c r="E45" s="9"/>
    </row>
    <row r="46" spans="3:11" x14ac:dyDescent="0.25">
      <c r="C46" t="s">
        <v>98</v>
      </c>
      <c r="D4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67E2-C99B-47E8-A57E-1283340D0DF4}">
  <dimension ref="A1:V46"/>
  <sheetViews>
    <sheetView tabSelected="1" zoomScale="110" zoomScaleNormal="110" workbookViewId="0">
      <selection activeCell="H16" sqref="H16"/>
    </sheetView>
  </sheetViews>
  <sheetFormatPr defaultColWidth="11.5703125" defaultRowHeight="15" x14ac:dyDescent="0.25"/>
  <cols>
    <col min="1" max="1" width="58.7109375" bestFit="1" customWidth="1"/>
    <col min="2" max="2" width="18.85546875" customWidth="1"/>
    <col min="3" max="3" width="21" customWidth="1"/>
    <col min="4" max="4" width="22.140625" bestFit="1" customWidth="1"/>
    <col min="5" max="5" width="12" bestFit="1" customWidth="1"/>
    <col min="7" max="7" width="12" bestFit="1" customWidth="1"/>
    <col min="10" max="10" width="39" bestFit="1" customWidth="1"/>
    <col min="11" max="12" width="12" bestFit="1" customWidth="1"/>
    <col min="13" max="13" width="26.7109375" bestFit="1" customWidth="1"/>
  </cols>
  <sheetData>
    <row r="1" spans="1:22" ht="18.75" x14ac:dyDescent="0.3">
      <c r="A1" s="1" t="s">
        <v>19</v>
      </c>
      <c r="C1" t="s">
        <v>32</v>
      </c>
      <c r="E1">
        <f>150/3.6</f>
        <v>41.666666666666664</v>
      </c>
      <c r="F1">
        <f>60</f>
        <v>60</v>
      </c>
      <c r="G1">
        <f>E1/F1</f>
        <v>0.69444444444444442</v>
      </c>
    </row>
    <row r="2" spans="1:22" ht="15.75" thickBot="1" x14ac:dyDescent="0.3">
      <c r="K2">
        <f>K10*10*4200/1000</f>
        <v>262.5</v>
      </c>
    </row>
    <row r="3" spans="1:22" ht="15.75" thickBot="1" x14ac:dyDescent="0.3">
      <c r="D3" s="2" t="s">
        <v>27</v>
      </c>
      <c r="E3" s="3">
        <f>Oppsummering!D54</f>
        <v>9</v>
      </c>
      <c r="F3" s="3"/>
      <c r="G3" s="3"/>
      <c r="H3" s="4"/>
      <c r="I3" s="2"/>
      <c r="J3" s="3"/>
      <c r="K3" s="4"/>
      <c r="L3" s="2"/>
      <c r="M3" s="3"/>
      <c r="N3" s="3"/>
      <c r="O3" s="3"/>
      <c r="P3" s="4"/>
    </row>
    <row r="4" spans="1:22" ht="15.75" thickBot="1" x14ac:dyDescent="0.3">
      <c r="B4">
        <f>45000/(3*4200)</f>
        <v>3.5714285714285716</v>
      </c>
      <c r="C4">
        <f>6/26</f>
        <v>0.23076923076923078</v>
      </c>
      <c r="D4" s="5"/>
      <c r="H4" s="19"/>
      <c r="I4" s="28"/>
      <c r="J4" s="29" t="s">
        <v>26</v>
      </c>
      <c r="K4" s="30">
        <f>E3</f>
        <v>9</v>
      </c>
      <c r="L4" s="5"/>
      <c r="P4" s="19"/>
    </row>
    <row r="5" spans="1:22" ht="15.75" thickBot="1" x14ac:dyDescent="0.3">
      <c r="B5">
        <f>B4*3600</f>
        <v>12857.142857142859</v>
      </c>
      <c r="D5" s="5"/>
      <c r="E5" s="8">
        <f>G1</f>
        <v>0.69444444444444442</v>
      </c>
      <c r="H5" s="19"/>
      <c r="I5" s="5"/>
      <c r="K5" s="19"/>
      <c r="L5" s="5"/>
      <c r="P5" s="19"/>
    </row>
    <row r="6" spans="1:22" x14ac:dyDescent="0.25">
      <c r="A6" s="12" t="s">
        <v>16</v>
      </c>
      <c r="D6" s="5" t="s">
        <v>12</v>
      </c>
      <c r="H6" s="19"/>
      <c r="I6" s="5"/>
      <c r="K6" s="19"/>
      <c r="L6" s="5"/>
      <c r="P6" s="19"/>
    </row>
    <row r="7" spans="1:22" ht="15.75" thickBot="1" x14ac:dyDescent="0.3">
      <c r="A7" s="13" t="s">
        <v>10</v>
      </c>
      <c r="D7" s="5"/>
      <c r="E7" t="s">
        <v>100</v>
      </c>
      <c r="F7" t="s">
        <v>101</v>
      </c>
      <c r="H7" t="s">
        <v>100</v>
      </c>
      <c r="I7" t="s">
        <v>101</v>
      </c>
      <c r="K7" s="19"/>
      <c r="L7" s="5"/>
      <c r="P7" s="19"/>
    </row>
    <row r="8" spans="1:22" ht="15.75" thickBot="1" x14ac:dyDescent="0.3">
      <c r="A8" s="13" t="s">
        <v>89</v>
      </c>
      <c r="D8" s="20" t="s">
        <v>8</v>
      </c>
      <c r="G8" s="6" t="s">
        <v>11</v>
      </c>
      <c r="H8" s="19"/>
      <c r="I8" s="5"/>
      <c r="J8" s="6" t="s">
        <v>30</v>
      </c>
      <c r="K8" s="19"/>
      <c r="L8" s="5"/>
      <c r="M8" s="2" t="s">
        <v>31</v>
      </c>
      <c r="N8" s="3"/>
      <c r="O8" s="4" t="s">
        <v>29</v>
      </c>
      <c r="P8" s="33"/>
    </row>
    <row r="9" spans="1:22" x14ac:dyDescent="0.25">
      <c r="A9" s="13" t="s">
        <v>20</v>
      </c>
      <c r="D9" s="5" t="s">
        <v>21</v>
      </c>
      <c r="E9">
        <f>0.0015/1000</f>
        <v>1.5E-6</v>
      </c>
      <c r="G9" t="s">
        <v>21</v>
      </c>
      <c r="H9" s="19">
        <f>E9</f>
        <v>1.5E-6</v>
      </c>
      <c r="I9" s="5"/>
      <c r="J9" t="s">
        <v>21</v>
      </c>
      <c r="K9" s="19">
        <f>E9</f>
        <v>1.5E-6</v>
      </c>
      <c r="L9" s="5"/>
      <c r="M9" s="5"/>
      <c r="O9" s="32"/>
      <c r="P9" s="19"/>
      <c r="R9" s="2" t="s">
        <v>22</v>
      </c>
      <c r="S9" s="3"/>
      <c r="T9" s="4">
        <v>0.6</v>
      </c>
    </row>
    <row r="10" spans="1:22" ht="15.75" thickBot="1" x14ac:dyDescent="0.3">
      <c r="A10" s="14"/>
      <c r="D10" s="5" t="s">
        <v>6</v>
      </c>
      <c r="E10" s="41">
        <f>E5</f>
        <v>0.69444444444444442</v>
      </c>
      <c r="G10" t="s">
        <v>6</v>
      </c>
      <c r="H10" s="33">
        <f>E10</f>
        <v>0.69444444444444442</v>
      </c>
      <c r="I10" s="5"/>
      <c r="J10" t="s">
        <v>6</v>
      </c>
      <c r="K10" s="33">
        <f>E3*E5</f>
        <v>6.25</v>
      </c>
      <c r="L10" s="5"/>
      <c r="M10" s="5"/>
      <c r="O10" s="19"/>
      <c r="P10" s="19"/>
      <c r="R10" s="5" t="s">
        <v>25</v>
      </c>
      <c r="T10" s="16">
        <f>(R20)</f>
        <v>148.7525261015347</v>
      </c>
    </row>
    <row r="11" spans="1:22" x14ac:dyDescent="0.25">
      <c r="D11" s="5" t="s">
        <v>5</v>
      </c>
      <c r="E11" s="15">
        <f>E10*E17/1000</f>
        <v>0.66597222222222219</v>
      </c>
      <c r="G11" t="s">
        <v>5</v>
      </c>
      <c r="H11" s="19">
        <f>H10*H17/1000</f>
        <v>0.66597222222222219</v>
      </c>
      <c r="I11" s="5"/>
      <c r="J11" t="s">
        <v>5</v>
      </c>
      <c r="K11" s="19">
        <f>K10*K17/1000</f>
        <v>5.9937500000000004</v>
      </c>
      <c r="L11" s="5"/>
      <c r="M11" s="5"/>
      <c r="O11" s="19"/>
      <c r="P11" s="19"/>
      <c r="R11" s="5" t="s">
        <v>24</v>
      </c>
      <c r="T11" s="17">
        <f>T10/10^2</f>
        <v>1.4875252610153469</v>
      </c>
    </row>
    <row r="12" spans="1:22" ht="15.75" thickBot="1" x14ac:dyDescent="0.3">
      <c r="B12" t="s">
        <v>81</v>
      </c>
      <c r="C12" s="35">
        <f>Kollektorvæske!I81</f>
        <v>82.075935828877007</v>
      </c>
      <c r="D12" s="5" t="s">
        <v>14</v>
      </c>
      <c r="E12">
        <f>(45-2.6*2) / 1000</f>
        <v>3.9799999999999995E-2</v>
      </c>
      <c r="G12" t="s">
        <v>14</v>
      </c>
      <c r="H12" s="19">
        <f>(40-2.4*2) / 1000</f>
        <v>3.5200000000000002E-2</v>
      </c>
      <c r="I12" s="5"/>
      <c r="J12" t="s">
        <v>14</v>
      </c>
      <c r="K12" s="19">
        <f>(125-7.4*2) / 1000</f>
        <v>0.11020000000000001</v>
      </c>
      <c r="L12" s="5"/>
      <c r="M12" s="11"/>
      <c r="N12" s="10"/>
      <c r="O12" s="25"/>
      <c r="P12" s="19"/>
      <c r="R12" s="11" t="s">
        <v>23</v>
      </c>
      <c r="S12" s="10"/>
      <c r="T12" s="18">
        <f>((E3*E11/E17)*(1000*T10)/T9)/1000</f>
        <v>1.5495054802243196</v>
      </c>
      <c r="V12">
        <f>T12*3</f>
        <v>4.6485164406729584</v>
      </c>
    </row>
    <row r="13" spans="1:22" x14ac:dyDescent="0.25">
      <c r="B13" t="s">
        <v>84</v>
      </c>
      <c r="C13">
        <f>Kollektorvæske!D81</f>
        <v>0.374</v>
      </c>
      <c r="D13" s="5" t="s">
        <v>15</v>
      </c>
      <c r="E13">
        <f>E12/2</f>
        <v>1.9899999999999998E-2</v>
      </c>
      <c r="G13" t="s">
        <v>15</v>
      </c>
      <c r="H13" s="19">
        <f>H12/2</f>
        <v>1.7600000000000001E-2</v>
      </c>
      <c r="I13" s="5"/>
      <c r="J13" t="s">
        <v>15</v>
      </c>
      <c r="K13" s="19">
        <f>K12/2</f>
        <v>5.5100000000000003E-2</v>
      </c>
      <c r="L13" s="5"/>
      <c r="P13" s="19"/>
    </row>
    <row r="14" spans="1:22" x14ac:dyDescent="0.25">
      <c r="B14" t="s">
        <v>85</v>
      </c>
      <c r="C14">
        <f>Kollektorvæske!F81</f>
        <v>959</v>
      </c>
      <c r="D14" s="5" t="s">
        <v>0</v>
      </c>
      <c r="E14">
        <f>C15</f>
        <v>7.6E-3</v>
      </c>
      <c r="G14" t="s">
        <v>0</v>
      </c>
      <c r="H14" s="19">
        <f>E14</f>
        <v>7.6E-3</v>
      </c>
      <c r="I14" s="5"/>
      <c r="J14" t="s">
        <v>0</v>
      </c>
      <c r="K14" s="19">
        <f>E14</f>
        <v>7.6E-3</v>
      </c>
      <c r="L14" s="5"/>
      <c r="P14" s="19"/>
    </row>
    <row r="15" spans="1:22" x14ac:dyDescent="0.25">
      <c r="B15" t="s">
        <v>0</v>
      </c>
      <c r="C15">
        <f>Kollektorvæske!G81</f>
        <v>7.6E-3</v>
      </c>
      <c r="D15" s="5" t="s">
        <v>1</v>
      </c>
      <c r="E15" s="7">
        <f>E11*E12/(E14*PI()*E13^2)</f>
        <v>2803.2999505041225</v>
      </c>
      <c r="G15" t="s">
        <v>1</v>
      </c>
      <c r="H15" s="21">
        <f>H11*H12/(H14*PI()*H13^2)</f>
        <v>3169.6402849450014</v>
      </c>
      <c r="I15" s="5"/>
      <c r="J15" t="s">
        <v>1</v>
      </c>
      <c r="K15" s="21">
        <f>K11*K12/(K14*PI()*K13^2)</f>
        <v>9111.9967538164838</v>
      </c>
      <c r="L15" s="5"/>
      <c r="N15" s="7"/>
      <c r="P15" s="19"/>
      <c r="Q15" s="7"/>
      <c r="V15" s="40">
        <f>V12*8760</f>
        <v>40721.004020295113</v>
      </c>
    </row>
    <row r="16" spans="1:22" x14ac:dyDescent="0.25">
      <c r="D16" s="5" t="s">
        <v>2</v>
      </c>
      <c r="E16" s="15">
        <f>(1/(-1.8*LOG(6.9/$E$15 +(($E$9/$E$12)/3.7)^1.11)))^2</f>
        <v>4.5366524353511413E-2</v>
      </c>
      <c r="G16" t="s">
        <v>2</v>
      </c>
      <c r="H16" s="22">
        <f>(1/(-1.8*LOG(6.9/$H$15 +(($H$9/$H$12)/3.7)^1.11)))^2</f>
        <v>4.3571333565347294E-2</v>
      </c>
      <c r="I16" s="26"/>
      <c r="J16" t="s">
        <v>2</v>
      </c>
      <c r="K16" s="22">
        <f>(1/(-1.8*LOG(6.9/$K$15 +(($K$9/$K$12)/3.7)^1.11)))^2</f>
        <v>3.1701600722970402E-2</v>
      </c>
      <c r="L16" s="5"/>
      <c r="N16" s="15"/>
      <c r="P16" s="19"/>
      <c r="Q16" s="15" t="s">
        <v>33</v>
      </c>
      <c r="R16" s="9">
        <f>M20/1000</f>
        <v>148.7525261015347</v>
      </c>
    </row>
    <row r="17" spans="1:19" x14ac:dyDescent="0.25">
      <c r="D17" s="5" t="s">
        <v>7</v>
      </c>
      <c r="E17" s="9">
        <f>C14</f>
        <v>959</v>
      </c>
      <c r="G17" t="s">
        <v>7</v>
      </c>
      <c r="H17" s="23">
        <f>E17</f>
        <v>959</v>
      </c>
      <c r="I17" s="5"/>
      <c r="J17" t="s">
        <v>7</v>
      </c>
      <c r="K17" s="23">
        <f>E17</f>
        <v>959</v>
      </c>
      <c r="L17" s="5"/>
      <c r="N17" s="9"/>
      <c r="P17" s="19"/>
      <c r="Q17" s="9" t="s">
        <v>34</v>
      </c>
      <c r="R17">
        <v>0</v>
      </c>
    </row>
    <row r="18" spans="1:19" x14ac:dyDescent="0.25">
      <c r="B18">
        <f>C18/2</f>
        <v>167.45678043893605</v>
      </c>
      <c r="C18">
        <f>10*60*E18</f>
        <v>334.9135608778721</v>
      </c>
      <c r="D18" s="5" t="s">
        <v>3</v>
      </c>
      <c r="E18" s="8">
        <f>E11/(E17*PI()*E13^2)</f>
        <v>0.55818926812978686</v>
      </c>
      <c r="G18" t="s">
        <v>3</v>
      </c>
      <c r="H18" s="24">
        <f>H11/(H17*PI()*H13^2)</f>
        <v>0.71361225488144642</v>
      </c>
      <c r="I18" s="5"/>
      <c r="J18" t="s">
        <v>3</v>
      </c>
      <c r="K18" s="24">
        <f>K11/(K17*PI()*K13^2)</f>
        <v>0.65528005133339207</v>
      </c>
      <c r="L18" s="5"/>
      <c r="N18" s="8"/>
      <c r="P18" s="19"/>
      <c r="Q18" t="s">
        <v>35</v>
      </c>
      <c r="R18">
        <v>0</v>
      </c>
    </row>
    <row r="19" spans="1:19" x14ac:dyDescent="0.25">
      <c r="D19" s="5" t="s">
        <v>17</v>
      </c>
      <c r="E19">
        <v>640</v>
      </c>
      <c r="G19" t="s">
        <v>18</v>
      </c>
      <c r="H19" s="19">
        <f>Oppsummering!H56</f>
        <v>110</v>
      </c>
      <c r="I19" s="5"/>
      <c r="J19" t="s">
        <v>18</v>
      </c>
      <c r="K19" s="19">
        <f>Oppsummering!J56</f>
        <v>110</v>
      </c>
      <c r="L19" s="5"/>
      <c r="M19" s="9"/>
      <c r="P19" s="19"/>
    </row>
    <row r="20" spans="1:19" x14ac:dyDescent="0.25">
      <c r="D20" s="20" t="s">
        <v>4</v>
      </c>
      <c r="E20" s="31">
        <f>(E16*E19/E12)*E17*(E18^2)/2</f>
        <v>108989.33087991337</v>
      </c>
      <c r="F20" s="27">
        <f>(64/E15)*(E19/E12)*(C14*E18^2)/2</f>
        <v>54847.75839364226</v>
      </c>
      <c r="G20" s="6" t="s">
        <v>9</v>
      </c>
      <c r="H20" s="31">
        <f>(H16*H19/H12)*H17*(H18^2)/2</f>
        <v>33247.889670299686</v>
      </c>
      <c r="I20" s="27">
        <f>(64/H15)*(H19/H12)*(C14*H18^2)/2</f>
        <v>15407.537321303957</v>
      </c>
      <c r="J20" s="6" t="s">
        <v>13</v>
      </c>
      <c r="K20" s="31">
        <f>(K16*K19/K12)*K17*(K18^2)/2</f>
        <v>6515.305551321615</v>
      </c>
      <c r="L20" s="27">
        <f>(64/K15)*(K19/K12)*(C14*K18^2)/2</f>
        <v>1443.5107207544524</v>
      </c>
      <c r="M20" s="27">
        <f>E20+H20+K20</f>
        <v>148752.52610153469</v>
      </c>
      <c r="N20" s="9">
        <f>M20+15000</f>
        <v>163752.52610153469</v>
      </c>
      <c r="P20" s="19"/>
      <c r="Q20" s="6" t="s">
        <v>36</v>
      </c>
      <c r="R20" s="27">
        <f>R16+R17+R18</f>
        <v>148.7525261015347</v>
      </c>
    </row>
    <row r="21" spans="1:19" x14ac:dyDescent="0.25">
      <c r="A21">
        <f>0.034*10^5</f>
        <v>3400.0000000000005</v>
      </c>
      <c r="D21" s="5"/>
      <c r="E21">
        <f>E20/10^5</f>
        <v>1.0898933087991336</v>
      </c>
      <c r="H21">
        <f>H20/H19</f>
        <v>302.25354245726987</v>
      </c>
      <c r="I21" s="5"/>
      <c r="K21" s="19">
        <f>K20/10^3</f>
        <v>6.5153055513216147</v>
      </c>
      <c r="L21" s="5"/>
      <c r="P21" s="19"/>
    </row>
    <row r="22" spans="1:19" ht="15.75" thickBot="1" x14ac:dyDescent="0.3">
      <c r="D22" s="11"/>
      <c r="E22" s="10">
        <f>E20/E19</f>
        <v>170.29582949986462</v>
      </c>
      <c r="F22" s="10"/>
      <c r="G22" s="10"/>
      <c r="H22" s="10">
        <f>H20/10^3</f>
        <v>33.247889670299685</v>
      </c>
      <c r="I22" s="11"/>
      <c r="J22" s="10">
        <f>K20/10^5</f>
        <v>6.5153055513216152E-2</v>
      </c>
      <c r="K22" s="25"/>
      <c r="L22" s="11"/>
      <c r="M22" s="10" t="s">
        <v>28</v>
      </c>
      <c r="N22" s="10"/>
      <c r="O22" s="10"/>
      <c r="P22" s="25"/>
    </row>
    <row r="23" spans="1:19" x14ac:dyDescent="0.25">
      <c r="B23" t="s">
        <v>86</v>
      </c>
      <c r="D23">
        <f>IF(E15&gt;2300, (((1/((0.79*LN(E15)-1.64)^2))/8)*(E15-1000)*C12)/(1+12.7*(((1/((0.79*LN(E15)-1.64)^2))/8)^0.5)*(C12^(2/3)-1)), 4.36)</f>
        <v>47.0273414010314</v>
      </c>
    </row>
    <row r="24" spans="1:19" x14ac:dyDescent="0.25">
      <c r="B24" t="s">
        <v>87</v>
      </c>
      <c r="C24" t="s">
        <v>82</v>
      </c>
      <c r="G24" s="9">
        <f>E20+H20</f>
        <v>142237.22055021307</v>
      </c>
      <c r="K24" t="s">
        <v>92</v>
      </c>
      <c r="L24" t="s">
        <v>93</v>
      </c>
    </row>
    <row r="25" spans="1:19" x14ac:dyDescent="0.25">
      <c r="C25" t="s">
        <v>83</v>
      </c>
      <c r="D25">
        <f>D23*C13/E12</f>
        <v>441.91521819059665</v>
      </c>
      <c r="H25" s="9"/>
      <c r="K25" t="s">
        <v>95</v>
      </c>
      <c r="L25" t="s">
        <v>94</v>
      </c>
      <c r="O25" s="9"/>
      <c r="R25">
        <f>414/3</f>
        <v>138</v>
      </c>
      <c r="S25">
        <f>R25/2</f>
        <v>69</v>
      </c>
    </row>
    <row r="26" spans="1:19" x14ac:dyDescent="0.25">
      <c r="C26" t="s">
        <v>90</v>
      </c>
      <c r="D26">
        <f>1/(2*PI()*E13*D25)</f>
        <v>1.809789639404133E-2</v>
      </c>
    </row>
    <row r="27" spans="1:19" x14ac:dyDescent="0.25">
      <c r="D27" s="6" t="s">
        <v>37</v>
      </c>
      <c r="E27" s="6"/>
      <c r="F27" s="6"/>
    </row>
    <row r="28" spans="1:19" x14ac:dyDescent="0.25">
      <c r="G28">
        <f>70/(1.5*4.2)</f>
        <v>11.111111111111111</v>
      </c>
    </row>
    <row r="29" spans="1:19" x14ac:dyDescent="0.25">
      <c r="C29" t="s">
        <v>88</v>
      </c>
      <c r="D29">
        <v>4.8439999999999997E-2</v>
      </c>
      <c r="E29">
        <f>15*D29</f>
        <v>0.72659999999999991</v>
      </c>
    </row>
    <row r="31" spans="1:19" x14ac:dyDescent="0.25">
      <c r="C31" t="s">
        <v>91</v>
      </c>
      <c r="D31" s="39">
        <f>D26/D29</f>
        <v>0.37361470673082847</v>
      </c>
    </row>
    <row r="32" spans="1:19" x14ac:dyDescent="0.25">
      <c r="G32">
        <f>45/2</f>
        <v>22.5</v>
      </c>
      <c r="H32">
        <f>G32-2.6</f>
        <v>19.899999999999999</v>
      </c>
    </row>
    <row r="33" spans="3:11" x14ac:dyDescent="0.25">
      <c r="C33" t="s">
        <v>88</v>
      </c>
      <c r="D33" s="6">
        <f>(1/(2*PI()*0.42))*LN(0.02/0.0176)</f>
        <v>4.8441221352144841E-2</v>
      </c>
    </row>
    <row r="34" spans="3:11" x14ac:dyDescent="0.25">
      <c r="C34" t="s">
        <v>96</v>
      </c>
      <c r="D34">
        <f>D26+D33</f>
        <v>6.6539117746186177E-2</v>
      </c>
      <c r="E34">
        <f>D34*15</f>
        <v>0.99808676619279268</v>
      </c>
    </row>
    <row r="38" spans="3:11" x14ac:dyDescent="0.25">
      <c r="C38">
        <f>-3.3</f>
        <v>-3.3</v>
      </c>
      <c r="E38">
        <f>32*0.55</f>
        <v>17.600000000000001</v>
      </c>
      <c r="G38" s="6"/>
      <c r="H38" s="9"/>
      <c r="J38" s="6"/>
      <c r="K38" s="9"/>
    </row>
    <row r="39" spans="3:11" x14ac:dyDescent="0.25">
      <c r="C39">
        <f>-0.4</f>
        <v>-0.4</v>
      </c>
    </row>
    <row r="40" spans="3:11" x14ac:dyDescent="0.25">
      <c r="C40">
        <f>AVERAGE(C38:C39)</f>
        <v>-1.8499999999999999</v>
      </c>
      <c r="E40" s="7"/>
    </row>
    <row r="41" spans="3:11" x14ac:dyDescent="0.25">
      <c r="E41" s="15"/>
    </row>
    <row r="42" spans="3:11" x14ac:dyDescent="0.25">
      <c r="E42" s="9"/>
    </row>
    <row r="43" spans="3:11" x14ac:dyDescent="0.25">
      <c r="E43" s="8"/>
    </row>
    <row r="45" spans="3:11" x14ac:dyDescent="0.25">
      <c r="D45" s="6"/>
      <c r="E45" s="9"/>
    </row>
    <row r="46" spans="3:11" x14ac:dyDescent="0.25">
      <c r="C46" t="s">
        <v>98</v>
      </c>
      <c r="D4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C6F7-750F-4540-BA0F-5E0F34F0D976}">
  <dimension ref="A1:V46"/>
  <sheetViews>
    <sheetView zoomScale="110" zoomScaleNormal="110" workbookViewId="0">
      <selection activeCell="E3" sqref="E3"/>
    </sheetView>
  </sheetViews>
  <sheetFormatPr defaultColWidth="11.5703125" defaultRowHeight="15" x14ac:dyDescent="0.25"/>
  <cols>
    <col min="1" max="1" width="58.7109375" bestFit="1" customWidth="1"/>
    <col min="2" max="2" width="18.85546875" customWidth="1"/>
    <col min="3" max="3" width="21" customWidth="1"/>
    <col min="4" max="4" width="22.140625" bestFit="1" customWidth="1"/>
    <col min="5" max="5" width="12" bestFit="1" customWidth="1"/>
    <col min="7" max="7" width="12" bestFit="1" customWidth="1"/>
    <col min="10" max="10" width="39" bestFit="1" customWidth="1"/>
    <col min="11" max="12" width="12" bestFit="1" customWidth="1"/>
    <col min="13" max="13" width="26.7109375" bestFit="1" customWidth="1"/>
  </cols>
  <sheetData>
    <row r="1" spans="1:22" ht="18.75" x14ac:dyDescent="0.3">
      <c r="A1" s="1" t="s">
        <v>19</v>
      </c>
      <c r="C1" t="s">
        <v>32</v>
      </c>
      <c r="E1">
        <f>150/3.6</f>
        <v>41.666666666666664</v>
      </c>
      <c r="F1">
        <f>60</f>
        <v>60</v>
      </c>
      <c r="G1">
        <f>E1/F1</f>
        <v>0.69444444444444442</v>
      </c>
    </row>
    <row r="2" spans="1:22" ht="15.75" thickBot="1" x14ac:dyDescent="0.3">
      <c r="K2">
        <f>K10*10*4200/1000</f>
        <v>233.33333333333334</v>
      </c>
    </row>
    <row r="3" spans="1:22" ht="15.75" thickBot="1" x14ac:dyDescent="0.3">
      <c r="D3" s="2" t="s">
        <v>27</v>
      </c>
      <c r="E3" s="3">
        <f>Oppsummering!D45</f>
        <v>8</v>
      </c>
      <c r="F3" s="3"/>
      <c r="G3" s="3"/>
      <c r="H3" s="4"/>
      <c r="I3" s="2"/>
      <c r="J3" s="3"/>
      <c r="K3" s="4"/>
      <c r="L3" s="2"/>
      <c r="M3" s="3"/>
      <c r="N3" s="3"/>
      <c r="O3" s="3"/>
      <c r="P3" s="4"/>
    </row>
    <row r="4" spans="1:22" ht="15.75" thickBot="1" x14ac:dyDescent="0.3">
      <c r="B4">
        <f>45000/(3*4200)</f>
        <v>3.5714285714285716</v>
      </c>
      <c r="C4">
        <f>6/26</f>
        <v>0.23076923076923078</v>
      </c>
      <c r="D4" s="5"/>
      <c r="H4" s="19"/>
      <c r="I4" s="28"/>
      <c r="J4" s="29" t="s">
        <v>26</v>
      </c>
      <c r="K4" s="30">
        <f>E3</f>
        <v>8</v>
      </c>
      <c r="L4" s="5"/>
      <c r="P4" s="19"/>
    </row>
    <row r="5" spans="1:22" ht="15.75" thickBot="1" x14ac:dyDescent="0.3">
      <c r="B5">
        <f>B4*3600</f>
        <v>12857.142857142859</v>
      </c>
      <c r="D5" s="5"/>
      <c r="E5" s="8">
        <f>G1</f>
        <v>0.69444444444444442</v>
      </c>
      <c r="H5" s="19"/>
      <c r="I5" s="5"/>
      <c r="K5" s="19"/>
      <c r="L5" s="5"/>
      <c r="P5" s="19"/>
    </row>
    <row r="6" spans="1:22" x14ac:dyDescent="0.25">
      <c r="A6" s="12" t="s">
        <v>16</v>
      </c>
      <c r="D6" s="5" t="s">
        <v>12</v>
      </c>
      <c r="H6" s="19"/>
      <c r="I6" s="5"/>
      <c r="K6" s="19"/>
      <c r="L6" s="5"/>
      <c r="P6" s="19"/>
    </row>
    <row r="7" spans="1:22" ht="15.75" thickBot="1" x14ac:dyDescent="0.3">
      <c r="A7" s="13" t="s">
        <v>10</v>
      </c>
      <c r="D7" s="5"/>
      <c r="E7" t="s">
        <v>100</v>
      </c>
      <c r="F7" t="s">
        <v>101</v>
      </c>
      <c r="H7" t="s">
        <v>100</v>
      </c>
      <c r="I7" t="s">
        <v>101</v>
      </c>
      <c r="K7" s="19"/>
      <c r="L7" s="5"/>
      <c r="P7" s="19"/>
    </row>
    <row r="8" spans="1:22" ht="15.75" thickBot="1" x14ac:dyDescent="0.3">
      <c r="A8" s="13" t="s">
        <v>89</v>
      </c>
      <c r="D8" s="20" t="s">
        <v>8</v>
      </c>
      <c r="G8" s="6" t="s">
        <v>11</v>
      </c>
      <c r="H8" s="19"/>
      <c r="I8" s="5"/>
      <c r="J8" s="6" t="s">
        <v>30</v>
      </c>
      <c r="K8" s="19"/>
      <c r="L8" s="5"/>
      <c r="M8" s="2" t="s">
        <v>31</v>
      </c>
      <c r="N8" s="3"/>
      <c r="O8" s="4" t="s">
        <v>29</v>
      </c>
      <c r="P8" s="33"/>
    </row>
    <row r="9" spans="1:22" x14ac:dyDescent="0.25">
      <c r="A9" s="13" t="s">
        <v>20</v>
      </c>
      <c r="D9" s="5" t="s">
        <v>21</v>
      </c>
      <c r="E9">
        <f>0.0015/1000</f>
        <v>1.5E-6</v>
      </c>
      <c r="G9" t="s">
        <v>21</v>
      </c>
      <c r="H9" s="19">
        <f>E9</f>
        <v>1.5E-6</v>
      </c>
      <c r="I9" s="5"/>
      <c r="J9" t="s">
        <v>21</v>
      </c>
      <c r="K9" s="19">
        <f>E9</f>
        <v>1.5E-6</v>
      </c>
      <c r="L9" s="5"/>
      <c r="M9" s="5"/>
      <c r="O9" s="32"/>
      <c r="P9" s="19"/>
      <c r="R9" s="2" t="s">
        <v>22</v>
      </c>
      <c r="S9" s="3"/>
      <c r="T9" s="4">
        <v>0.6</v>
      </c>
    </row>
    <row r="10" spans="1:22" ht="15.75" thickBot="1" x14ac:dyDescent="0.3">
      <c r="A10" s="14"/>
      <c r="D10" s="5" t="s">
        <v>6</v>
      </c>
      <c r="E10" s="41">
        <f>E5</f>
        <v>0.69444444444444442</v>
      </c>
      <c r="G10" t="s">
        <v>6</v>
      </c>
      <c r="H10" s="48">
        <f>E10</f>
        <v>0.69444444444444442</v>
      </c>
      <c r="I10" s="5"/>
      <c r="J10" t="s">
        <v>6</v>
      </c>
      <c r="K10" s="16">
        <f>E3*E5</f>
        <v>5.5555555555555554</v>
      </c>
      <c r="L10" s="5"/>
      <c r="M10" s="5"/>
      <c r="O10" s="19"/>
      <c r="P10" s="19"/>
      <c r="R10" s="5" t="s">
        <v>25</v>
      </c>
      <c r="T10" s="16">
        <f>(R20)</f>
        <v>115.2923415935435</v>
      </c>
    </row>
    <row r="11" spans="1:22" x14ac:dyDescent="0.25">
      <c r="D11" s="5" t="s">
        <v>5</v>
      </c>
      <c r="E11" s="15">
        <f>E10*E17/1000</f>
        <v>0.66597222222222219</v>
      </c>
      <c r="G11" t="s">
        <v>5</v>
      </c>
      <c r="H11" s="24">
        <f>H10*H17/1000</f>
        <v>0.66597222222222219</v>
      </c>
      <c r="I11" s="5"/>
      <c r="J11" t="s">
        <v>5</v>
      </c>
      <c r="K11" s="21">
        <f>K10*K17/1000</f>
        <v>5.3277777777777775</v>
      </c>
      <c r="L11" s="5"/>
      <c r="M11" s="5"/>
      <c r="O11" s="19"/>
      <c r="P11" s="19"/>
      <c r="R11" s="5" t="s">
        <v>24</v>
      </c>
      <c r="T11" s="17">
        <f>T10/10^2</f>
        <v>1.1529234159354349</v>
      </c>
    </row>
    <row r="12" spans="1:22" ht="15.75" thickBot="1" x14ac:dyDescent="0.3">
      <c r="B12" t="s">
        <v>81</v>
      </c>
      <c r="C12" s="35">
        <f>Kollektorvæske!I81</f>
        <v>82.075935828877007</v>
      </c>
      <c r="D12" s="5" t="s">
        <v>14</v>
      </c>
      <c r="E12">
        <f>(45-2.6*2) / 1000</f>
        <v>3.9799999999999995E-2</v>
      </c>
      <c r="G12" t="s">
        <v>14</v>
      </c>
      <c r="H12" s="19">
        <f>(40-2.4*2) / 1000</f>
        <v>3.5200000000000002E-2</v>
      </c>
      <c r="I12" s="5"/>
      <c r="J12" t="s">
        <v>14</v>
      </c>
      <c r="K12" s="19">
        <f>(110-6.6*2) / 1000</f>
        <v>9.6799999999999997E-2</v>
      </c>
      <c r="L12" s="5"/>
      <c r="M12" s="11"/>
      <c r="N12" s="10"/>
      <c r="O12" s="25"/>
      <c r="P12" s="19"/>
      <c r="R12" s="11" t="s">
        <v>23</v>
      </c>
      <c r="S12" s="10"/>
      <c r="T12" s="18">
        <f>((E3*E11/E17)*(1000*T10)/T9)/1000</f>
        <v>1.067521681421699</v>
      </c>
      <c r="V12">
        <f>T12*3</f>
        <v>3.2025650442650972</v>
      </c>
    </row>
    <row r="13" spans="1:22" x14ac:dyDescent="0.25">
      <c r="B13" t="s">
        <v>84</v>
      </c>
      <c r="C13">
        <f>Kollektorvæske!D81</f>
        <v>0.374</v>
      </c>
      <c r="D13" s="5" t="s">
        <v>15</v>
      </c>
      <c r="E13">
        <f>E12/2</f>
        <v>1.9899999999999998E-2</v>
      </c>
      <c r="G13" t="s">
        <v>15</v>
      </c>
      <c r="H13" s="19">
        <f>H12/2</f>
        <v>1.7600000000000001E-2</v>
      </c>
      <c r="I13" s="5"/>
      <c r="J13" t="s">
        <v>15</v>
      </c>
      <c r="K13" s="19">
        <f>K12/2</f>
        <v>4.8399999999999999E-2</v>
      </c>
      <c r="L13" s="5"/>
      <c r="P13" s="19"/>
    </row>
    <row r="14" spans="1:22" x14ac:dyDescent="0.25">
      <c r="B14" t="s">
        <v>85</v>
      </c>
      <c r="C14">
        <f>Kollektorvæske!F81</f>
        <v>959</v>
      </c>
      <c r="D14" s="5" t="s">
        <v>0</v>
      </c>
      <c r="E14">
        <f>C15</f>
        <v>7.6E-3</v>
      </c>
      <c r="G14" t="s">
        <v>0</v>
      </c>
      <c r="H14" s="19">
        <f>E14</f>
        <v>7.6E-3</v>
      </c>
      <c r="I14" s="5"/>
      <c r="J14" t="s">
        <v>0</v>
      </c>
      <c r="K14" s="19">
        <f>E14</f>
        <v>7.6E-3</v>
      </c>
      <c r="L14" s="5"/>
      <c r="P14" s="19"/>
    </row>
    <row r="15" spans="1:22" x14ac:dyDescent="0.25">
      <c r="B15" t="s">
        <v>0</v>
      </c>
      <c r="C15">
        <f>Kollektorvæske!G81</f>
        <v>7.6E-3</v>
      </c>
      <c r="D15" s="5" t="s">
        <v>1</v>
      </c>
      <c r="E15" s="7">
        <f>E11*E12/(E14*PI()*E13^2)</f>
        <v>2803.2999505041225</v>
      </c>
      <c r="G15" t="s">
        <v>1</v>
      </c>
      <c r="H15" s="21">
        <f>H11*H12/(H14*PI()*H13^2)</f>
        <v>3169.6402849450014</v>
      </c>
      <c r="I15" s="5"/>
      <c r="J15" t="s">
        <v>1</v>
      </c>
      <c r="K15" s="21">
        <f>K11*K12/(K14*PI()*K13^2)</f>
        <v>9220.7717380218219</v>
      </c>
      <c r="L15" s="5"/>
      <c r="N15" s="7"/>
      <c r="P15" s="19"/>
      <c r="Q15" s="7"/>
      <c r="V15" s="40">
        <f>V12*8760</f>
        <v>28054.469787762253</v>
      </c>
    </row>
    <row r="16" spans="1:22" x14ac:dyDescent="0.25">
      <c r="D16" s="5" t="s">
        <v>2</v>
      </c>
      <c r="E16" s="15">
        <f>(1/(-1.8*LOG(6.9/$E$15 +(($E$9/$E$12)/3.7)^1.11)))^2</f>
        <v>4.5366524353511413E-2</v>
      </c>
      <c r="G16" t="s">
        <v>2</v>
      </c>
      <c r="H16" s="22">
        <f>(1/(-1.8*LOG(6.9/$H$15 +(($H$9/$H$12)/3.7)^1.11)))^2</f>
        <v>4.3571333565347294E-2</v>
      </c>
      <c r="I16" s="26"/>
      <c r="J16" t="s">
        <v>2</v>
      </c>
      <c r="K16" s="22">
        <f>(1/(-1.8*LOG(6.9/$K$15 +(($K$9/$K$12)/3.7)^1.11)))^2</f>
        <v>3.1598949300488288E-2</v>
      </c>
      <c r="L16" s="5"/>
      <c r="N16" s="15"/>
      <c r="P16" s="19"/>
      <c r="Q16" s="15" t="s">
        <v>33</v>
      </c>
      <c r="R16" s="9">
        <f>M20/1000</f>
        <v>115.2923415935435</v>
      </c>
    </row>
    <row r="17" spans="1:19" x14ac:dyDescent="0.25">
      <c r="D17" s="5" t="s">
        <v>7</v>
      </c>
      <c r="E17" s="9">
        <f>C14</f>
        <v>959</v>
      </c>
      <c r="G17" t="s">
        <v>7</v>
      </c>
      <c r="H17" s="23">
        <f>E17</f>
        <v>959</v>
      </c>
      <c r="I17" s="5"/>
      <c r="J17" t="s">
        <v>7</v>
      </c>
      <c r="K17" s="23">
        <f>E17</f>
        <v>959</v>
      </c>
      <c r="L17" s="5"/>
      <c r="N17" s="9"/>
      <c r="P17" s="19"/>
      <c r="Q17" s="9" t="s">
        <v>34</v>
      </c>
      <c r="R17">
        <v>0</v>
      </c>
    </row>
    <row r="18" spans="1:19" x14ac:dyDescent="0.25">
      <c r="B18">
        <f>C18/2</f>
        <v>167.45678043893605</v>
      </c>
      <c r="C18">
        <f>10*60*E18</f>
        <v>334.9135608778721</v>
      </c>
      <c r="D18" s="5" t="s">
        <v>3</v>
      </c>
      <c r="E18" s="8">
        <f>E11/(E17*PI()*E13^2)</f>
        <v>0.55818926812978686</v>
      </c>
      <c r="G18" t="s">
        <v>3</v>
      </c>
      <c r="H18" s="24">
        <f>H11/(H17*PI()*H13^2)</f>
        <v>0.71361225488144642</v>
      </c>
      <c r="I18" s="5"/>
      <c r="J18" t="s">
        <v>3</v>
      </c>
      <c r="K18" s="24">
        <f>K11/(K17*PI()*K13^2)</f>
        <v>0.75489560846962933</v>
      </c>
      <c r="L18" s="5"/>
      <c r="N18" s="8"/>
      <c r="P18" s="19"/>
      <c r="Q18" t="s">
        <v>35</v>
      </c>
      <c r="R18">
        <v>0</v>
      </c>
    </row>
    <row r="19" spans="1:19" x14ac:dyDescent="0.25">
      <c r="D19" s="5" t="s">
        <v>17</v>
      </c>
      <c r="E19">
        <v>640</v>
      </c>
      <c r="G19" t="s">
        <v>18</v>
      </c>
      <c r="H19" s="19">
        <f>Oppsummering!H47</f>
        <v>12</v>
      </c>
      <c r="I19" s="5"/>
      <c r="J19" t="s">
        <v>18</v>
      </c>
      <c r="K19" s="19">
        <f>Oppsummering!J47</f>
        <v>30</v>
      </c>
      <c r="L19" s="5"/>
      <c r="M19" s="9"/>
      <c r="P19" s="19"/>
    </row>
    <row r="20" spans="1:19" x14ac:dyDescent="0.25">
      <c r="D20" s="20" t="s">
        <v>4</v>
      </c>
      <c r="E20" s="31">
        <f>(E16*E19/E12)*E17*(E18^2)/2</f>
        <v>108989.33087991337</v>
      </c>
      <c r="F20" s="27">
        <f>(64/E15)*(E19/E12)*(C14*E18^2)/2</f>
        <v>54847.75839364226</v>
      </c>
      <c r="G20" s="6" t="s">
        <v>9</v>
      </c>
      <c r="H20" s="31">
        <f>(H16*H19/H12)*H17*(H18^2)/2</f>
        <v>3627.0425094872385</v>
      </c>
      <c r="I20" s="27">
        <f>(64/H15)*(H19/H12)*(C14*H18^2)/2</f>
        <v>1680.8222532331588</v>
      </c>
      <c r="J20" s="6" t="s">
        <v>13</v>
      </c>
      <c r="K20" s="31">
        <f>(K16*K19/K12)*K17*(K18^2)/2</f>
        <v>2675.9682041428982</v>
      </c>
      <c r="L20" s="27">
        <f>(64/K15)*(K19/K12)*(C14*K18^2)/2</f>
        <v>587.7883980980655</v>
      </c>
      <c r="M20" s="27">
        <f>E20+H20+K20</f>
        <v>115292.3415935435</v>
      </c>
      <c r="N20" s="9">
        <f>M20+15000</f>
        <v>130292.3415935435</v>
      </c>
      <c r="P20" s="19"/>
      <c r="Q20" s="6" t="s">
        <v>36</v>
      </c>
      <c r="R20" s="27">
        <f>R16+R17+R18</f>
        <v>115.2923415935435</v>
      </c>
    </row>
    <row r="21" spans="1:19" x14ac:dyDescent="0.25">
      <c r="A21">
        <f>0.034*10^5</f>
        <v>3400.0000000000005</v>
      </c>
      <c r="D21" s="5"/>
      <c r="E21">
        <f>E20/10^5</f>
        <v>1.0898933087991336</v>
      </c>
      <c r="H21">
        <f>H20/H19</f>
        <v>302.25354245726987</v>
      </c>
      <c r="I21" s="5"/>
      <c r="K21" s="19">
        <f>K20/10^3</f>
        <v>2.6759682041428983</v>
      </c>
      <c r="L21" s="5"/>
      <c r="P21" s="19"/>
    </row>
    <row r="22" spans="1:19" ht="15.75" thickBot="1" x14ac:dyDescent="0.3">
      <c r="D22" s="11"/>
      <c r="E22" s="10">
        <f>E20/E19</f>
        <v>170.29582949986462</v>
      </c>
      <c r="F22" s="10"/>
      <c r="G22" s="10"/>
      <c r="H22" s="10">
        <f>H20/10^3</f>
        <v>3.6270425094872385</v>
      </c>
      <c r="I22" s="11"/>
      <c r="J22" s="10">
        <f>K20/10^5</f>
        <v>2.6759682041428982E-2</v>
      </c>
      <c r="K22" s="25"/>
      <c r="L22" s="11"/>
      <c r="M22" s="10" t="s">
        <v>28</v>
      </c>
      <c r="N22" s="10"/>
      <c r="O22" s="10"/>
      <c r="P22" s="25"/>
    </row>
    <row r="23" spans="1:19" x14ac:dyDescent="0.25">
      <c r="B23" t="s">
        <v>86</v>
      </c>
      <c r="D23">
        <f>IF(E15&gt;2300, (((1/((0.79*LN(E15)-1.64)^2))/8)*(E15-1000)*C12)/(1+12.7*(((1/((0.79*LN(E15)-1.64)^2))/8)^0.5)*(C12^(2/3)-1)), 4.36)</f>
        <v>47.0273414010314</v>
      </c>
    </row>
    <row r="24" spans="1:19" x14ac:dyDescent="0.25">
      <c r="B24" t="s">
        <v>87</v>
      </c>
      <c r="C24" t="s">
        <v>82</v>
      </c>
      <c r="G24" s="9">
        <f>E20+H20</f>
        <v>112616.3733894006</v>
      </c>
      <c r="K24" t="s">
        <v>92</v>
      </c>
      <c r="L24" t="s">
        <v>93</v>
      </c>
    </row>
    <row r="25" spans="1:19" x14ac:dyDescent="0.25">
      <c r="C25" t="s">
        <v>83</v>
      </c>
      <c r="D25">
        <f>D23*C13/E12</f>
        <v>441.91521819059665</v>
      </c>
      <c r="H25" s="9"/>
      <c r="K25" t="s">
        <v>95</v>
      </c>
      <c r="L25" t="s">
        <v>94</v>
      </c>
      <c r="O25" s="9"/>
      <c r="R25">
        <f>414/3</f>
        <v>138</v>
      </c>
      <c r="S25">
        <f>R25/2</f>
        <v>69</v>
      </c>
    </row>
    <row r="26" spans="1:19" x14ac:dyDescent="0.25">
      <c r="C26" t="s">
        <v>90</v>
      </c>
      <c r="D26">
        <f>1/(2*PI()*E13*D25)</f>
        <v>1.809789639404133E-2</v>
      </c>
    </row>
    <row r="27" spans="1:19" x14ac:dyDescent="0.25">
      <c r="D27" s="6" t="s">
        <v>37</v>
      </c>
      <c r="E27" s="6"/>
      <c r="F27" s="6"/>
    </row>
    <row r="28" spans="1:19" x14ac:dyDescent="0.25">
      <c r="G28">
        <f>70/(1.5*4.2)</f>
        <v>11.111111111111111</v>
      </c>
    </row>
    <row r="29" spans="1:19" x14ac:dyDescent="0.25">
      <c r="C29" t="s">
        <v>88</v>
      </c>
      <c r="D29">
        <v>4.8439999999999997E-2</v>
      </c>
      <c r="E29">
        <f>15*D29</f>
        <v>0.72659999999999991</v>
      </c>
    </row>
    <row r="31" spans="1:19" x14ac:dyDescent="0.25">
      <c r="C31" t="s">
        <v>91</v>
      </c>
      <c r="D31" s="39">
        <f>D26/D29</f>
        <v>0.37361470673082847</v>
      </c>
    </row>
    <row r="32" spans="1:19" x14ac:dyDescent="0.25">
      <c r="G32">
        <f>45/2</f>
        <v>22.5</v>
      </c>
      <c r="H32">
        <f>G32-2.6</f>
        <v>19.899999999999999</v>
      </c>
    </row>
    <row r="33" spans="3:11" x14ac:dyDescent="0.25">
      <c r="C33" t="s">
        <v>88</v>
      </c>
      <c r="D33" s="6">
        <f>(1/(2*PI()*0.42))*LN(0.02/0.0176)</f>
        <v>4.8441221352144841E-2</v>
      </c>
    </row>
    <row r="34" spans="3:11" x14ac:dyDescent="0.25">
      <c r="C34" t="s">
        <v>96</v>
      </c>
      <c r="D34">
        <f>D26+D33</f>
        <v>6.6539117746186177E-2</v>
      </c>
      <c r="E34">
        <f>D34*15</f>
        <v>0.99808676619279268</v>
      </c>
    </row>
    <row r="38" spans="3:11" x14ac:dyDescent="0.25">
      <c r="C38">
        <f>-3.3</f>
        <v>-3.3</v>
      </c>
      <c r="E38">
        <f>32*0.55</f>
        <v>17.600000000000001</v>
      </c>
      <c r="G38" s="6"/>
      <c r="H38" s="9"/>
      <c r="J38" s="6"/>
      <c r="K38" s="9"/>
    </row>
    <row r="39" spans="3:11" x14ac:dyDescent="0.25">
      <c r="C39">
        <f>-0.4</f>
        <v>-0.4</v>
      </c>
    </row>
    <row r="40" spans="3:11" x14ac:dyDescent="0.25">
      <c r="C40">
        <f>AVERAGE(C38:C39)</f>
        <v>-1.8499999999999999</v>
      </c>
      <c r="E40" s="7"/>
    </row>
    <row r="41" spans="3:11" x14ac:dyDescent="0.25">
      <c r="E41" s="15"/>
    </row>
    <row r="42" spans="3:11" x14ac:dyDescent="0.25">
      <c r="E42" s="9"/>
    </row>
    <row r="43" spans="3:11" x14ac:dyDescent="0.25">
      <c r="E43" s="8"/>
    </row>
    <row r="45" spans="3:11" x14ac:dyDescent="0.25">
      <c r="D45" s="6"/>
      <c r="E45" s="9"/>
    </row>
    <row r="46" spans="3:11" x14ac:dyDescent="0.25">
      <c r="C46" t="s">
        <v>98</v>
      </c>
      <c r="D4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6C4E-935B-45E9-8D4E-223AF2A3C9A0}">
  <dimension ref="A1:V46"/>
  <sheetViews>
    <sheetView zoomScale="110" zoomScaleNormal="110" workbookViewId="0">
      <selection activeCell="E3" sqref="E3"/>
    </sheetView>
  </sheetViews>
  <sheetFormatPr defaultColWidth="11.5703125" defaultRowHeight="15" x14ac:dyDescent="0.25"/>
  <cols>
    <col min="1" max="1" width="58.7109375" bestFit="1" customWidth="1"/>
    <col min="2" max="2" width="18.85546875" customWidth="1"/>
    <col min="3" max="3" width="21" customWidth="1"/>
    <col min="4" max="4" width="22.140625" bestFit="1" customWidth="1"/>
    <col min="5" max="5" width="12" bestFit="1" customWidth="1"/>
    <col min="7" max="7" width="12" bestFit="1" customWidth="1"/>
    <col min="10" max="10" width="39" bestFit="1" customWidth="1"/>
    <col min="11" max="12" width="12" bestFit="1" customWidth="1"/>
    <col min="13" max="13" width="26.7109375" bestFit="1" customWidth="1"/>
  </cols>
  <sheetData>
    <row r="1" spans="1:22" ht="18.75" x14ac:dyDescent="0.3">
      <c r="A1" s="1" t="s">
        <v>19</v>
      </c>
      <c r="C1" t="s">
        <v>32</v>
      </c>
      <c r="E1">
        <f>150/3.6</f>
        <v>41.666666666666664</v>
      </c>
      <c r="F1">
        <f>60</f>
        <v>60</v>
      </c>
      <c r="G1">
        <f>E1/F1</f>
        <v>0.69444444444444442</v>
      </c>
    </row>
    <row r="2" spans="1:22" ht="15.75" thickBot="1" x14ac:dyDescent="0.3">
      <c r="K2">
        <f>K10*10*4200/1000</f>
        <v>262.5</v>
      </c>
    </row>
    <row r="3" spans="1:22" ht="15.75" thickBot="1" x14ac:dyDescent="0.3">
      <c r="D3" s="2" t="s">
        <v>27</v>
      </c>
      <c r="E3" s="3">
        <f>Oppsummering!D36</f>
        <v>9</v>
      </c>
      <c r="F3" s="3"/>
      <c r="G3" s="3"/>
      <c r="H3" s="4"/>
      <c r="I3" s="2"/>
      <c r="J3" s="3"/>
      <c r="K3" s="4"/>
      <c r="L3" s="2"/>
      <c r="M3" s="3"/>
      <c r="N3" s="3"/>
      <c r="O3" s="3"/>
      <c r="P3" s="4"/>
    </row>
    <row r="4" spans="1:22" ht="15.75" thickBot="1" x14ac:dyDescent="0.3">
      <c r="B4">
        <f>45000/(3*4200)</f>
        <v>3.5714285714285716</v>
      </c>
      <c r="C4">
        <f>6/26</f>
        <v>0.23076923076923078</v>
      </c>
      <c r="D4" s="5"/>
      <c r="H4" s="19"/>
      <c r="I4" s="28"/>
      <c r="J4" s="29" t="s">
        <v>26</v>
      </c>
      <c r="K4" s="30">
        <f>E3</f>
        <v>9</v>
      </c>
      <c r="L4" s="5"/>
      <c r="P4" s="19"/>
    </row>
    <row r="5" spans="1:22" ht="15.75" thickBot="1" x14ac:dyDescent="0.3">
      <c r="B5">
        <f>B4*3600</f>
        <v>12857.142857142859</v>
      </c>
      <c r="D5" s="5"/>
      <c r="E5" s="8">
        <f>G1</f>
        <v>0.69444444444444442</v>
      </c>
      <c r="H5" s="19"/>
      <c r="I5" s="5"/>
      <c r="K5" s="19"/>
      <c r="L5" s="5"/>
      <c r="P5" s="19"/>
    </row>
    <row r="6" spans="1:22" x14ac:dyDescent="0.25">
      <c r="A6" s="12" t="s">
        <v>16</v>
      </c>
      <c r="D6" s="5" t="s">
        <v>12</v>
      </c>
      <c r="H6" s="19"/>
      <c r="I6" s="5"/>
      <c r="K6" s="19"/>
      <c r="L6" s="5"/>
      <c r="P6" s="19"/>
    </row>
    <row r="7" spans="1:22" ht="15.75" thickBot="1" x14ac:dyDescent="0.3">
      <c r="A7" s="13" t="s">
        <v>10</v>
      </c>
      <c r="D7" s="5"/>
      <c r="E7" t="s">
        <v>100</v>
      </c>
      <c r="F7" t="s">
        <v>101</v>
      </c>
      <c r="H7" t="s">
        <v>100</v>
      </c>
      <c r="I7" t="s">
        <v>101</v>
      </c>
      <c r="K7" s="19"/>
      <c r="L7" s="5"/>
      <c r="P7" s="19"/>
    </row>
    <row r="8" spans="1:22" ht="15.75" thickBot="1" x14ac:dyDescent="0.3">
      <c r="A8" s="13" t="s">
        <v>89</v>
      </c>
      <c r="D8" s="20" t="s">
        <v>8</v>
      </c>
      <c r="G8" s="6" t="s">
        <v>11</v>
      </c>
      <c r="H8" s="19"/>
      <c r="I8" s="5"/>
      <c r="J8" s="6" t="s">
        <v>30</v>
      </c>
      <c r="K8" s="19"/>
      <c r="L8" s="5"/>
      <c r="M8" s="2" t="s">
        <v>31</v>
      </c>
      <c r="N8" s="3"/>
      <c r="O8" s="4" t="s">
        <v>29</v>
      </c>
      <c r="P8" s="33"/>
    </row>
    <row r="9" spans="1:22" x14ac:dyDescent="0.25">
      <c r="A9" s="13" t="s">
        <v>20</v>
      </c>
      <c r="D9" s="5" t="s">
        <v>21</v>
      </c>
      <c r="E9">
        <f>0.0015/1000</f>
        <v>1.5E-6</v>
      </c>
      <c r="G9" t="s">
        <v>21</v>
      </c>
      <c r="H9" s="19">
        <f>E9</f>
        <v>1.5E-6</v>
      </c>
      <c r="I9" s="5"/>
      <c r="J9" t="s">
        <v>21</v>
      </c>
      <c r="K9" s="19">
        <f>E9</f>
        <v>1.5E-6</v>
      </c>
      <c r="L9" s="5"/>
      <c r="M9" s="5"/>
      <c r="O9" s="32"/>
      <c r="P9" s="19"/>
      <c r="R9" s="2" t="s">
        <v>22</v>
      </c>
      <c r="S9" s="3"/>
      <c r="T9" s="4">
        <v>0.6</v>
      </c>
    </row>
    <row r="10" spans="1:22" ht="15.75" thickBot="1" x14ac:dyDescent="0.3">
      <c r="A10" s="14"/>
      <c r="D10" s="5" t="s">
        <v>6</v>
      </c>
      <c r="E10" s="41">
        <f>E5</f>
        <v>0.69444444444444442</v>
      </c>
      <c r="G10" t="s">
        <v>6</v>
      </c>
      <c r="H10" s="33">
        <f>E10</f>
        <v>0.69444444444444442</v>
      </c>
      <c r="I10" s="5"/>
      <c r="J10" t="s">
        <v>6</v>
      </c>
      <c r="K10" s="33">
        <f>E3*E5</f>
        <v>6.25</v>
      </c>
      <c r="L10" s="5"/>
      <c r="M10" s="5"/>
      <c r="O10" s="19"/>
      <c r="P10" s="19"/>
      <c r="R10" s="5" t="s">
        <v>25</v>
      </c>
      <c r="T10" s="16">
        <f>(R20)</f>
        <v>200.48379721895739</v>
      </c>
    </row>
    <row r="11" spans="1:22" x14ac:dyDescent="0.25">
      <c r="D11" s="5" t="s">
        <v>5</v>
      </c>
      <c r="E11" s="15">
        <f>E10*E17/1000</f>
        <v>0.66597222222222219</v>
      </c>
      <c r="G11" t="s">
        <v>5</v>
      </c>
      <c r="H11" s="19">
        <f>H10*H17/1000</f>
        <v>0.66597222222222219</v>
      </c>
      <c r="I11" s="5"/>
      <c r="J11" t="s">
        <v>5</v>
      </c>
      <c r="K11" s="19">
        <f>K10*K17/1000</f>
        <v>5.9937500000000004</v>
      </c>
      <c r="L11" s="5"/>
      <c r="M11" s="5"/>
      <c r="O11" s="19"/>
      <c r="P11" s="19"/>
      <c r="R11" s="5" t="s">
        <v>24</v>
      </c>
      <c r="T11" s="17">
        <f>T10/10^2</f>
        <v>2.0048379721895739</v>
      </c>
    </row>
    <row r="12" spans="1:22" ht="15.75" thickBot="1" x14ac:dyDescent="0.3">
      <c r="B12" t="s">
        <v>81</v>
      </c>
      <c r="C12" s="35">
        <f>Kollektorvæske!I81</f>
        <v>82.075935828877007</v>
      </c>
      <c r="D12" s="5" t="s">
        <v>14</v>
      </c>
      <c r="E12">
        <f>(45-2.6*2) / 1000</f>
        <v>3.9799999999999995E-2</v>
      </c>
      <c r="G12" t="s">
        <v>14</v>
      </c>
      <c r="H12" s="19">
        <f>(40-2.4*2) / 1000</f>
        <v>3.5200000000000002E-2</v>
      </c>
      <c r="I12" s="5"/>
      <c r="J12" t="s">
        <v>14</v>
      </c>
      <c r="K12" s="19">
        <f>(125-7.4*2) / 1000</f>
        <v>0.11020000000000001</v>
      </c>
      <c r="L12" s="5"/>
      <c r="M12" s="11"/>
      <c r="N12" s="10"/>
      <c r="O12" s="25"/>
      <c r="P12" s="19"/>
      <c r="R12" s="11" t="s">
        <v>23</v>
      </c>
      <c r="S12" s="10"/>
      <c r="T12" s="18">
        <f>((E3*E11/E17)*(1000*T10)/T9)/1000</f>
        <v>2.088372887697473</v>
      </c>
      <c r="V12">
        <f>T12*3</f>
        <v>6.2651186630924194</v>
      </c>
    </row>
    <row r="13" spans="1:22" x14ac:dyDescent="0.25">
      <c r="B13" t="s">
        <v>84</v>
      </c>
      <c r="C13">
        <f>Kollektorvæske!D81</f>
        <v>0.374</v>
      </c>
      <c r="D13" s="5" t="s">
        <v>15</v>
      </c>
      <c r="E13">
        <f>E12/2</f>
        <v>1.9899999999999998E-2</v>
      </c>
      <c r="G13" t="s">
        <v>15</v>
      </c>
      <c r="H13" s="19">
        <f>H12/2</f>
        <v>1.7600000000000001E-2</v>
      </c>
      <c r="I13" s="5"/>
      <c r="J13" t="s">
        <v>15</v>
      </c>
      <c r="K13" s="19">
        <f>K12/2</f>
        <v>5.5100000000000003E-2</v>
      </c>
      <c r="L13" s="5"/>
      <c r="P13" s="19"/>
    </row>
    <row r="14" spans="1:22" x14ac:dyDescent="0.25">
      <c r="B14" t="s">
        <v>85</v>
      </c>
      <c r="C14">
        <f>Kollektorvæske!F81</f>
        <v>959</v>
      </c>
      <c r="D14" s="5" t="s">
        <v>0</v>
      </c>
      <c r="E14">
        <f>C15</f>
        <v>7.6E-3</v>
      </c>
      <c r="G14" t="s">
        <v>0</v>
      </c>
      <c r="H14" s="19">
        <f>E14</f>
        <v>7.6E-3</v>
      </c>
      <c r="I14" s="5"/>
      <c r="J14" t="s">
        <v>0</v>
      </c>
      <c r="K14" s="19">
        <f>E14</f>
        <v>7.6E-3</v>
      </c>
      <c r="L14" s="5"/>
      <c r="P14" s="19"/>
    </row>
    <row r="15" spans="1:22" x14ac:dyDescent="0.25">
      <c r="B15" t="s">
        <v>0</v>
      </c>
      <c r="C15">
        <f>Kollektorvæske!G81</f>
        <v>7.6E-3</v>
      </c>
      <c r="D15" s="5" t="s">
        <v>1</v>
      </c>
      <c r="E15" s="7">
        <f>E11*E12/(E14*PI()*E13^2)</f>
        <v>2803.2999505041225</v>
      </c>
      <c r="G15" t="s">
        <v>1</v>
      </c>
      <c r="H15" s="21">
        <f>H11*H12/(H14*PI()*H13^2)</f>
        <v>3169.6402849450014</v>
      </c>
      <c r="I15" s="5"/>
      <c r="J15" t="s">
        <v>1</v>
      </c>
      <c r="K15" s="21">
        <f>K11*K12/(K14*PI()*K13^2)</f>
        <v>9111.9967538164838</v>
      </c>
      <c r="L15" s="5"/>
      <c r="N15" s="7"/>
      <c r="P15" s="19"/>
      <c r="Q15" s="7"/>
      <c r="V15" s="40">
        <f>V12*8760</f>
        <v>54882.439488689597</v>
      </c>
    </row>
    <row r="16" spans="1:22" x14ac:dyDescent="0.25">
      <c r="D16" s="5" t="s">
        <v>2</v>
      </c>
      <c r="E16" s="15">
        <f>(1/(-1.8*LOG(6.9/$E$15 +(($E$9/$E$12)/3.7)^1.11)))^2</f>
        <v>4.5366524353511413E-2</v>
      </c>
      <c r="G16" t="s">
        <v>2</v>
      </c>
      <c r="H16" s="22">
        <f>(1/(-1.8*LOG(6.9/$H$15 +(($H$9/$H$12)/3.7)^1.11)))^2</f>
        <v>4.3571333565347294E-2</v>
      </c>
      <c r="I16" s="26"/>
      <c r="J16" t="s">
        <v>2</v>
      </c>
      <c r="K16" s="22">
        <f>(1/(-1.8*LOG(6.9/$K$15 +(($K$9/$K$12)/3.7)^1.11)))^2</f>
        <v>3.1701600722970402E-2</v>
      </c>
      <c r="L16" s="5"/>
      <c r="N16" s="15"/>
      <c r="P16" s="19"/>
      <c r="Q16" s="15" t="s">
        <v>33</v>
      </c>
      <c r="R16" s="9">
        <f>M20/1000</f>
        <v>200.48379721895739</v>
      </c>
    </row>
    <row r="17" spans="1:19" x14ac:dyDescent="0.25">
      <c r="D17" s="5" t="s">
        <v>7</v>
      </c>
      <c r="E17" s="9">
        <f>C14</f>
        <v>959</v>
      </c>
      <c r="G17" t="s">
        <v>7</v>
      </c>
      <c r="H17" s="23">
        <f>E17</f>
        <v>959</v>
      </c>
      <c r="I17" s="5"/>
      <c r="J17" t="s">
        <v>7</v>
      </c>
      <c r="K17" s="23">
        <f>E17</f>
        <v>959</v>
      </c>
      <c r="L17" s="5"/>
      <c r="N17" s="9"/>
      <c r="P17" s="19"/>
      <c r="Q17" s="9" t="s">
        <v>34</v>
      </c>
      <c r="R17">
        <v>0</v>
      </c>
    </row>
    <row r="18" spans="1:19" x14ac:dyDescent="0.25">
      <c r="B18">
        <f>C18/2</f>
        <v>167.45678043893605</v>
      </c>
      <c r="C18">
        <f>10*60*E18</f>
        <v>334.9135608778721</v>
      </c>
      <c r="D18" s="5" t="s">
        <v>3</v>
      </c>
      <c r="E18" s="8">
        <f>E11/(E17*PI()*E13^2)</f>
        <v>0.55818926812978686</v>
      </c>
      <c r="G18" t="s">
        <v>3</v>
      </c>
      <c r="H18" s="24">
        <f>H11/(H17*PI()*H13^2)</f>
        <v>0.71361225488144642</v>
      </c>
      <c r="I18" s="5"/>
      <c r="J18" t="s">
        <v>3</v>
      </c>
      <c r="K18" s="24">
        <f>K11/(K17*PI()*K13^2)</f>
        <v>0.65528005133339207</v>
      </c>
      <c r="L18" s="5"/>
      <c r="N18" s="8"/>
      <c r="P18" s="19"/>
      <c r="Q18" t="s">
        <v>35</v>
      </c>
      <c r="R18">
        <v>0</v>
      </c>
    </row>
    <row r="19" spans="1:19" x14ac:dyDescent="0.25">
      <c r="D19" s="5" t="s">
        <v>17</v>
      </c>
      <c r="E19">
        <v>640</v>
      </c>
      <c r="G19" t="s">
        <v>18</v>
      </c>
      <c r="H19" s="19">
        <f>Oppsummering!H38</f>
        <v>240</v>
      </c>
      <c r="I19" s="5"/>
      <c r="J19" t="s">
        <v>18</v>
      </c>
      <c r="K19" s="19">
        <f>Oppsummering!J38</f>
        <v>320</v>
      </c>
      <c r="L19" s="5"/>
      <c r="M19" s="9"/>
      <c r="P19" s="19"/>
    </row>
    <row r="20" spans="1:19" x14ac:dyDescent="0.25">
      <c r="D20" s="20" t="s">
        <v>4</v>
      </c>
      <c r="E20" s="31">
        <f>(E16*E19/E12)*E17*(E18^2)/2</f>
        <v>108989.33087991337</v>
      </c>
      <c r="F20" s="27">
        <f>(64/E15)*(E19/E12)*(C14*E18^2)/2</f>
        <v>54847.75839364226</v>
      </c>
      <c r="G20" s="6" t="s">
        <v>9</v>
      </c>
      <c r="H20" s="31">
        <f>(H16*H19/H12)*H17*(H18^2)/2</f>
        <v>72540.850189744771</v>
      </c>
      <c r="I20" s="27">
        <f>(64/H15)*(H19/H12)*(C14*H18^2)/2</f>
        <v>33616.445064663174</v>
      </c>
      <c r="J20" s="6" t="s">
        <v>13</v>
      </c>
      <c r="K20" s="31">
        <f>(K16*K19/K12)*K17*(K18^2)/2</f>
        <v>18953.616149299243</v>
      </c>
      <c r="L20" s="27">
        <f>(64/K15)*(K19/K12)*(C14*K18^2)/2</f>
        <v>4199.3039149220431</v>
      </c>
      <c r="M20" s="27">
        <f>E20+H20+K20</f>
        <v>200483.79721895739</v>
      </c>
      <c r="N20" s="9">
        <f>M20+15000</f>
        <v>215483.79721895739</v>
      </c>
      <c r="P20" s="19"/>
      <c r="Q20" s="6" t="s">
        <v>36</v>
      </c>
      <c r="R20" s="27">
        <f>R16+R17+R18</f>
        <v>200.48379721895739</v>
      </c>
    </row>
    <row r="21" spans="1:19" x14ac:dyDescent="0.25">
      <c r="A21">
        <f>0.034*10^5</f>
        <v>3400.0000000000005</v>
      </c>
      <c r="D21" s="5"/>
      <c r="E21">
        <f>E20/10^5</f>
        <v>1.0898933087991336</v>
      </c>
      <c r="H21">
        <f>H20/H19</f>
        <v>302.25354245726987</v>
      </c>
      <c r="I21" s="5"/>
      <c r="K21" s="19">
        <f>K20/10^3</f>
        <v>18.953616149299243</v>
      </c>
      <c r="L21" s="5"/>
      <c r="P21" s="19"/>
    </row>
    <row r="22" spans="1:19" ht="15.75" thickBot="1" x14ac:dyDescent="0.3">
      <c r="D22" s="11"/>
      <c r="E22" s="10">
        <f>E20/E19</f>
        <v>170.29582949986462</v>
      </c>
      <c r="F22" s="10"/>
      <c r="G22" s="10"/>
      <c r="H22" s="10">
        <f>H20/10^3</f>
        <v>72.540850189744774</v>
      </c>
      <c r="I22" s="11"/>
      <c r="J22" s="10">
        <f>K20/10^5</f>
        <v>0.18953616149299243</v>
      </c>
      <c r="K22" s="25"/>
      <c r="L22" s="11"/>
      <c r="M22" s="10" t="s">
        <v>28</v>
      </c>
      <c r="N22" s="10"/>
      <c r="O22" s="10"/>
      <c r="P22" s="25"/>
    </row>
    <row r="23" spans="1:19" x14ac:dyDescent="0.25">
      <c r="B23" t="s">
        <v>86</v>
      </c>
      <c r="D23">
        <f>IF(E15&gt;2300, (((1/((0.79*LN(E15)-1.64)^2))/8)*(E15-1000)*C12)/(1+12.7*(((1/((0.79*LN(E15)-1.64)^2))/8)^0.5)*(C12^(2/3)-1)), 4.36)</f>
        <v>47.0273414010314</v>
      </c>
    </row>
    <row r="24" spans="1:19" x14ac:dyDescent="0.25">
      <c r="B24" t="s">
        <v>87</v>
      </c>
      <c r="C24" t="s">
        <v>82</v>
      </c>
      <c r="G24" s="9">
        <f>E20+H20</f>
        <v>181530.18106965814</v>
      </c>
      <c r="K24" t="s">
        <v>92</v>
      </c>
      <c r="L24" t="s">
        <v>93</v>
      </c>
    </row>
    <row r="25" spans="1:19" x14ac:dyDescent="0.25">
      <c r="C25" t="s">
        <v>83</v>
      </c>
      <c r="D25">
        <f>D23*C13/E12</f>
        <v>441.91521819059665</v>
      </c>
      <c r="H25" s="9"/>
      <c r="K25" t="s">
        <v>95</v>
      </c>
      <c r="L25" t="s">
        <v>94</v>
      </c>
      <c r="O25" s="9"/>
      <c r="R25">
        <f>414/3</f>
        <v>138</v>
      </c>
      <c r="S25">
        <f>R25/2</f>
        <v>69</v>
      </c>
    </row>
    <row r="26" spans="1:19" x14ac:dyDescent="0.25">
      <c r="C26" t="s">
        <v>90</v>
      </c>
      <c r="D26">
        <f>1/(2*PI()*E13*D25)</f>
        <v>1.809789639404133E-2</v>
      </c>
    </row>
    <row r="27" spans="1:19" x14ac:dyDescent="0.25">
      <c r="D27" s="6" t="s">
        <v>37</v>
      </c>
      <c r="E27" s="6"/>
      <c r="F27" s="6"/>
    </row>
    <row r="28" spans="1:19" x14ac:dyDescent="0.25">
      <c r="G28">
        <f>70/(1.5*4.2)</f>
        <v>11.111111111111111</v>
      </c>
    </row>
    <row r="29" spans="1:19" x14ac:dyDescent="0.25">
      <c r="C29" t="s">
        <v>88</v>
      </c>
      <c r="D29">
        <v>4.8439999999999997E-2</v>
      </c>
      <c r="E29">
        <f>15*D29</f>
        <v>0.72659999999999991</v>
      </c>
    </row>
    <row r="31" spans="1:19" x14ac:dyDescent="0.25">
      <c r="C31" t="s">
        <v>91</v>
      </c>
      <c r="D31" s="39">
        <f>D26/D29</f>
        <v>0.37361470673082847</v>
      </c>
    </row>
    <row r="32" spans="1:19" x14ac:dyDescent="0.25">
      <c r="G32">
        <f>45/2</f>
        <v>22.5</v>
      </c>
      <c r="H32">
        <f>G32-2.6</f>
        <v>19.899999999999999</v>
      </c>
    </row>
    <row r="33" spans="3:11" x14ac:dyDescent="0.25">
      <c r="C33" t="s">
        <v>88</v>
      </c>
      <c r="D33" s="6">
        <f>(1/(2*PI()*0.42))*LN(0.02/0.0176)</f>
        <v>4.8441221352144841E-2</v>
      </c>
    </row>
    <row r="34" spans="3:11" x14ac:dyDescent="0.25">
      <c r="C34" t="s">
        <v>96</v>
      </c>
      <c r="D34">
        <f>D26+D33</f>
        <v>6.6539117746186177E-2</v>
      </c>
      <c r="E34">
        <f>D34*15</f>
        <v>0.99808676619279268</v>
      </c>
    </row>
    <row r="38" spans="3:11" x14ac:dyDescent="0.25">
      <c r="C38">
        <f>-3.3</f>
        <v>-3.3</v>
      </c>
      <c r="E38">
        <f>32*0.55</f>
        <v>17.600000000000001</v>
      </c>
      <c r="G38" s="6"/>
      <c r="H38" s="9"/>
      <c r="J38" s="6"/>
      <c r="K38" s="9"/>
    </row>
    <row r="39" spans="3:11" x14ac:dyDescent="0.25">
      <c r="C39">
        <f>-0.4</f>
        <v>-0.4</v>
      </c>
    </row>
    <row r="40" spans="3:11" x14ac:dyDescent="0.25">
      <c r="C40">
        <f>AVERAGE(C38:C39)</f>
        <v>-1.8499999999999999</v>
      </c>
      <c r="E40" s="7"/>
    </row>
    <row r="41" spans="3:11" x14ac:dyDescent="0.25">
      <c r="E41" s="15"/>
    </row>
    <row r="42" spans="3:11" x14ac:dyDescent="0.25">
      <c r="E42" s="9"/>
    </row>
    <row r="43" spans="3:11" x14ac:dyDescent="0.25">
      <c r="E43" s="8"/>
    </row>
    <row r="45" spans="3:11" x14ac:dyDescent="0.25">
      <c r="D45" s="6"/>
      <c r="E45" s="9"/>
    </row>
    <row r="46" spans="3:11" x14ac:dyDescent="0.25">
      <c r="C46" t="s">
        <v>98</v>
      </c>
      <c r="D4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D52B-57F3-44B3-897A-7F607131C677}">
  <dimension ref="A1:V46"/>
  <sheetViews>
    <sheetView topLeftCell="A4" zoomScale="110" zoomScaleNormal="110" workbookViewId="0">
      <selection activeCell="K12" sqref="K12"/>
    </sheetView>
  </sheetViews>
  <sheetFormatPr defaultColWidth="11.5703125" defaultRowHeight="15" x14ac:dyDescent="0.25"/>
  <cols>
    <col min="1" max="1" width="58.7109375" bestFit="1" customWidth="1"/>
    <col min="2" max="2" width="18.85546875" customWidth="1"/>
    <col min="3" max="3" width="21" customWidth="1"/>
    <col min="4" max="4" width="22.140625" bestFit="1" customWidth="1"/>
    <col min="5" max="5" width="12" bestFit="1" customWidth="1"/>
    <col min="7" max="7" width="12" bestFit="1" customWidth="1"/>
    <col min="10" max="10" width="39" bestFit="1" customWidth="1"/>
    <col min="11" max="12" width="12" bestFit="1" customWidth="1"/>
    <col min="13" max="13" width="26.7109375" bestFit="1" customWidth="1"/>
  </cols>
  <sheetData>
    <row r="1" spans="1:22" ht="18.75" x14ac:dyDescent="0.3">
      <c r="A1" s="1" t="s">
        <v>19</v>
      </c>
      <c r="C1" t="s">
        <v>32</v>
      </c>
      <c r="E1">
        <f>150/3.6</f>
        <v>41.666666666666664</v>
      </c>
      <c r="F1">
        <f>60</f>
        <v>60</v>
      </c>
      <c r="G1">
        <f>E1/F1</f>
        <v>0.69444444444444442</v>
      </c>
    </row>
    <row r="2" spans="1:22" ht="15.75" thickBot="1" x14ac:dyDescent="0.3">
      <c r="K2">
        <f>K10*10*4200/1000</f>
        <v>233.33333333333334</v>
      </c>
    </row>
    <row r="3" spans="1:22" ht="15.75" thickBot="1" x14ac:dyDescent="0.3">
      <c r="D3" s="2" t="s">
        <v>27</v>
      </c>
      <c r="E3" s="3">
        <f>Oppsummering!D27</f>
        <v>8</v>
      </c>
      <c r="F3" s="3"/>
      <c r="G3" s="3"/>
      <c r="H3" s="4"/>
      <c r="I3" s="2"/>
      <c r="J3" s="3"/>
      <c r="K3" s="4"/>
      <c r="L3" s="2"/>
      <c r="M3" s="3"/>
      <c r="N3" s="3"/>
      <c r="O3" s="3"/>
      <c r="P3" s="4"/>
    </row>
    <row r="4" spans="1:22" ht="15.75" thickBot="1" x14ac:dyDescent="0.3">
      <c r="B4">
        <f>45000/(3*4200)</f>
        <v>3.5714285714285716</v>
      </c>
      <c r="C4">
        <f>6/26</f>
        <v>0.23076923076923078</v>
      </c>
      <c r="D4" s="5"/>
      <c r="H4" s="19"/>
      <c r="I4" s="28"/>
      <c r="J4" s="29" t="s">
        <v>26</v>
      </c>
      <c r="K4" s="30">
        <f>E3</f>
        <v>8</v>
      </c>
      <c r="L4" s="5"/>
      <c r="P4" s="19"/>
    </row>
    <row r="5" spans="1:22" ht="15.75" thickBot="1" x14ac:dyDescent="0.3">
      <c r="B5">
        <f>B4*3600</f>
        <v>12857.142857142859</v>
      </c>
      <c r="D5" s="5"/>
      <c r="E5" s="8">
        <f>G1</f>
        <v>0.69444444444444442</v>
      </c>
      <c r="H5" s="19"/>
      <c r="I5" s="5"/>
      <c r="K5" s="19"/>
      <c r="L5" s="5"/>
      <c r="P5" s="19"/>
    </row>
    <row r="6" spans="1:22" x14ac:dyDescent="0.25">
      <c r="A6" s="12" t="s">
        <v>16</v>
      </c>
      <c r="D6" s="5" t="s">
        <v>12</v>
      </c>
      <c r="H6" s="19"/>
      <c r="I6" s="5"/>
      <c r="K6" s="19"/>
      <c r="L6" s="5"/>
      <c r="P6" s="19"/>
    </row>
    <row r="7" spans="1:22" ht="15.75" thickBot="1" x14ac:dyDescent="0.3">
      <c r="A7" s="13" t="s">
        <v>10</v>
      </c>
      <c r="D7" s="5"/>
      <c r="E7" t="s">
        <v>100</v>
      </c>
      <c r="F7" t="s">
        <v>101</v>
      </c>
      <c r="H7" t="s">
        <v>100</v>
      </c>
      <c r="I7" t="s">
        <v>101</v>
      </c>
      <c r="K7" s="19"/>
      <c r="L7" s="5"/>
      <c r="P7" s="19"/>
    </row>
    <row r="8" spans="1:22" ht="15.75" thickBot="1" x14ac:dyDescent="0.3">
      <c r="A8" s="13" t="s">
        <v>89</v>
      </c>
      <c r="D8" s="20" t="s">
        <v>8</v>
      </c>
      <c r="G8" s="6" t="s">
        <v>11</v>
      </c>
      <c r="H8" s="19"/>
      <c r="I8" s="5"/>
      <c r="J8" s="6" t="s">
        <v>30</v>
      </c>
      <c r="K8" s="19"/>
      <c r="L8" s="5"/>
      <c r="M8" s="2" t="s">
        <v>31</v>
      </c>
      <c r="N8" s="3"/>
      <c r="O8" s="4" t="s">
        <v>29</v>
      </c>
      <c r="P8" s="33"/>
    </row>
    <row r="9" spans="1:22" x14ac:dyDescent="0.25">
      <c r="A9" s="13" t="s">
        <v>20</v>
      </c>
      <c r="D9" s="5" t="s">
        <v>21</v>
      </c>
      <c r="E9">
        <f>0.0015/1000</f>
        <v>1.5E-6</v>
      </c>
      <c r="G9" t="s">
        <v>21</v>
      </c>
      <c r="H9" s="19">
        <f>E9</f>
        <v>1.5E-6</v>
      </c>
      <c r="I9" s="5"/>
      <c r="J9" t="s">
        <v>21</v>
      </c>
      <c r="K9" s="19">
        <f>E9</f>
        <v>1.5E-6</v>
      </c>
      <c r="L9" s="5"/>
      <c r="M9" s="5"/>
      <c r="O9" s="32"/>
      <c r="P9" s="19"/>
      <c r="R9" s="2" t="s">
        <v>22</v>
      </c>
      <c r="S9" s="3"/>
      <c r="T9" s="4">
        <v>0.6</v>
      </c>
    </row>
    <row r="10" spans="1:22" ht="15.75" thickBot="1" x14ac:dyDescent="0.3">
      <c r="A10" s="14"/>
      <c r="D10" s="5" t="s">
        <v>6</v>
      </c>
      <c r="E10" s="41">
        <f>E5</f>
        <v>0.69444444444444442</v>
      </c>
      <c r="G10" t="s">
        <v>6</v>
      </c>
      <c r="H10" s="33">
        <f>E10</f>
        <v>0.69444444444444442</v>
      </c>
      <c r="I10" s="5"/>
      <c r="J10" t="s">
        <v>6</v>
      </c>
      <c r="K10" s="33">
        <f>E3*E5</f>
        <v>5.5555555555555554</v>
      </c>
      <c r="L10" s="5"/>
      <c r="M10" s="5"/>
      <c r="O10" s="19"/>
      <c r="P10" s="19"/>
      <c r="R10" s="5" t="s">
        <v>25</v>
      </c>
      <c r="T10" s="16">
        <f>(R20)</f>
        <v>153.98079502807406</v>
      </c>
    </row>
    <row r="11" spans="1:22" x14ac:dyDescent="0.25">
      <c r="D11" s="5" t="s">
        <v>5</v>
      </c>
      <c r="E11" s="15">
        <f>E10*E17/1000</f>
        <v>0.66597222222222219</v>
      </c>
      <c r="G11" t="s">
        <v>5</v>
      </c>
      <c r="H11" s="19">
        <f>H10*H17/1000</f>
        <v>0.66597222222222219</v>
      </c>
      <c r="I11" s="5"/>
      <c r="J11" t="s">
        <v>5</v>
      </c>
      <c r="K11" s="19">
        <f>K10*K17/1000</f>
        <v>5.3277777777777775</v>
      </c>
      <c r="L11" s="5"/>
      <c r="M11" s="5"/>
      <c r="O11" s="19"/>
      <c r="P11" s="19"/>
      <c r="R11" s="5" t="s">
        <v>24</v>
      </c>
      <c r="T11" s="17">
        <f>T10/10^2</f>
        <v>1.5398079502807405</v>
      </c>
    </row>
    <row r="12" spans="1:22" ht="15.75" thickBot="1" x14ac:dyDescent="0.3">
      <c r="B12" t="s">
        <v>81</v>
      </c>
      <c r="C12" s="35">
        <f>Kollektorvæske!I81</f>
        <v>82.075935828877007</v>
      </c>
      <c r="D12" s="5" t="s">
        <v>14</v>
      </c>
      <c r="E12">
        <f>(45-2.6*2) / 1000</f>
        <v>3.9799999999999995E-2</v>
      </c>
      <c r="G12" t="s">
        <v>14</v>
      </c>
      <c r="H12" s="19">
        <f>(40-2.4*2) / 1000</f>
        <v>3.5200000000000002E-2</v>
      </c>
      <c r="I12" s="5"/>
      <c r="J12" t="s">
        <v>14</v>
      </c>
      <c r="K12" s="19">
        <f>(110-6.6*2) / 1000</f>
        <v>9.6799999999999997E-2</v>
      </c>
      <c r="L12" s="5"/>
      <c r="M12" s="11"/>
      <c r="N12" s="10"/>
      <c r="O12" s="25"/>
      <c r="P12" s="19"/>
      <c r="R12" s="11" t="s">
        <v>23</v>
      </c>
      <c r="S12" s="10"/>
      <c r="T12" s="18">
        <f>((E3*E11/E17)*(1000*T10)/T9)/1000</f>
        <v>1.4257481021117966</v>
      </c>
      <c r="V12">
        <f>T12*3</f>
        <v>4.2772443063353895</v>
      </c>
    </row>
    <row r="13" spans="1:22" x14ac:dyDescent="0.25">
      <c r="B13" t="s">
        <v>84</v>
      </c>
      <c r="C13">
        <f>Kollektorvæske!D81</f>
        <v>0.374</v>
      </c>
      <c r="D13" s="5" t="s">
        <v>15</v>
      </c>
      <c r="E13">
        <f>E12/2</f>
        <v>1.9899999999999998E-2</v>
      </c>
      <c r="G13" t="s">
        <v>15</v>
      </c>
      <c r="H13" s="19">
        <f>H12/2</f>
        <v>1.7600000000000001E-2</v>
      </c>
      <c r="I13" s="5"/>
      <c r="J13" t="s">
        <v>15</v>
      </c>
      <c r="K13" s="19">
        <f>K12/2</f>
        <v>4.8399999999999999E-2</v>
      </c>
      <c r="L13" s="5"/>
      <c r="P13" s="19"/>
    </row>
    <row r="14" spans="1:22" x14ac:dyDescent="0.25">
      <c r="B14" t="s">
        <v>85</v>
      </c>
      <c r="C14">
        <f>Kollektorvæske!F81</f>
        <v>959</v>
      </c>
      <c r="D14" s="5" t="s">
        <v>0</v>
      </c>
      <c r="E14">
        <f>C15</f>
        <v>7.6E-3</v>
      </c>
      <c r="G14" t="s">
        <v>0</v>
      </c>
      <c r="H14" s="19">
        <f>E14</f>
        <v>7.6E-3</v>
      </c>
      <c r="I14" s="5"/>
      <c r="J14" t="s">
        <v>0</v>
      </c>
      <c r="K14" s="19">
        <f>E14</f>
        <v>7.6E-3</v>
      </c>
      <c r="L14" s="5"/>
      <c r="P14" s="19"/>
    </row>
    <row r="15" spans="1:22" x14ac:dyDescent="0.25">
      <c r="B15" t="s">
        <v>0</v>
      </c>
      <c r="C15">
        <f>Kollektorvæske!G81</f>
        <v>7.6E-3</v>
      </c>
      <c r="D15" s="5" t="s">
        <v>1</v>
      </c>
      <c r="E15" s="7">
        <f>E11*E12/(E14*PI()*E13^2)</f>
        <v>2803.2999505041225</v>
      </c>
      <c r="G15" t="s">
        <v>1</v>
      </c>
      <c r="H15" s="21">
        <f>H11*H12/(H14*PI()*H13^2)</f>
        <v>3169.6402849450014</v>
      </c>
      <c r="I15" s="5"/>
      <c r="J15" t="s">
        <v>1</v>
      </c>
      <c r="K15" s="21">
        <f>K11*K12/(K14*PI()*K13^2)</f>
        <v>9220.7717380218219</v>
      </c>
      <c r="L15" s="5"/>
      <c r="N15" s="7"/>
      <c r="P15" s="19"/>
      <c r="Q15" s="7"/>
      <c r="V15" s="40">
        <f>V12*8760</f>
        <v>37468.660123498012</v>
      </c>
    </row>
    <row r="16" spans="1:22" x14ac:dyDescent="0.25">
      <c r="D16" s="5" t="s">
        <v>2</v>
      </c>
      <c r="E16" s="15">
        <f>(1/(-1.8*LOG(6.9/$E$15 +(($E$9/$E$12)/3.7)^1.11)))^2</f>
        <v>4.5366524353511413E-2</v>
      </c>
      <c r="G16" t="s">
        <v>2</v>
      </c>
      <c r="H16" s="22">
        <f>(1/(-1.8*LOG(6.9/$H$15 +(($H$9/$H$12)/3.7)^1.11)))^2</f>
        <v>4.3571333565347294E-2</v>
      </c>
      <c r="I16" s="26"/>
      <c r="J16" t="s">
        <v>2</v>
      </c>
      <c r="K16" s="22">
        <f>(1/(-1.8*LOG(6.9/$K$15 +(($K$9/$K$12)/3.7)^1.11)))^2</f>
        <v>3.1598949300488288E-2</v>
      </c>
      <c r="L16" s="5"/>
      <c r="N16" s="15"/>
      <c r="P16" s="19"/>
      <c r="Q16" s="15" t="s">
        <v>33</v>
      </c>
      <c r="R16" s="9">
        <f>M20/1000</f>
        <v>153.98079502807406</v>
      </c>
    </row>
    <row r="17" spans="1:19" x14ac:dyDescent="0.25">
      <c r="D17" s="5" t="s">
        <v>7</v>
      </c>
      <c r="E17" s="9">
        <f>C14</f>
        <v>959</v>
      </c>
      <c r="G17" t="s">
        <v>7</v>
      </c>
      <c r="H17" s="23">
        <f>E17</f>
        <v>959</v>
      </c>
      <c r="I17" s="5"/>
      <c r="J17" t="s">
        <v>7</v>
      </c>
      <c r="K17" s="23">
        <f>E17</f>
        <v>959</v>
      </c>
      <c r="L17" s="5"/>
      <c r="N17" s="9"/>
      <c r="P17" s="19"/>
      <c r="Q17" s="9" t="s">
        <v>34</v>
      </c>
      <c r="R17">
        <v>0</v>
      </c>
    </row>
    <row r="18" spans="1:19" x14ac:dyDescent="0.25">
      <c r="B18">
        <f>C18/2</f>
        <v>167.45678043893605</v>
      </c>
      <c r="C18">
        <f>10*60*E18</f>
        <v>334.9135608778721</v>
      </c>
      <c r="D18" s="5" t="s">
        <v>3</v>
      </c>
      <c r="E18" s="8">
        <f>E11/(E17*PI()*E13^2)</f>
        <v>0.55818926812978686</v>
      </c>
      <c r="G18" t="s">
        <v>3</v>
      </c>
      <c r="H18" s="24">
        <f>H11/(H17*PI()*H13^2)</f>
        <v>0.71361225488144642</v>
      </c>
      <c r="I18" s="5"/>
      <c r="J18" t="s">
        <v>3</v>
      </c>
      <c r="K18" s="24">
        <f>K11/(K17*PI()*K13^2)</f>
        <v>0.75489560846962933</v>
      </c>
      <c r="L18" s="5"/>
      <c r="N18" s="8"/>
      <c r="P18" s="19"/>
      <c r="Q18" t="s">
        <v>35</v>
      </c>
      <c r="R18">
        <v>0</v>
      </c>
    </row>
    <row r="19" spans="1:19" x14ac:dyDescent="0.25">
      <c r="D19" s="5" t="s">
        <v>17</v>
      </c>
      <c r="E19">
        <v>640</v>
      </c>
      <c r="G19" t="s">
        <v>18</v>
      </c>
      <c r="H19" s="19">
        <f>Oppsummering!H29</f>
        <v>140</v>
      </c>
      <c r="I19" s="5"/>
      <c r="J19" t="s">
        <v>18</v>
      </c>
      <c r="K19" s="19">
        <f>Oppsummering!J29</f>
        <v>30</v>
      </c>
      <c r="L19" s="5"/>
      <c r="M19" s="9"/>
      <c r="P19" s="19"/>
    </row>
    <row r="20" spans="1:19" x14ac:dyDescent="0.25">
      <c r="D20" s="20" t="s">
        <v>4</v>
      </c>
      <c r="E20" s="31">
        <f>(E16*E19/E12)*E17*(E18^2)/2</f>
        <v>108989.33087991337</v>
      </c>
      <c r="F20" s="27">
        <f>(64/E15)*(E19/E12)*(C14*E18^2)/2</f>
        <v>54847.75839364226</v>
      </c>
      <c r="G20" s="6" t="s">
        <v>9</v>
      </c>
      <c r="H20" s="31">
        <f>(H16*H19/H12)*H17*(H18^2)/2</f>
        <v>42315.495944017784</v>
      </c>
      <c r="I20" s="27">
        <f>(64/H15)*(H19/H12)*(C14*H18^2)/2</f>
        <v>19609.592954386855</v>
      </c>
      <c r="J20" s="6" t="s">
        <v>13</v>
      </c>
      <c r="K20" s="31">
        <f>(K16*K19/K12)*K17*(K18^2)/2</f>
        <v>2675.9682041428982</v>
      </c>
      <c r="L20" s="27">
        <f>(64/K15)*(K19/K12)*(C14*K18^2)/2</f>
        <v>587.7883980980655</v>
      </c>
      <c r="M20" s="27">
        <f>E20+H20+K20</f>
        <v>153980.79502807406</v>
      </c>
      <c r="N20" s="9">
        <f>M20+15000</f>
        <v>168980.79502807406</v>
      </c>
      <c r="P20" s="19"/>
      <c r="Q20" s="6" t="s">
        <v>36</v>
      </c>
      <c r="R20" s="27">
        <f>R16+R17+R18</f>
        <v>153.98079502807406</v>
      </c>
    </row>
    <row r="21" spans="1:19" x14ac:dyDescent="0.25">
      <c r="A21">
        <f>0.034*10^5</f>
        <v>3400.0000000000005</v>
      </c>
      <c r="D21" s="5"/>
      <c r="E21">
        <f>E20/10^5</f>
        <v>1.0898933087991336</v>
      </c>
      <c r="H21">
        <f>H20/H19</f>
        <v>302.25354245726987</v>
      </c>
      <c r="I21" s="5"/>
      <c r="K21" s="19">
        <f>K20/10^3</f>
        <v>2.6759682041428983</v>
      </c>
      <c r="L21" s="5"/>
      <c r="P21" s="19"/>
    </row>
    <row r="22" spans="1:19" ht="15.75" thickBot="1" x14ac:dyDescent="0.3">
      <c r="D22" s="11"/>
      <c r="E22" s="10">
        <f>E20/E19</f>
        <v>170.29582949986462</v>
      </c>
      <c r="F22" s="10"/>
      <c r="G22" s="10"/>
      <c r="H22" s="10">
        <f>H20/10^3</f>
        <v>42.315495944017783</v>
      </c>
      <c r="I22" s="11"/>
      <c r="J22" s="10">
        <f>K20/10^5</f>
        <v>2.6759682041428982E-2</v>
      </c>
      <c r="K22" s="25"/>
      <c r="L22" s="11"/>
      <c r="M22" s="10" t="s">
        <v>28</v>
      </c>
      <c r="N22" s="10"/>
      <c r="O22" s="10"/>
      <c r="P22" s="25"/>
    </row>
    <row r="23" spans="1:19" x14ac:dyDescent="0.25">
      <c r="B23" t="s">
        <v>86</v>
      </c>
      <c r="D23">
        <f>IF(E15&gt;2300, (((1/((0.79*LN(E15)-1.64)^2))/8)*(E15-1000)*C12)/(1+12.7*(((1/((0.79*LN(E15)-1.64)^2))/8)^0.5)*(C12^(2/3)-1)), 4.36)</f>
        <v>47.0273414010314</v>
      </c>
    </row>
    <row r="24" spans="1:19" x14ac:dyDescent="0.25">
      <c r="B24" t="s">
        <v>87</v>
      </c>
      <c r="C24" t="s">
        <v>82</v>
      </c>
      <c r="G24" s="9">
        <f>E20+H20</f>
        <v>151304.82682393116</v>
      </c>
      <c r="K24" t="s">
        <v>92</v>
      </c>
      <c r="L24" t="s">
        <v>93</v>
      </c>
    </row>
    <row r="25" spans="1:19" x14ac:dyDescent="0.25">
      <c r="C25" t="s">
        <v>83</v>
      </c>
      <c r="D25">
        <f>D23*C13/E12</f>
        <v>441.91521819059665</v>
      </c>
      <c r="H25" s="9"/>
      <c r="K25" t="s">
        <v>95</v>
      </c>
      <c r="L25" t="s">
        <v>94</v>
      </c>
      <c r="O25" s="9"/>
      <c r="R25">
        <f>414/3</f>
        <v>138</v>
      </c>
      <c r="S25">
        <f>R25/2</f>
        <v>69</v>
      </c>
    </row>
    <row r="26" spans="1:19" x14ac:dyDescent="0.25">
      <c r="C26" t="s">
        <v>90</v>
      </c>
      <c r="D26">
        <f>1/(2*PI()*E13*D25)</f>
        <v>1.809789639404133E-2</v>
      </c>
    </row>
    <row r="27" spans="1:19" x14ac:dyDescent="0.25">
      <c r="D27" s="6" t="s">
        <v>37</v>
      </c>
      <c r="E27" s="6"/>
      <c r="F27" s="6"/>
    </row>
    <row r="28" spans="1:19" x14ac:dyDescent="0.25">
      <c r="G28">
        <f>70/(1.5*4.2)</f>
        <v>11.111111111111111</v>
      </c>
    </row>
    <row r="29" spans="1:19" x14ac:dyDescent="0.25">
      <c r="C29" t="s">
        <v>88</v>
      </c>
      <c r="D29">
        <v>4.8439999999999997E-2</v>
      </c>
      <c r="E29">
        <f>15*D29</f>
        <v>0.72659999999999991</v>
      </c>
    </row>
    <row r="31" spans="1:19" x14ac:dyDescent="0.25">
      <c r="C31" t="s">
        <v>91</v>
      </c>
      <c r="D31" s="39">
        <f>D26/D29</f>
        <v>0.37361470673082847</v>
      </c>
    </row>
    <row r="32" spans="1:19" x14ac:dyDescent="0.25">
      <c r="G32">
        <f>45/2</f>
        <v>22.5</v>
      </c>
      <c r="H32">
        <f>G32-2.6</f>
        <v>19.899999999999999</v>
      </c>
    </row>
    <row r="33" spans="3:11" x14ac:dyDescent="0.25">
      <c r="C33" t="s">
        <v>88</v>
      </c>
      <c r="D33" s="6">
        <f>(1/(2*PI()*0.42))*LN(0.02/0.0176)</f>
        <v>4.8441221352144841E-2</v>
      </c>
    </row>
    <row r="34" spans="3:11" x14ac:dyDescent="0.25">
      <c r="C34" t="s">
        <v>96</v>
      </c>
      <c r="D34">
        <f>D26+D33</f>
        <v>6.6539117746186177E-2</v>
      </c>
      <c r="E34">
        <f>D34*15</f>
        <v>0.99808676619279268</v>
      </c>
    </row>
    <row r="38" spans="3:11" x14ac:dyDescent="0.25">
      <c r="C38">
        <f>-3.3</f>
        <v>-3.3</v>
      </c>
      <c r="E38">
        <f>32*0.55</f>
        <v>17.600000000000001</v>
      </c>
      <c r="G38" s="6"/>
      <c r="H38" s="9"/>
      <c r="J38" s="6"/>
      <c r="K38" s="9"/>
    </row>
    <row r="39" spans="3:11" x14ac:dyDescent="0.25">
      <c r="C39">
        <f>-0.4</f>
        <v>-0.4</v>
      </c>
    </row>
    <row r="40" spans="3:11" x14ac:dyDescent="0.25">
      <c r="C40">
        <f>AVERAGE(C38:C39)</f>
        <v>-1.8499999999999999</v>
      </c>
      <c r="E40" s="7"/>
    </row>
    <row r="41" spans="3:11" x14ac:dyDescent="0.25">
      <c r="E41" s="15"/>
    </row>
    <row r="42" spans="3:11" x14ac:dyDescent="0.25">
      <c r="E42" s="9"/>
    </row>
    <row r="43" spans="3:11" x14ac:dyDescent="0.25">
      <c r="E43" s="8"/>
    </row>
    <row r="45" spans="3:11" x14ac:dyDescent="0.25">
      <c r="D45" s="6"/>
      <c r="E45" s="9"/>
    </row>
    <row r="46" spans="3:11" x14ac:dyDescent="0.25">
      <c r="C46" t="s">
        <v>98</v>
      </c>
      <c r="D46" t="s">
        <v>99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ED78-E52D-4BC6-92AD-71B776159D96}">
  <dimension ref="A1:V46"/>
  <sheetViews>
    <sheetView zoomScale="110" zoomScaleNormal="110" workbookViewId="0">
      <selection activeCell="K12" sqref="K12"/>
    </sheetView>
  </sheetViews>
  <sheetFormatPr defaultColWidth="11.5703125" defaultRowHeight="15" x14ac:dyDescent="0.25"/>
  <cols>
    <col min="1" max="1" width="58.7109375" bestFit="1" customWidth="1"/>
    <col min="2" max="2" width="18.85546875" customWidth="1"/>
    <col min="3" max="3" width="21" customWidth="1"/>
    <col min="4" max="4" width="22.140625" bestFit="1" customWidth="1"/>
    <col min="5" max="5" width="12" bestFit="1" customWidth="1"/>
    <col min="7" max="7" width="12" bestFit="1" customWidth="1"/>
    <col min="10" max="10" width="39" bestFit="1" customWidth="1"/>
    <col min="11" max="12" width="12" bestFit="1" customWidth="1"/>
    <col min="13" max="13" width="26.7109375" bestFit="1" customWidth="1"/>
  </cols>
  <sheetData>
    <row r="1" spans="1:22" ht="18.75" x14ac:dyDescent="0.3">
      <c r="A1" s="1" t="s">
        <v>19</v>
      </c>
      <c r="C1" t="s">
        <v>32</v>
      </c>
      <c r="E1">
        <f>150/3.6</f>
        <v>41.666666666666664</v>
      </c>
      <c r="F1">
        <f>60</f>
        <v>60</v>
      </c>
      <c r="G1">
        <f>E1/F1</f>
        <v>0.69444444444444442</v>
      </c>
    </row>
    <row r="2" spans="1:22" ht="15.75" thickBot="1" x14ac:dyDescent="0.3">
      <c r="K2">
        <f>K10*10*4200/1000</f>
        <v>349.99999999999994</v>
      </c>
    </row>
    <row r="3" spans="1:22" ht="15.75" thickBot="1" x14ac:dyDescent="0.3">
      <c r="D3" s="2" t="s">
        <v>27</v>
      </c>
      <c r="E3" s="3">
        <f>Oppsummering!D18</f>
        <v>12</v>
      </c>
      <c r="F3" s="3"/>
      <c r="G3" s="3"/>
      <c r="H3" s="4"/>
      <c r="I3" s="2"/>
      <c r="J3" s="3"/>
      <c r="K3" s="4"/>
      <c r="L3" s="2"/>
      <c r="M3" s="3"/>
      <c r="N3" s="3"/>
      <c r="O3" s="3"/>
      <c r="P3" s="4"/>
    </row>
    <row r="4" spans="1:22" ht="15.75" thickBot="1" x14ac:dyDescent="0.3">
      <c r="B4">
        <f>45000/(3*4200)</f>
        <v>3.5714285714285716</v>
      </c>
      <c r="C4">
        <f>6/26</f>
        <v>0.23076923076923078</v>
      </c>
      <c r="D4" s="5"/>
      <c r="H4" s="19"/>
      <c r="I4" s="28"/>
      <c r="J4" s="29" t="s">
        <v>26</v>
      </c>
      <c r="K4" s="30">
        <f>E3</f>
        <v>12</v>
      </c>
      <c r="L4" s="5"/>
      <c r="P4" s="19"/>
    </row>
    <row r="5" spans="1:22" ht="15.75" thickBot="1" x14ac:dyDescent="0.3">
      <c r="B5">
        <f>B4*3600</f>
        <v>12857.142857142859</v>
      </c>
      <c r="D5" s="5"/>
      <c r="E5" s="8">
        <f>G1</f>
        <v>0.69444444444444442</v>
      </c>
      <c r="H5" s="19"/>
      <c r="I5" s="5"/>
      <c r="K5" s="19"/>
      <c r="L5" s="5"/>
      <c r="P5" s="19"/>
    </row>
    <row r="6" spans="1:22" x14ac:dyDescent="0.25">
      <c r="A6" s="12" t="s">
        <v>16</v>
      </c>
      <c r="D6" s="5" t="s">
        <v>12</v>
      </c>
      <c r="H6" s="19"/>
      <c r="I6" s="5"/>
      <c r="K6" s="19"/>
      <c r="L6" s="5"/>
      <c r="P6" s="19"/>
    </row>
    <row r="7" spans="1:22" ht="15.75" thickBot="1" x14ac:dyDescent="0.3">
      <c r="A7" s="13" t="s">
        <v>10</v>
      </c>
      <c r="D7" s="5"/>
      <c r="E7" t="s">
        <v>100</v>
      </c>
      <c r="F7" t="s">
        <v>101</v>
      </c>
      <c r="H7" t="s">
        <v>100</v>
      </c>
      <c r="I7" t="s">
        <v>101</v>
      </c>
      <c r="K7" s="19"/>
      <c r="L7" s="5"/>
      <c r="P7" s="19"/>
    </row>
    <row r="8" spans="1:22" ht="15.75" thickBot="1" x14ac:dyDescent="0.3">
      <c r="A8" s="13" t="s">
        <v>89</v>
      </c>
      <c r="D8" s="20" t="s">
        <v>8</v>
      </c>
      <c r="G8" s="6" t="s">
        <v>11</v>
      </c>
      <c r="H8" s="19"/>
      <c r="I8" s="5"/>
      <c r="J8" s="6" t="s">
        <v>30</v>
      </c>
      <c r="K8" s="19"/>
      <c r="L8" s="5"/>
      <c r="M8" s="2" t="s">
        <v>31</v>
      </c>
      <c r="N8" s="3"/>
      <c r="O8" s="4" t="s">
        <v>29</v>
      </c>
      <c r="P8" s="33"/>
    </row>
    <row r="9" spans="1:22" x14ac:dyDescent="0.25">
      <c r="A9" s="13" t="s">
        <v>20</v>
      </c>
      <c r="D9" s="5" t="s">
        <v>21</v>
      </c>
      <c r="E9">
        <f>0.0015/1000</f>
        <v>1.5E-6</v>
      </c>
      <c r="G9" t="s">
        <v>21</v>
      </c>
      <c r="H9" s="19">
        <f>E9</f>
        <v>1.5E-6</v>
      </c>
      <c r="I9" s="5"/>
      <c r="J9" t="s">
        <v>21</v>
      </c>
      <c r="K9" s="19">
        <f>E9</f>
        <v>1.5E-6</v>
      </c>
      <c r="L9" s="5"/>
      <c r="M9" s="5"/>
      <c r="O9" s="32"/>
      <c r="P9" s="19"/>
      <c r="R9" s="2" t="s">
        <v>22</v>
      </c>
      <c r="S9" s="3"/>
      <c r="T9" s="4">
        <v>0.6</v>
      </c>
    </row>
    <row r="10" spans="1:22" ht="15.75" thickBot="1" x14ac:dyDescent="0.3">
      <c r="A10" s="14"/>
      <c r="D10" s="5" t="s">
        <v>6</v>
      </c>
      <c r="E10" s="41">
        <f>E5</f>
        <v>0.69444444444444442</v>
      </c>
      <c r="G10" t="s">
        <v>6</v>
      </c>
      <c r="H10" s="33">
        <f>E10</f>
        <v>0.69444444444444442</v>
      </c>
      <c r="I10" s="5"/>
      <c r="J10" t="s">
        <v>6</v>
      </c>
      <c r="K10" s="33">
        <f>E3*E5</f>
        <v>8.3333333333333321</v>
      </c>
      <c r="L10" s="5"/>
      <c r="M10" s="5"/>
      <c r="O10" s="19"/>
      <c r="P10" s="19"/>
      <c r="R10" s="5" t="s">
        <v>25</v>
      </c>
      <c r="T10" s="16">
        <f>(R20)</f>
        <v>187.37158123312028</v>
      </c>
    </row>
    <row r="11" spans="1:22" x14ac:dyDescent="0.25">
      <c r="D11" s="5" t="s">
        <v>5</v>
      </c>
      <c r="E11" s="15">
        <f>E10*E17/1000</f>
        <v>0.66597222222222219</v>
      </c>
      <c r="G11" t="s">
        <v>5</v>
      </c>
      <c r="H11" s="19">
        <f>H10*H17/1000</f>
        <v>0.66597222222222219</v>
      </c>
      <c r="I11" s="5"/>
      <c r="J11" t="s">
        <v>5</v>
      </c>
      <c r="K11" s="19">
        <f>K10*K17/1000</f>
        <v>7.9916666666666654</v>
      </c>
      <c r="L11" s="5"/>
      <c r="M11" s="5"/>
      <c r="O11" s="19"/>
      <c r="P11" s="19"/>
      <c r="R11" s="5" t="s">
        <v>24</v>
      </c>
      <c r="T11" s="17">
        <f>T10/10^2</f>
        <v>1.8737158123312028</v>
      </c>
    </row>
    <row r="12" spans="1:22" ht="15.75" thickBot="1" x14ac:dyDescent="0.3">
      <c r="B12" t="s">
        <v>81</v>
      </c>
      <c r="C12" s="35">
        <f>Kollektorvæske!I81</f>
        <v>82.075935828877007</v>
      </c>
      <c r="D12" s="5" t="s">
        <v>14</v>
      </c>
      <c r="E12">
        <f>(45-2.6*2) / 1000</f>
        <v>3.9799999999999995E-2</v>
      </c>
      <c r="G12" t="s">
        <v>14</v>
      </c>
      <c r="H12" s="19">
        <f>(40-2.4*2) / 1000</f>
        <v>3.5200000000000002E-2</v>
      </c>
      <c r="I12" s="5"/>
      <c r="J12" t="s">
        <v>14</v>
      </c>
      <c r="K12" s="19">
        <f>(125-7.4*2) / 1000</f>
        <v>0.11020000000000001</v>
      </c>
      <c r="L12" s="5"/>
      <c r="M12" s="11"/>
      <c r="N12" s="10"/>
      <c r="O12" s="25"/>
      <c r="P12" s="19"/>
      <c r="R12" s="11" t="s">
        <v>23</v>
      </c>
      <c r="S12" s="10"/>
      <c r="T12" s="18">
        <f>((E3*E11/E17)*(1000*T10)/T9)/1000</f>
        <v>2.6023830726822261</v>
      </c>
      <c r="V12">
        <f>T12*3</f>
        <v>7.8071492180466784</v>
      </c>
    </row>
    <row r="13" spans="1:22" x14ac:dyDescent="0.25">
      <c r="B13" t="s">
        <v>84</v>
      </c>
      <c r="C13">
        <f>Kollektorvæske!D81</f>
        <v>0.374</v>
      </c>
      <c r="D13" s="5" t="s">
        <v>15</v>
      </c>
      <c r="E13">
        <f>E12/2</f>
        <v>1.9899999999999998E-2</v>
      </c>
      <c r="G13" t="s">
        <v>15</v>
      </c>
      <c r="H13" s="19">
        <f>H12/2</f>
        <v>1.7600000000000001E-2</v>
      </c>
      <c r="I13" s="5"/>
      <c r="J13" t="s">
        <v>15</v>
      </c>
      <c r="K13" s="19">
        <f>K12/2</f>
        <v>5.5100000000000003E-2</v>
      </c>
      <c r="L13" s="5"/>
      <c r="P13" s="19"/>
    </row>
    <row r="14" spans="1:22" x14ac:dyDescent="0.25">
      <c r="B14" t="s">
        <v>85</v>
      </c>
      <c r="C14">
        <f>Kollektorvæske!F81</f>
        <v>959</v>
      </c>
      <c r="D14" s="5" t="s">
        <v>0</v>
      </c>
      <c r="E14">
        <f>C15</f>
        <v>7.6E-3</v>
      </c>
      <c r="G14" t="s">
        <v>0</v>
      </c>
      <c r="H14" s="19">
        <f>E14</f>
        <v>7.6E-3</v>
      </c>
      <c r="I14" s="5"/>
      <c r="J14" t="s">
        <v>0</v>
      </c>
      <c r="K14" s="19">
        <f>E14</f>
        <v>7.6E-3</v>
      </c>
      <c r="L14" s="5"/>
      <c r="P14" s="19"/>
    </row>
    <row r="15" spans="1:22" x14ac:dyDescent="0.25">
      <c r="B15" t="s">
        <v>0</v>
      </c>
      <c r="C15">
        <f>Kollektorvæske!G81</f>
        <v>7.6E-3</v>
      </c>
      <c r="D15" s="5" t="s">
        <v>1</v>
      </c>
      <c r="E15" s="7">
        <f>E11*E12/(E14*PI()*E13^2)</f>
        <v>2803.2999505041225</v>
      </c>
      <c r="G15" t="s">
        <v>1</v>
      </c>
      <c r="H15" s="21">
        <f>H11*H12/(H14*PI()*H13^2)</f>
        <v>3169.6402849450014</v>
      </c>
      <c r="I15" s="5"/>
      <c r="J15" t="s">
        <v>1</v>
      </c>
      <c r="K15" s="21">
        <f>K11*K12/(K14*PI()*K13^2)</f>
        <v>12149.329005088643</v>
      </c>
      <c r="L15" s="5"/>
      <c r="N15" s="7"/>
      <c r="P15" s="19"/>
      <c r="Q15" s="7"/>
      <c r="V15" s="40">
        <f>V12*8760</f>
        <v>68390.627150088898</v>
      </c>
    </row>
    <row r="16" spans="1:22" x14ac:dyDescent="0.25">
      <c r="D16" s="5" t="s">
        <v>2</v>
      </c>
      <c r="E16" s="15">
        <f>(1/(-1.8*LOG(6.9/$E$15 +(($E$9/$E$12)/3.7)^1.11)))^2</f>
        <v>4.5366524353511413E-2</v>
      </c>
      <c r="G16" t="s">
        <v>2</v>
      </c>
      <c r="H16" s="22">
        <f>(1/(-1.8*LOG(6.9/$H$15 +(($H$9/$H$12)/3.7)^1.11)))^2</f>
        <v>4.3571333565347294E-2</v>
      </c>
      <c r="I16" s="26"/>
      <c r="J16" t="s">
        <v>2</v>
      </c>
      <c r="K16" s="22">
        <f>(1/(-1.8*LOG(6.9/$K$15 +(($K$9/$K$12)/3.7)^1.11)))^2</f>
        <v>2.9310776506152526E-2</v>
      </c>
      <c r="L16" s="5"/>
      <c r="N16" s="15"/>
      <c r="P16" s="19"/>
      <c r="Q16" s="15" t="s">
        <v>33</v>
      </c>
      <c r="R16" s="9">
        <f>M20/1000</f>
        <v>187.37158123312028</v>
      </c>
    </row>
    <row r="17" spans="1:19" x14ac:dyDescent="0.25">
      <c r="D17" s="5" t="s">
        <v>7</v>
      </c>
      <c r="E17" s="9">
        <f>C14</f>
        <v>959</v>
      </c>
      <c r="G17" t="s">
        <v>7</v>
      </c>
      <c r="H17" s="23">
        <f>E17</f>
        <v>959</v>
      </c>
      <c r="I17" s="5"/>
      <c r="J17" t="s">
        <v>7</v>
      </c>
      <c r="K17" s="23">
        <f>E17</f>
        <v>959</v>
      </c>
      <c r="L17" s="5"/>
      <c r="N17" s="9"/>
      <c r="P17" s="19"/>
      <c r="Q17" s="9" t="s">
        <v>34</v>
      </c>
      <c r="R17">
        <v>0</v>
      </c>
    </row>
    <row r="18" spans="1:19" x14ac:dyDescent="0.25">
      <c r="B18">
        <f>C18/2</f>
        <v>167.45678043893605</v>
      </c>
      <c r="C18">
        <f>10*60*E18</f>
        <v>334.9135608778721</v>
      </c>
      <c r="D18" s="5" t="s">
        <v>3</v>
      </c>
      <c r="E18" s="8">
        <f>E11/(E17*PI()*E13^2)</f>
        <v>0.55818926812978686</v>
      </c>
      <c r="G18" t="s">
        <v>3</v>
      </c>
      <c r="H18" s="24">
        <f>H11/(H17*PI()*H13^2)</f>
        <v>0.71361225488144642</v>
      </c>
      <c r="I18" s="5"/>
      <c r="J18" t="s">
        <v>3</v>
      </c>
      <c r="K18" s="24">
        <f>K11/(K17*PI()*K13^2)</f>
        <v>0.87370673511118924</v>
      </c>
      <c r="L18" s="5"/>
      <c r="N18" s="8"/>
      <c r="P18" s="19"/>
      <c r="Q18" t="s">
        <v>35</v>
      </c>
      <c r="R18">
        <v>0</v>
      </c>
    </row>
    <row r="19" spans="1:19" x14ac:dyDescent="0.25">
      <c r="D19" s="5" t="s">
        <v>17</v>
      </c>
      <c r="E19">
        <v>640</v>
      </c>
      <c r="G19" t="s">
        <v>18</v>
      </c>
      <c r="H19" s="19">
        <f>Oppsummering!H20</f>
        <v>240</v>
      </c>
      <c r="I19" s="5"/>
      <c r="J19" t="s">
        <v>18</v>
      </c>
      <c r="K19" s="19">
        <f>Oppsummering!J20</f>
        <v>60</v>
      </c>
      <c r="L19" s="5"/>
      <c r="M19" s="9"/>
      <c r="P19" s="19"/>
    </row>
    <row r="20" spans="1:19" x14ac:dyDescent="0.25">
      <c r="D20" s="20" t="s">
        <v>4</v>
      </c>
      <c r="E20" s="31">
        <f>(E16*E19/E12)*E17*(E18^2)/2</f>
        <v>108989.33087991337</v>
      </c>
      <c r="F20" s="27">
        <f>(64/E15)*(E19/E12)*(C14*E18^2)/2</f>
        <v>54847.75839364226</v>
      </c>
      <c r="G20" s="6" t="s">
        <v>9</v>
      </c>
      <c r="H20" s="31">
        <f>(H16*H19/H12)*H17*(H18^2)/2</f>
        <v>72540.850189744771</v>
      </c>
      <c r="I20" s="27">
        <f>(64/H15)*(H19/H12)*(C14*H18^2)/2</f>
        <v>33616.445064663174</v>
      </c>
      <c r="J20" s="6" t="s">
        <v>13</v>
      </c>
      <c r="K20" s="31">
        <f>(K16*K19/K12)*K17*(K18^2)/2</f>
        <v>5841.4001634621482</v>
      </c>
      <c r="L20" s="27">
        <f>(64/K15)*(K19/K12)*(C14*K18^2)/2</f>
        <v>1049.8259787305108</v>
      </c>
      <c r="M20" s="27">
        <f>E20+H20+K20</f>
        <v>187371.58123312029</v>
      </c>
      <c r="N20" s="9">
        <f>M20+15000</f>
        <v>202371.58123312029</v>
      </c>
      <c r="P20" s="19"/>
      <c r="Q20" s="6" t="s">
        <v>36</v>
      </c>
      <c r="R20" s="27">
        <f>R16+R17+R18</f>
        <v>187.37158123312028</v>
      </c>
    </row>
    <row r="21" spans="1:19" x14ac:dyDescent="0.25">
      <c r="A21">
        <f>0.034*10^5</f>
        <v>3400.0000000000005</v>
      </c>
      <c r="D21" s="5"/>
      <c r="E21">
        <f>E20/10^5</f>
        <v>1.0898933087991336</v>
      </c>
      <c r="H21">
        <f>H20/H19</f>
        <v>302.25354245726987</v>
      </c>
      <c r="I21" s="5"/>
      <c r="K21" s="19">
        <f>K20/10^3</f>
        <v>5.841400163462148</v>
      </c>
      <c r="L21" s="5"/>
      <c r="P21" s="19"/>
    </row>
    <row r="22" spans="1:19" ht="15.75" thickBot="1" x14ac:dyDescent="0.3">
      <c r="D22" s="11"/>
      <c r="E22" s="10">
        <f>E20/E19</f>
        <v>170.29582949986462</v>
      </c>
      <c r="F22" s="10"/>
      <c r="G22" s="10"/>
      <c r="H22" s="10">
        <f>H20/10^3</f>
        <v>72.540850189744774</v>
      </c>
      <c r="I22" s="11"/>
      <c r="J22" s="10">
        <f>K20/10^5</f>
        <v>5.841400163462148E-2</v>
      </c>
      <c r="K22" s="25"/>
      <c r="L22" s="11"/>
      <c r="M22" s="10" t="s">
        <v>28</v>
      </c>
      <c r="N22" s="10"/>
      <c r="O22" s="10"/>
      <c r="P22" s="25"/>
    </row>
    <row r="23" spans="1:19" x14ac:dyDescent="0.25">
      <c r="B23" t="s">
        <v>86</v>
      </c>
      <c r="D23">
        <f>IF(E15&gt;2300, (((1/((0.79*LN(E15)-1.64)^2))/8)*(E15-1000)*C12)/(1+12.7*(((1/((0.79*LN(E15)-1.64)^2))/8)^0.5)*(C12^(2/3)-1)), 4.36)</f>
        <v>47.0273414010314</v>
      </c>
    </row>
    <row r="24" spans="1:19" x14ac:dyDescent="0.25">
      <c r="B24" t="s">
        <v>87</v>
      </c>
      <c r="C24" t="s">
        <v>82</v>
      </c>
      <c r="G24" s="9">
        <f>E20+H20</f>
        <v>181530.18106965814</v>
      </c>
      <c r="K24" t="s">
        <v>92</v>
      </c>
      <c r="L24" t="s">
        <v>93</v>
      </c>
    </row>
    <row r="25" spans="1:19" x14ac:dyDescent="0.25">
      <c r="C25" t="s">
        <v>83</v>
      </c>
      <c r="D25">
        <f>D23*C13/E12</f>
        <v>441.91521819059665</v>
      </c>
      <c r="H25" s="9"/>
      <c r="K25" t="s">
        <v>95</v>
      </c>
      <c r="L25" t="s">
        <v>94</v>
      </c>
      <c r="O25" s="9"/>
      <c r="R25">
        <f>414/3</f>
        <v>138</v>
      </c>
      <c r="S25">
        <f>R25/2</f>
        <v>69</v>
      </c>
    </row>
    <row r="26" spans="1:19" x14ac:dyDescent="0.25">
      <c r="C26" t="s">
        <v>90</v>
      </c>
      <c r="D26">
        <f>1/(2*PI()*E13*D25)</f>
        <v>1.809789639404133E-2</v>
      </c>
    </row>
    <row r="27" spans="1:19" x14ac:dyDescent="0.25">
      <c r="D27" s="6" t="s">
        <v>37</v>
      </c>
      <c r="E27" s="6"/>
      <c r="F27" s="6"/>
    </row>
    <row r="28" spans="1:19" x14ac:dyDescent="0.25">
      <c r="G28">
        <f>70/(1.5*4.2)</f>
        <v>11.111111111111111</v>
      </c>
    </row>
    <row r="29" spans="1:19" x14ac:dyDescent="0.25">
      <c r="C29" t="s">
        <v>88</v>
      </c>
      <c r="D29">
        <v>4.8439999999999997E-2</v>
      </c>
      <c r="E29">
        <f>15*D29</f>
        <v>0.72659999999999991</v>
      </c>
    </row>
    <row r="31" spans="1:19" x14ac:dyDescent="0.25">
      <c r="C31" t="s">
        <v>91</v>
      </c>
      <c r="D31" s="39">
        <f>D26/D29</f>
        <v>0.37361470673082847</v>
      </c>
    </row>
    <row r="32" spans="1:19" x14ac:dyDescent="0.25">
      <c r="G32">
        <f>45/2</f>
        <v>22.5</v>
      </c>
      <c r="H32">
        <f>G32-2.6</f>
        <v>19.899999999999999</v>
      </c>
    </row>
    <row r="33" spans="3:11" x14ac:dyDescent="0.25">
      <c r="C33" t="s">
        <v>88</v>
      </c>
      <c r="D33" s="6">
        <f>(1/(2*PI()*0.42))*LN(0.02/0.0176)</f>
        <v>4.8441221352144841E-2</v>
      </c>
    </row>
    <row r="34" spans="3:11" x14ac:dyDescent="0.25">
      <c r="C34" t="s">
        <v>96</v>
      </c>
      <c r="D34">
        <f>D26+D33</f>
        <v>6.6539117746186177E-2</v>
      </c>
      <c r="E34">
        <f>D34*15</f>
        <v>0.99808676619279268</v>
      </c>
    </row>
    <row r="38" spans="3:11" x14ac:dyDescent="0.25">
      <c r="C38">
        <f>-3.3</f>
        <v>-3.3</v>
      </c>
      <c r="E38">
        <f>32*0.55</f>
        <v>17.600000000000001</v>
      </c>
      <c r="G38" s="6"/>
      <c r="H38" s="9"/>
      <c r="J38" s="6"/>
      <c r="K38" s="9"/>
    </row>
    <row r="39" spans="3:11" x14ac:dyDescent="0.25">
      <c r="C39">
        <f>-0.4</f>
        <v>-0.4</v>
      </c>
    </row>
    <row r="40" spans="3:11" x14ac:dyDescent="0.25">
      <c r="C40">
        <f>AVERAGE(C38:C39)</f>
        <v>-1.8499999999999999</v>
      </c>
      <c r="E40" s="7"/>
    </row>
    <row r="41" spans="3:11" x14ac:dyDescent="0.25">
      <c r="E41" s="15"/>
    </row>
    <row r="42" spans="3:11" x14ac:dyDescent="0.25">
      <c r="E42" s="9"/>
    </row>
    <row r="43" spans="3:11" x14ac:dyDescent="0.25">
      <c r="E43" s="8"/>
    </row>
    <row r="45" spans="3:11" x14ac:dyDescent="0.25">
      <c r="D45" s="6"/>
      <c r="E45" s="9"/>
    </row>
    <row r="46" spans="3:11" x14ac:dyDescent="0.25">
      <c r="C46" t="s">
        <v>98</v>
      </c>
      <c r="D46" t="s">
        <v>99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Notat" ma:contentTypeID="0x010100F60592913680E844957B4E8AFA95C3FA0095E0FAB67BC5AC4A91BBF98C48003DFC" ma:contentTypeVersion="5" ma:contentTypeDescription="Opprett et nytt dokument." ma:contentTypeScope="" ma:versionID="1f02f83548aa11aa90bcd6c6d93a2ecb">
  <xsd:schema xmlns:xsd="http://www.w3.org/2001/XMLSchema" xmlns:xs="http://www.w3.org/2001/XMLSchema" xmlns:p="http://schemas.microsoft.com/office/2006/metadata/properties" xmlns:ns2="9b476d91-9f0e-4c70-b85f-d13947649b8b" xmlns:ns3="bb5e28ca-cdbb-45c5-ab62-ff176070526a" targetNamespace="http://schemas.microsoft.com/office/2006/metadata/properties" ma:root="true" ma:fieldsID="69bbf134ca6e233e55f7f478a5ff2d7b" ns2:_="" ns3:_="">
    <xsd:import namespace="9b476d91-9f0e-4c70-b85f-d13947649b8b"/>
    <xsd:import namespace="bb5e28ca-cdbb-45c5-ab62-ff176070526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ChannelName" minOccurs="0"/>
                <xsd:element ref="ns2:Dokumenttema" minOccurs="0"/>
                <xsd:element ref="ns2:Oppdragsnummer" minOccurs="0"/>
                <xsd:element ref="ns2:Revisjon" minOccurs="0"/>
                <xsd:element ref="ns2:RevisjonsDato" minOccurs="0"/>
                <xsd:element ref="ns2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76d91-9f0e-4c70-b85f-d13947649b8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Fast ID" ma:description="Behold IDen ved tillegging." ma:hidden="true" ma:internalName="_dlc_DocIdPersistId" ma:readOnly="true">
      <xsd:simpleType>
        <xsd:restriction base="dms:Boolean"/>
      </xsd:simpleType>
    </xsd:element>
    <xsd:element name="ChannelName" ma:index="11" nillable="true" ma:displayName="Kanal" ma:internalName="ChannelName" ma:readOnly="true">
      <xsd:simpleType>
        <xsd:restriction base="dms:Text"/>
      </xsd:simpleType>
    </xsd:element>
    <xsd:element name="Dokumenttema" ma:index="12" nillable="true" ma:displayName="Dokumenttema" ma:list="{19e00e67-50a1-482f-a7d9-66d65f82a208}" ma:internalName="Dokumenttema" ma:showField="Title">
      <xsd:simpleType>
        <xsd:restriction base="dms:Lookup"/>
      </xsd:simpleType>
    </xsd:element>
    <xsd:element name="Oppdragsnummer" ma:index="13" nillable="true" ma:displayName="Oppdragsnummer" ma:internalName="Oppdragsnummer" ma:readOnly="true">
      <xsd:simpleType>
        <xsd:restriction base="dms:Text"/>
      </xsd:simpleType>
    </xsd:element>
    <xsd:element name="Revisjon" ma:index="14" nillable="true" ma:displayName="Revisjon" ma:internalName="Revisjon">
      <xsd:simpleType>
        <xsd:restriction base="dms:Text"/>
      </xsd:simpleType>
    </xsd:element>
    <xsd:element name="RevisjonsDato" ma:index="15" nillable="true" ma:displayName="RevisjonsDato" ma:format="DateOnly" ma:internalName="RevisjonsDato">
      <xsd:simpleType>
        <xsd:restriction base="dms:DateTime"/>
      </xsd:simpleType>
    </xsd:element>
    <xsd:element name="TaxCatchAll" ma:index="16" nillable="true" ma:displayName="Taxonomy Catch All Column" ma:hidden="true" ma:list="{65996933-c54e-4021-a4a9-ce4dd9ca1c8c}" ma:internalName="TaxCatchAll" ma:showField="CatchAllData" ma:web="9b476d91-9f0e-4c70-b85f-d13947649b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e28ca-cdbb-45c5-ab62-ff176070526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7" nillable="true" ma:displayName="Bildemerkelapper_0" ma:hidden="true" ma:internalName="lcf76f155ced4ddcb4097134ff3c332f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Dokument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b476d91-9f0e-4c70-b85f-d13947649b8b">JAXXVZ6WFWN4-1011235483-1957</_dlc_DocId>
    <_dlc_DocIdUrl xmlns="9b476d91-9f0e-4c70-b85f-d13947649b8b">
      <Url>https://asplanviak.sharepoint.com/sites/10333-03/_layouts/15/DocIdRedir.aspx?ID=JAXXVZ6WFWN4-1011235483-1957</Url>
      <Description>JAXXVZ6WFWN4-1011235483-1957</Description>
    </_dlc_DocIdUrl>
    <RevisjonsDato xmlns="9b476d91-9f0e-4c70-b85f-d13947649b8b" xsi:nil="true"/>
    <Revisjon xmlns="9b476d91-9f0e-4c70-b85f-d13947649b8b" xsi:nil="true"/>
    <Dokumenttema xmlns="9b476d91-9f0e-4c70-b85f-d13947649b8b" xsi:nil="true"/>
    <ChannelName xmlns="9b476d91-9f0e-4c70-b85f-d13947649b8b">General</ChannelName>
    <Oppdragsnummer xmlns="9b476d91-9f0e-4c70-b85f-d13947649b8b">10333-03</Oppdragsnummer>
    <TaxCatchAll xmlns="9b476d91-9f0e-4c70-b85f-d13947649b8b" xsi:nil="true"/>
    <lcf76f155ced4ddcb4097134ff3c332f xmlns="bb5e28ca-cdbb-45c5-ab62-ff176070526a" xsi:nil="true"/>
  </documentManagement>
</p:properties>
</file>

<file path=customXml/itemProps1.xml><?xml version="1.0" encoding="utf-8"?>
<ds:datastoreItem xmlns:ds="http://schemas.openxmlformats.org/officeDocument/2006/customXml" ds:itemID="{6A2FBE9F-815C-4292-88A1-262D9A66A72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554B210-CE24-4EE0-906D-3151B9AEA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76d91-9f0e-4c70-b85f-d13947649b8b"/>
    <ds:schemaRef ds:uri="bb5e28ca-cdbb-45c5-ab62-ff17607052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610922-2718-462C-9990-6D1F4E87C57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1EA9657-1FB0-46F3-8348-AC3177A99506}">
  <ds:schemaRefs>
    <ds:schemaRef ds:uri="http://purl.org/dc/terms/"/>
    <ds:schemaRef ds:uri="9b476d91-9f0e-4c70-b85f-d13947649b8b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bb5e28ca-cdbb-45c5-ab62-ff176070526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Hovedstrekk</vt:lpstr>
      <vt:lpstr>Kollektorvæske</vt:lpstr>
      <vt:lpstr>SM6 +SM2 + SM3 +SM5</vt:lpstr>
      <vt:lpstr>SM6 +SM2</vt:lpstr>
      <vt:lpstr>SM6</vt:lpstr>
      <vt:lpstr>SM5</vt:lpstr>
      <vt:lpstr>SM4</vt:lpstr>
      <vt:lpstr>SM3</vt:lpstr>
      <vt:lpstr>SM2</vt:lpstr>
      <vt:lpstr>SM1</vt:lpstr>
      <vt:lpstr>Oppsummering</vt:lpstr>
    </vt:vector>
  </TitlesOfParts>
  <Company>Asplan Viak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Holmberg</dc:creator>
  <cp:lastModifiedBy>Åsmund Fossum</cp:lastModifiedBy>
  <dcterms:created xsi:type="dcterms:W3CDTF">2015-01-19T09:04:35Z</dcterms:created>
  <dcterms:modified xsi:type="dcterms:W3CDTF">2023-06-23T13:33:33Z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40102f2e-26ea-4cdc-9fdd-e8dc6c11ffcc</vt:lpwstr>
  </property>
  <property fmtid="{D5CDD505-2E9C-101B-9397-08002B2CF9AE}" pid="3" name="ContentTypeId">
    <vt:lpwstr>0x010100F60592913680E844957B4E8AFA95C3FA0095E0FAB67BC5AC4A91BBF98C48003DFC</vt:lpwstr>
  </property>
  <property fmtid="{D5CDD505-2E9C-101B-9397-08002B2CF9AE}" pid="4" name="Platform">
    <vt:lpwstr>BikubeOnline</vt:lpwstr>
  </property>
  <property fmtid="{D5CDD505-2E9C-101B-9397-08002B2CF9AE}" pid="5" name="MediaServiceImageTags">
    <vt:lpwstr/>
  </property>
</Properties>
</file>