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1415" windowHeight="5295" activeTab="1"/>
  </bookViews>
  <sheets>
    <sheet name="Full Diff" sheetId="1" r:id="rId1"/>
    <sheet name="Accumulated Savings" sheetId="2" r:id="rId2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F27" i="1" l="1"/>
  <c r="E27" i="1"/>
  <c r="K25" i="1"/>
  <c r="J25" i="1"/>
  <c r="I25" i="1"/>
  <c r="E25" i="1"/>
  <c r="D25" i="1"/>
  <c r="K24" i="1"/>
  <c r="J24" i="1"/>
  <c r="I24" i="1"/>
  <c r="H24" i="1"/>
  <c r="E24" i="1"/>
  <c r="D24" i="1"/>
  <c r="K23" i="1"/>
  <c r="J23" i="1"/>
  <c r="I23" i="1"/>
  <c r="E23" i="1"/>
  <c r="D23" i="1"/>
  <c r="K22" i="1"/>
  <c r="J22" i="1"/>
  <c r="I22" i="1"/>
  <c r="E22" i="1"/>
  <c r="D22" i="1"/>
  <c r="K21" i="1"/>
  <c r="J21" i="1"/>
  <c r="I21" i="1"/>
  <c r="E21" i="1"/>
  <c r="D21" i="1"/>
  <c r="K20" i="1"/>
  <c r="J20" i="1"/>
  <c r="I20" i="1"/>
  <c r="E20" i="1"/>
  <c r="D20" i="1"/>
  <c r="K19" i="1"/>
  <c r="J19" i="1"/>
  <c r="I19" i="1"/>
  <c r="E19" i="1"/>
  <c r="D19" i="1"/>
  <c r="K18" i="1"/>
  <c r="J18" i="1"/>
  <c r="I18" i="1"/>
  <c r="E18" i="1"/>
  <c r="D18" i="1"/>
  <c r="K17" i="1"/>
  <c r="J17" i="1"/>
  <c r="I17" i="1"/>
  <c r="H17" i="1"/>
  <c r="E17" i="1"/>
  <c r="D17" i="1"/>
  <c r="K16" i="1" l="1"/>
  <c r="J16" i="1"/>
  <c r="I16" i="1"/>
  <c r="E16" i="1"/>
  <c r="D16" i="1"/>
  <c r="K15" i="1"/>
  <c r="J15" i="1"/>
  <c r="I15" i="1"/>
  <c r="D15" i="1"/>
  <c r="E15" i="1"/>
  <c r="K14" i="1"/>
  <c r="J14" i="1"/>
  <c r="I14" i="1"/>
  <c r="E14" i="1"/>
  <c r="D14" i="1"/>
  <c r="K13" i="1"/>
  <c r="J13" i="1"/>
  <c r="I13" i="1"/>
  <c r="E13" i="1"/>
  <c r="D13" i="1"/>
  <c r="K12" i="1"/>
  <c r="J12" i="1"/>
  <c r="I12" i="1"/>
  <c r="D12" i="1"/>
  <c r="E12" i="1"/>
  <c r="K11" i="1"/>
  <c r="J11" i="1"/>
  <c r="I11" i="1"/>
  <c r="E11" i="1"/>
  <c r="D11" i="1"/>
  <c r="K10" i="1" l="1"/>
  <c r="I10" i="1"/>
  <c r="J10" i="1"/>
  <c r="E10" i="1"/>
  <c r="D10" i="1"/>
  <c r="K9" i="1"/>
  <c r="J9" i="1"/>
  <c r="I9" i="1"/>
  <c r="E9" i="1"/>
  <c r="D9" i="1"/>
  <c r="K8" i="1"/>
  <c r="J8" i="1"/>
  <c r="I8" i="1"/>
  <c r="E8" i="1"/>
  <c r="D8" i="1"/>
  <c r="J7" i="1"/>
  <c r="D7" i="1"/>
  <c r="I7" i="1"/>
  <c r="E7" i="1"/>
  <c r="K7" i="1"/>
  <c r="K6" i="1"/>
  <c r="J6" i="1"/>
  <c r="I6" i="1"/>
  <c r="H6" i="1"/>
  <c r="E6" i="1"/>
  <c r="D6" i="1"/>
  <c r="K5" i="1"/>
  <c r="J5" i="1"/>
  <c r="I5" i="1"/>
  <c r="E5" i="1"/>
  <c r="D5" i="1"/>
  <c r="J4" i="1"/>
  <c r="I4" i="1"/>
  <c r="D4" i="1"/>
  <c r="E4" i="1"/>
  <c r="K4" i="1"/>
  <c r="K3" i="1"/>
  <c r="J3" i="1"/>
  <c r="I3" i="1"/>
  <c r="E3" i="1"/>
  <c r="D3" i="1"/>
  <c r="K2" i="1"/>
  <c r="J2" i="1"/>
  <c r="I2" i="1"/>
  <c r="E2" i="1"/>
  <c r="D2" i="1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27" i="1"/>
  <c r="J27" i="1"/>
  <c r="I27" i="1"/>
  <c r="H27" i="1"/>
  <c r="G27" i="1"/>
  <c r="E28" i="1"/>
  <c r="D27" i="1"/>
  <c r="C28" i="1"/>
  <c r="C27" i="1"/>
  <c r="M27" i="1" l="1"/>
  <c r="M28" i="1"/>
  <c r="N25" i="1"/>
  <c r="N27" i="1" s="1"/>
  <c r="O25" i="1" l="1"/>
  <c r="O27" i="1" s="1"/>
  <c r="D27" i="2" l="1"/>
  <c r="C27" i="2"/>
  <c r="D28" i="2" l="1"/>
  <c r="E27" i="2"/>
</calcChain>
</file>

<file path=xl/sharedStrings.xml><?xml version="1.0" encoding="utf-8"?>
<sst xmlns="http://schemas.openxmlformats.org/spreadsheetml/2006/main" count="18" uniqueCount="16">
  <si>
    <t>OriginalTiming</t>
  </si>
  <si>
    <t>InitialTiming</t>
  </si>
  <si>
    <t>UpdateTiming</t>
  </si>
  <si>
    <t>OriginalEdges</t>
  </si>
  <si>
    <t>InitialEdges</t>
  </si>
  <si>
    <t>UpdateEdges</t>
  </si>
  <si>
    <t>From Revision</t>
  </si>
  <si>
    <t>To Revision</t>
  </si>
  <si>
    <t>Savings</t>
  </si>
  <si>
    <t>Overhead</t>
  </si>
  <si>
    <t>Savings HEROS</t>
  </si>
  <si>
    <t>Changeset</t>
  </si>
  <si>
    <t>Struct Diff</t>
  </si>
  <si>
    <t>Unchanged Pointers</t>
  </si>
  <si>
    <t>Recompute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</si>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</sst>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0" fontId="0" fillId="0" borderId="0" xfId="0" applyFont="1"/>
    <xf numFmtId="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200909021347</c:v>
                </c:pt>
                <c:pt idx="1">
                  <c:v>200909021404</c:v>
                </c:pt>
                <c:pt idx="2">
                  <c:v>200909021405</c:v>
                </c:pt>
                <c:pt idx="3">
                  <c:v>200909021406</c:v>
                </c:pt>
                <c:pt idx="4">
                  <c:v>200909071243</c:v>
                </c:pt>
                <c:pt idx="5">
                  <c:v>200909071317</c:v>
                </c:pt>
                <c:pt idx="6">
                  <c:v>200909071434</c:v>
                </c:pt>
                <c:pt idx="7">
                  <c:v>200909091000</c:v>
                </c:pt>
                <c:pt idx="8">
                  <c:v>200909091001</c:v>
                </c:pt>
                <c:pt idx="9">
                  <c:v>200910031237</c:v>
                </c:pt>
                <c:pt idx="10">
                  <c:v>200910031238</c:v>
                </c:pt>
                <c:pt idx="11">
                  <c:v>200910081643</c:v>
                </c:pt>
                <c:pt idx="12">
                  <c:v>200910261431</c:v>
                </c:pt>
                <c:pt idx="13">
                  <c:v>200910291810</c:v>
                </c:pt>
                <c:pt idx="14">
                  <c:v>201004301121</c:v>
                </c:pt>
                <c:pt idx="15">
                  <c:v>201005011732</c:v>
                </c:pt>
                <c:pt idx="16">
                  <c:v>201006041053</c:v>
                </c:pt>
                <c:pt idx="17">
                  <c:v>201009011057</c:v>
                </c:pt>
                <c:pt idx="18">
                  <c:v>201108161456</c:v>
                </c:pt>
                <c:pt idx="19">
                  <c:v>201108170943</c:v>
                </c:pt>
                <c:pt idx="20">
                  <c:v>201109060818</c:v>
                </c:pt>
                <c:pt idx="21">
                  <c:v>201201061648</c:v>
                </c:pt>
                <c:pt idx="22">
                  <c:v>201210190454</c:v>
                </c:pt>
                <c:pt idx="23">
                  <c:v>201306271843</c:v>
                </c:pt>
              </c:numCache>
            </c:numRef>
          </c:cat>
          <c:val>
            <c:numRef>
              <c:f>'Full Diff'!$C$2:$C$25</c:f>
              <c:numCache>
                <c:formatCode>0.00</c:formatCode>
                <c:ptCount val="24"/>
                <c:pt idx="0">
                  <c:v>1.22</c:v>
                </c:pt>
                <c:pt idx="1">
                  <c:v>0.94999999999999984</c:v>
                </c:pt>
                <c:pt idx="2">
                  <c:v>0.82</c:v>
                </c:pt>
                <c:pt idx="3">
                  <c:v>0.82999999999999985</c:v>
                </c:pt>
                <c:pt idx="4">
                  <c:v>0.92999999999999994</c:v>
                </c:pt>
                <c:pt idx="5">
                  <c:v>0.79999999999999993</c:v>
                </c:pt>
                <c:pt idx="6">
                  <c:v>0.86</c:v>
                </c:pt>
                <c:pt idx="7">
                  <c:v>0.86999999999999988</c:v>
                </c:pt>
                <c:pt idx="8">
                  <c:v>0.82</c:v>
                </c:pt>
                <c:pt idx="9">
                  <c:v>0.77999999999999992</c:v>
                </c:pt>
                <c:pt idx="10">
                  <c:v>0.83000000000000007</c:v>
                </c:pt>
                <c:pt idx="11">
                  <c:v>0.80999999999999994</c:v>
                </c:pt>
                <c:pt idx="12">
                  <c:v>0.91999999999999993</c:v>
                </c:pt>
                <c:pt idx="13">
                  <c:v>0.91999999999999993</c:v>
                </c:pt>
                <c:pt idx="14">
                  <c:v>0.78999999999999992</c:v>
                </c:pt>
                <c:pt idx="15">
                  <c:v>0.85</c:v>
                </c:pt>
                <c:pt idx="16">
                  <c:v>0.93</c:v>
                </c:pt>
                <c:pt idx="17">
                  <c:v>0.8</c:v>
                </c:pt>
                <c:pt idx="18">
                  <c:v>1.18</c:v>
                </c:pt>
                <c:pt idx="19">
                  <c:v>0.76999999999999991</c:v>
                </c:pt>
                <c:pt idx="20">
                  <c:v>0.86999999999999988</c:v>
                </c:pt>
                <c:pt idx="21">
                  <c:v>0.79999999999999993</c:v>
                </c:pt>
                <c:pt idx="22">
                  <c:v>0.74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Original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200909021347</c:v>
                </c:pt>
                <c:pt idx="1">
                  <c:v>200909021404</c:v>
                </c:pt>
                <c:pt idx="2">
                  <c:v>200909021405</c:v>
                </c:pt>
                <c:pt idx="3">
                  <c:v>200909021406</c:v>
                </c:pt>
                <c:pt idx="4">
                  <c:v>200909071243</c:v>
                </c:pt>
                <c:pt idx="5">
                  <c:v>200909071317</c:v>
                </c:pt>
                <c:pt idx="6">
                  <c:v>200909071434</c:v>
                </c:pt>
                <c:pt idx="7">
                  <c:v>200909091000</c:v>
                </c:pt>
                <c:pt idx="8">
                  <c:v>200909091001</c:v>
                </c:pt>
                <c:pt idx="9">
                  <c:v>200910031237</c:v>
                </c:pt>
                <c:pt idx="10">
                  <c:v>200910031238</c:v>
                </c:pt>
                <c:pt idx="11">
                  <c:v>200910081643</c:v>
                </c:pt>
                <c:pt idx="12">
                  <c:v>200910261431</c:v>
                </c:pt>
                <c:pt idx="13">
                  <c:v>200910291810</c:v>
                </c:pt>
                <c:pt idx="14">
                  <c:v>201004301121</c:v>
                </c:pt>
                <c:pt idx="15">
                  <c:v>201005011732</c:v>
                </c:pt>
                <c:pt idx="16">
                  <c:v>201006041053</c:v>
                </c:pt>
                <c:pt idx="17">
                  <c:v>201009011057</c:v>
                </c:pt>
                <c:pt idx="18">
                  <c:v>201108161456</c:v>
                </c:pt>
                <c:pt idx="19">
                  <c:v>201108170943</c:v>
                </c:pt>
                <c:pt idx="20">
                  <c:v>201109060818</c:v>
                </c:pt>
                <c:pt idx="21">
                  <c:v>201201061648</c:v>
                </c:pt>
                <c:pt idx="22">
                  <c:v>201210190454</c:v>
                </c:pt>
                <c:pt idx="23">
                  <c:v>201306271843</c:v>
                </c:pt>
              </c:numCache>
            </c:numRef>
          </c:cat>
          <c:val>
            <c:numRef>
              <c:f>'Full Diff'!$C$2:$C$25</c:f>
              <c:numCache>
                <c:formatCode>0.00</c:formatCode>
                <c:ptCount val="24"/>
                <c:pt idx="0">
                  <c:v>1.22</c:v>
                </c:pt>
                <c:pt idx="1">
                  <c:v>0.94999999999999984</c:v>
                </c:pt>
                <c:pt idx="2">
                  <c:v>0.82</c:v>
                </c:pt>
                <c:pt idx="3">
                  <c:v>0.82999999999999985</c:v>
                </c:pt>
                <c:pt idx="4">
                  <c:v>0.92999999999999994</c:v>
                </c:pt>
                <c:pt idx="5">
                  <c:v>0.79999999999999993</c:v>
                </c:pt>
                <c:pt idx="6">
                  <c:v>0.86</c:v>
                </c:pt>
                <c:pt idx="7">
                  <c:v>0.86999999999999988</c:v>
                </c:pt>
                <c:pt idx="8">
                  <c:v>0.82</c:v>
                </c:pt>
                <c:pt idx="9">
                  <c:v>0.77999999999999992</c:v>
                </c:pt>
                <c:pt idx="10">
                  <c:v>0.83000000000000007</c:v>
                </c:pt>
                <c:pt idx="11">
                  <c:v>0.80999999999999994</c:v>
                </c:pt>
                <c:pt idx="12">
                  <c:v>0.91999999999999993</c:v>
                </c:pt>
                <c:pt idx="13">
                  <c:v>0.91999999999999993</c:v>
                </c:pt>
                <c:pt idx="14">
                  <c:v>0.78999999999999992</c:v>
                </c:pt>
                <c:pt idx="15">
                  <c:v>0.85</c:v>
                </c:pt>
                <c:pt idx="16">
                  <c:v>0.93</c:v>
                </c:pt>
                <c:pt idx="17">
                  <c:v>0.8</c:v>
                </c:pt>
                <c:pt idx="18">
                  <c:v>1.18</c:v>
                </c:pt>
                <c:pt idx="19">
                  <c:v>0.76999999999999991</c:v>
                </c:pt>
                <c:pt idx="20">
                  <c:v>0.86999999999999988</c:v>
                </c:pt>
                <c:pt idx="21">
                  <c:v>0.79999999999999993</c:v>
                </c:pt>
                <c:pt idx="22">
                  <c:v>0.74</c:v>
                </c:pt>
                <c:pt idx="23">
                  <c:v>0.9</c:v>
                </c:pt>
              </c:numCache>
            </c:numRef>
          </c:val>
        </c:ser>
        <c:ser>
          <c:idx val="1"/>
          <c:order val="2"/>
          <c:tx>
            <c:v>Update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200909021347</c:v>
                </c:pt>
                <c:pt idx="1">
                  <c:v>200909021404</c:v>
                </c:pt>
                <c:pt idx="2">
                  <c:v>200909021405</c:v>
                </c:pt>
                <c:pt idx="3">
                  <c:v>200909021406</c:v>
                </c:pt>
                <c:pt idx="4">
                  <c:v>200909071243</c:v>
                </c:pt>
                <c:pt idx="5">
                  <c:v>200909071317</c:v>
                </c:pt>
                <c:pt idx="6">
                  <c:v>200909071434</c:v>
                </c:pt>
                <c:pt idx="7">
                  <c:v>200909091000</c:v>
                </c:pt>
                <c:pt idx="8">
                  <c:v>200909091001</c:v>
                </c:pt>
                <c:pt idx="9">
                  <c:v>200910031237</c:v>
                </c:pt>
                <c:pt idx="10">
                  <c:v>200910031238</c:v>
                </c:pt>
                <c:pt idx="11">
                  <c:v>200910081643</c:v>
                </c:pt>
                <c:pt idx="12">
                  <c:v>200910261431</c:v>
                </c:pt>
                <c:pt idx="13">
                  <c:v>200910291810</c:v>
                </c:pt>
                <c:pt idx="14">
                  <c:v>201004301121</c:v>
                </c:pt>
                <c:pt idx="15">
                  <c:v>201005011732</c:v>
                </c:pt>
                <c:pt idx="16">
                  <c:v>201006041053</c:v>
                </c:pt>
                <c:pt idx="17">
                  <c:v>201009011057</c:v>
                </c:pt>
                <c:pt idx="18">
                  <c:v>201108161456</c:v>
                </c:pt>
                <c:pt idx="19">
                  <c:v>201108170943</c:v>
                </c:pt>
                <c:pt idx="20">
                  <c:v>201109060818</c:v>
                </c:pt>
                <c:pt idx="21">
                  <c:v>201201061648</c:v>
                </c:pt>
                <c:pt idx="22">
                  <c:v>201210190454</c:v>
                </c:pt>
                <c:pt idx="23">
                  <c:v>201306271843</c:v>
                </c:pt>
              </c:numCache>
            </c:numRef>
          </c:cat>
          <c:val>
            <c:numRef>
              <c:f>'Full Diff'!$E$2:$E$25</c:f>
              <c:numCache>
                <c:formatCode>0.00</c:formatCode>
                <c:ptCount val="24"/>
                <c:pt idx="0">
                  <c:v>0.39999999999999991</c:v>
                </c:pt>
                <c:pt idx="1">
                  <c:v>0.32999999999999996</c:v>
                </c:pt>
                <c:pt idx="2">
                  <c:v>0.31</c:v>
                </c:pt>
                <c:pt idx="3">
                  <c:v>0.33999999999999997</c:v>
                </c:pt>
                <c:pt idx="4">
                  <c:v>0.53</c:v>
                </c:pt>
                <c:pt idx="5">
                  <c:v>0.32999999999999996</c:v>
                </c:pt>
                <c:pt idx="6">
                  <c:v>0.33999999999999997</c:v>
                </c:pt>
                <c:pt idx="7">
                  <c:v>0.58999999999999986</c:v>
                </c:pt>
                <c:pt idx="8">
                  <c:v>0.35</c:v>
                </c:pt>
                <c:pt idx="9">
                  <c:v>0.35</c:v>
                </c:pt>
                <c:pt idx="10">
                  <c:v>0.32000000000000006</c:v>
                </c:pt>
                <c:pt idx="11">
                  <c:v>0.32999999999999996</c:v>
                </c:pt>
                <c:pt idx="12">
                  <c:v>0.35</c:v>
                </c:pt>
                <c:pt idx="13">
                  <c:v>0.33999999999999997</c:v>
                </c:pt>
                <c:pt idx="14">
                  <c:v>0.36</c:v>
                </c:pt>
                <c:pt idx="15">
                  <c:v>0.49000000000000005</c:v>
                </c:pt>
                <c:pt idx="16">
                  <c:v>0.32000000000000006</c:v>
                </c:pt>
                <c:pt idx="17">
                  <c:v>0.35</c:v>
                </c:pt>
                <c:pt idx="18">
                  <c:v>0.33999999999999997</c:v>
                </c:pt>
                <c:pt idx="19">
                  <c:v>0.35</c:v>
                </c:pt>
                <c:pt idx="20">
                  <c:v>0.36999999999999994</c:v>
                </c:pt>
                <c:pt idx="21">
                  <c:v>0.37999999999999995</c:v>
                </c:pt>
                <c:pt idx="22">
                  <c:v>0.93</c:v>
                </c:pt>
                <c:pt idx="23">
                  <c:v>0.32000000000000012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14304"/>
        <c:axId val="113162496"/>
      </c:barChart>
      <c:catAx>
        <c:axId val="112114304"/>
        <c:scaling>
          <c:orientation val="minMax"/>
        </c:scaling>
        <c:delete val="0"/>
        <c:axPos val="b"/>
        <c:numFmt formatCode="00000" sourceLinked="1"/>
        <c:majorTickMark val="out"/>
        <c:minorTickMark val="none"/>
        <c:tickLblPos val="nextTo"/>
        <c:crossAx val="113162496"/>
        <c:crosses val="autoZero"/>
        <c:auto val="1"/>
        <c:lblAlgn val="ctr"/>
        <c:lblOffset val="100"/>
        <c:noMultiLvlLbl val="0"/>
      </c:catAx>
      <c:valAx>
        <c:axId val="113162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1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29</xdr:row>
      <xdr:rowOff>152400</xdr:rowOff>
    </xdr:from>
    <xdr:to>
      <xdr:col>5</xdr:col>
      <xdr:colOff>409575</xdr:colOff>
      <xdr:row>47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28"/>
  <sheetViews>
    <sheetView zoomScaleNormal="100" workbookViewId="0">
      <selection activeCell="A2" sqref="A2:B25"/>
    </sheetView>
  </sheetViews>
  <sheetFormatPr baseColWidth="10" defaultColWidth="9.140625" defaultRowHeight="15" x14ac:dyDescent="0.25"/>
  <cols>
    <col min="1" max="1" width="19.28515625" bestFit="1" customWidth="1"/>
    <col min="2" max="2" width="19.28515625" customWidth="1"/>
    <col min="3" max="3" width="14" bestFit="1" customWidth="1"/>
    <col min="4" max="4" width="12.140625" bestFit="1" customWidth="1"/>
    <col min="5" max="5" width="13.42578125" bestFit="1" customWidth="1"/>
    <col min="6" max="6" width="13.140625" bestFit="1" customWidth="1"/>
    <col min="7" max="7" width="11.28515625" bestFit="1" customWidth="1"/>
    <col min="8" max="8" width="12.5703125" bestFit="1" customWidth="1"/>
    <col min="9" max="10" width="12.5703125" customWidth="1"/>
    <col min="11" max="11" width="19" bestFit="1" customWidth="1"/>
    <col min="13" max="13" width="9.7109375" bestFit="1" customWidth="1"/>
    <col min="14" max="14" width="10.42578125" customWidth="1"/>
    <col min="15" max="15" width="13.85546875" bestFit="1" customWidth="1"/>
  </cols>
  <sheetData>
    <row r="1" spans="1:15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</v>
      </c>
      <c r="J1" s="2" t="s">
        <v>12</v>
      </c>
      <c r="K1" s="2" t="s">
        <v>13</v>
      </c>
      <c r="M1" s="2" t="s">
        <v>9</v>
      </c>
      <c r="N1" s="2" t="s">
        <v>8</v>
      </c>
      <c r="O1" s="2" t="s">
        <v>10</v>
      </c>
    </row>
    <row r="2" spans="1:15" x14ac:dyDescent="0.25">
      <c r="A2" s="5">
        <v>200909021347</v>
      </c>
      <c r="B2" s="5">
        <v>200909021404</v>
      </c>
      <c r="C2" s="1">
        <f>AVERAGE(6.8,0.9,0.7,0.5,0.6,0.6,0.6,0.5,0.5,0.5)</f>
        <v>1.22</v>
      </c>
      <c r="D2" s="1">
        <f>AVERAGE(3.3,0.9,0.5,0.5,0.5,0.6,0.6,0.5,0.5,0.5)</f>
        <v>0.83999999999999986</v>
      </c>
      <c r="E2" s="1">
        <f>AVERAGE(1.2,0.6,0.3,0.3,0.3,0.3,0.3,0.3,0.2,0.2)</f>
        <v>0.39999999999999991</v>
      </c>
      <c r="F2" s="7">
        <v>31815</v>
      </c>
      <c r="G2">
        <v>31815</v>
      </c>
      <c r="H2" s="7">
        <v>0</v>
      </c>
      <c r="I2" s="1">
        <f>AVERAGE(1.2,0.6,0.3,0.3,0.3,0.3,0.3,0.3,0.2,0.2)</f>
        <v>0.39999999999999991</v>
      </c>
      <c r="J2" s="1">
        <f>AVERAGE(0.7,0.3,0.1,0.2,0.1,0.2,0.1,0.2,0.1,0.1)</f>
        <v>0.21000000000000002</v>
      </c>
      <c r="K2" s="1">
        <f>AVERAGE(0.3,0.2,0.1,0.1,0.1,0.1,0.1,0.1,0.1,0.1)</f>
        <v>0.13</v>
      </c>
      <c r="L2" s="6"/>
      <c r="M2" s="4">
        <f t="shared" ref="M2:M24" si="0">D2/C2-1</f>
        <v>-0.3114754098360657</v>
      </c>
      <c r="N2" s="4">
        <f t="shared" ref="N2:N24" si="1">E2/D2</f>
        <v>0.47619047619047616</v>
      </c>
      <c r="O2" s="4">
        <f t="shared" ref="O2:O24" si="2">E2/D2</f>
        <v>0.47619047619047616</v>
      </c>
    </row>
    <row r="3" spans="1:15" x14ac:dyDescent="0.25">
      <c r="A3" s="5">
        <v>200909021404</v>
      </c>
      <c r="B3" s="5">
        <v>200909021405</v>
      </c>
      <c r="C3" s="1">
        <f>AVERAGE(4.4,0.7,0.6,0.6,0.5,0.5,0.6,0.5,0.6,0.5)</f>
        <v>0.94999999999999984</v>
      </c>
      <c r="D3" s="1">
        <f>AVERAGE(3.2,0.6,0.6,0.5,0.5,0.5,0.5,0.5,0.5,0.5)</f>
        <v>0.79</v>
      </c>
      <c r="E3" s="1">
        <f>AVERAGE(0.8,0.3,0.3,0.3,0.3,0.3,0.2,0.3,0.2,0.3)</f>
        <v>0.32999999999999996</v>
      </c>
      <c r="F3" s="7">
        <v>31815</v>
      </c>
      <c r="G3">
        <v>31815</v>
      </c>
      <c r="H3" s="7">
        <v>0</v>
      </c>
      <c r="I3" s="1">
        <f>AVERAGE(0.8,0.3,0.3,0.3,0.3,0.3,0.2,0.3,0.2,0.3)</f>
        <v>0.32999999999999996</v>
      </c>
      <c r="J3" s="1">
        <f>AVERAGE(0.4,0.1,0.2,0.1,0.1,0.1,0.1,0.1,0.1,0.2)</f>
        <v>0.15</v>
      </c>
      <c r="K3" s="1">
        <f>AVERAGE(0.3,0.1,0.1,0.1,0.1,0.1,0.1,0.1,0.1,0.1)</f>
        <v>0.12</v>
      </c>
      <c r="L3" s="6"/>
      <c r="M3" s="4">
        <f t="shared" si="0"/>
        <v>-0.1684210526315788</v>
      </c>
      <c r="N3" s="4">
        <f t="shared" si="1"/>
        <v>0.41772151898734172</v>
      </c>
      <c r="O3" s="4">
        <f t="shared" si="2"/>
        <v>0.41772151898734172</v>
      </c>
    </row>
    <row r="4" spans="1:15" x14ac:dyDescent="0.25">
      <c r="A4" s="5">
        <v>200909021405</v>
      </c>
      <c r="B4" s="5">
        <v>200909021406</v>
      </c>
      <c r="C4" s="1">
        <f>AVERAGE(3.4,0.7,0.6,0.5,0.5,0.5,0.5,0.5,0.5,0.5)</f>
        <v>0.82</v>
      </c>
      <c r="D4" s="1">
        <f>AVERAGE(3.3,1,0.5,0.7,0.5,0.5,0.5,0.5,0.5,0.5)</f>
        <v>0.85</v>
      </c>
      <c r="E4" s="1">
        <f>AVERAGE(0.7,0.3,0.3,0.3,0.3,0.2,0.2,0.2,0.3,0.3)</f>
        <v>0.31</v>
      </c>
      <c r="F4" s="7">
        <v>31815</v>
      </c>
      <c r="G4">
        <v>31815</v>
      </c>
      <c r="H4" s="7">
        <v>0</v>
      </c>
      <c r="I4" s="1">
        <f>AVERAGE(0.7,0.3,0.3,0.3,0.3,0.2,0.2,0.2,0.3,0.3)</f>
        <v>0.31</v>
      </c>
      <c r="J4" s="1">
        <f>AVERAGE(0.4,0.1,0.1,0.1,0.2,0.1,0.1,0.1,0.1,0.1)</f>
        <v>0.14000000000000001</v>
      </c>
      <c r="K4" s="1">
        <f>AVERAGE(0.2,0.1,0.1,0.1,0.1,0.1,0.1,0.1,0.1,0.1)</f>
        <v>0.10999999999999999</v>
      </c>
      <c r="L4" s="6"/>
      <c r="M4" s="4">
        <f t="shared" si="0"/>
        <v>3.6585365853658569E-2</v>
      </c>
      <c r="N4" s="4">
        <f t="shared" si="1"/>
        <v>0.36470588235294116</v>
      </c>
      <c r="O4" s="4">
        <f t="shared" si="2"/>
        <v>0.36470588235294116</v>
      </c>
    </row>
    <row r="5" spans="1:15" x14ac:dyDescent="0.25">
      <c r="A5" s="5">
        <v>200909021406</v>
      </c>
      <c r="B5" s="5">
        <v>200909071243</v>
      </c>
      <c r="C5" s="1">
        <f>AVERAGE(3,0.8,0.6,0.6,0.5,0.5,0.5,0.6,0.7,0.5)</f>
        <v>0.82999999999999985</v>
      </c>
      <c r="D5" s="1">
        <f>AVERAGE(3.5,0.6,0.6,0.5,0.5,0.5,0.5,0.5,0.5,0.5)</f>
        <v>0.82</v>
      </c>
      <c r="E5" s="1">
        <f>AVERAGE(0.7,0.3,0.3,0.4,0.3,0.3,0.3,0.3,0.3,0.2)</f>
        <v>0.33999999999999997</v>
      </c>
      <c r="F5" s="7">
        <v>31815</v>
      </c>
      <c r="G5">
        <v>31815</v>
      </c>
      <c r="H5" s="7">
        <v>0</v>
      </c>
      <c r="I5" s="1">
        <f>AVERAGE(0.7,0.3,0.3,0.4,0.3,0.3,0.3,0.3,0.3,0.2)</f>
        <v>0.33999999999999997</v>
      </c>
      <c r="J5" s="1">
        <f>AVERAGE(0.4,0.1,0.1,0.2,0.2,0.1,0.1,0.1,0.1,0.1)</f>
        <v>0.15000000000000005</v>
      </c>
      <c r="K5" s="1">
        <f>AVERAGE(0.2,0.1,0.1,0.2,0.2,0.1,0.1,0.1,0.1,0.1)</f>
        <v>0.13000000000000003</v>
      </c>
      <c r="L5" s="6"/>
      <c r="M5" s="4">
        <f t="shared" si="0"/>
        <v>-1.2048192771084265E-2</v>
      </c>
      <c r="N5" s="4">
        <f t="shared" si="1"/>
        <v>0.41463414634146339</v>
      </c>
      <c r="O5" s="4">
        <f t="shared" si="2"/>
        <v>0.41463414634146339</v>
      </c>
    </row>
    <row r="6" spans="1:15" x14ac:dyDescent="0.25">
      <c r="A6" s="5">
        <v>200909071243</v>
      </c>
      <c r="B6" s="5">
        <v>200909071317</v>
      </c>
      <c r="C6" s="1">
        <f>AVERAGE(4.2,0.6,0.6,0.5,0.5,0.6,0.7,0.5,0.5,0.6)</f>
        <v>0.92999999999999994</v>
      </c>
      <c r="D6" s="1">
        <f>AVERAGE(2.7,0.8,0.8,0.5,0.5,0.5,0.5,0.5,0.5,0.5)</f>
        <v>0.78</v>
      </c>
      <c r="E6" s="1">
        <f>AVERAGE(1.3,0.5,0.5,0.4,0.4,0.4,0.5,0.5,0.4,0.4)</f>
        <v>0.53</v>
      </c>
      <c r="F6" s="7">
        <v>31960</v>
      </c>
      <c r="G6">
        <v>31960</v>
      </c>
      <c r="H6">
        <f>AVERAGE(1414,1461,1414,1455,1458,1414,1470,1461,1461,1461)</f>
        <v>1446.9</v>
      </c>
      <c r="I6" s="1">
        <f>AVERAGE(0.9,0.3,0.4,0.3,0.3,0.3,0.4,0.4,0.3,0.3)</f>
        <v>0.38999999999999996</v>
      </c>
      <c r="J6" s="1">
        <f>AVERAGE(0.5,0.2,0.2,0.1,0.1,0.1,0.2,0.2,0.1,0.1)</f>
        <v>0.18</v>
      </c>
      <c r="K6" s="1">
        <f>AVERAGE(1.5,0.1,0.1,0.1,0.1,0.1,0.1,0.1,0.1,0.1)</f>
        <v>0.24000000000000007</v>
      </c>
      <c r="L6" s="6"/>
      <c r="M6" s="4">
        <f t="shared" si="0"/>
        <v>-0.16129032258064513</v>
      </c>
      <c r="N6" s="4">
        <f t="shared" si="1"/>
        <v>0.67948717948717952</v>
      </c>
      <c r="O6" s="4">
        <f t="shared" si="2"/>
        <v>0.67948717948717952</v>
      </c>
    </row>
    <row r="7" spans="1:15" x14ac:dyDescent="0.25">
      <c r="A7" s="5">
        <v>200909071317</v>
      </c>
      <c r="B7" s="5">
        <v>200909071434</v>
      </c>
      <c r="C7" s="1">
        <f>AVERAGE(3,0.7,0.6,0.6,0.5,0.5,0.6,0.5,0.5,0.5)</f>
        <v>0.79999999999999993</v>
      </c>
      <c r="D7" s="1">
        <f>AVERAGE(3.7,0.7,0.6,0.6,0.6,0.5,0.5,0.5,0.5,0.5)</f>
        <v>0.86999999999999988</v>
      </c>
      <c r="E7" s="1">
        <f>AVERAGE(0.8,0.3,0.3,0.3,0.3,0.3,0.3,0.2,0.3,0.2)</f>
        <v>0.32999999999999996</v>
      </c>
      <c r="F7" s="7">
        <v>31960</v>
      </c>
      <c r="G7">
        <v>31960</v>
      </c>
      <c r="H7" s="7">
        <v>0</v>
      </c>
      <c r="I7" s="1">
        <f>AVERAGE(0.8,0.3,0.3,0.3,0.3,0.3,0.3,0.2,0.3,0.2)</f>
        <v>0.32999999999999996</v>
      </c>
      <c r="J7" s="1">
        <f>AVERAGE(0.4,0.1,0.1,0.2,0.2,0.2,0.1,0.1,0.1,0.1)</f>
        <v>0.16000000000000003</v>
      </c>
      <c r="K7" s="1">
        <f>AVERAGE(0.3,0.1,0.1,0.1,0.1,0.1,0.1,0.1,0.1,0.1)</f>
        <v>0.12</v>
      </c>
      <c r="L7" s="6"/>
      <c r="M7" s="4">
        <f t="shared" si="0"/>
        <v>8.7499999999999911E-2</v>
      </c>
      <c r="N7" s="4">
        <f t="shared" si="1"/>
        <v>0.37931034482758619</v>
      </c>
      <c r="O7" s="4">
        <f t="shared" si="2"/>
        <v>0.37931034482758619</v>
      </c>
    </row>
    <row r="8" spans="1:15" x14ac:dyDescent="0.25">
      <c r="A8" s="5">
        <v>200909071434</v>
      </c>
      <c r="B8" s="5">
        <v>200909091000</v>
      </c>
      <c r="C8" s="1">
        <f>AVERAGE(3.3,0.9,0.7,0.5,0.6,0.5,0.5,0.6,0.5,0.5)</f>
        <v>0.86</v>
      </c>
      <c r="D8" s="1">
        <f>AVERAGE(2.8,0.6,0.6,0.7,0.7,0.5,0.5,0.5,0.5,0.6)</f>
        <v>0.8</v>
      </c>
      <c r="E8" s="1">
        <f>AVERAGE(0.9,0.3,0.3,0.2,0.3,0.3,0.3,0.3,0.2,0.3)</f>
        <v>0.33999999999999997</v>
      </c>
      <c r="F8" s="7">
        <v>31960</v>
      </c>
      <c r="G8">
        <v>31960</v>
      </c>
      <c r="H8" s="7">
        <v>0</v>
      </c>
      <c r="I8" s="1">
        <f>AVERAGE(0.9,0.3,0.3,0.2,0.3,0.3,0.3,0.3,0.2,0.3)</f>
        <v>0.33999999999999997</v>
      </c>
      <c r="J8" s="1">
        <f>AVERAGE(0.5,0.1,0.1,0.1,0.1,0.1,0.2,0.1,0.1,0.1)</f>
        <v>0.15000000000000002</v>
      </c>
      <c r="K8" s="1">
        <f>AVERAGE(0.3,0.1,0.1,0.1,0.1,0.1,0.1,0.1,0.1,0.1)</f>
        <v>0.12</v>
      </c>
      <c r="L8" s="6"/>
      <c r="M8" s="4">
        <f t="shared" si="0"/>
        <v>-6.9767441860465018E-2</v>
      </c>
      <c r="N8" s="4">
        <f t="shared" si="1"/>
        <v>0.42499999999999993</v>
      </c>
      <c r="O8" s="4">
        <f t="shared" si="2"/>
        <v>0.42499999999999993</v>
      </c>
    </row>
    <row r="9" spans="1:15" x14ac:dyDescent="0.25">
      <c r="A9" s="5">
        <v>200909091000</v>
      </c>
      <c r="B9" s="5">
        <v>200909091001</v>
      </c>
      <c r="C9" s="1">
        <f>AVERAGE(3.3,0.9,0.8,0.5,0.5,0.5,0.6,0.5,0.6,0.5)</f>
        <v>0.86999999999999988</v>
      </c>
      <c r="D9" s="1">
        <f>AVERAGE(3.5,0.7,0.5,0.5,0.5,0.5,0.5,0.5,0.5,0.5)</f>
        <v>0.82</v>
      </c>
      <c r="E9" s="1">
        <f>AVERAGE(2.9,0.3,0.5,0.4,0.3,0.3,0.3,0.3,0.3,0.3)</f>
        <v>0.58999999999999986</v>
      </c>
      <c r="F9" s="7">
        <v>31960</v>
      </c>
      <c r="G9">
        <v>31960</v>
      </c>
      <c r="H9" s="7">
        <v>0</v>
      </c>
      <c r="I9" s="1">
        <f>AVERAGE(2.9,0.3,0.5,0.4,0.3,0.3,0.3,0.3,0.3,0.3)</f>
        <v>0.58999999999999986</v>
      </c>
      <c r="J9" s="1">
        <f>AVERAGE(0.3,0.1,0.2,0.2,0.1,0.1,0.1,0.2,0.1,0.2)</f>
        <v>0.16</v>
      </c>
      <c r="K9" s="1">
        <f>AVERAGE(0.2,0.1,0.2,0.2,0.1,0.1,0.1,0.2,0.1,0.2)</f>
        <v>0.15</v>
      </c>
      <c r="L9" s="6"/>
      <c r="M9" s="4">
        <f t="shared" si="0"/>
        <v>-5.7471264367816022E-2</v>
      </c>
      <c r="N9" s="4">
        <f t="shared" si="1"/>
        <v>0.71951219512195108</v>
      </c>
      <c r="O9" s="4">
        <f t="shared" si="2"/>
        <v>0.71951219512195108</v>
      </c>
    </row>
    <row r="10" spans="1:15" x14ac:dyDescent="0.25">
      <c r="A10" s="5">
        <v>200909091001</v>
      </c>
      <c r="B10" s="5">
        <v>200910031237</v>
      </c>
      <c r="C10" s="1">
        <f>AVERAGE(3.4,0.7,0.5,0.5,0.5,0.5,0.6,0.5,0.5,0.5)</f>
        <v>0.82</v>
      </c>
      <c r="D10" s="1">
        <f>AVERAGE(4.3,0.6,0.6,0.5,0.5,0.5,0.5,0.5,0.5,0.5)</f>
        <v>0.9</v>
      </c>
      <c r="E10" s="1">
        <f>AVERAGE(0.8,0.4,0.3,0.3,0.3,0.3,0.3,0.3,0.2,0.3)</f>
        <v>0.35</v>
      </c>
      <c r="F10" s="7">
        <v>31960</v>
      </c>
      <c r="G10">
        <v>31960</v>
      </c>
      <c r="H10" s="7">
        <v>0</v>
      </c>
      <c r="I10" s="1">
        <f>AVERAGE(0.8,0.4,0.3,0.3,0.3,0.3,0.3,0.3,0.2,0.3)</f>
        <v>0.35</v>
      </c>
      <c r="J10" s="1">
        <f>AVERAGE(0.4,0.2,0.1,0.1,0.2,0.2,0.1,0.1,0.1,0.1)</f>
        <v>0.16000000000000003</v>
      </c>
      <c r="K10" s="1">
        <f>AVERAGE(0.3,0.1,0.1,0.1,0.1,0.1,0.1,0.1,0.1,0.1)</f>
        <v>0.12</v>
      </c>
      <c r="L10" s="6"/>
      <c r="M10" s="4">
        <f t="shared" si="0"/>
        <v>9.7560975609756184E-2</v>
      </c>
      <c r="N10" s="4">
        <f t="shared" si="1"/>
        <v>0.38888888888888884</v>
      </c>
      <c r="O10" s="4">
        <f t="shared" si="2"/>
        <v>0.38888888888888884</v>
      </c>
    </row>
    <row r="11" spans="1:15" x14ac:dyDescent="0.25">
      <c r="A11" s="5">
        <v>200910031237</v>
      </c>
      <c r="B11" s="5">
        <v>200910031238</v>
      </c>
      <c r="C11" s="1">
        <f>AVERAGE(2.3,0.8,0.8,0.8,0.5,0.5,0.6,0.5,0.5,0.5)</f>
        <v>0.77999999999999992</v>
      </c>
      <c r="D11" s="1">
        <f>AVERAGE(3.1,0.8,0.6,0.7,0.6,0.5,0.6,0.5,0.5,0.6)</f>
        <v>0.85</v>
      </c>
      <c r="E11" s="1">
        <f>AVERAGE(0.8,0.3,0.3,0.3,0.4,0.3,0.3,0.3,0.3,0.2)</f>
        <v>0.35</v>
      </c>
      <c r="F11" s="7">
        <v>31960</v>
      </c>
      <c r="G11">
        <v>31960</v>
      </c>
      <c r="H11" s="7">
        <v>0</v>
      </c>
      <c r="I11" s="1">
        <f>AVERAGE(0.8,0.3,0.3,0.3,0.4,0.3,0.3,0.3,0.3,0.2)</f>
        <v>0.35</v>
      </c>
      <c r="J11" s="1">
        <f>AVERAGE(0.4,0.1,0.1,0.1,0.2,0.2,0.2,0.2,0.1,0.1)</f>
        <v>0.16999999999999998</v>
      </c>
      <c r="K11" s="1">
        <f>AVERAGE(0.2,0.1,0.1,0.1,0.2,0.1,0.1,0.1,0.1,0.1)</f>
        <v>0.12</v>
      </c>
      <c r="L11" s="6"/>
      <c r="M11" s="4">
        <f t="shared" si="0"/>
        <v>8.9743589743589869E-2</v>
      </c>
      <c r="N11" s="4">
        <f t="shared" si="1"/>
        <v>0.41176470588235292</v>
      </c>
      <c r="O11" s="4">
        <f t="shared" si="2"/>
        <v>0.41176470588235292</v>
      </c>
    </row>
    <row r="12" spans="1:15" x14ac:dyDescent="0.25">
      <c r="A12" s="5">
        <v>200910031238</v>
      </c>
      <c r="B12" s="5">
        <v>200910081643</v>
      </c>
      <c r="C12" s="1">
        <f>AVERAGE(2.7,0.9,0.8,0.8,0.5,0.5,0.5,0.5,0.5,0.6)</f>
        <v>0.83000000000000007</v>
      </c>
      <c r="D12" s="1">
        <f>AVERAGE(2.7,0.9,0.6,0.7,0.7,0.5,0.5,0.5,0.6,0.5)</f>
        <v>0.82</v>
      </c>
      <c r="E12" s="1">
        <f>AVERAGE(0.7,0.3,0.3,0.3,0.3,0.4,0.3,0.2,0.2,0.2)</f>
        <v>0.32000000000000006</v>
      </c>
      <c r="F12" s="7">
        <v>31960</v>
      </c>
      <c r="G12">
        <v>31960</v>
      </c>
      <c r="H12" s="7">
        <v>0</v>
      </c>
      <c r="I12" s="1">
        <f>AVERAGE(0.7,0.3,0.3,0.3,0.3,0.4,0.3,0.2,0.2,0.2)</f>
        <v>0.32000000000000006</v>
      </c>
      <c r="J12" s="1">
        <f>AVERAGE(0.4,0.1,0.1,0.1,0.1,0.2,0.1,0.1,0.1,0.1)</f>
        <v>0.14000000000000004</v>
      </c>
      <c r="K12" s="1">
        <f>AVERAGE(0.2,0.1,0.1,0.1,0.1,0.1,0.1,0.1,0.1,0.1)</f>
        <v>0.10999999999999999</v>
      </c>
      <c r="L12" s="6"/>
      <c r="M12" s="4">
        <f t="shared" si="0"/>
        <v>-1.2048192771084487E-2</v>
      </c>
      <c r="N12" s="4">
        <f t="shared" si="1"/>
        <v>0.39024390243902451</v>
      </c>
      <c r="O12" s="4">
        <f t="shared" si="2"/>
        <v>0.39024390243902451</v>
      </c>
    </row>
    <row r="13" spans="1:15" x14ac:dyDescent="0.25">
      <c r="A13" s="5">
        <v>200910081643</v>
      </c>
      <c r="B13" s="5">
        <v>200910261431</v>
      </c>
      <c r="C13" s="1">
        <f>AVERAGE(3.2,0.7,0.6,0.5,0.5,0.6,0.5,0.5,0.5,0.5)</f>
        <v>0.80999999999999994</v>
      </c>
      <c r="D13" s="1">
        <f>AVERAGE(2.9,0.8,0.7,0.5,0.5,0.5,0.5,0.5,0.5,0.5)</f>
        <v>0.79</v>
      </c>
      <c r="E13" s="1">
        <f>AVERAGE(0.8,0.3,0.3,0.3,0.3,0.3,0.3,0.2,0.2,0.3)</f>
        <v>0.32999999999999996</v>
      </c>
      <c r="F13" s="7">
        <v>31960</v>
      </c>
      <c r="G13">
        <v>31960</v>
      </c>
      <c r="H13" s="7">
        <v>0</v>
      </c>
      <c r="I13" s="1">
        <f>AVERAGE(0.8,0.3,0.3,0.3,0.3,0.3,0.3,0.2,0.2,0.3)</f>
        <v>0.32999999999999996</v>
      </c>
      <c r="J13" s="1">
        <f>AVERAGE(0.5,0.2,0.2,0.2,0.1,0.2,0.1,0.1,0.1,0.1)</f>
        <v>0.18000000000000002</v>
      </c>
      <c r="K13" s="1">
        <f>AVERAGE(0.3,0.1,0.1,0.1,0.1,0.1,0.1,0.1,0.1,0.1)</f>
        <v>0.12</v>
      </c>
      <c r="L13" s="6"/>
      <c r="M13" s="4">
        <f t="shared" si="0"/>
        <v>-2.4691358024691246E-2</v>
      </c>
      <c r="N13" s="4">
        <f t="shared" si="1"/>
        <v>0.41772151898734172</v>
      </c>
      <c r="O13" s="4">
        <f t="shared" si="2"/>
        <v>0.41772151898734172</v>
      </c>
    </row>
    <row r="14" spans="1:15" x14ac:dyDescent="0.25">
      <c r="A14" s="5">
        <v>200910261431</v>
      </c>
      <c r="B14" s="5">
        <v>200910291810</v>
      </c>
      <c r="C14" s="1">
        <f>AVERAGE(2.5,0.9,0.7,0.5,0.5,2,0.6,0.5,0.5,0.5)</f>
        <v>0.91999999999999993</v>
      </c>
      <c r="D14" s="1">
        <f>AVERAGE(2.5,0.8,0.5,0.5,0.5,0.5,0.6,0.5,0.5,0.5)</f>
        <v>0.74</v>
      </c>
      <c r="E14" s="1">
        <f>AVERAGE(0.9,0.3,0.4,0.3,0.3,0.3,0.2,0.3,0.2,0.3)</f>
        <v>0.35</v>
      </c>
      <c r="F14" s="7">
        <v>31960</v>
      </c>
      <c r="G14">
        <v>31960</v>
      </c>
      <c r="H14" s="7">
        <v>0</v>
      </c>
      <c r="I14" s="1">
        <f>AVERAGE(0.9,0.3,0.4,0.3,0.3,0.3,0.2,0.3,0.2,0.3)</f>
        <v>0.35</v>
      </c>
      <c r="J14" s="1">
        <f>AVERAGE(0.5,0.1,0.2,0.1,0.1,0.1,0.1,0.2,0.1,0.1)</f>
        <v>0.16000000000000003</v>
      </c>
      <c r="K14" s="1">
        <f>AVERAGE(0.3,0.1,0.2,0.1,0.1,0.1,0.1,0.1,0.1,0.1)</f>
        <v>0.13000000000000003</v>
      </c>
      <c r="L14" s="6"/>
      <c r="M14" s="4">
        <f t="shared" si="0"/>
        <v>-0.19565217391304346</v>
      </c>
      <c r="N14" s="4">
        <f t="shared" si="1"/>
        <v>0.47297297297297297</v>
      </c>
      <c r="O14" s="4">
        <f t="shared" si="2"/>
        <v>0.47297297297297297</v>
      </c>
    </row>
    <row r="15" spans="1:15" x14ac:dyDescent="0.25">
      <c r="A15" s="5">
        <v>200910291810</v>
      </c>
      <c r="B15" s="5">
        <v>201004301121</v>
      </c>
      <c r="C15" s="1">
        <f>AVERAGE(3.9,0.8,0.8,0.5,0.5,0.5,0.6,0.6,0.5,0.5)</f>
        <v>0.91999999999999993</v>
      </c>
      <c r="D15" s="1">
        <f>AVERAGE(3.5,0.8,0.5,0.5,0.5,0.6,0.5,0.5,0.5,0.7)</f>
        <v>0.86</v>
      </c>
      <c r="E15" s="1">
        <f>AVERAGE(0.8,0.3,0.3,0.3,0.3,0.3,0.3,0.3,0.3,0.2)</f>
        <v>0.33999999999999997</v>
      </c>
      <c r="F15" s="7">
        <v>31960</v>
      </c>
      <c r="G15">
        <v>31960</v>
      </c>
      <c r="H15" s="7">
        <v>0</v>
      </c>
      <c r="I15" s="1">
        <f>AVERAGE(0.8,0.3,0.3,0.3,0.3,0.3,0.3,0.3,0.3,0.2)</f>
        <v>0.33999999999999997</v>
      </c>
      <c r="J15" s="1">
        <f>AVERAGE(0.4,0.1,0.2,0.1,0.1,0.2,0.2,0.2,0.2,0.1)</f>
        <v>0.18</v>
      </c>
      <c r="K15" s="1">
        <f>AVERAGE(0.2,0.1,0.1,0.1,0.1,0.1,0.1,0.1,0.1,0.1)</f>
        <v>0.10999999999999999</v>
      </c>
      <c r="L15" s="6"/>
      <c r="M15" s="4">
        <f t="shared" si="0"/>
        <v>-6.5217391304347783E-2</v>
      </c>
      <c r="N15" s="4">
        <f t="shared" si="1"/>
        <v>0.39534883720930231</v>
      </c>
      <c r="O15" s="4">
        <f t="shared" si="2"/>
        <v>0.39534883720930231</v>
      </c>
    </row>
    <row r="16" spans="1:15" x14ac:dyDescent="0.25">
      <c r="A16" s="5">
        <v>201004301121</v>
      </c>
      <c r="B16" s="5">
        <v>201005011732</v>
      </c>
      <c r="C16" s="1">
        <f>AVERAGE(2.6,0.8,0.7,0.6,0.5,0.5,0.5,0.6,0.5,0.6)</f>
        <v>0.78999999999999992</v>
      </c>
      <c r="D16" s="1">
        <f>AVERAGE(2.8,0.6,0.6,0.5,0.5,0.5,0.5,0.5,0.5,0.5)</f>
        <v>0.75</v>
      </c>
      <c r="E16" s="1">
        <f>AVERAGE(0.9,0.3,0.4,0.3,0.3,0.3,0.3,0.2,0.3,0.3)</f>
        <v>0.36</v>
      </c>
      <c r="F16" s="7">
        <v>31960</v>
      </c>
      <c r="G16">
        <v>31960</v>
      </c>
      <c r="H16" s="7">
        <v>0</v>
      </c>
      <c r="I16" s="1">
        <f>AVERAGE(0.9,0.3,0.4,0.3,0.3,0.3,0.3,0.2,0.3,0.3)</f>
        <v>0.36</v>
      </c>
      <c r="J16" s="1">
        <f>AVERAGE(0.5,0.1,0.2,0.1,0.1,0.2,0.1,0.1,0.1,0.1)</f>
        <v>0.16000000000000003</v>
      </c>
      <c r="K16" s="1">
        <f>AVERAGE(0.3,0.1,0.1,0.1,0.1,0.1,0.1,0.1,0.1,0.1)</f>
        <v>0.12</v>
      </c>
      <c r="L16" s="6"/>
      <c r="M16" s="4">
        <f t="shared" si="0"/>
        <v>-5.0632911392405E-2</v>
      </c>
      <c r="N16" s="4">
        <f t="shared" si="1"/>
        <v>0.48</v>
      </c>
      <c r="O16" s="4">
        <f t="shared" si="2"/>
        <v>0.48</v>
      </c>
    </row>
    <row r="17" spans="1:15" x14ac:dyDescent="0.25">
      <c r="A17" s="5">
        <v>201005011732</v>
      </c>
      <c r="B17" s="5">
        <v>201006041053</v>
      </c>
      <c r="C17" s="1">
        <f>AVERAGE(3.6,0.6,0.6,0.5,0.5,0.5,0.7,0.5,0.5,0.5)</f>
        <v>0.85</v>
      </c>
      <c r="D17" s="1">
        <f>AVERAGE(4.5,0.9,0.5,0.5,0.5,0.5,0.5,0.5,0.5,0.5)</f>
        <v>0.94000000000000006</v>
      </c>
      <c r="E17" s="1">
        <f>AVERAGE(1.2,0.5,0.5,0.4,0.4,0.4,0.4,0.4,0.3,0.4)</f>
        <v>0.49000000000000005</v>
      </c>
      <c r="F17" s="7">
        <v>32022</v>
      </c>
      <c r="G17">
        <v>32022</v>
      </c>
      <c r="H17" s="7">
        <f>AVERAGE(1064,1064,1064,1064,1064,1064,1064,1064,1064,1064)</f>
        <v>1064</v>
      </c>
      <c r="I17" s="1">
        <f>AVERAGE(1,0.4,0.4,0.3,0.3,0.3,0.3,0.3,0.3,0.3)</f>
        <v>0.38999999999999985</v>
      </c>
      <c r="J17" s="1">
        <f>AVERAGE(0.5,0.2,0.2,0.1,0.1,0.1,0.2,0.2,0.1,0.2)</f>
        <v>0.19</v>
      </c>
      <c r="K17" s="1">
        <f>AVERAGE(0.2,0.1,0.1,0.1,0.1,0.1,0.1,0.1,0.1,0.1)</f>
        <v>0.10999999999999999</v>
      </c>
      <c r="L17" s="6"/>
      <c r="M17" s="4">
        <f t="shared" si="0"/>
        <v>0.10588235294117654</v>
      </c>
      <c r="N17" s="4">
        <f t="shared" si="1"/>
        <v>0.52127659574468088</v>
      </c>
      <c r="O17" s="4">
        <f t="shared" si="2"/>
        <v>0.52127659574468088</v>
      </c>
    </row>
    <row r="18" spans="1:15" x14ac:dyDescent="0.25">
      <c r="A18" s="5">
        <v>201006041053</v>
      </c>
      <c r="B18" s="5">
        <v>201009011057</v>
      </c>
      <c r="C18" s="1">
        <f>AVERAGE(4,0.8,0.7,0.8,0.5,0.5,0.5,0.5,0.5,0.5)</f>
        <v>0.93</v>
      </c>
      <c r="D18" s="1">
        <f>AVERAGE(3.4,0.8,0.6,0.7,0.5,0.6,0.5,0.5,0.5,0.5)</f>
        <v>0.86</v>
      </c>
      <c r="E18" s="1">
        <f>AVERAGE(0.9,0.3,0.3,0.3,0.3,0.3,0.2,0.2,0.2,0.2)</f>
        <v>0.32000000000000006</v>
      </c>
      <c r="F18" s="3">
        <v>32022</v>
      </c>
      <c r="G18">
        <v>32022</v>
      </c>
      <c r="H18" s="3">
        <v>0</v>
      </c>
      <c r="I18" s="1">
        <f>AVERAGE(0.9,0.3,0.3,0.3,0.3,0.3,0.2,0.2,0.2,0.2)</f>
        <v>0.32000000000000006</v>
      </c>
      <c r="J18" s="1">
        <f>AVERAGE(0.5,0.1,0.1,0.1,0.1,0.2,0.1,0.1,0.1,0.1)</f>
        <v>0.15000000000000002</v>
      </c>
      <c r="K18" s="1">
        <f>AVERAGE(0.3,0.1,0.1,0.1,0.1,0.1,0.1,0.1,0.1,0.1)</f>
        <v>0.12</v>
      </c>
      <c r="L18" s="6"/>
      <c r="M18" s="4">
        <f t="shared" si="0"/>
        <v>-7.5268817204301119E-2</v>
      </c>
      <c r="N18" s="4">
        <f t="shared" si="1"/>
        <v>0.372093023255814</v>
      </c>
      <c r="O18" s="4">
        <f t="shared" si="2"/>
        <v>0.372093023255814</v>
      </c>
    </row>
    <row r="19" spans="1:15" x14ac:dyDescent="0.25">
      <c r="A19" s="5">
        <v>201009011057</v>
      </c>
      <c r="B19" s="5">
        <v>201108161456</v>
      </c>
      <c r="C19" s="1">
        <f>AVERAGE(3.1,0.8,0.6,0.5,0.5,0.5,0.5,0.5,0.5,0.5)</f>
        <v>0.8</v>
      </c>
      <c r="D19" s="1">
        <f>AVERAGE(2.8,0.7,0.6,0.7,0.5,0.5,0.5,0.5,0.5,0.5)</f>
        <v>0.78</v>
      </c>
      <c r="E19" s="1">
        <f>AVERAGE(0.8,0.4,0.3,0.3,0.3,0.3,0.3,0.3,0.3,0.2)</f>
        <v>0.35</v>
      </c>
      <c r="F19" s="3">
        <v>32022</v>
      </c>
      <c r="G19">
        <v>32022</v>
      </c>
      <c r="H19" s="7">
        <v>0</v>
      </c>
      <c r="I19" s="1">
        <f>AVERAGE(0.8,0.4,0.3,0.3,0.3,0.3,0.3,0.3,0.3,0.2)</f>
        <v>0.35</v>
      </c>
      <c r="J19" s="1">
        <f>AVERAGE(0.4,0.2,0.1,0.2,0.1,0.1,0.2,0.1,0.1,0.1)</f>
        <v>0.16000000000000006</v>
      </c>
      <c r="K19" s="1">
        <f>AVERAGE(0.2,0.2,0.1,0.1,0.1,0.1,0.1,0.1,0.1,0.1)</f>
        <v>0.12</v>
      </c>
      <c r="L19" s="6"/>
      <c r="M19" s="4">
        <f t="shared" si="0"/>
        <v>-2.5000000000000022E-2</v>
      </c>
      <c r="N19" s="4">
        <f t="shared" si="1"/>
        <v>0.44871794871794868</v>
      </c>
      <c r="O19" s="4">
        <f t="shared" si="2"/>
        <v>0.44871794871794868</v>
      </c>
    </row>
    <row r="20" spans="1:15" x14ac:dyDescent="0.25">
      <c r="A20" s="5">
        <v>201108161456</v>
      </c>
      <c r="B20" s="5">
        <v>201108170943</v>
      </c>
      <c r="C20" s="1">
        <f>AVERAGE(4,0.6,0.6,0.5,0.6,3.5,0.5,0.5,0.5,0.5)</f>
        <v>1.18</v>
      </c>
      <c r="D20" s="1">
        <f>AVERAGE(3.3,0.6,0.6,0.5,0.6,0.6,0.6,0.5,0.5,0.5)</f>
        <v>0.82999999999999985</v>
      </c>
      <c r="E20" s="1">
        <f>AVERAGE(0.9,0.3,0.3,0.3,0.3,0.3,0.3,0.2,0.3,0.2)</f>
        <v>0.33999999999999997</v>
      </c>
      <c r="F20" s="3">
        <v>32022</v>
      </c>
      <c r="G20">
        <v>32022</v>
      </c>
      <c r="H20" s="3">
        <v>0</v>
      </c>
      <c r="I20" s="1">
        <f>AVERAGE(0.9,0.3,0.3,0.3,0.3,0.3,0.3,0.2,0.3,0.2)</f>
        <v>0.33999999999999997</v>
      </c>
      <c r="J20" s="1">
        <f>AVERAGE(0.5,0.5,0.1,0.2,0.1,0.1,0.2,0.1,0.1,0.1)</f>
        <v>0.20000000000000004</v>
      </c>
      <c r="K20" s="1">
        <f>AVERAGE(0.2,0.1,0.1,0.1,0.1,0.1,0.1,0.1,0.1,0.1)</f>
        <v>0.10999999999999999</v>
      </c>
      <c r="L20" s="6"/>
      <c r="M20" s="4">
        <f t="shared" si="0"/>
        <v>-0.29661016949152552</v>
      </c>
      <c r="N20" s="4">
        <f t="shared" si="1"/>
        <v>0.40963855421686751</v>
      </c>
      <c r="O20" s="4">
        <f t="shared" si="2"/>
        <v>0.40963855421686751</v>
      </c>
    </row>
    <row r="21" spans="1:15" x14ac:dyDescent="0.25">
      <c r="A21" s="5">
        <v>201108170943</v>
      </c>
      <c r="B21" s="5">
        <v>201109060818</v>
      </c>
      <c r="C21" s="1">
        <f>AVERAGE(2.8,0.7,0.6,0.6,0.5,0.5,0.5,0.5,0.5,0.5)</f>
        <v>0.76999999999999991</v>
      </c>
      <c r="D21" s="1">
        <f>AVERAGE(3,0.7,0.6,0.5,0.6,0.5,0.5,0.6,0.5,0.5)</f>
        <v>0.79999999999999993</v>
      </c>
      <c r="E21" s="1">
        <f>AVERAGE(0.9,0.4,0.3,0.3,0.3,0.3,0.3,0.3,0.2,0.2)</f>
        <v>0.35</v>
      </c>
      <c r="F21" s="3">
        <v>32022</v>
      </c>
      <c r="G21">
        <v>32022</v>
      </c>
      <c r="H21" s="3">
        <v>0</v>
      </c>
      <c r="I21" s="1">
        <f>AVERAGE(0.9,0.4,0.3,0.3,0.3,0.3,0.3,0.3,0.2,0.2)</f>
        <v>0.35</v>
      </c>
      <c r="J21">
        <f>AVERAGE(0.5,0.2,0.1,0.1,0.1,0.2,0.1,0.1,0.1,0.1)</f>
        <v>0.16000000000000003</v>
      </c>
      <c r="K21" s="1">
        <f>AVERAGE(0.3,0.2,0.1,0.1,0.1,0.1,0.1,0.1,0.1,0.1)</f>
        <v>0.13</v>
      </c>
      <c r="L21" s="6"/>
      <c r="M21" s="4">
        <f t="shared" si="0"/>
        <v>3.8961038961039085E-2</v>
      </c>
      <c r="N21" s="4">
        <f t="shared" si="1"/>
        <v>0.4375</v>
      </c>
      <c r="O21" s="4">
        <f t="shared" si="2"/>
        <v>0.4375</v>
      </c>
    </row>
    <row r="22" spans="1:15" x14ac:dyDescent="0.25">
      <c r="A22" s="5">
        <v>201109060818</v>
      </c>
      <c r="B22" s="5">
        <v>201201061648</v>
      </c>
      <c r="C22" s="1">
        <f>AVERAGE(3.3,0.9,0.7,0.7,0.5,0.5,0.5,0.6,0.5,0.5)</f>
        <v>0.86999999999999988</v>
      </c>
      <c r="D22" s="1">
        <f>AVERAGE(3.9,0.6,0.5,0.6,0.6,0.5,0.6,0.6,0.5,0.5)</f>
        <v>0.8899999999999999</v>
      </c>
      <c r="E22" s="1">
        <f>AVERAGE(1,0.3,0.3,0.3,0.3,0.3,0.3,0.3,0.3,0.3)</f>
        <v>0.36999999999999994</v>
      </c>
      <c r="F22" s="3">
        <v>32022</v>
      </c>
      <c r="G22">
        <v>32022</v>
      </c>
      <c r="H22" s="3">
        <v>0</v>
      </c>
      <c r="I22" s="1">
        <f>AVERAGE(1,0.3,0.3,0.3,0.3,0.3,0.3,0.3,0.3,0.3)</f>
        <v>0.36999999999999994</v>
      </c>
      <c r="J22" s="1">
        <f>AVERAGE(0.5,0.1,0.1,0.1,0.2,0.2,0.1,0.2,0.1,0.1)</f>
        <v>0.17</v>
      </c>
      <c r="K22" s="1">
        <f>AVERAGE(0.3,0.1,0.1,0.1,0.1,0.1,0.1,0.2,0.1,0.1)</f>
        <v>0.13</v>
      </c>
      <c r="L22" s="6"/>
      <c r="M22" s="4">
        <f t="shared" si="0"/>
        <v>2.2988505747126409E-2</v>
      </c>
      <c r="N22" s="4">
        <f t="shared" si="1"/>
        <v>0.41573033707865165</v>
      </c>
      <c r="O22" s="4">
        <f t="shared" si="2"/>
        <v>0.41573033707865165</v>
      </c>
    </row>
    <row r="23" spans="1:15" x14ac:dyDescent="0.25">
      <c r="A23" s="5">
        <v>201201061648</v>
      </c>
      <c r="B23" s="5">
        <v>201210190454</v>
      </c>
      <c r="C23" s="1">
        <f>AVERAGE(2.8,0.7,0.6,0.6,0.5,0.5,0.5,0.6,0.7,0.5)</f>
        <v>0.79999999999999993</v>
      </c>
      <c r="D23" s="1">
        <f>AVERAGE(2,0.8,0.5,0.7,0.7,0.6,0.5,0.5,0.5,0.5)</f>
        <v>0.73</v>
      </c>
      <c r="E23" s="1">
        <f>AVERAGE(1,0.3,0.4,0.4,0.3,0.3,0.3,0.3,0.3,0.2)</f>
        <v>0.37999999999999995</v>
      </c>
      <c r="F23" s="3">
        <v>32022</v>
      </c>
      <c r="G23">
        <v>32022</v>
      </c>
      <c r="H23" s="3">
        <v>0</v>
      </c>
      <c r="I23" s="1">
        <f>AVERAGE(1,0.3,0.4,0.4,0.3,0.3,0.3,0.3,0.3,0.2)</f>
        <v>0.37999999999999995</v>
      </c>
      <c r="J23" s="1">
        <f>AVERAGE(0.6,0.1,0.2,0.2,0.2,0.1,0.1,0.2,0.1,0.1)</f>
        <v>0.19</v>
      </c>
      <c r="K23" s="1">
        <f>AVERAGE(0.3,0.1,0.2,0.1,0.1,0.1,0.1,0.1,0.1,0.1)</f>
        <v>0.13000000000000003</v>
      </c>
      <c r="L23" s="6"/>
      <c r="M23" s="4">
        <f t="shared" si="0"/>
        <v>-8.7499999999999911E-2</v>
      </c>
      <c r="N23" s="4">
        <f t="shared" si="1"/>
        <v>0.52054794520547942</v>
      </c>
      <c r="O23" s="4">
        <f t="shared" si="2"/>
        <v>0.52054794520547942</v>
      </c>
    </row>
    <row r="24" spans="1:15" x14ac:dyDescent="0.25">
      <c r="A24" s="5">
        <v>201210190454</v>
      </c>
      <c r="B24" s="5">
        <v>201306271843</v>
      </c>
      <c r="C24" s="1">
        <f>AVERAGE(2.6,0.6,0.6,0.5,0.5,0.5,0.6,0.5,0.5,0.5)</f>
        <v>0.74</v>
      </c>
      <c r="D24" s="1">
        <f>AVERAGE(4.1,0.8,0.6,0.8,0.5,0.5,0.6,0.5,0.7,0.6)</f>
        <v>0.96999999999999975</v>
      </c>
      <c r="E24" s="1">
        <f>AVERAGE(2.1,1,0.8,1.2,0.6,0.6,0.7,0.8,0.7,0.8)</f>
        <v>0.93</v>
      </c>
      <c r="F24" s="3">
        <v>32549</v>
      </c>
      <c r="G24">
        <v>32549</v>
      </c>
      <c r="H24" s="3">
        <f>AVERAGE(13496,13575,13501,13573,13501,13391,13463,13572,13498,13391)</f>
        <v>13496.1</v>
      </c>
      <c r="I24" s="1">
        <f>AVERAGE(1,0.4,0.4,0.7,0.3,0.3,0.3,0.4,0.3,0.4)</f>
        <v>0.45</v>
      </c>
      <c r="J24" s="1">
        <f>AVERAGE(0.5,0.2,0.2,0.3,0.1,0.1,0.1,0.2,0.1,0.2)</f>
        <v>0.20000000000000004</v>
      </c>
      <c r="K24" s="1">
        <f>AVERAGE(0.2,0.1,0.1,0.2,0.1,0.1,0.1,0.1,0.1,0.1)</f>
        <v>0.12000000000000002</v>
      </c>
      <c r="L24" s="6"/>
      <c r="M24" s="4">
        <f t="shared" si="0"/>
        <v>0.31081081081081052</v>
      </c>
      <c r="N24" s="4">
        <f t="shared" si="1"/>
        <v>0.9587628865979384</v>
      </c>
      <c r="O24" s="4">
        <f t="shared" si="2"/>
        <v>0.9587628865979384</v>
      </c>
    </row>
    <row r="25" spans="1:15" x14ac:dyDescent="0.25">
      <c r="A25" s="5">
        <v>201306271843</v>
      </c>
      <c r="B25" s="5">
        <v>201307121737</v>
      </c>
      <c r="C25" s="1">
        <f>AVERAGE(4.2,0.7,0.6,0.5,0.5,0.5,0.5,0.5,0.5,0.5)</f>
        <v>0.9</v>
      </c>
      <c r="D25" s="1">
        <f>AVERAGE(7.1,0.8,0.6,0.6,0.5,0.5,0.6,0.5,0.6,0.5)</f>
        <v>1.23</v>
      </c>
      <c r="E25" s="1">
        <f>AVERAGE(0.9,0.3,0.4,0.3,0.3,0.2,0.2,0.2,0.2,0.2)</f>
        <v>0.32000000000000012</v>
      </c>
      <c r="F25" s="3">
        <v>32549</v>
      </c>
      <c r="G25">
        <v>32549</v>
      </c>
      <c r="H25" s="3">
        <v>0</v>
      </c>
      <c r="I25" s="1">
        <f>AVERAGE(0.9,0.3,0.4,0.3,0.3,0.2,0.2,0.2,0.2,0.2)</f>
        <v>0.32000000000000012</v>
      </c>
      <c r="J25" s="1">
        <f>AVERAGE(0.5,0.5,0.2,0.1,0.2,0.1,0.1,0.1,0.1,0.1)</f>
        <v>0.20000000000000004</v>
      </c>
      <c r="K25" s="1">
        <f>AVERAGE(0.3,0.1,0.2,0.1,0.1,0.1,0.1,0.1,0.1,0.1)</f>
        <v>0.13000000000000003</v>
      </c>
      <c r="L25" s="6"/>
      <c r="M25" s="4">
        <f>D25/C25-1</f>
        <v>0.3666666666666667</v>
      </c>
      <c r="N25" s="4">
        <f t="shared" ref="N25" si="3">E25/D25</f>
        <v>0.26016260162601634</v>
      </c>
      <c r="O25" s="4">
        <f t="shared" ref="O25" si="4">E25/D25</f>
        <v>0.26016260162601634</v>
      </c>
    </row>
    <row r="27" spans="1:15" x14ac:dyDescent="0.25">
      <c r="C27" s="1">
        <f>AVERAGE(C2:C25)</f>
        <v>0.87458333333333327</v>
      </c>
      <c r="D27" s="1">
        <f>AVERAGE(D2:D25)</f>
        <v>0.84624999999999995</v>
      </c>
      <c r="E27" s="1">
        <f>AVERAGE(E2:E25)</f>
        <v>0.39250000000000002</v>
      </c>
      <c r="F27" s="1">
        <f>AVERAGE(F2:F25)</f>
        <v>32003</v>
      </c>
      <c r="G27" s="1">
        <f>AVERAGE(F2:F25)</f>
        <v>32003</v>
      </c>
      <c r="H27" s="1">
        <f>AVERAGE(H2:H25)</f>
        <v>666.95833333333337</v>
      </c>
      <c r="I27" s="1">
        <f>AVERAGE(I2:I25)</f>
        <v>0.36249999999999999</v>
      </c>
      <c r="J27" s="1">
        <f>AVERAGE(J2:J25)</f>
        <v>0.16958333333333334</v>
      </c>
      <c r="K27" s="1">
        <f>AVERAGE(K2:K25)</f>
        <v>0.12708333333333335</v>
      </c>
      <c r="M27" s="4">
        <f>AVERAGE(M2:M25)</f>
        <v>-1.9016474658967903E-2</v>
      </c>
      <c r="N27" s="4">
        <f>AVERAGE(N2:N25)</f>
        <v>0.46574718592217562</v>
      </c>
      <c r="O27" s="4">
        <f>AVERAGE(O2:O25)</f>
        <v>0.46574718592217562</v>
      </c>
    </row>
    <row r="28" spans="1:15" x14ac:dyDescent="0.25">
      <c r="C28">
        <f>STDEVA(C2:C25)</f>
        <v>0.11534368932311252</v>
      </c>
      <c r="E28" s="1">
        <f>AVERAGEIF(H2:H25,"&gt;0",E2:E25)</f>
        <v>0.65</v>
      </c>
      <c r="M28" s="4">
        <f>AVERAGEIF(M2:M25,"&gt;0")</f>
        <v>0.12852214514820265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5" sqref="E25"/>
    </sheetView>
  </sheetViews>
  <sheetFormatPr baseColWidth="10" defaultRowHeight="15" x14ac:dyDescent="0.25"/>
  <cols>
    <col min="1" max="1" width="17.5703125" customWidth="1"/>
    <col min="2" max="2" width="15.7109375" customWidth="1"/>
    <col min="3" max="3" width="15.42578125" customWidth="1"/>
    <col min="4" max="4" width="14.85546875" customWidth="1"/>
  </cols>
  <sheetData>
    <row r="1" spans="1:4" x14ac:dyDescent="0.25">
      <c r="A1" s="2" t="s">
        <v>6</v>
      </c>
      <c r="B1" s="2" t="s">
        <v>7</v>
      </c>
      <c r="C1" s="2" t="s">
        <v>14</v>
      </c>
      <c r="D1" s="2" t="s">
        <v>15</v>
      </c>
    </row>
    <row r="2" spans="1:4" x14ac:dyDescent="0.25">
      <c r="A2" s="5">
        <v>200909021347</v>
      </c>
      <c r="B2" s="5">
        <v>200909021404</v>
      </c>
      <c r="C2" s="1">
        <f>SUM('Full Diff'!$C$2:C2)</f>
        <v>1.22</v>
      </c>
      <c r="D2" s="1">
        <f>SUM('Full Diff'!$E$2:E2)</f>
        <v>0.39999999999999991</v>
      </c>
    </row>
    <row r="3" spans="1:4" x14ac:dyDescent="0.25">
      <c r="A3" s="5">
        <v>200909021404</v>
      </c>
      <c r="B3" s="5">
        <v>200909021405</v>
      </c>
      <c r="C3" s="1">
        <f>SUM('Full Diff'!$C$2:C3)</f>
        <v>2.17</v>
      </c>
      <c r="D3" s="1">
        <f>SUM('Full Diff'!$E$2:E3)</f>
        <v>0.72999999999999987</v>
      </c>
    </row>
    <row r="4" spans="1:4" x14ac:dyDescent="0.25">
      <c r="A4" s="5">
        <v>200909021405</v>
      </c>
      <c r="B4" s="5">
        <v>200909021406</v>
      </c>
      <c r="C4" s="1">
        <f>SUM('Full Diff'!$C$2:C4)</f>
        <v>2.9899999999999998</v>
      </c>
      <c r="D4" s="1">
        <f>SUM('Full Diff'!$E$2:E4)</f>
        <v>1.0399999999999998</v>
      </c>
    </row>
    <row r="5" spans="1:4" x14ac:dyDescent="0.25">
      <c r="A5" s="5">
        <v>200909021406</v>
      </c>
      <c r="B5" s="5">
        <v>200909071243</v>
      </c>
      <c r="C5" s="1">
        <f>SUM('Full Diff'!$C$2:C5)</f>
        <v>3.8199999999999994</v>
      </c>
      <c r="D5" s="1">
        <f>SUM('Full Diff'!$E$2:E5)</f>
        <v>1.38</v>
      </c>
    </row>
    <row r="6" spans="1:4" x14ac:dyDescent="0.25">
      <c r="A6" s="5">
        <v>200909071243</v>
      </c>
      <c r="B6" s="5">
        <v>200909071317</v>
      </c>
      <c r="C6" s="1">
        <f>SUM('Full Diff'!$C$2:C6)</f>
        <v>4.7499999999999991</v>
      </c>
      <c r="D6" s="1">
        <f>SUM('Full Diff'!$E$2:E6)</f>
        <v>1.91</v>
      </c>
    </row>
    <row r="7" spans="1:4" x14ac:dyDescent="0.25">
      <c r="A7" s="5">
        <v>200909071317</v>
      </c>
      <c r="B7" s="5">
        <v>200909071434</v>
      </c>
      <c r="C7" s="1">
        <f>SUM('Full Diff'!$C$2:C7)</f>
        <v>5.5499999999999989</v>
      </c>
      <c r="D7" s="1">
        <f>SUM('Full Diff'!$E$2:E7)</f>
        <v>2.2399999999999998</v>
      </c>
    </row>
    <row r="8" spans="1:4" x14ac:dyDescent="0.25">
      <c r="A8" s="5">
        <v>200909071434</v>
      </c>
      <c r="B8" s="5">
        <v>200909091000</v>
      </c>
      <c r="C8" s="1">
        <f>SUM('Full Diff'!$C$2:C8)</f>
        <v>6.4099999999999993</v>
      </c>
      <c r="D8" s="1">
        <f>SUM('Full Diff'!$E$2:E8)</f>
        <v>2.5799999999999996</v>
      </c>
    </row>
    <row r="9" spans="1:4" x14ac:dyDescent="0.25">
      <c r="A9" s="5">
        <v>200909091000</v>
      </c>
      <c r="B9" s="5">
        <v>200909091001</v>
      </c>
      <c r="C9" s="1">
        <f>SUM('Full Diff'!$C$2:C9)</f>
        <v>7.2799999999999994</v>
      </c>
      <c r="D9" s="1">
        <f>SUM('Full Diff'!$E$2:E9)</f>
        <v>3.1699999999999995</v>
      </c>
    </row>
    <row r="10" spans="1:4" x14ac:dyDescent="0.25">
      <c r="A10" s="5">
        <v>200909091001</v>
      </c>
      <c r="B10" s="5">
        <v>200910031237</v>
      </c>
      <c r="C10" s="1">
        <f>SUM('Full Diff'!$C$2:C10)</f>
        <v>8.1</v>
      </c>
      <c r="D10" s="1">
        <f>SUM('Full Diff'!$E$2:E10)</f>
        <v>3.5199999999999996</v>
      </c>
    </row>
    <row r="11" spans="1:4" x14ac:dyDescent="0.25">
      <c r="A11" s="5">
        <v>200910031237</v>
      </c>
      <c r="B11" s="5">
        <v>200910031238</v>
      </c>
      <c r="C11" s="1">
        <f>SUM('Full Diff'!$C$2:C11)</f>
        <v>8.879999999999999</v>
      </c>
      <c r="D11" s="1">
        <f>SUM('Full Diff'!$E$2:E11)</f>
        <v>3.8699999999999997</v>
      </c>
    </row>
    <row r="12" spans="1:4" x14ac:dyDescent="0.25">
      <c r="A12" s="5">
        <v>200910031238</v>
      </c>
      <c r="B12" s="5">
        <v>200910081643</v>
      </c>
      <c r="C12" s="1">
        <f>SUM('Full Diff'!$C$2:C12)</f>
        <v>9.7099999999999991</v>
      </c>
      <c r="D12" s="1">
        <f>SUM('Full Diff'!$E$2:E12)</f>
        <v>4.1899999999999995</v>
      </c>
    </row>
    <row r="13" spans="1:4" x14ac:dyDescent="0.25">
      <c r="A13" s="5">
        <v>200910081643</v>
      </c>
      <c r="B13" s="5">
        <v>200910261431</v>
      </c>
      <c r="C13" s="1">
        <f>SUM('Full Diff'!$C$2:C13)</f>
        <v>10.52</v>
      </c>
      <c r="D13" s="1">
        <f>SUM('Full Diff'!$E$2:E13)</f>
        <v>4.5199999999999996</v>
      </c>
    </row>
    <row r="14" spans="1:4" x14ac:dyDescent="0.25">
      <c r="A14" s="5">
        <v>200910261431</v>
      </c>
      <c r="B14" s="5">
        <v>200910291810</v>
      </c>
      <c r="C14" s="1">
        <f>SUM('Full Diff'!$C$2:C14)</f>
        <v>11.44</v>
      </c>
      <c r="D14" s="1">
        <f>SUM('Full Diff'!$E$2:E14)</f>
        <v>4.8699999999999992</v>
      </c>
    </row>
    <row r="15" spans="1:4" x14ac:dyDescent="0.25">
      <c r="A15" s="5">
        <v>200910291810</v>
      </c>
      <c r="B15" s="5">
        <v>201004301121</v>
      </c>
      <c r="C15" s="1">
        <f>SUM('Full Diff'!$C$2:C15)</f>
        <v>12.36</v>
      </c>
      <c r="D15" s="1">
        <f>SUM('Full Diff'!$E$2:E15)</f>
        <v>5.2099999999999991</v>
      </c>
    </row>
    <row r="16" spans="1:4" x14ac:dyDescent="0.25">
      <c r="A16" s="5">
        <v>201004301121</v>
      </c>
      <c r="B16" s="5">
        <v>201005011732</v>
      </c>
      <c r="C16" s="1">
        <f>SUM('Full Diff'!$C$2:C16)</f>
        <v>13.149999999999999</v>
      </c>
      <c r="D16" s="1">
        <f>SUM('Full Diff'!$E$2:E16)</f>
        <v>5.5699999999999994</v>
      </c>
    </row>
    <row r="17" spans="1:5" x14ac:dyDescent="0.25">
      <c r="A17" s="5">
        <v>201005011732</v>
      </c>
      <c r="B17" s="5">
        <v>201006041053</v>
      </c>
      <c r="C17" s="1">
        <f>SUM('Full Diff'!$C$2:C17)</f>
        <v>13.999999999999998</v>
      </c>
      <c r="D17" s="1">
        <f>SUM('Full Diff'!$E$2:E17)</f>
        <v>6.06</v>
      </c>
    </row>
    <row r="18" spans="1:5" x14ac:dyDescent="0.25">
      <c r="A18" s="5">
        <v>201006041053</v>
      </c>
      <c r="B18" s="5">
        <v>201009011057</v>
      </c>
      <c r="C18" s="1">
        <f>SUM('Full Diff'!$C$2:C18)</f>
        <v>14.929999999999998</v>
      </c>
      <c r="D18" s="1">
        <f>SUM('Full Diff'!$E$2:E18)</f>
        <v>6.38</v>
      </c>
    </row>
    <row r="19" spans="1:5" x14ac:dyDescent="0.25">
      <c r="A19" s="5">
        <v>201009011057</v>
      </c>
      <c r="B19" s="5">
        <v>201108161456</v>
      </c>
      <c r="C19" s="1">
        <f>SUM('Full Diff'!$C$2:C19)</f>
        <v>15.729999999999999</v>
      </c>
      <c r="D19" s="1">
        <f>SUM('Full Diff'!$E$2:E19)</f>
        <v>6.7299999999999995</v>
      </c>
    </row>
    <row r="20" spans="1:5" x14ac:dyDescent="0.25">
      <c r="A20" s="5">
        <v>201108161456</v>
      </c>
      <c r="B20" s="5">
        <v>201108170943</v>
      </c>
      <c r="C20" s="1">
        <f>SUM('Full Diff'!$C$2:C20)</f>
        <v>16.91</v>
      </c>
      <c r="D20" s="1">
        <f>SUM('Full Diff'!$E$2:E20)</f>
        <v>7.0699999999999994</v>
      </c>
    </row>
    <row r="21" spans="1:5" x14ac:dyDescent="0.25">
      <c r="A21" s="5">
        <v>201108170943</v>
      </c>
      <c r="B21" s="5">
        <v>201109060818</v>
      </c>
      <c r="C21" s="1">
        <f>SUM('Full Diff'!$C$2:C21)</f>
        <v>17.68</v>
      </c>
      <c r="D21" s="1">
        <f>SUM('Full Diff'!$E$2:E21)</f>
        <v>7.419999999999999</v>
      </c>
    </row>
    <row r="22" spans="1:5" x14ac:dyDescent="0.25">
      <c r="A22" s="5">
        <v>201109060818</v>
      </c>
      <c r="B22" s="5">
        <v>201201061648</v>
      </c>
      <c r="C22" s="1">
        <f>SUM('Full Diff'!$C$2:C22)</f>
        <v>18.55</v>
      </c>
      <c r="D22" s="1">
        <f>SUM('Full Diff'!$E$2:E22)</f>
        <v>7.7899999999999991</v>
      </c>
    </row>
    <row r="23" spans="1:5" x14ac:dyDescent="0.25">
      <c r="A23" s="5">
        <v>201201061648</v>
      </c>
      <c r="B23" s="5">
        <v>201210190454</v>
      </c>
      <c r="C23" s="1">
        <f>SUM('Full Diff'!$C$2:C23)</f>
        <v>19.350000000000001</v>
      </c>
      <c r="D23" s="1">
        <f>SUM('Full Diff'!$E$2:E23)</f>
        <v>8.17</v>
      </c>
    </row>
    <row r="24" spans="1:5" x14ac:dyDescent="0.25">
      <c r="A24" s="5">
        <v>201210190454</v>
      </c>
      <c r="B24" s="5">
        <v>201306271843</v>
      </c>
      <c r="C24" s="1">
        <f>SUM('Full Diff'!$C$2:C24)</f>
        <v>20.09</v>
      </c>
      <c r="D24" s="1">
        <f>SUM('Full Diff'!$E$2:E24)</f>
        <v>9.1</v>
      </c>
    </row>
    <row r="25" spans="1:5" x14ac:dyDescent="0.25">
      <c r="A25" s="5">
        <v>201306271843</v>
      </c>
      <c r="B25" s="5">
        <v>201307121737</v>
      </c>
      <c r="C25" s="1">
        <f>SUM('Full Diff'!$C$2:C25)</f>
        <v>20.99</v>
      </c>
      <c r="D25" s="1">
        <f>SUM('Full Diff'!$E$2:E25)</f>
        <v>9.42</v>
      </c>
    </row>
    <row r="27" spans="1:5" x14ac:dyDescent="0.25">
      <c r="C27" s="1">
        <f>SUM(C2:C25)</f>
        <v>266.58</v>
      </c>
      <c r="D27" s="1">
        <f>SUM(D2:D25)</f>
        <v>113.34</v>
      </c>
      <c r="E27" s="1">
        <f>C27-D27</f>
        <v>153.23999999999998</v>
      </c>
    </row>
    <row r="28" spans="1:5" x14ac:dyDescent="0.25">
      <c r="D28" s="4">
        <f>D27/C27</f>
        <v>0.42516317803286074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Full Diff</vt:lpstr>
      <vt:lpstr>Accumulated Savings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2013-08-26T14:57:36Z</dcterms:modified>
</cp:coreProperties>
</file>