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2"/>
  </bookViews>
  <sheets>
    <sheet name="Full Diff" sheetId="1" r:id="rId1"/>
    <sheet name="Quick Diff" sheetId="4" r:id="rId2"/>
    <sheet name="Accumulated Savings" sheetId="5" r:id="rId3"/>
  </sheets>
  <calcPr calcId="145621"/>
</workbook>
</file>

<file path=xl/calcChain.xml><?xml version="1.0" encoding="utf-8"?>
<calcChain xmlns="http://schemas.openxmlformats.org/spreadsheetml/2006/main">
  <c r="D28" i="5" l="1"/>
  <c r="D2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2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E27" i="4" l="1"/>
  <c r="O27" i="1" l="1"/>
  <c r="E27" i="1"/>
  <c r="G27" i="4"/>
  <c r="H27" i="4"/>
  <c r="F27" i="4"/>
  <c r="G27" i="1"/>
  <c r="H27" i="1"/>
  <c r="F27" i="1"/>
  <c r="H12" i="4"/>
  <c r="E12" i="4"/>
  <c r="D12" i="4"/>
  <c r="I12" i="4"/>
  <c r="I11" i="4"/>
  <c r="D11" i="4" l="1"/>
  <c r="H11" i="4"/>
  <c r="E11" i="4"/>
  <c r="L11" i="4" s="1"/>
  <c r="H9" i="4"/>
  <c r="E9" i="4"/>
  <c r="M9" i="4" s="1"/>
  <c r="D9" i="4"/>
  <c r="I9" i="4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7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4"/>
  <c r="E25" i="4"/>
  <c r="L25" i="4" s="1"/>
  <c r="D25" i="4"/>
  <c r="D23" i="4"/>
  <c r="E23" i="4"/>
  <c r="M23" i="4" s="1"/>
  <c r="I23" i="4"/>
  <c r="I20" i="4"/>
  <c r="H20" i="4"/>
  <c r="E20" i="4"/>
  <c r="D20" i="4"/>
  <c r="D17" i="4"/>
  <c r="E17" i="4"/>
  <c r="I17" i="4"/>
  <c r="I15" i="4"/>
  <c r="D15" i="4"/>
  <c r="E15" i="4"/>
  <c r="M15" i="4" s="1"/>
  <c r="H14" i="4"/>
  <c r="E14" i="4"/>
  <c r="D14" i="4"/>
  <c r="I14" i="4"/>
  <c r="I10" i="4"/>
  <c r="D10" i="4"/>
  <c r="E10" i="4"/>
  <c r="M10" i="4" s="1"/>
  <c r="E8" i="4"/>
  <c r="D8" i="4"/>
  <c r="I8" i="4"/>
  <c r="I7" i="4"/>
  <c r="D7" i="4"/>
  <c r="K7" i="4" s="1"/>
  <c r="E7" i="4"/>
  <c r="H6" i="4"/>
  <c r="E6" i="4"/>
  <c r="D6" i="4"/>
  <c r="K6" i="4" s="1"/>
  <c r="I6" i="4"/>
  <c r="I5" i="4"/>
  <c r="H5" i="4"/>
  <c r="E5" i="4"/>
  <c r="M5" i="4" s="1"/>
  <c r="D5" i="4"/>
  <c r="D4" i="4"/>
  <c r="I4" i="4"/>
  <c r="E4" i="4"/>
  <c r="E3" i="4"/>
  <c r="D3" i="4"/>
  <c r="L3" i="4" s="1"/>
  <c r="I3" i="4"/>
  <c r="I2" i="4"/>
  <c r="H2" i="4"/>
  <c r="E2" i="4"/>
  <c r="D2" i="4"/>
  <c r="M25" i="4"/>
  <c r="C25" i="4"/>
  <c r="M24" i="4"/>
  <c r="K24" i="4"/>
  <c r="C24" i="4"/>
  <c r="K23" i="4"/>
  <c r="C23" i="4"/>
  <c r="M22" i="4"/>
  <c r="L22" i="4"/>
  <c r="K22" i="4"/>
  <c r="C22" i="4"/>
  <c r="M21" i="4"/>
  <c r="L21" i="4"/>
  <c r="K21" i="4"/>
  <c r="C21" i="4"/>
  <c r="M20" i="4"/>
  <c r="L20" i="4"/>
  <c r="K20" i="4"/>
  <c r="C20" i="4"/>
  <c r="L19" i="4"/>
  <c r="K19" i="4"/>
  <c r="C19" i="4"/>
  <c r="M19" i="4" s="1"/>
  <c r="L18" i="4"/>
  <c r="K18" i="4"/>
  <c r="C18" i="4"/>
  <c r="K17" i="4"/>
  <c r="C17" i="4"/>
  <c r="M16" i="4"/>
  <c r="K16" i="4"/>
  <c r="C16" i="4"/>
  <c r="K15" i="4"/>
  <c r="C15" i="4"/>
  <c r="L14" i="4"/>
  <c r="K14" i="4"/>
  <c r="C14" i="4"/>
  <c r="L13" i="4"/>
  <c r="K13" i="4"/>
  <c r="C13" i="4"/>
  <c r="L12" i="4"/>
  <c r="K12" i="4"/>
  <c r="C12" i="4"/>
  <c r="K11" i="4"/>
  <c r="C11" i="4"/>
  <c r="C10" i="4"/>
  <c r="K9" i="4"/>
  <c r="C9" i="4"/>
  <c r="M8" i="4"/>
  <c r="K8" i="4"/>
  <c r="C8" i="4"/>
  <c r="C7" i="4"/>
  <c r="M6" i="4"/>
  <c r="C6" i="4"/>
  <c r="K5" i="4"/>
  <c r="C5" i="4"/>
  <c r="M4" i="4"/>
  <c r="K4" i="4"/>
  <c r="C4" i="4"/>
  <c r="K3" i="4"/>
  <c r="C3" i="4"/>
  <c r="I27" i="4"/>
  <c r="K2" i="4"/>
  <c r="C2" i="4"/>
  <c r="C27" i="4" s="1"/>
  <c r="L17" i="4" l="1"/>
  <c r="L10" i="4"/>
  <c r="L7" i="4"/>
  <c r="L2" i="4"/>
  <c r="M3" i="4"/>
  <c r="L4" i="4"/>
  <c r="L5" i="4"/>
  <c r="L6" i="4"/>
  <c r="M7" i="4"/>
  <c r="L8" i="4"/>
  <c r="L9" i="4"/>
  <c r="K10" i="4"/>
  <c r="M11" i="4"/>
  <c r="M12" i="4"/>
  <c r="M13" i="4"/>
  <c r="M14" i="4"/>
  <c r="L15" i="4"/>
  <c r="L16" i="4"/>
  <c r="M17" i="4"/>
  <c r="M18" i="4"/>
  <c r="L23" i="4"/>
  <c r="L24" i="4"/>
  <c r="K25" i="4"/>
  <c r="D27" i="4"/>
  <c r="M2" i="4"/>
  <c r="M18" i="1"/>
  <c r="N18" i="1"/>
  <c r="O18" i="1"/>
  <c r="I25" i="1"/>
  <c r="E25" i="1"/>
  <c r="D25" i="1"/>
  <c r="K27" i="4" l="1"/>
  <c r="M27" i="4"/>
  <c r="L27" i="4"/>
  <c r="I20" i="1"/>
  <c r="H20" i="1"/>
  <c r="E20" i="1"/>
  <c r="C27" i="1"/>
  <c r="D20" i="1"/>
  <c r="I27" i="1" l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4" i="1"/>
  <c r="H22" i="1"/>
  <c r="H21" i="1"/>
  <c r="H19" i="1"/>
  <c r="H18" i="1"/>
  <c r="H16" i="1"/>
  <c r="H14" i="1"/>
  <c r="H13" i="1"/>
  <c r="H12" i="1"/>
  <c r="H11" i="1"/>
  <c r="H9" i="1"/>
  <c r="H6" i="1"/>
  <c r="H5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D27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" i="1"/>
  <c r="M27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7" i="1" s="1"/>
  <c r="N2" i="1"/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<sst xmlns="http://schemas.openxmlformats.org/spreadsheetml/2006/main" count="30" uniqueCount="16">
  <si>
    <t>OriginalTiming</t>
  </si>
  <si>
    <t>InitialTiming</t>
  </si>
  <si>
    <t>UpdateTiming</t>
  </si>
  <si>
    <t>OriginalEdges</t>
  </si>
  <si>
    <t>InitialEdges</t>
  </si>
  <si>
    <t>UpdateEdges</t>
  </si>
  <si>
    <t>From Revision</t>
  </si>
  <si>
    <t>To Revision</t>
  </si>
  <si>
    <t>Savings</t>
  </si>
  <si>
    <t>Overhead</t>
  </si>
  <si>
    <t>Savings HEROS</t>
  </si>
  <si>
    <t>Changeset</t>
  </si>
  <si>
    <t>Struct Diff</t>
  </si>
  <si>
    <t>Unchanged Pointers</t>
  </si>
  <si>
    <t>Recompute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</si>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</sst>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Timing</c:v>
          </c:tx>
          <c:invertIfNegative val="0"/>
          <c:cat>
            <c:numRef>
              <c:f>'Full Diff'!$A$2:$A$25</c:f>
              <c:numCache>
                <c:formatCode>General</c:formatCode>
                <c:ptCount val="24"/>
                <c:pt idx="0">
                  <c:v>30720132221</c:v>
                </c:pt>
                <c:pt idx="1">
                  <c:v>31420132151</c:v>
                </c:pt>
                <c:pt idx="2">
                  <c:v>31620130026</c:v>
                </c:pt>
                <c:pt idx="3">
                  <c:v>31820131702</c:v>
                </c:pt>
                <c:pt idx="4">
                  <c:v>32020132304</c:v>
                </c:pt>
                <c:pt idx="5">
                  <c:v>32120131735</c:v>
                </c:pt>
                <c:pt idx="6">
                  <c:v>32120132100</c:v>
                </c:pt>
                <c:pt idx="7">
                  <c:v>32120132144</c:v>
                </c:pt>
                <c:pt idx="8">
                  <c:v>32720132135</c:v>
                </c:pt>
                <c:pt idx="9">
                  <c:v>32720132341</c:v>
                </c:pt>
                <c:pt idx="10">
                  <c:v>32720132348</c:v>
                </c:pt>
                <c:pt idx="11">
                  <c:v>40120132353</c:v>
                </c:pt>
                <c:pt idx="12">
                  <c:v>42920132120</c:v>
                </c:pt>
                <c:pt idx="13">
                  <c:v>43020131827</c:v>
                </c:pt>
                <c:pt idx="14">
                  <c:v>50120130055</c:v>
                </c:pt>
                <c:pt idx="15">
                  <c:v>50220131806</c:v>
                </c:pt>
                <c:pt idx="16">
                  <c:v>50220131856</c:v>
                </c:pt>
                <c:pt idx="17">
                  <c:v>50720130016</c:v>
                </c:pt>
                <c:pt idx="18">
                  <c:v>52720131836</c:v>
                </c:pt>
                <c:pt idx="19">
                  <c:v>52720132001</c:v>
                </c:pt>
                <c:pt idx="20">
                  <c:v>60520130242</c:v>
                </c:pt>
                <c:pt idx="21">
                  <c:v>60520132159</c:v>
                </c:pt>
                <c:pt idx="22">
                  <c:v>60620130028</c:v>
                </c:pt>
                <c:pt idx="23">
                  <c:v>60620130722</c:v>
                </c:pt>
              </c:numCache>
            </c:numRef>
          </c:cat>
          <c:val>
            <c:numRef>
              <c:f>'Full Diff'!$D$2:$D$25</c:f>
              <c:numCache>
                <c:formatCode>0.00</c:formatCode>
                <c:ptCount val="24"/>
                <c:pt idx="0">
                  <c:v>214.9</c:v>
                </c:pt>
                <c:pt idx="1">
                  <c:v>225.7</c:v>
                </c:pt>
                <c:pt idx="2">
                  <c:v>230.1</c:v>
                </c:pt>
                <c:pt idx="3">
                  <c:v>231.7</c:v>
                </c:pt>
                <c:pt idx="4">
                  <c:v>216.4</c:v>
                </c:pt>
                <c:pt idx="5">
                  <c:v>225.8</c:v>
                </c:pt>
                <c:pt idx="6">
                  <c:v>221.6</c:v>
                </c:pt>
                <c:pt idx="7">
                  <c:v>212.3</c:v>
                </c:pt>
                <c:pt idx="8">
                  <c:v>225.9</c:v>
                </c:pt>
                <c:pt idx="9">
                  <c:v>226.8</c:v>
                </c:pt>
                <c:pt idx="10">
                  <c:v>220.2</c:v>
                </c:pt>
                <c:pt idx="11">
                  <c:v>233.3</c:v>
                </c:pt>
                <c:pt idx="12">
                  <c:v>217.2</c:v>
                </c:pt>
                <c:pt idx="13">
                  <c:v>221.6</c:v>
                </c:pt>
                <c:pt idx="14">
                  <c:v>222.8</c:v>
                </c:pt>
                <c:pt idx="15">
                  <c:v>219.6</c:v>
                </c:pt>
                <c:pt idx="16">
                  <c:v>221.5</c:v>
                </c:pt>
                <c:pt idx="17">
                  <c:v>233.7</c:v>
                </c:pt>
                <c:pt idx="18">
                  <c:v>217.7</c:v>
                </c:pt>
                <c:pt idx="19">
                  <c:v>223.7</c:v>
                </c:pt>
                <c:pt idx="20">
                  <c:v>221.9</c:v>
                </c:pt>
                <c:pt idx="21">
                  <c:v>228.7</c:v>
                </c:pt>
                <c:pt idx="22">
                  <c:v>227.7</c:v>
                </c:pt>
                <c:pt idx="23">
                  <c:v>219.3</c:v>
                </c:pt>
              </c:numCache>
            </c:numRef>
          </c:val>
        </c:ser>
        <c:ser>
          <c:idx val="2"/>
          <c:order val="1"/>
          <c:tx>
            <c:v>Original Timing</c:v>
          </c:tx>
          <c:invertIfNegative val="0"/>
          <c:cat>
            <c:numRef>
              <c:f>'Full Diff'!$A$2:$A$25</c:f>
              <c:numCache>
                <c:formatCode>General</c:formatCode>
                <c:ptCount val="24"/>
                <c:pt idx="0">
                  <c:v>30720132221</c:v>
                </c:pt>
                <c:pt idx="1">
                  <c:v>31420132151</c:v>
                </c:pt>
                <c:pt idx="2">
                  <c:v>31620130026</c:v>
                </c:pt>
                <c:pt idx="3">
                  <c:v>31820131702</c:v>
                </c:pt>
                <c:pt idx="4">
                  <c:v>32020132304</c:v>
                </c:pt>
                <c:pt idx="5">
                  <c:v>32120131735</c:v>
                </c:pt>
                <c:pt idx="6">
                  <c:v>32120132100</c:v>
                </c:pt>
                <c:pt idx="7">
                  <c:v>32120132144</c:v>
                </c:pt>
                <c:pt idx="8">
                  <c:v>32720132135</c:v>
                </c:pt>
                <c:pt idx="9">
                  <c:v>32720132341</c:v>
                </c:pt>
                <c:pt idx="10">
                  <c:v>32720132348</c:v>
                </c:pt>
                <c:pt idx="11">
                  <c:v>40120132353</c:v>
                </c:pt>
                <c:pt idx="12">
                  <c:v>42920132120</c:v>
                </c:pt>
                <c:pt idx="13">
                  <c:v>43020131827</c:v>
                </c:pt>
                <c:pt idx="14">
                  <c:v>50120130055</c:v>
                </c:pt>
                <c:pt idx="15">
                  <c:v>50220131806</c:v>
                </c:pt>
                <c:pt idx="16">
                  <c:v>50220131856</c:v>
                </c:pt>
                <c:pt idx="17">
                  <c:v>50720130016</c:v>
                </c:pt>
                <c:pt idx="18">
                  <c:v>52720131836</c:v>
                </c:pt>
                <c:pt idx="19">
                  <c:v>52720132001</c:v>
                </c:pt>
                <c:pt idx="20">
                  <c:v>60520130242</c:v>
                </c:pt>
                <c:pt idx="21">
                  <c:v>60520132159</c:v>
                </c:pt>
                <c:pt idx="22">
                  <c:v>60620130028</c:v>
                </c:pt>
                <c:pt idx="23">
                  <c:v>60620130722</c:v>
                </c:pt>
              </c:numCache>
            </c:numRef>
          </c:cat>
          <c:val>
            <c:numRef>
              <c:f>'Full Diff'!$C$2:$C$25</c:f>
              <c:numCache>
                <c:formatCode>0.00</c:formatCode>
                <c:ptCount val="24"/>
                <c:pt idx="0">
                  <c:v>127.88377812997598</c:v>
                </c:pt>
                <c:pt idx="1">
                  <c:v>137.02533800128273</c:v>
                </c:pt>
                <c:pt idx="2">
                  <c:v>136.87386176540016</c:v>
                </c:pt>
                <c:pt idx="3">
                  <c:v>122.08809423157125</c:v>
                </c:pt>
                <c:pt idx="4">
                  <c:v>133.5901128599713</c:v>
                </c:pt>
                <c:pt idx="5">
                  <c:v>129.11328820023724</c:v>
                </c:pt>
                <c:pt idx="6">
                  <c:v>129.4233097209241</c:v>
                </c:pt>
                <c:pt idx="7">
                  <c:v>129.45098946776366</c:v>
                </c:pt>
                <c:pt idx="8">
                  <c:v>127.92127761591523</c:v>
                </c:pt>
                <c:pt idx="9">
                  <c:v>130.5662837405709</c:v>
                </c:pt>
                <c:pt idx="10">
                  <c:v>129.84180606769988</c:v>
                </c:pt>
                <c:pt idx="11">
                  <c:v>136.09385276427057</c:v>
                </c:pt>
                <c:pt idx="12">
                  <c:v>128.29788520314639</c:v>
                </c:pt>
                <c:pt idx="13">
                  <c:v>132.59214727313795</c:v>
                </c:pt>
                <c:pt idx="14">
                  <c:v>131.56114327681769</c:v>
                </c:pt>
                <c:pt idx="15">
                  <c:v>125.85714318754393</c:v>
                </c:pt>
                <c:pt idx="16">
                  <c:v>123.48805792433554</c:v>
                </c:pt>
                <c:pt idx="17">
                  <c:v>126.35252952782379</c:v>
                </c:pt>
                <c:pt idx="18">
                  <c:v>129.22734709993125</c:v>
                </c:pt>
                <c:pt idx="19">
                  <c:v>131.17220561750202</c:v>
                </c:pt>
                <c:pt idx="20">
                  <c:v>115.42799748116006</c:v>
                </c:pt>
                <c:pt idx="21">
                  <c:v>124.36655838501436</c:v>
                </c:pt>
                <c:pt idx="22">
                  <c:v>137.07045701461169</c:v>
                </c:pt>
                <c:pt idx="23">
                  <c:v>128.66373243828858</c:v>
                </c:pt>
              </c:numCache>
            </c:numRef>
          </c:val>
        </c:ser>
        <c:ser>
          <c:idx val="1"/>
          <c:order val="2"/>
          <c:tx>
            <c:v>Update Timing</c:v>
          </c:tx>
          <c:invertIfNegative val="0"/>
          <c:cat>
            <c:numRef>
              <c:f>'Full Diff'!$A$2:$A$25</c:f>
              <c:numCache>
                <c:formatCode>General</c:formatCode>
                <c:ptCount val="24"/>
                <c:pt idx="0">
                  <c:v>30720132221</c:v>
                </c:pt>
                <c:pt idx="1">
                  <c:v>31420132151</c:v>
                </c:pt>
                <c:pt idx="2">
                  <c:v>31620130026</c:v>
                </c:pt>
                <c:pt idx="3">
                  <c:v>31820131702</c:v>
                </c:pt>
                <c:pt idx="4">
                  <c:v>32020132304</c:v>
                </c:pt>
                <c:pt idx="5">
                  <c:v>32120131735</c:v>
                </c:pt>
                <c:pt idx="6">
                  <c:v>32120132100</c:v>
                </c:pt>
                <c:pt idx="7">
                  <c:v>32120132144</c:v>
                </c:pt>
                <c:pt idx="8">
                  <c:v>32720132135</c:v>
                </c:pt>
                <c:pt idx="9">
                  <c:v>32720132341</c:v>
                </c:pt>
                <c:pt idx="10">
                  <c:v>32720132348</c:v>
                </c:pt>
                <c:pt idx="11">
                  <c:v>40120132353</c:v>
                </c:pt>
                <c:pt idx="12">
                  <c:v>42920132120</c:v>
                </c:pt>
                <c:pt idx="13">
                  <c:v>43020131827</c:v>
                </c:pt>
                <c:pt idx="14">
                  <c:v>50120130055</c:v>
                </c:pt>
                <c:pt idx="15">
                  <c:v>50220131806</c:v>
                </c:pt>
                <c:pt idx="16">
                  <c:v>50220131856</c:v>
                </c:pt>
                <c:pt idx="17">
                  <c:v>50720130016</c:v>
                </c:pt>
                <c:pt idx="18">
                  <c:v>52720131836</c:v>
                </c:pt>
                <c:pt idx="19">
                  <c:v>52720132001</c:v>
                </c:pt>
                <c:pt idx="20">
                  <c:v>60520130242</c:v>
                </c:pt>
                <c:pt idx="21">
                  <c:v>60520132159</c:v>
                </c:pt>
                <c:pt idx="22">
                  <c:v>60620130028</c:v>
                </c:pt>
                <c:pt idx="23">
                  <c:v>60620130722</c:v>
                </c:pt>
              </c:numCache>
            </c:numRef>
          </c:cat>
          <c:val>
            <c:numRef>
              <c:f>'Full Diff'!$E$2:$E$25</c:f>
              <c:numCache>
                <c:formatCode>0.00</c:formatCode>
                <c:ptCount val="24"/>
                <c:pt idx="0">
                  <c:v>56.8</c:v>
                </c:pt>
                <c:pt idx="1">
                  <c:v>29.2</c:v>
                </c:pt>
                <c:pt idx="2">
                  <c:v>28.8</c:v>
                </c:pt>
                <c:pt idx="3">
                  <c:v>46.5</c:v>
                </c:pt>
                <c:pt idx="4">
                  <c:v>53.5</c:v>
                </c:pt>
                <c:pt idx="5">
                  <c:v>27.7</c:v>
                </c:pt>
                <c:pt idx="6">
                  <c:v>29.5</c:v>
                </c:pt>
                <c:pt idx="7">
                  <c:v>59.3</c:v>
                </c:pt>
                <c:pt idx="8">
                  <c:v>28.6</c:v>
                </c:pt>
                <c:pt idx="9">
                  <c:v>89</c:v>
                </c:pt>
                <c:pt idx="10">
                  <c:v>56.3</c:v>
                </c:pt>
                <c:pt idx="11">
                  <c:v>42.6</c:v>
                </c:pt>
                <c:pt idx="12">
                  <c:v>37.9</c:v>
                </c:pt>
                <c:pt idx="13">
                  <c:v>28.1</c:v>
                </c:pt>
                <c:pt idx="14">
                  <c:v>39.375</c:v>
                </c:pt>
                <c:pt idx="15">
                  <c:v>29.4</c:v>
                </c:pt>
                <c:pt idx="16">
                  <c:v>43</c:v>
                </c:pt>
                <c:pt idx="17">
                  <c:v>45.4</c:v>
                </c:pt>
                <c:pt idx="18">
                  <c:v>60.5</c:v>
                </c:pt>
                <c:pt idx="19">
                  <c:v>70.2</c:v>
                </c:pt>
                <c:pt idx="20">
                  <c:v>63.3</c:v>
                </c:pt>
                <c:pt idx="21">
                  <c:v>28.3</c:v>
                </c:pt>
                <c:pt idx="22">
                  <c:v>78</c:v>
                </c:pt>
                <c:pt idx="23">
                  <c:v>29.3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39392"/>
        <c:axId val="91341184"/>
      </c:barChart>
      <c:catAx>
        <c:axId val="913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41184"/>
        <c:crosses val="autoZero"/>
        <c:auto val="1"/>
        <c:lblAlgn val="ctr"/>
        <c:lblOffset val="100"/>
        <c:noMultiLvlLbl val="0"/>
      </c:catAx>
      <c:valAx>
        <c:axId val="91341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Timing</c:v>
          </c:tx>
          <c:invertIfNegative val="0"/>
          <c:cat>
            <c:numRef>
              <c:f>'Quick Diff'!$A$2:$A$25</c:f>
              <c:numCache>
                <c:formatCode>General</c:formatCode>
                <c:ptCount val="24"/>
                <c:pt idx="0">
                  <c:v>30720132221</c:v>
                </c:pt>
                <c:pt idx="1">
                  <c:v>31420132151</c:v>
                </c:pt>
                <c:pt idx="2">
                  <c:v>31620130026</c:v>
                </c:pt>
                <c:pt idx="3">
                  <c:v>31820131702</c:v>
                </c:pt>
                <c:pt idx="4">
                  <c:v>32020132304</c:v>
                </c:pt>
                <c:pt idx="5">
                  <c:v>32120131735</c:v>
                </c:pt>
                <c:pt idx="6">
                  <c:v>32120132100</c:v>
                </c:pt>
                <c:pt idx="7">
                  <c:v>32120132144</c:v>
                </c:pt>
                <c:pt idx="8">
                  <c:v>32720132135</c:v>
                </c:pt>
                <c:pt idx="9">
                  <c:v>32720132341</c:v>
                </c:pt>
                <c:pt idx="10">
                  <c:v>32720132348</c:v>
                </c:pt>
                <c:pt idx="11">
                  <c:v>40120132353</c:v>
                </c:pt>
                <c:pt idx="12">
                  <c:v>42920132120</c:v>
                </c:pt>
                <c:pt idx="13">
                  <c:v>43020131827</c:v>
                </c:pt>
                <c:pt idx="14">
                  <c:v>50120130055</c:v>
                </c:pt>
                <c:pt idx="15">
                  <c:v>50220131806</c:v>
                </c:pt>
                <c:pt idx="16">
                  <c:v>50220131856</c:v>
                </c:pt>
                <c:pt idx="17">
                  <c:v>50720130016</c:v>
                </c:pt>
                <c:pt idx="18">
                  <c:v>52720131836</c:v>
                </c:pt>
                <c:pt idx="19">
                  <c:v>52720132001</c:v>
                </c:pt>
                <c:pt idx="20">
                  <c:v>60520130242</c:v>
                </c:pt>
                <c:pt idx="21">
                  <c:v>60520132159</c:v>
                </c:pt>
                <c:pt idx="22">
                  <c:v>60620130028</c:v>
                </c:pt>
                <c:pt idx="23">
                  <c:v>60620130722</c:v>
                </c:pt>
              </c:numCache>
            </c:numRef>
          </c:cat>
          <c:val>
            <c:numRef>
              <c:f>'Quick Diff'!$D$2:$D$25</c:f>
              <c:numCache>
                <c:formatCode>0.00</c:formatCode>
                <c:ptCount val="24"/>
                <c:pt idx="0">
                  <c:v>228.4</c:v>
                </c:pt>
                <c:pt idx="1">
                  <c:v>223.1</c:v>
                </c:pt>
                <c:pt idx="2">
                  <c:v>210.5</c:v>
                </c:pt>
                <c:pt idx="3">
                  <c:v>226.9</c:v>
                </c:pt>
                <c:pt idx="4">
                  <c:v>216.7</c:v>
                </c:pt>
                <c:pt idx="5">
                  <c:v>218.8</c:v>
                </c:pt>
                <c:pt idx="6">
                  <c:v>237.6</c:v>
                </c:pt>
                <c:pt idx="7">
                  <c:v>221.9</c:v>
                </c:pt>
                <c:pt idx="8">
                  <c:v>225.4</c:v>
                </c:pt>
                <c:pt idx="9">
                  <c:v>218.5</c:v>
                </c:pt>
                <c:pt idx="10">
                  <c:v>212.8</c:v>
                </c:pt>
                <c:pt idx="12">
                  <c:v>219</c:v>
                </c:pt>
                <c:pt idx="13">
                  <c:v>221.5</c:v>
                </c:pt>
                <c:pt idx="15">
                  <c:v>215.55555555555554</c:v>
                </c:pt>
                <c:pt idx="18">
                  <c:v>225.5</c:v>
                </c:pt>
                <c:pt idx="21">
                  <c:v>233.9</c:v>
                </c:pt>
                <c:pt idx="23">
                  <c:v>225.4</c:v>
                </c:pt>
              </c:numCache>
            </c:numRef>
          </c:val>
        </c:ser>
        <c:ser>
          <c:idx val="2"/>
          <c:order val="1"/>
          <c:tx>
            <c:v>Original Timing</c:v>
          </c:tx>
          <c:invertIfNegative val="0"/>
          <c:cat>
            <c:numRef>
              <c:f>'Quick Diff'!$A$2:$A$25</c:f>
              <c:numCache>
                <c:formatCode>General</c:formatCode>
                <c:ptCount val="24"/>
                <c:pt idx="0">
                  <c:v>30720132221</c:v>
                </c:pt>
                <c:pt idx="1">
                  <c:v>31420132151</c:v>
                </c:pt>
                <c:pt idx="2">
                  <c:v>31620130026</c:v>
                </c:pt>
                <c:pt idx="3">
                  <c:v>31820131702</c:v>
                </c:pt>
                <c:pt idx="4">
                  <c:v>32020132304</c:v>
                </c:pt>
                <c:pt idx="5">
                  <c:v>32120131735</c:v>
                </c:pt>
                <c:pt idx="6">
                  <c:v>32120132100</c:v>
                </c:pt>
                <c:pt idx="7">
                  <c:v>32120132144</c:v>
                </c:pt>
                <c:pt idx="8">
                  <c:v>32720132135</c:v>
                </c:pt>
                <c:pt idx="9">
                  <c:v>32720132341</c:v>
                </c:pt>
                <c:pt idx="10">
                  <c:v>32720132348</c:v>
                </c:pt>
                <c:pt idx="11">
                  <c:v>40120132353</c:v>
                </c:pt>
                <c:pt idx="12">
                  <c:v>42920132120</c:v>
                </c:pt>
                <c:pt idx="13">
                  <c:v>43020131827</c:v>
                </c:pt>
                <c:pt idx="14">
                  <c:v>50120130055</c:v>
                </c:pt>
                <c:pt idx="15">
                  <c:v>50220131806</c:v>
                </c:pt>
                <c:pt idx="16">
                  <c:v>50220131856</c:v>
                </c:pt>
                <c:pt idx="17">
                  <c:v>50720130016</c:v>
                </c:pt>
                <c:pt idx="18">
                  <c:v>52720131836</c:v>
                </c:pt>
                <c:pt idx="19">
                  <c:v>52720132001</c:v>
                </c:pt>
                <c:pt idx="20">
                  <c:v>60520130242</c:v>
                </c:pt>
                <c:pt idx="21">
                  <c:v>60520132159</c:v>
                </c:pt>
                <c:pt idx="22">
                  <c:v>60620130028</c:v>
                </c:pt>
                <c:pt idx="23">
                  <c:v>60620130722</c:v>
                </c:pt>
              </c:numCache>
            </c:numRef>
          </c:cat>
          <c:val>
            <c:numRef>
              <c:f>'Quick Diff'!$C$2:$C$25</c:f>
              <c:numCache>
                <c:formatCode>0.00</c:formatCode>
                <c:ptCount val="24"/>
                <c:pt idx="0">
                  <c:v>127.88377812997598</c:v>
                </c:pt>
                <c:pt idx="1">
                  <c:v>137.02533800128273</c:v>
                </c:pt>
                <c:pt idx="2">
                  <c:v>136.87386176540016</c:v>
                </c:pt>
                <c:pt idx="3">
                  <c:v>122.08809423157125</c:v>
                </c:pt>
                <c:pt idx="4">
                  <c:v>133.5901128599713</c:v>
                </c:pt>
                <c:pt idx="5">
                  <c:v>129.11328820023724</c:v>
                </c:pt>
                <c:pt idx="6">
                  <c:v>129.4233097209241</c:v>
                </c:pt>
                <c:pt idx="7">
                  <c:v>129.45098946776366</c:v>
                </c:pt>
                <c:pt idx="8">
                  <c:v>127.92127761591523</c:v>
                </c:pt>
                <c:pt idx="9">
                  <c:v>130.5662837405709</c:v>
                </c:pt>
                <c:pt idx="10">
                  <c:v>129.84180606769988</c:v>
                </c:pt>
                <c:pt idx="11">
                  <c:v>136.09385276427057</c:v>
                </c:pt>
                <c:pt idx="12">
                  <c:v>128.29788520314639</c:v>
                </c:pt>
                <c:pt idx="13">
                  <c:v>132.59214727313795</c:v>
                </c:pt>
                <c:pt idx="14">
                  <c:v>131.56114327681769</c:v>
                </c:pt>
                <c:pt idx="15">
                  <c:v>125.85714318754393</c:v>
                </c:pt>
                <c:pt idx="16">
                  <c:v>123.48805792433554</c:v>
                </c:pt>
                <c:pt idx="17">
                  <c:v>126.35252952782379</c:v>
                </c:pt>
                <c:pt idx="18">
                  <c:v>129.22734709993125</c:v>
                </c:pt>
                <c:pt idx="19">
                  <c:v>131.17220561750202</c:v>
                </c:pt>
                <c:pt idx="20">
                  <c:v>115.42799748116006</c:v>
                </c:pt>
                <c:pt idx="21">
                  <c:v>124.36655838501436</c:v>
                </c:pt>
                <c:pt idx="22">
                  <c:v>137.07045701461169</c:v>
                </c:pt>
                <c:pt idx="23">
                  <c:v>128.66373243828858</c:v>
                </c:pt>
              </c:numCache>
            </c:numRef>
          </c:val>
        </c:ser>
        <c:ser>
          <c:idx val="1"/>
          <c:order val="2"/>
          <c:tx>
            <c:v>Update Timing</c:v>
          </c:tx>
          <c:invertIfNegative val="0"/>
          <c:cat>
            <c:numRef>
              <c:f>'Quick Diff'!$A$2:$A$25</c:f>
              <c:numCache>
                <c:formatCode>General</c:formatCode>
                <c:ptCount val="24"/>
                <c:pt idx="0">
                  <c:v>30720132221</c:v>
                </c:pt>
                <c:pt idx="1">
                  <c:v>31420132151</c:v>
                </c:pt>
                <c:pt idx="2">
                  <c:v>31620130026</c:v>
                </c:pt>
                <c:pt idx="3">
                  <c:v>31820131702</c:v>
                </c:pt>
                <c:pt idx="4">
                  <c:v>32020132304</c:v>
                </c:pt>
                <c:pt idx="5">
                  <c:v>32120131735</c:v>
                </c:pt>
                <c:pt idx="6">
                  <c:v>32120132100</c:v>
                </c:pt>
                <c:pt idx="7">
                  <c:v>32120132144</c:v>
                </c:pt>
                <c:pt idx="8">
                  <c:v>32720132135</c:v>
                </c:pt>
                <c:pt idx="9">
                  <c:v>32720132341</c:v>
                </c:pt>
                <c:pt idx="10">
                  <c:v>32720132348</c:v>
                </c:pt>
                <c:pt idx="11">
                  <c:v>40120132353</c:v>
                </c:pt>
                <c:pt idx="12">
                  <c:v>42920132120</c:v>
                </c:pt>
                <c:pt idx="13">
                  <c:v>43020131827</c:v>
                </c:pt>
                <c:pt idx="14">
                  <c:v>50120130055</c:v>
                </c:pt>
                <c:pt idx="15">
                  <c:v>50220131806</c:v>
                </c:pt>
                <c:pt idx="16">
                  <c:v>50220131856</c:v>
                </c:pt>
                <c:pt idx="17">
                  <c:v>50720130016</c:v>
                </c:pt>
                <c:pt idx="18">
                  <c:v>52720131836</c:v>
                </c:pt>
                <c:pt idx="19">
                  <c:v>52720132001</c:v>
                </c:pt>
                <c:pt idx="20">
                  <c:v>60520130242</c:v>
                </c:pt>
                <c:pt idx="21">
                  <c:v>60520132159</c:v>
                </c:pt>
                <c:pt idx="22">
                  <c:v>60620130028</c:v>
                </c:pt>
                <c:pt idx="23">
                  <c:v>60620130722</c:v>
                </c:pt>
              </c:numCache>
            </c:numRef>
          </c:cat>
          <c:val>
            <c:numRef>
              <c:f>'Quick Diff'!$E$2:$E$25</c:f>
              <c:numCache>
                <c:formatCode>0.00</c:formatCode>
                <c:ptCount val="24"/>
                <c:pt idx="0">
                  <c:v>63.837931559938305</c:v>
                </c:pt>
                <c:pt idx="1">
                  <c:v>28</c:v>
                </c:pt>
                <c:pt idx="2">
                  <c:v>28.7</c:v>
                </c:pt>
                <c:pt idx="3">
                  <c:v>56.3</c:v>
                </c:pt>
                <c:pt idx="4">
                  <c:v>62</c:v>
                </c:pt>
                <c:pt idx="5">
                  <c:v>28.666666666666668</c:v>
                </c:pt>
                <c:pt idx="6">
                  <c:v>29</c:v>
                </c:pt>
                <c:pt idx="7">
                  <c:v>66.2</c:v>
                </c:pt>
                <c:pt idx="8">
                  <c:v>28.4</c:v>
                </c:pt>
                <c:pt idx="9">
                  <c:v>110.5</c:v>
                </c:pt>
                <c:pt idx="10">
                  <c:v>64.5</c:v>
                </c:pt>
                <c:pt idx="12">
                  <c:v>38.1</c:v>
                </c:pt>
                <c:pt idx="13">
                  <c:v>29</c:v>
                </c:pt>
                <c:pt idx="15">
                  <c:v>28.625</c:v>
                </c:pt>
                <c:pt idx="18">
                  <c:v>61.6</c:v>
                </c:pt>
                <c:pt idx="21">
                  <c:v>32.799999999999997</c:v>
                </c:pt>
                <c:pt idx="23">
                  <c:v>29.9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1296"/>
        <c:axId val="91353088"/>
      </c:barChart>
      <c:catAx>
        <c:axId val="91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088"/>
        <c:crosses val="autoZero"/>
        <c:auto val="1"/>
        <c:lblAlgn val="ctr"/>
        <c:lblOffset val="100"/>
        <c:noMultiLvlLbl val="0"/>
      </c:catAx>
      <c:valAx>
        <c:axId val="91353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28</xdr:row>
      <xdr:rowOff>28575</xdr:rowOff>
    </xdr:from>
    <xdr:to>
      <xdr:col>5</xdr:col>
      <xdr:colOff>476250</xdr:colOff>
      <xdr:row>45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28</xdr:row>
      <xdr:rowOff>28575</xdr:rowOff>
    </xdr:from>
    <xdr:to>
      <xdr:col>5</xdr:col>
      <xdr:colOff>476250</xdr:colOff>
      <xdr:row>45</xdr:row>
      <xdr:rowOff>157162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27"/>
  <sheetViews>
    <sheetView workbookViewId="0">
      <selection activeCell="A2" sqref="A2:B25"/>
    </sheetView>
  </sheetViews>
  <sheetFormatPr baseColWidth="10" defaultColWidth="9.140625" defaultRowHeight="15" x14ac:dyDescent="0.25"/>
  <cols>
    <col min="1" max="1" width="19.28515625" bestFit="1" customWidth="1"/>
    <col min="2" max="2" width="19.28515625" customWidth="1"/>
    <col min="3" max="3" width="14" bestFit="1" customWidth="1"/>
    <col min="4" max="4" width="12.140625" bestFit="1" customWidth="1"/>
    <col min="5" max="5" width="13.42578125" bestFit="1" customWidth="1"/>
    <col min="6" max="6" width="13.140625" bestFit="1" customWidth="1"/>
    <col min="7" max="7" width="11.28515625" bestFit="1" customWidth="1"/>
    <col min="8" max="8" width="12.5703125" bestFit="1" customWidth="1"/>
    <col min="9" max="10" width="12.5703125" customWidth="1"/>
    <col min="11" max="11" width="19" bestFit="1" customWidth="1"/>
    <col min="13" max="13" width="9.7109375" bestFit="1" customWidth="1"/>
    <col min="14" max="14" width="10.42578125" customWidth="1"/>
    <col min="15" max="15" width="13.85546875" bestFit="1" customWidth="1"/>
  </cols>
  <sheetData>
    <row r="1" spans="1:15" x14ac:dyDescent="0.25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</v>
      </c>
      <c r="J1" s="2" t="s">
        <v>12</v>
      </c>
      <c r="K1" s="2" t="s">
        <v>13</v>
      </c>
      <c r="M1" s="2" t="s">
        <v>9</v>
      </c>
      <c r="N1" s="2" t="s">
        <v>8</v>
      </c>
      <c r="O1" s="2" t="s">
        <v>10</v>
      </c>
    </row>
    <row r="2" spans="1:15" x14ac:dyDescent="0.25">
      <c r="A2" s="2">
        <v>30720132221</v>
      </c>
      <c r="B2" s="2">
        <v>31420132151</v>
      </c>
      <c r="C2" s="1">
        <f>GEOMEAN(219,114,100,152,132,151,103,126,101,118)</f>
        <v>127.88377812997598</v>
      </c>
      <c r="D2" s="1">
        <f>AVERAGE(292,225,239,198,197,200,199,204,196,199)</f>
        <v>214.9</v>
      </c>
      <c r="E2" s="1">
        <f>AVERAGE(58,49,48,51,54,50,55,52,97,54)</f>
        <v>56.8</v>
      </c>
      <c r="F2">
        <v>4594141</v>
      </c>
      <c r="G2" s="3">
        <v>5162621</v>
      </c>
      <c r="H2" s="3">
        <f>AVERAGE(29741,29764,29763,29764,29742,29764,29759,29764,29764,29758)</f>
        <v>29758.3</v>
      </c>
      <c r="I2" s="1">
        <f>AVERAGE(33,28,27,29,30,27,30,30,74,30)</f>
        <v>33.799999999999997</v>
      </c>
      <c r="J2" s="1">
        <f>AVERAGE(14,10,10,10,10,10,11,10,9,11)</f>
        <v>10.5</v>
      </c>
      <c r="K2" s="1">
        <f>AVERAGE(15,14,12,15,15,13,15,15,14,15)</f>
        <v>14.3</v>
      </c>
      <c r="M2" s="4">
        <f>D2/C2-1</f>
        <v>0.68043205434221843</v>
      </c>
      <c r="N2" s="4">
        <f>E2/D2</f>
        <v>0.26430898092135874</v>
      </c>
      <c r="O2" s="4">
        <f>E2/C2</f>
        <v>0.44415328379077712</v>
      </c>
    </row>
    <row r="3" spans="1:15" x14ac:dyDescent="0.25">
      <c r="A3" s="2">
        <v>31420132151</v>
      </c>
      <c r="B3" s="2">
        <v>31620130026</v>
      </c>
      <c r="C3" s="1">
        <f>GEOMEAN(295,138,126,135,138,133,100,136,135,100)</f>
        <v>137.02533800128273</v>
      </c>
      <c r="D3" s="1">
        <f>AVERAGE(283,236,231,220,242,236,203,204,200,202)</f>
        <v>225.7</v>
      </c>
      <c r="E3" s="1">
        <f>AVERAGE(29,32,30,26,31,28,30,30,26,30)</f>
        <v>29.2</v>
      </c>
      <c r="F3">
        <v>4594141</v>
      </c>
      <c r="G3" s="3">
        <v>5162621</v>
      </c>
      <c r="H3" s="3">
        <v>0</v>
      </c>
      <c r="I3" s="1">
        <f>AVERAGE(29,32,30,26,31,28,30,30,26,30)</f>
        <v>29.2</v>
      </c>
      <c r="J3" s="1">
        <f>AVERAGE(11,11,11,9,12,9,11,10,9,10)</f>
        <v>10.3</v>
      </c>
      <c r="K3" s="1">
        <f>AVERAGE(13,16,14,13,14,14,15,16,12,16)</f>
        <v>14.3</v>
      </c>
      <c r="M3" s="4">
        <f t="shared" ref="M3:M25" si="0">D3/C3-1</f>
        <v>0.64714061860505789</v>
      </c>
      <c r="N3" s="4">
        <f t="shared" ref="N3:N25" si="1">E3/D3</f>
        <v>0.12937527691626052</v>
      </c>
      <c r="O3" s="4">
        <f t="shared" ref="O3:O25" si="2">E3/C3</f>
        <v>0.21309927365205003</v>
      </c>
    </row>
    <row r="4" spans="1:15" x14ac:dyDescent="0.25">
      <c r="A4" s="2">
        <v>31620130026</v>
      </c>
      <c r="B4" s="2">
        <v>31820131702</v>
      </c>
      <c r="C4" s="1">
        <f>GEOMEAN(225,184,184,124,101,99,130,100,148,127)</f>
        <v>136.87386176540016</v>
      </c>
      <c r="D4" s="1">
        <f>AVERAGE(274,240,204,239,204,240,293,203,203,201)</f>
        <v>230.1</v>
      </c>
      <c r="E4" s="1">
        <f>AVERAGE(30,27,29,30,27,29,30,26,30,30)</f>
        <v>28.8</v>
      </c>
      <c r="F4">
        <v>4594141</v>
      </c>
      <c r="G4" s="3">
        <v>5162621</v>
      </c>
      <c r="H4" s="3">
        <v>0</v>
      </c>
      <c r="I4" s="1">
        <f>AVERAGE(30,27,29,30,28,29,30,26,30,30)</f>
        <v>28.9</v>
      </c>
      <c r="J4" s="1">
        <f>AVERAGE(13,10,10,10,10,11,10,10,11,10)</f>
        <v>10.5</v>
      </c>
      <c r="K4" s="1">
        <f>AVERAGE(13,13,15,16,14,14,16,12,15,16)</f>
        <v>14.4</v>
      </c>
      <c r="M4" s="4">
        <f t="shared" si="0"/>
        <v>0.68110987030078896</v>
      </c>
      <c r="N4" s="4">
        <f t="shared" si="1"/>
        <v>0.12516297262059975</v>
      </c>
      <c r="O4" s="4">
        <f t="shared" si="2"/>
        <v>0.21041270866867764</v>
      </c>
    </row>
    <row r="5" spans="1:15" x14ac:dyDescent="0.25">
      <c r="A5" s="2">
        <v>31820131702</v>
      </c>
      <c r="B5" s="2">
        <v>32020132304</v>
      </c>
      <c r="C5" s="1">
        <f>GEOMEAN(183,151,131,123,102,118,99,102,132,103)</f>
        <v>122.08809423157125</v>
      </c>
      <c r="D5" s="1">
        <f>AVERAGE(293,237,240,242,240,198,231,201,227,208)</f>
        <v>231.7</v>
      </c>
      <c r="E5" s="1">
        <f>AVERAGE(50,46,46,48,44,47,45,49,44,46)</f>
        <v>46.5</v>
      </c>
      <c r="F5">
        <v>4594531</v>
      </c>
      <c r="G5" s="3">
        <v>5163011</v>
      </c>
      <c r="H5" s="3">
        <f>AVERAGE(22802,22802,22802,22802,22802,22802,22802,22802,22802,22802)</f>
        <v>22802</v>
      </c>
      <c r="I5" s="1">
        <f>AVERAGE(31,28,28,29,27,28,27,29,27,28)</f>
        <v>28.2</v>
      </c>
      <c r="J5" s="1">
        <f>AVERAGE(11,11,10,11,10,10,10,10,10,10)</f>
        <v>10.3</v>
      </c>
      <c r="K5" s="1">
        <f>AVERAGE(15,13,14,14,13,14,13,15,13,14)</f>
        <v>13.8</v>
      </c>
      <c r="M5" s="4">
        <f t="shared" si="0"/>
        <v>0.89780994992453378</v>
      </c>
      <c r="N5" s="4">
        <f t="shared" si="1"/>
        <v>0.20069054812257231</v>
      </c>
      <c r="O5" s="4">
        <f t="shared" si="2"/>
        <v>0.38087251908282616</v>
      </c>
    </row>
    <row r="6" spans="1:15" x14ac:dyDescent="0.25">
      <c r="A6" s="2">
        <v>32020132304</v>
      </c>
      <c r="B6" s="2">
        <v>32120131735</v>
      </c>
      <c r="C6" s="1">
        <f>GEOMEAN(251,199,118,127,102,119,104,150,103,124)</f>
        <v>133.5901128599713</v>
      </c>
      <c r="D6" s="1">
        <f>AVERAGE(279,238,199,212,217,201,203,220,196,199)</f>
        <v>216.4</v>
      </c>
      <c r="E6" s="1">
        <f>AVERAGE(55,54,56,50,53,55,55,50,52,55)</f>
        <v>53.5</v>
      </c>
      <c r="F6">
        <v>4604657</v>
      </c>
      <c r="G6" s="3">
        <v>5172980</v>
      </c>
      <c r="H6" s="3">
        <f>AVERAGE(60312,62337,62332,62323,62323,60318,62313,62325,60293,62322)</f>
        <v>61719.8</v>
      </c>
      <c r="I6" s="1">
        <f>AVERAGE(30,29,31,26,29,30,29,26,29,29)</f>
        <v>28.8</v>
      </c>
      <c r="J6" s="1">
        <f>AVERAGE(12,9,10,9,10,11,10,9,10,10)</f>
        <v>10</v>
      </c>
      <c r="K6" s="1">
        <f>AVERAGE(13,15,16,12,14,15,15,12,15,14)</f>
        <v>14.1</v>
      </c>
      <c r="M6" s="4">
        <f t="shared" si="0"/>
        <v>0.61988035916123341</v>
      </c>
      <c r="N6" s="4">
        <f t="shared" si="1"/>
        <v>0.24722735674676524</v>
      </c>
      <c r="O6" s="4">
        <f t="shared" si="2"/>
        <v>0.40047873944143247</v>
      </c>
    </row>
    <row r="7" spans="1:15" x14ac:dyDescent="0.25">
      <c r="A7" s="2">
        <v>32120131735</v>
      </c>
      <c r="B7" s="2">
        <v>32120132100</v>
      </c>
      <c r="C7" s="1">
        <f>GEOMEAN(204,140,124,126,101,130,136,132,102,120)</f>
        <v>129.11328820023724</v>
      </c>
      <c r="D7" s="1">
        <f>AVERAGE(278,238,210,226,245,198,200,197,235,231)</f>
        <v>225.8</v>
      </c>
      <c r="E7" s="1">
        <f>AVERAGE(28,28,28,26,27,28,28,28,30,26)</f>
        <v>27.7</v>
      </c>
      <c r="F7">
        <v>4604657</v>
      </c>
      <c r="G7" s="3">
        <v>5172980</v>
      </c>
      <c r="H7" s="3">
        <v>0</v>
      </c>
      <c r="I7" s="1">
        <f>AVERAGE(28,28,28,26,27,28,28,28,30,26)</f>
        <v>27.7</v>
      </c>
      <c r="J7" s="1">
        <f>AVERAGE(11,10,10,10,9,10,10,10,11,9)</f>
        <v>10</v>
      </c>
      <c r="K7" s="1">
        <f>AVERAGE(13,14,14,13,13,14,14,14,14,12)</f>
        <v>13.5</v>
      </c>
      <c r="M7" s="4">
        <f t="shared" si="0"/>
        <v>0.74885174986647973</v>
      </c>
      <c r="N7" s="4">
        <f t="shared" si="1"/>
        <v>0.12267493356953055</v>
      </c>
      <c r="O7" s="4">
        <f t="shared" si="2"/>
        <v>0.21454027223782768</v>
      </c>
    </row>
    <row r="8" spans="1:15" x14ac:dyDescent="0.25">
      <c r="A8" s="2">
        <v>32120132100</v>
      </c>
      <c r="B8" s="2">
        <v>32120132144</v>
      </c>
      <c r="C8" s="1">
        <f>GEOMEAN(200,116,136,128,119,134,101,123,123,134)</f>
        <v>129.4233097209241</v>
      </c>
      <c r="D8" s="1">
        <f>AVERAGE(283,246,236,235,199,196,214,200,205,202)</f>
        <v>221.6</v>
      </c>
      <c r="E8" s="1">
        <f>AVERAGE(32,31,29,29,27,29,32,29,28,29)</f>
        <v>29.5</v>
      </c>
      <c r="F8">
        <v>4604657</v>
      </c>
      <c r="G8" s="3">
        <v>5172980</v>
      </c>
      <c r="H8" s="3">
        <v>0</v>
      </c>
      <c r="I8" s="1">
        <f>AVERAGE(32,31,29,29,27,29,32,29,28,29)</f>
        <v>29.5</v>
      </c>
      <c r="J8" s="1">
        <f>AVERAGE(12,11,10,9,9,10,10,10,9,10)</f>
        <v>10</v>
      </c>
      <c r="K8" s="1">
        <f>AVERAGE(15,16,15,15,14,15,18,15,15,14)</f>
        <v>15.2</v>
      </c>
      <c r="M8" s="4">
        <f t="shared" si="0"/>
        <v>0.71221088749651673</v>
      </c>
      <c r="N8" s="4">
        <f t="shared" si="1"/>
        <v>0.13312274368231047</v>
      </c>
      <c r="O8" s="4">
        <f t="shared" si="2"/>
        <v>0.22793421110626011</v>
      </c>
    </row>
    <row r="9" spans="1:15" x14ac:dyDescent="0.25">
      <c r="A9" s="2">
        <v>32120132144</v>
      </c>
      <c r="B9" s="2">
        <v>32720132135</v>
      </c>
      <c r="C9" s="1">
        <f>GEOMEAN(201,123,129,128,139,135,103,132,104,122)</f>
        <v>129.45098946776366</v>
      </c>
      <c r="D9" s="1">
        <f>AVERAGE(294,231,197,203,201,202,196,197,201,201)</f>
        <v>212.3</v>
      </c>
      <c r="E9" s="1">
        <f>AVERAGE(61,60,63,62,58,60,60,56,58,55)</f>
        <v>59.3</v>
      </c>
      <c r="F9">
        <v>4604373</v>
      </c>
      <c r="G9" s="3">
        <v>5172696</v>
      </c>
      <c r="H9" s="3">
        <f>AVERAGE(46299,46299,46299,46299,46288,46297,46299,46290,46290,46299)</f>
        <v>46295.9</v>
      </c>
      <c r="I9" s="1">
        <f>AVERAGE(31,31,33,32,30,30,32,29,30,27)</f>
        <v>30.5</v>
      </c>
      <c r="J9" s="1">
        <f>AVERAGE(13,10,12,12,10,11,11,10,10,10)</f>
        <v>10.9</v>
      </c>
      <c r="K9" s="1">
        <f>AVERAGE(14,16,16,15,15,15,16,15,15,13)</f>
        <v>15</v>
      </c>
      <c r="M9" s="4">
        <f t="shared" si="0"/>
        <v>0.64000291440698254</v>
      </c>
      <c r="N9" s="4">
        <f t="shared" si="1"/>
        <v>0.27932171455487514</v>
      </c>
      <c r="O9" s="4">
        <f t="shared" si="2"/>
        <v>0.45808842592715054</v>
      </c>
    </row>
    <row r="10" spans="1:15" x14ac:dyDescent="0.25">
      <c r="A10" s="2">
        <v>32720132135</v>
      </c>
      <c r="B10" s="2">
        <v>32720132341</v>
      </c>
      <c r="C10" s="1">
        <f>GEOMEAN(194,152,144,103,156,138,121,101,99,103)</f>
        <v>127.92127761591523</v>
      </c>
      <c r="D10" s="1">
        <f>AVERAGE(319,226,235,240,234,201,202,199,200,203)</f>
        <v>225.9</v>
      </c>
      <c r="E10" s="1">
        <f>AVERAGE(29,30,27,30,26,29,30,28,28,29)</f>
        <v>28.6</v>
      </c>
      <c r="F10">
        <v>4604373</v>
      </c>
      <c r="G10" s="3">
        <v>5172696</v>
      </c>
      <c r="H10" s="3">
        <v>0</v>
      </c>
      <c r="I10" s="1">
        <f>AVERAGE(29,30,27,30,26,29,30,28,28,29)</f>
        <v>28.6</v>
      </c>
      <c r="J10" s="1">
        <f>AVERAGE(11,11,10,11,9,11,10,10,10,10)</f>
        <v>10.3</v>
      </c>
      <c r="K10" s="1">
        <f>AVERAGE(14,15,12,15,12,14,15,14,14,15)</f>
        <v>14</v>
      </c>
      <c r="M10" s="4">
        <f t="shared" si="0"/>
        <v>0.76592982973690082</v>
      </c>
      <c r="N10" s="4">
        <f t="shared" si="1"/>
        <v>0.12660469234174412</v>
      </c>
      <c r="O10" s="4">
        <f t="shared" si="2"/>
        <v>0.22357500279094894</v>
      </c>
    </row>
    <row r="11" spans="1:15" x14ac:dyDescent="0.25">
      <c r="A11" s="2">
        <v>32720132341</v>
      </c>
      <c r="B11" s="2">
        <v>32720132348</v>
      </c>
      <c r="C11" s="1">
        <f>GEOMEAN(235,160,136,127,102,120,101,140,122,105)</f>
        <v>130.5662837405709</v>
      </c>
      <c r="D11" s="1">
        <f>AVERAGE(298,235,240,203,204,240,202,238,206,202)</f>
        <v>226.8</v>
      </c>
      <c r="E11" s="1">
        <f>AVERAGE(88,82,87,82,85,133,84,83,82,84)</f>
        <v>89</v>
      </c>
      <c r="F11">
        <v>4621160</v>
      </c>
      <c r="G11" s="3">
        <v>5189024</v>
      </c>
      <c r="H11" s="3">
        <f>AVERAGE(301426,301405,301433,301423,301409,301421,301435,301417,301382,301436)</f>
        <v>301418.7</v>
      </c>
      <c r="I11" s="1">
        <f>AVERAGE(32,27,30,27,28,79,28,30,28,28)</f>
        <v>33.700000000000003</v>
      </c>
      <c r="J11" s="1">
        <f>AVERAGE(11,10,10,10,10,13,10,11,9,10)</f>
        <v>10.4</v>
      </c>
      <c r="K11" s="1">
        <f>AVERAGE(16,13,15,13,13,61,14,14,14,13)</f>
        <v>18.600000000000001</v>
      </c>
      <c r="M11" s="4">
        <f t="shared" si="0"/>
        <v>0.73704875027798922</v>
      </c>
      <c r="N11" s="4">
        <f t="shared" si="1"/>
        <v>0.39241622574955909</v>
      </c>
      <c r="O11" s="4">
        <f t="shared" si="2"/>
        <v>0.6816461145270768</v>
      </c>
    </row>
    <row r="12" spans="1:15" x14ac:dyDescent="0.25">
      <c r="A12" s="2">
        <v>32720132348</v>
      </c>
      <c r="B12" s="2">
        <v>40120132353</v>
      </c>
      <c r="C12" s="1">
        <f>GEOMEAN(227,138,135,103,121,101,136,136,133,104)</f>
        <v>129.84180606769988</v>
      </c>
      <c r="D12" s="1">
        <f>AVERAGE(309,227,196,204,220,201,240,201,200,204)</f>
        <v>220.2</v>
      </c>
      <c r="E12" s="1">
        <f>AVERAGE(60,55,56,57,59,53,56,54,58,55)</f>
        <v>56.3</v>
      </c>
      <c r="F12">
        <v>4614707</v>
      </c>
      <c r="G12" s="3">
        <v>5182704</v>
      </c>
      <c r="H12" s="3">
        <f>AVERAGE(40165,40164,40159,40315,40340,40339,40176,40330,40345,40181)</f>
        <v>40251.4</v>
      </c>
      <c r="I12" s="1">
        <f>AVERAGE(33,30,31,31,33,28,31,28,31,29)</f>
        <v>30.5</v>
      </c>
      <c r="J12" s="1">
        <f>AVERAGE(13,10,11,10,13,10,10,10,12,10)</f>
        <v>10.9</v>
      </c>
      <c r="K12" s="1">
        <f>AVERAGE(15,15,15,16,15,13,16,14,14,15)</f>
        <v>14.8</v>
      </c>
      <c r="M12" s="4">
        <f t="shared" si="0"/>
        <v>0.69590986654319265</v>
      </c>
      <c r="N12" s="4">
        <f t="shared" si="1"/>
        <v>0.25567665758401453</v>
      </c>
      <c r="O12" s="4">
        <f t="shared" si="2"/>
        <v>0.43360456624151561</v>
      </c>
    </row>
    <row r="13" spans="1:15" x14ac:dyDescent="0.25">
      <c r="A13" s="2">
        <v>40120132353</v>
      </c>
      <c r="B13" s="2">
        <v>42920132120</v>
      </c>
      <c r="C13" s="1">
        <f>GEOMEAN(239,164,136,129,103,121,102,130,140,137)</f>
        <v>136.09385276427057</v>
      </c>
      <c r="D13" s="1">
        <f>AVERAGE(324,228,246,235,242,202,241,204,205,206)</f>
        <v>233.3</v>
      </c>
      <c r="E13" s="1">
        <f>AVERAGE(44,42,42,43,41,42,42,44,44,42)</f>
        <v>42.6</v>
      </c>
      <c r="F13">
        <v>4613431</v>
      </c>
      <c r="G13" s="3">
        <v>5181447</v>
      </c>
      <c r="H13" s="3">
        <f>AVERAGE(29404,29406,29414,29428,29406,29414,29414,29426,29428,29413)</f>
        <v>29415.3</v>
      </c>
      <c r="I13" s="1">
        <f>AVERAGE(29,27,29,30,27,28,28,29,29,28)</f>
        <v>28.4</v>
      </c>
      <c r="J13" s="1">
        <f>AVERAGE(12,9,10,10,10,10,10,10,11,10)</f>
        <v>10.199999999999999</v>
      </c>
      <c r="K13" s="1">
        <f>AVERAGE(13,14,15,15,13,13,14,15,14,13)</f>
        <v>13.9</v>
      </c>
      <c r="M13" s="4">
        <f t="shared" si="0"/>
        <v>0.71425817743657483</v>
      </c>
      <c r="N13" s="4">
        <f t="shared" si="1"/>
        <v>0.18259751393056151</v>
      </c>
      <c r="O13" s="4">
        <f t="shared" si="2"/>
        <v>0.31301928143505392</v>
      </c>
    </row>
    <row r="14" spans="1:15" x14ac:dyDescent="0.25">
      <c r="A14" s="2">
        <v>42920132120</v>
      </c>
      <c r="B14" s="2">
        <v>43020131827</v>
      </c>
      <c r="C14" s="1">
        <f>GEOMEAN(180,163,129,103,120,102,131,138,136,103)</f>
        <v>128.29788520314639</v>
      </c>
      <c r="D14" s="1">
        <f>AVERAGE(301,236,204,202,219,201,205,198,203,203)</f>
        <v>217.2</v>
      </c>
      <c r="E14" s="1">
        <f>AVERAGE(38,38,36,38,35,40,38,39,41,36)</f>
        <v>37.9</v>
      </c>
      <c r="F14" s="3">
        <v>4613449</v>
      </c>
      <c r="G14" s="3">
        <v>5181465</v>
      </c>
      <c r="H14" s="3">
        <f>AVERAGE(160,161,166,165,167,160,165,161,165,165)</f>
        <v>163.5</v>
      </c>
      <c r="I14" s="1">
        <f>AVERAGE(29,29,28,30,27,31,29,30,28,28)</f>
        <v>28.9</v>
      </c>
      <c r="J14" s="1">
        <f>AVERAGE(11,9,10,11,9,10,10,10,10,10)</f>
        <v>10</v>
      </c>
      <c r="K14" s="1">
        <f>AVERAGE(13,15,14,15,13,16,15,15,14,14)</f>
        <v>14.4</v>
      </c>
      <c r="M14" s="4">
        <f t="shared" si="0"/>
        <v>0.69293515365499836</v>
      </c>
      <c r="N14" s="4">
        <f t="shared" si="1"/>
        <v>0.17449355432780847</v>
      </c>
      <c r="O14" s="4">
        <f t="shared" si="2"/>
        <v>0.29540627220775528</v>
      </c>
    </row>
    <row r="15" spans="1:15" x14ac:dyDescent="0.25">
      <c r="A15" s="2">
        <v>43020131827</v>
      </c>
      <c r="B15" s="2">
        <v>50120130055</v>
      </c>
      <c r="C15" s="1">
        <f>GEOMEAN(176,141,137,127,132,128,139,134,103,120)</f>
        <v>132.59214727313795</v>
      </c>
      <c r="D15" s="1">
        <f>AVERAGE(294,237,204,225,220,195,234,202,207,198)</f>
        <v>221.6</v>
      </c>
      <c r="E15" s="1">
        <f>AVERAGE(29,30,32,27,28,26,26,27,27,29)</f>
        <v>28.1</v>
      </c>
      <c r="F15" s="3">
        <v>4613449</v>
      </c>
      <c r="G15" s="3">
        <v>5181465</v>
      </c>
      <c r="H15" s="3">
        <v>0</v>
      </c>
      <c r="I15" s="1">
        <f>AVERAGE(29,30,32,27,28,26,26,27,27,29)</f>
        <v>28.1</v>
      </c>
      <c r="J15" s="1">
        <f>AVERAGE(11,10,12,10,10,10,9,9,10,10)</f>
        <v>10.1</v>
      </c>
      <c r="K15" s="1">
        <f>AVERAGE(14,15,16,13,13,13,12,13,13,14)</f>
        <v>13.6</v>
      </c>
      <c r="M15" s="4">
        <f t="shared" si="0"/>
        <v>0.67129052932152256</v>
      </c>
      <c r="N15" s="4">
        <f t="shared" si="1"/>
        <v>0.12680505415162455</v>
      </c>
      <c r="O15" s="4">
        <f t="shared" si="2"/>
        <v>0.21192808607371294</v>
      </c>
    </row>
    <row r="16" spans="1:15" x14ac:dyDescent="0.25">
      <c r="A16" s="2">
        <v>50120130055</v>
      </c>
      <c r="B16" s="2">
        <v>50220131806</v>
      </c>
      <c r="C16" s="1">
        <f>GEOMEAN(231,141,130,123,102,129,132,129,104,128)</f>
        <v>131.56114327681769</v>
      </c>
      <c r="D16" s="1">
        <f>AVERAGE(290,243,219,202,243,200,231,200,198,202)</f>
        <v>222.8</v>
      </c>
      <c r="E16" s="1">
        <f>AVERAGE(43,40,42:44,38,42,39,36,41,36)</f>
        <v>39.375</v>
      </c>
      <c r="F16" s="3">
        <v>4613366</v>
      </c>
      <c r="G16" s="3">
        <v>5181382</v>
      </c>
      <c r="H16" s="3">
        <f>AVERAGE(943,948,951,949,945,949,945,944,948,938)</f>
        <v>946</v>
      </c>
      <c r="I16" s="1">
        <f>AVERAGE(32,30,30,32,27,32,30,27,30,27)</f>
        <v>29.7</v>
      </c>
      <c r="J16" s="1">
        <f>AVERAGE(12,11,10,12,10,11,10,10,11,9)</f>
        <v>10.6</v>
      </c>
      <c r="K16" s="1">
        <f>AVERAGE(15,15,15,16,13,17,16,12,14,13)</f>
        <v>14.6</v>
      </c>
      <c r="M16" s="4">
        <f t="shared" si="0"/>
        <v>0.69350915057956519</v>
      </c>
      <c r="N16" s="4">
        <f t="shared" si="1"/>
        <v>0.17672800718132853</v>
      </c>
      <c r="O16" s="4">
        <f t="shared" si="2"/>
        <v>0.29929049732527102</v>
      </c>
    </row>
    <row r="17" spans="1:15" x14ac:dyDescent="0.25">
      <c r="A17" s="2">
        <v>50220131806</v>
      </c>
      <c r="B17" s="2">
        <v>50220131856</v>
      </c>
      <c r="C17" s="1">
        <f>GEOMEAN(190,117,131,107,124,102,129,139,137,103)</f>
        <v>125.85714318754393</v>
      </c>
      <c r="D17" s="1">
        <f>AVERAGE(278,244,228,211,202,203,201,203,222,204)</f>
        <v>219.6</v>
      </c>
      <c r="E17" s="1">
        <f>AVERAGE(29,32,30,27,30,28,29,31,30,28)</f>
        <v>29.4</v>
      </c>
      <c r="F17" s="3">
        <v>4613366</v>
      </c>
      <c r="G17" s="3">
        <v>5181382</v>
      </c>
      <c r="H17" s="3">
        <v>0</v>
      </c>
      <c r="I17" s="1">
        <f>AVERAGE(29,32,30,27,30,28,29,31,30,28)</f>
        <v>29.4</v>
      </c>
      <c r="J17" s="1">
        <f>AVERAGE(11,11,10,10,11,10,10,10,10,10)</f>
        <v>10.3</v>
      </c>
      <c r="K17" s="1">
        <f>AVERAGE(13,16,15,13,15,14,15,16,15,14)</f>
        <v>14.6</v>
      </c>
      <c r="M17" s="4">
        <f t="shared" si="0"/>
        <v>0.74483540972137519</v>
      </c>
      <c r="N17" s="4">
        <f t="shared" si="1"/>
        <v>0.13387978142076504</v>
      </c>
      <c r="O17" s="4">
        <f t="shared" si="2"/>
        <v>0.23359818326870871</v>
      </c>
    </row>
    <row r="18" spans="1:15" x14ac:dyDescent="0.25">
      <c r="A18" s="2">
        <v>50220131856</v>
      </c>
      <c r="B18" s="2">
        <v>50720130016</v>
      </c>
      <c r="C18" s="1">
        <f>GEOMEAN(197,123,128,101,119,102,123,134,129,102)</f>
        <v>123.48805792433554</v>
      </c>
      <c r="D18" s="1">
        <f>AVERAGE(294,219,231,201,224,244,205,196,201,200)</f>
        <v>221.5</v>
      </c>
      <c r="E18" s="1">
        <f>AVERAGE(48,42,41,45,43,43,40,44,41,43)</f>
        <v>43</v>
      </c>
      <c r="F18" s="3">
        <v>4613389</v>
      </c>
      <c r="G18" s="3">
        <v>5181405</v>
      </c>
      <c r="H18" s="3">
        <f>AVERAGE(24662,24598,24662,24662,24662,24598,24662,24662,24662,24662)</f>
        <v>24649.200000000001</v>
      </c>
      <c r="I18" s="1">
        <f>AVERAGE(32,29,28,31,30,30,28,32,28,30)</f>
        <v>29.8</v>
      </c>
      <c r="J18" s="1">
        <f>AVERAGE(11,10,10,11,12,10,10,11,10,10)</f>
        <v>10.5</v>
      </c>
      <c r="K18" s="1">
        <f>AVERAGE(16,15,14,16,14,15,14,16,14,15)</f>
        <v>14.9</v>
      </c>
      <c r="M18" s="4">
        <f t="shared" ref="M18" si="3">D18/C18-1</f>
        <v>0.7936957121450483</v>
      </c>
      <c r="N18" s="4">
        <f t="shared" ref="N18" si="4">E18/D18</f>
        <v>0.19413092550790068</v>
      </c>
      <c r="O18" s="4">
        <f t="shared" ref="O18" si="5">E18/C18</f>
        <v>0.34821180867827123</v>
      </c>
    </row>
    <row r="19" spans="1:15" x14ac:dyDescent="0.25">
      <c r="A19" s="2">
        <v>50720130016</v>
      </c>
      <c r="B19" s="2">
        <v>52720131836</v>
      </c>
      <c r="C19" s="1">
        <f>GEOMEAN(187,117,128,105,145,137,130,103,130,102)</f>
        <v>126.35252952782379</v>
      </c>
      <c r="D19" s="1">
        <f>AVERAGE(315,241,237,204,215,249,202,241,227,206)</f>
        <v>233.7</v>
      </c>
      <c r="E19" s="1">
        <f>AVERAGE(46,45,43,48,43,43,48,48,46,44)</f>
        <v>45.4</v>
      </c>
      <c r="F19" s="3">
        <v>4612021</v>
      </c>
      <c r="G19" s="3">
        <v>5180038</v>
      </c>
      <c r="H19" s="3">
        <f>AVERAGE(24780,24780,24773,24766,24773,24758,24780,24758,24760,24773)</f>
        <v>24770.1</v>
      </c>
      <c r="I19" s="1">
        <f>AVERAGE(28,29,27,32,27,29,29,31,30,28)</f>
        <v>29</v>
      </c>
      <c r="J19" s="1">
        <f>AVERAGE(11,11,9,11,9,9,10,10,11,10)</f>
        <v>10.1</v>
      </c>
      <c r="K19" s="1">
        <f>AVERAGE(12,13,13,16,13,14,15,15,15,14)</f>
        <v>14</v>
      </c>
      <c r="M19" s="4">
        <f t="shared" si="0"/>
        <v>0.84958703140594793</v>
      </c>
      <c r="N19" s="4">
        <f t="shared" si="1"/>
        <v>0.19426615318784768</v>
      </c>
      <c r="O19" s="4">
        <f t="shared" si="2"/>
        <v>0.35931215757736429</v>
      </c>
    </row>
    <row r="20" spans="1:15" x14ac:dyDescent="0.25">
      <c r="A20" s="2">
        <v>52720131836</v>
      </c>
      <c r="B20" s="2">
        <v>52720132001</v>
      </c>
      <c r="C20" s="1">
        <f>GEOMEAN(197,125,135,130,116,131,106,130,104,138)</f>
        <v>129.22734709993125</v>
      </c>
      <c r="D20" s="1">
        <f>AVERAGE(297,235,235,205,199,207,199,198,200,202)</f>
        <v>217.7</v>
      </c>
      <c r="E20" s="1">
        <f>AVERAGE(64,58,63,58,60,61,58,61,61,61)</f>
        <v>60.5</v>
      </c>
      <c r="F20" s="3">
        <v>4612005</v>
      </c>
      <c r="G20" s="3">
        <v>5180022</v>
      </c>
      <c r="H20" s="3">
        <f>AVERAGE(33431,33431,33431,33424,33431,33431,33431,33422,33431,33424)</f>
        <v>33428.699999999997</v>
      </c>
      <c r="I20" s="1">
        <f>AVERAGE(31,28,31,27,28,29,28,30,28,29)</f>
        <v>28.9</v>
      </c>
      <c r="J20" s="1">
        <f>AVERAGE(12,10,11,9,10,11,9,10,10,10)</f>
        <v>10.199999999999999</v>
      </c>
      <c r="K20" s="1">
        <f>AVERAGE(15,14,16,13,14,14,14,15,14,14)</f>
        <v>14.3</v>
      </c>
      <c r="M20" s="4">
        <f t="shared" si="0"/>
        <v>0.68462794358575674</v>
      </c>
      <c r="N20" s="4">
        <f t="shared" si="1"/>
        <v>0.27790537436839691</v>
      </c>
      <c r="O20" s="4">
        <f t="shared" si="2"/>
        <v>0.46816715933366232</v>
      </c>
    </row>
    <row r="21" spans="1:15" x14ac:dyDescent="0.25">
      <c r="A21" s="2">
        <v>52720132001</v>
      </c>
      <c r="B21" s="2">
        <v>60520130242</v>
      </c>
      <c r="C21" s="1">
        <f>GEOMEAN(178,162,135,136,138,130,102,127,103,119)</f>
        <v>131.17220561750202</v>
      </c>
      <c r="D21" s="1">
        <f>AVERAGE(286,232,228,235,202,206,204,206,200,238)</f>
        <v>223.7</v>
      </c>
      <c r="E21" s="1">
        <f>AVERAGE(70,75,72,66,70,73,71,69,70,66)</f>
        <v>70.2</v>
      </c>
      <c r="F21" s="3">
        <v>4614061</v>
      </c>
      <c r="G21" s="3">
        <v>5182033</v>
      </c>
      <c r="H21" s="3">
        <f>AVERAGE(83988,84028,84010,83846,83801,84039,83930,83939,83917,84078)</f>
        <v>83957.6</v>
      </c>
      <c r="I21" s="1">
        <f>AVERAGE(29,33,29,27,28,29,30,30,29,27)</f>
        <v>29.1</v>
      </c>
      <c r="J21" s="1">
        <f>AVERAGE(11,13,12,9,10,10,11,10,10,10)</f>
        <v>10.6</v>
      </c>
      <c r="K21" s="1">
        <f>AVERAGE(13,15,13,13,14,14,15,16,14,13)</f>
        <v>14</v>
      </c>
      <c r="M21" s="4">
        <f t="shared" si="0"/>
        <v>0.70539177066450276</v>
      </c>
      <c r="N21" s="4">
        <f t="shared" si="1"/>
        <v>0.31381314260169874</v>
      </c>
      <c r="O21" s="4">
        <f t="shared" si="2"/>
        <v>0.5351743509193031</v>
      </c>
    </row>
    <row r="22" spans="1:15" x14ac:dyDescent="0.25">
      <c r="A22" s="2">
        <v>60520130242</v>
      </c>
      <c r="B22" s="2">
        <v>60520132159</v>
      </c>
      <c r="C22" s="1">
        <f>GEOMEAN(154,118,103,126,102,100,100,102,124,138)</f>
        <v>115.42799748116006</v>
      </c>
      <c r="D22" s="1">
        <f>AVERAGE(292,240,201,226,202,203,245,204,205,201)</f>
        <v>221.9</v>
      </c>
      <c r="E22" s="1">
        <f>AVERAGE(67,63,63,63,63,64,61,66,62,61)</f>
        <v>63.3</v>
      </c>
      <c r="F22" s="3">
        <v>4612005</v>
      </c>
      <c r="G22" s="3">
        <v>5180022</v>
      </c>
      <c r="H22" s="3">
        <f>AVERAGE(28270,28269,28258,28252,28269,28281,28260,28249,28245,28273)</f>
        <v>28262.6</v>
      </c>
      <c r="I22" s="1">
        <f>AVERAGE(32,29,29,30,28,30,27,31,28,27)</f>
        <v>29.1</v>
      </c>
      <c r="J22" s="1">
        <f>AVERAGE(12,10,10,9,10,10,10,12,10,9)</f>
        <v>10.199999999999999</v>
      </c>
      <c r="K22" s="1">
        <f>AVERAGE(15,14,15,16,14,15,13,15,14,14)</f>
        <v>14.5</v>
      </c>
      <c r="M22" s="4">
        <f t="shared" si="0"/>
        <v>0.92241054893305319</v>
      </c>
      <c r="N22" s="4">
        <f t="shared" si="1"/>
        <v>0.2852636322667868</v>
      </c>
      <c r="O22" s="4">
        <f t="shared" si="2"/>
        <v>0.54839381589663028</v>
      </c>
    </row>
    <row r="23" spans="1:15" x14ac:dyDescent="0.25">
      <c r="A23" s="2">
        <v>60520132159</v>
      </c>
      <c r="B23" s="2">
        <v>60620130028</v>
      </c>
      <c r="C23" s="1">
        <f>GEOMEAN(199,117,126,103,124,102,127,137,128,104)</f>
        <v>124.36655838501436</v>
      </c>
      <c r="D23" s="1">
        <f>AVERAGE(304,237,204,245,244,200,213,241,200,199)</f>
        <v>228.7</v>
      </c>
      <c r="E23" s="1">
        <f>AVERAGE(29,30,28,31,28,29,27,27,26,28)</f>
        <v>28.3</v>
      </c>
      <c r="F23" s="3">
        <v>4612005</v>
      </c>
      <c r="G23" s="3">
        <v>5180022</v>
      </c>
      <c r="H23" s="3">
        <v>0</v>
      </c>
      <c r="I23" s="1">
        <f>AVERAGE(29,30,28,31,28,29,27,27,26,28)</f>
        <v>28.3</v>
      </c>
      <c r="J23" s="1">
        <f>AVERAGE(10,10,10,11,10,10,10,9,9,10)</f>
        <v>9.9</v>
      </c>
      <c r="K23" s="1">
        <f>AVERAGE(15,16,14,16,14,14,13,14,12,14)</f>
        <v>14.2</v>
      </c>
      <c r="M23" s="4">
        <f t="shared" si="0"/>
        <v>0.83891878146205401</v>
      </c>
      <c r="N23" s="4">
        <f t="shared" si="1"/>
        <v>0.12374289462177526</v>
      </c>
      <c r="O23" s="4">
        <f t="shared" si="2"/>
        <v>0.2275531329924623</v>
      </c>
    </row>
    <row r="24" spans="1:15" x14ac:dyDescent="0.25">
      <c r="A24" s="2">
        <v>60620130028</v>
      </c>
      <c r="B24" s="2">
        <v>60620130722</v>
      </c>
      <c r="C24" s="1">
        <f>GEOMEAN(262,154,137,129,103,120,102,140,131,142)</f>
        <v>137.07045701461169</v>
      </c>
      <c r="D24" s="1">
        <f>AVERAGE(340,244,205,242,205,226,203,204,205,203)</f>
        <v>227.7</v>
      </c>
      <c r="E24" s="1">
        <f>AVERAGE(114,72,75,68,70,66,105,70,70,70)</f>
        <v>78</v>
      </c>
      <c r="F24" s="3">
        <v>4614061</v>
      </c>
      <c r="G24" s="3">
        <v>5182033</v>
      </c>
      <c r="H24" s="3">
        <f>AVERAGE(84041,83970,84043,84068,83908,84021,84065,84027,84024,83994)</f>
        <v>84016.1</v>
      </c>
      <c r="I24" s="1">
        <f>AVERAGE(73,30,30,27,28,28,66,27,29,29)</f>
        <v>36.700000000000003</v>
      </c>
      <c r="J24" s="1">
        <f>AVERAGE(54,10,11,10,10,10,49,10,10,10)</f>
        <v>18.399999999999999</v>
      </c>
      <c r="K24" s="1">
        <f>AVERAGE(14,16,15,13,13,14,13,13,14,14)</f>
        <v>13.9</v>
      </c>
      <c r="M24" s="4">
        <f t="shared" si="0"/>
        <v>0.6611894711617341</v>
      </c>
      <c r="N24" s="4">
        <f t="shared" si="1"/>
        <v>0.34255599472990778</v>
      </c>
      <c r="O24" s="4">
        <f t="shared" si="2"/>
        <v>0.56905041172865722</v>
      </c>
    </row>
    <row r="25" spans="1:15" x14ac:dyDescent="0.25">
      <c r="A25" s="2">
        <v>60620130722</v>
      </c>
      <c r="B25" s="2">
        <v>60620132234</v>
      </c>
      <c r="C25" s="1">
        <f>GEOMEAN(202,147,136,139,102,120,100,127,104,137)</f>
        <v>128.66373243828858</v>
      </c>
      <c r="D25" s="1">
        <f>AVERAGE(287,229,233,193,203,242,202,203,202,199)</f>
        <v>219.3</v>
      </c>
      <c r="E25" s="1">
        <f>AVERAGE(34,30,27,26,29,30,31,28,30,28)</f>
        <v>29.3</v>
      </c>
      <c r="F25" s="3">
        <v>4614061</v>
      </c>
      <c r="G25" s="3">
        <v>5182033</v>
      </c>
      <c r="H25" s="3">
        <v>0</v>
      </c>
      <c r="I25" s="1">
        <f>AVERAGE(34,30,27,26,29,30,31,28,30,28)</f>
        <v>29.3</v>
      </c>
      <c r="J25" s="1">
        <f>AVERAGE(13,11,9,9,11,10,11,9,10,10)</f>
        <v>10.3</v>
      </c>
      <c r="K25" s="1">
        <f>GEOMEAN(16,14,13,12,14,16,16,14,15,14)</f>
        <v>14.341969507403375</v>
      </c>
      <c r="M25" s="4">
        <f t="shared" si="0"/>
        <v>0.70444301470255888</v>
      </c>
      <c r="N25" s="4">
        <f t="shared" si="1"/>
        <v>0.13360693114455083</v>
      </c>
      <c r="O25" s="4">
        <f t="shared" si="2"/>
        <v>0.22772540050517545</v>
      </c>
    </row>
    <row r="27" spans="1:15" x14ac:dyDescent="0.25">
      <c r="C27" s="1">
        <f>AVERAGE(C2:C25)</f>
        <v>129.33121654145404</v>
      </c>
      <c r="D27" s="1">
        <f>AVERAGE(D2:D25)</f>
        <v>223.33749999999998</v>
      </c>
      <c r="E27" s="1">
        <f>AVERAGE(E2:E25)</f>
        <v>45.857291666666669</v>
      </c>
      <c r="F27" s="1">
        <f>AVERAGE(F2:F25)</f>
        <v>4608591.958333333</v>
      </c>
      <c r="G27" s="1">
        <f t="shared" ref="G27:H27" si="6">AVERAGE(G2:G25)</f>
        <v>5176736.791666667</v>
      </c>
      <c r="H27" s="1">
        <f t="shared" si="6"/>
        <v>33827.299999999996</v>
      </c>
      <c r="I27" s="1">
        <f>AVERAGE(I2:I25)</f>
        <v>29.754166666666663</v>
      </c>
      <c r="J27" s="1">
        <f>AVERAGE(J2:J25)</f>
        <v>10.645833333333334</v>
      </c>
      <c r="K27" s="1">
        <f>AVERAGE(K2:K25)</f>
        <v>14.468415396141806</v>
      </c>
      <c r="M27" s="4">
        <f>AVERAGE(M2:M25)</f>
        <v>0.72930914772652444</v>
      </c>
      <c r="N27" s="4">
        <f>AVERAGE(N2:N25)</f>
        <v>0.20568212759377266</v>
      </c>
      <c r="O27" s="4">
        <f>AVERAGE(O2:O25)</f>
        <v>0.35521815314202376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M27"/>
  <sheetViews>
    <sheetView workbookViewId="0">
      <selection activeCell="E27" sqref="E27"/>
    </sheetView>
  </sheetViews>
  <sheetFormatPr baseColWidth="10" defaultColWidth="9.140625" defaultRowHeight="15" x14ac:dyDescent="0.25"/>
  <cols>
    <col min="1" max="1" width="19.28515625" bestFit="1" customWidth="1"/>
    <col min="2" max="2" width="19.28515625" customWidth="1"/>
    <col min="3" max="3" width="14" bestFit="1" customWidth="1"/>
    <col min="4" max="4" width="12.140625" bestFit="1" customWidth="1"/>
    <col min="5" max="5" width="13.42578125" bestFit="1" customWidth="1"/>
    <col min="6" max="6" width="13.140625" bestFit="1" customWidth="1"/>
    <col min="7" max="7" width="11.28515625" bestFit="1" customWidth="1"/>
    <col min="8" max="9" width="12.5703125" customWidth="1"/>
    <col min="11" max="11" width="9.7109375" bestFit="1" customWidth="1"/>
    <col min="12" max="12" width="10.42578125" customWidth="1"/>
    <col min="13" max="13" width="13.85546875" bestFit="1" customWidth="1"/>
  </cols>
  <sheetData>
    <row r="1" spans="1:13" x14ac:dyDescent="0.25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</v>
      </c>
      <c r="K1" s="2" t="s">
        <v>9</v>
      </c>
      <c r="L1" s="2" t="s">
        <v>8</v>
      </c>
      <c r="M1" s="2" t="s">
        <v>10</v>
      </c>
    </row>
    <row r="2" spans="1:13" x14ac:dyDescent="0.25">
      <c r="A2" s="2">
        <v>30720132221</v>
      </c>
      <c r="B2" s="2">
        <v>31420132151</v>
      </c>
      <c r="C2" s="1">
        <f>GEOMEAN(219,114,100,152,132,151,103,126,101,118)</f>
        <v>127.88377812997598</v>
      </c>
      <c r="D2" s="1">
        <f>AVERAGE(313,232,198,195,235,238,197,220,227,229)</f>
        <v>228.4</v>
      </c>
      <c r="E2" s="1">
        <f>GEOMEAN(69,63,67,68,62,62,61,61,64,62)</f>
        <v>63.837931559938305</v>
      </c>
      <c r="F2">
        <v>4594141</v>
      </c>
      <c r="G2" s="3">
        <v>5162621</v>
      </c>
      <c r="H2" s="3">
        <f>AVERAGE(35362,35362,35339,35350,35353,35362,35364,35349,35366,35360)</f>
        <v>35356.699999999997</v>
      </c>
      <c r="I2" s="1">
        <f>AVERAGE(33,26,29,30,27,28,27,28,29,29)</f>
        <v>28.6</v>
      </c>
      <c r="K2" s="4">
        <f>D2/C2-1</f>
        <v>0.7859966552431954</v>
      </c>
      <c r="L2" s="4">
        <f>E2/D2</f>
        <v>0.27950057600673511</v>
      </c>
      <c r="M2" s="4">
        <f>E2/C2</f>
        <v>0.49918709388657545</v>
      </c>
    </row>
    <row r="3" spans="1:13" x14ac:dyDescent="0.25">
      <c r="A3" s="2">
        <v>31420132151</v>
      </c>
      <c r="B3" s="2">
        <v>31620130026</v>
      </c>
      <c r="C3" s="1">
        <f>GEOMEAN(295,138,126,135,138,133,100,136,135,100)</f>
        <v>137.02533800128273</v>
      </c>
      <c r="D3" s="1">
        <f>AVERAGE(291,230,242,235,200,233,203,201,198,198)</f>
        <v>223.1</v>
      </c>
      <c r="E3" s="1">
        <f>AVERAGE(34,29,29,26,27,26,28,26,26,29)</f>
        <v>28</v>
      </c>
      <c r="F3">
        <v>4594141</v>
      </c>
      <c r="G3" s="3">
        <v>5162621</v>
      </c>
      <c r="H3" s="3">
        <v>0</v>
      </c>
      <c r="I3" s="1">
        <f>AVERAGE(34,29,29,26,27,26,28,26,26,29)</f>
        <v>28</v>
      </c>
      <c r="K3" s="4">
        <f t="shared" ref="K3:K25" si="0">D3/C3-1</f>
        <v>0.62816602574562874</v>
      </c>
      <c r="L3" s="4">
        <f t="shared" ref="L3:L25" si="1">E3/D3</f>
        <v>0.12550425818018826</v>
      </c>
      <c r="M3" s="4">
        <f t="shared" ref="M3:M25" si="2">E3/C3</f>
        <v>0.20434176925539044</v>
      </c>
    </row>
    <row r="4" spans="1:13" x14ac:dyDescent="0.25">
      <c r="A4" s="2">
        <v>31620130026</v>
      </c>
      <c r="B4" s="2">
        <v>31820131702</v>
      </c>
      <c r="C4" s="1">
        <f>GEOMEAN(225,184,184,124,101,99,130,100,148,127)</f>
        <v>136.87386176540016</v>
      </c>
      <c r="D4" s="1">
        <f>AVERAGE(275,237,200,202,199,198,198,201,199,196)</f>
        <v>210.5</v>
      </c>
      <c r="E4" s="1">
        <f>AVERAGE(30,27,27,31,28,27,29,30,28,30)</f>
        <v>28.7</v>
      </c>
      <c r="F4">
        <v>4594141</v>
      </c>
      <c r="G4" s="3">
        <v>5162621</v>
      </c>
      <c r="H4" s="3">
        <v>0</v>
      </c>
      <c r="I4" s="1">
        <f>AVERAGE(30,27,27,31,28,27,29,30,28,30)</f>
        <v>28.7</v>
      </c>
      <c r="K4" s="4">
        <f t="shared" si="0"/>
        <v>0.53791233245682779</v>
      </c>
      <c r="L4" s="4">
        <f t="shared" si="1"/>
        <v>0.13634204275534442</v>
      </c>
      <c r="M4" s="4">
        <f t="shared" si="2"/>
        <v>0.20968210898580028</v>
      </c>
    </row>
    <row r="5" spans="1:13" x14ac:dyDescent="0.25">
      <c r="A5" s="2">
        <v>31820131702</v>
      </c>
      <c r="B5" s="2">
        <v>32020132304</v>
      </c>
      <c r="C5" s="1">
        <f>GEOMEAN(183,151,131,123,102,118,99,102,132,103)</f>
        <v>122.08809423157125</v>
      </c>
      <c r="D5" s="1">
        <f>AVERAGE(290,226,226,235,201,196,199,193,204,299)</f>
        <v>226.9</v>
      </c>
      <c r="E5" s="1">
        <f>AVERAGE(98,52,51,54,51,55,50,52,50,50)</f>
        <v>56.3</v>
      </c>
      <c r="F5">
        <v>4594531</v>
      </c>
      <c r="G5" s="3">
        <v>5163011</v>
      </c>
      <c r="H5" s="3">
        <f>AVERAGE(26560,26560,26560,26560,26560,26560,26560,26560,26560,26560)</f>
        <v>26560</v>
      </c>
      <c r="I5" s="1">
        <f>AVERAGE(74,29,28,31,28,31,28,27,27,26)</f>
        <v>32.9</v>
      </c>
      <c r="K5" s="4">
        <f t="shared" si="0"/>
        <v>0.85849407698695179</v>
      </c>
      <c r="L5" s="4">
        <f t="shared" si="1"/>
        <v>0.24812692816218596</v>
      </c>
      <c r="M5" s="4">
        <f t="shared" si="2"/>
        <v>0.46114242633038954</v>
      </c>
    </row>
    <row r="6" spans="1:13" x14ac:dyDescent="0.25">
      <c r="A6" s="2">
        <v>32020132304</v>
      </c>
      <c r="B6" s="2">
        <v>32120131735</v>
      </c>
      <c r="C6" s="1">
        <f>GEOMEAN(251,199,118,127,102,119,104,150,103,124)</f>
        <v>133.5901128599713</v>
      </c>
      <c r="D6" s="1">
        <f>AVERAGE(289,233,233,198,193,231,199,196,196,199)</f>
        <v>216.7</v>
      </c>
      <c r="E6" s="1">
        <f>AVERAGE(64,59,61,61,62,59,63,63,65,63)</f>
        <v>62</v>
      </c>
      <c r="F6">
        <v>4604657</v>
      </c>
      <c r="G6" s="3">
        <v>5172980</v>
      </c>
      <c r="H6" s="3">
        <f>AVERAGE(65028,63005,65028,63029,63020,63020,65042,65049,65025,63020)</f>
        <v>64026.6</v>
      </c>
      <c r="I6" s="1">
        <f>AVERAGE(29,26,27,29,29,27,29,29,31,29)</f>
        <v>28.5</v>
      </c>
      <c r="K6" s="4">
        <f t="shared" si="0"/>
        <v>0.62212603433567115</v>
      </c>
      <c r="L6" s="4">
        <f t="shared" si="1"/>
        <v>0.28610982925703737</v>
      </c>
      <c r="M6" s="4">
        <f t="shared" si="2"/>
        <v>0.46410620271717407</v>
      </c>
    </row>
    <row r="7" spans="1:13" x14ac:dyDescent="0.25">
      <c r="A7" s="2">
        <v>32120131735</v>
      </c>
      <c r="B7" s="2">
        <v>32120132100</v>
      </c>
      <c r="C7" s="1">
        <f>GEOMEAN(204,140,124,126,101,130,136,132,102,120)</f>
        <v>129.11328820023724</v>
      </c>
      <c r="D7" s="1">
        <f>AVERAGE(281,222,233,198,219,225,193,197,225,195)</f>
        <v>218.8</v>
      </c>
      <c r="E7" s="1">
        <f>AVERAGE(38,27,29,31,26,26,28,27,26)</f>
        <v>28.666666666666668</v>
      </c>
      <c r="F7">
        <v>4604657</v>
      </c>
      <c r="G7" s="3">
        <v>5172980</v>
      </c>
      <c r="H7" s="3">
        <v>0</v>
      </c>
      <c r="I7" s="1">
        <f>AVERAGE(38,27,29,31,26,26,28,27,26)</f>
        <v>28.666666666666668</v>
      </c>
      <c r="K7" s="4">
        <f t="shared" si="0"/>
        <v>0.69463579659338248</v>
      </c>
      <c r="L7" s="4">
        <f t="shared" si="1"/>
        <v>0.13101767215112736</v>
      </c>
      <c r="M7" s="4">
        <f t="shared" si="2"/>
        <v>0.22202723721363635</v>
      </c>
    </row>
    <row r="8" spans="1:13" x14ac:dyDescent="0.25">
      <c r="A8" s="2">
        <v>32120132100</v>
      </c>
      <c r="B8" s="2">
        <v>32120132144</v>
      </c>
      <c r="C8" s="1">
        <f>GEOMEAN(200,116,136,128,119,134,101,123,123,134)</f>
        <v>129.4233097209241</v>
      </c>
      <c r="D8" s="1">
        <f>AVERAGE(298,238,246,196,244,200,240,240,237,237)</f>
        <v>237.6</v>
      </c>
      <c r="E8" s="1">
        <f>AVERAGE(33,30,28,28,29,27,27,30,31,27)</f>
        <v>29</v>
      </c>
      <c r="F8">
        <v>4604657</v>
      </c>
      <c r="G8" s="3">
        <v>5172980</v>
      </c>
      <c r="H8" s="3">
        <v>0</v>
      </c>
      <c r="I8" s="1">
        <f>AVERAGE(33,30,28,28,29,27,27,30,31,27)</f>
        <v>29</v>
      </c>
      <c r="K8" s="4">
        <f t="shared" si="0"/>
        <v>0.83583622233381027</v>
      </c>
      <c r="L8" s="4">
        <f t="shared" si="1"/>
        <v>0.12205387205387205</v>
      </c>
      <c r="M8" s="4">
        <f t="shared" si="2"/>
        <v>0.22407091939259469</v>
      </c>
    </row>
    <row r="9" spans="1:13" x14ac:dyDescent="0.25">
      <c r="A9" s="2">
        <v>32120132144</v>
      </c>
      <c r="B9" s="2">
        <v>32720132135</v>
      </c>
      <c r="C9" s="1">
        <f>GEOMEAN(201,123,129,128,139,135,103,132,104,122)</f>
        <v>129.45098946776366</v>
      </c>
      <c r="D9" s="1">
        <f>AVERAGE(267,198,196,223,233,197,223,240,243,199)</f>
        <v>221.9</v>
      </c>
      <c r="E9" s="1">
        <f>AVERAGE(69,67,64,60,60,99,61,61,59,62)</f>
        <v>66.2</v>
      </c>
      <c r="F9">
        <v>4604373</v>
      </c>
      <c r="G9" s="3">
        <v>5172696</v>
      </c>
      <c r="H9" s="3">
        <f>AVERAGE(53410,53410,53410,53410,53410,53410,53410,53410,53410,53410)</f>
        <v>53410</v>
      </c>
      <c r="I9" s="1">
        <f>AVERAGE(33,30,29,28,27,66,28,28,26,27)</f>
        <v>32.200000000000003</v>
      </c>
      <c r="K9" s="4">
        <f t="shared" si="0"/>
        <v>0.71416225486061902</v>
      </c>
      <c r="L9" s="4">
        <f t="shared" si="1"/>
        <v>0.29833258224425419</v>
      </c>
      <c r="M9" s="4">
        <f t="shared" si="2"/>
        <v>0.51139045187820176</v>
      </c>
    </row>
    <row r="10" spans="1:13" x14ac:dyDescent="0.25">
      <c r="A10" s="2">
        <v>32720132135</v>
      </c>
      <c r="B10" s="2">
        <v>32720132341</v>
      </c>
      <c r="C10" s="1">
        <f>GEOMEAN(194,152,144,103,156,138,121,101,99,103)</f>
        <v>127.92127761591523</v>
      </c>
      <c r="D10" s="1">
        <f>AVERAGE(287,234,230,225,232,233,200,198,215,200)</f>
        <v>225.4</v>
      </c>
      <c r="E10" s="1">
        <f>AVERAGE(29,30,28,33,28,27,27,28,27,27)</f>
        <v>28.4</v>
      </c>
      <c r="F10">
        <v>4604373</v>
      </c>
      <c r="G10" s="3">
        <v>5172696</v>
      </c>
      <c r="H10" s="3">
        <v>0</v>
      </c>
      <c r="I10" s="1">
        <f>AVERAGE(29,30,28,33,28,27,27,28,27,27)</f>
        <v>28.4</v>
      </c>
      <c r="K10" s="4">
        <f t="shared" si="0"/>
        <v>0.76202117584195417</v>
      </c>
      <c r="L10" s="4">
        <f t="shared" si="1"/>
        <v>0.12599822537710736</v>
      </c>
      <c r="M10" s="4">
        <f t="shared" si="2"/>
        <v>0.22201154123297026</v>
      </c>
    </row>
    <row r="11" spans="1:13" x14ac:dyDescent="0.25">
      <c r="A11" s="2">
        <v>32720132341</v>
      </c>
      <c r="B11" s="2">
        <v>32720132348</v>
      </c>
      <c r="C11" s="1">
        <f>GEOMEAN(235,160,136,127,102,120,101,140,122,105)</f>
        <v>130.5662837405709</v>
      </c>
      <c r="D11" s="1">
        <f>AVERAGE(279,235,234,204,203,201,204,205,201,219)</f>
        <v>218.5</v>
      </c>
      <c r="E11" s="1">
        <f>AVERAGE(104,109,110,104,143,107,108,108,107,105)</f>
        <v>110.5</v>
      </c>
      <c r="F11">
        <v>4621160</v>
      </c>
      <c r="G11" s="3">
        <v>5189024</v>
      </c>
      <c r="H11" s="3">
        <f>AVERAGE(444721,444381,444305,444823,444351,444323,444290,444872,444417,444874)</f>
        <v>444535.7</v>
      </c>
      <c r="I11" s="1">
        <f>AVERAGE(29,31,29,26,67,29,28,27,28,26)</f>
        <v>32</v>
      </c>
      <c r="K11" s="4">
        <f t="shared" si="0"/>
        <v>0.67347950588950889</v>
      </c>
      <c r="L11" s="4">
        <f t="shared" si="1"/>
        <v>0.50572082379862704</v>
      </c>
      <c r="M11" s="4">
        <f t="shared" si="2"/>
        <v>0.84631343432856165</v>
      </c>
    </row>
    <row r="12" spans="1:13" x14ac:dyDescent="0.25">
      <c r="A12" s="2">
        <v>32720132348</v>
      </c>
      <c r="B12" s="2">
        <v>40120132353</v>
      </c>
      <c r="C12" s="1">
        <f>GEOMEAN(227,138,135,103,121,101,136,136,133,104)</f>
        <v>129.84180606769988</v>
      </c>
      <c r="D12" s="1">
        <f>AVERAGE(264,200,200,239,199,201,196,200,196,233)</f>
        <v>212.8</v>
      </c>
      <c r="E12" s="1">
        <f>AVERAGE(69,64,64,62,67,61,69,64,64,61)</f>
        <v>64.5</v>
      </c>
      <c r="F12">
        <v>4614707</v>
      </c>
      <c r="G12" s="3">
        <v>5182704</v>
      </c>
      <c r="H12" s="3">
        <f>AVERAGE(49257,49253,49244,49236,49251,49264,49258,49239,49244,49264)</f>
        <v>49251</v>
      </c>
      <c r="I12" s="1">
        <f>AVERAGE(27,28,28,27,29,26,30,30,27,26)</f>
        <v>27.8</v>
      </c>
      <c r="K12" s="4">
        <f t="shared" si="0"/>
        <v>0.63891743687734515</v>
      </c>
      <c r="L12" s="4">
        <f t="shared" si="1"/>
        <v>0.30310150375939848</v>
      </c>
      <c r="M12" s="4">
        <f t="shared" si="2"/>
        <v>0.49675833965502236</v>
      </c>
    </row>
    <row r="13" spans="1:13" x14ac:dyDescent="0.25">
      <c r="A13" s="2">
        <v>40120132353</v>
      </c>
      <c r="B13" s="2">
        <v>42920132120</v>
      </c>
      <c r="C13" s="1">
        <f>GEOMEAN(239,164,136,129,103,121,102,130,140,137)</f>
        <v>136.09385276427057</v>
      </c>
      <c r="D13" s="1"/>
      <c r="E13" s="1"/>
      <c r="F13">
        <v>4613431</v>
      </c>
      <c r="G13" s="3"/>
      <c r="H13" s="3"/>
      <c r="I13" s="1"/>
      <c r="K13" s="4">
        <f t="shared" si="0"/>
        <v>-1</v>
      </c>
      <c r="L13" s="4" t="e">
        <f t="shared" si="1"/>
        <v>#DIV/0!</v>
      </c>
      <c r="M13" s="4">
        <f t="shared" si="2"/>
        <v>0</v>
      </c>
    </row>
    <row r="14" spans="1:13" x14ac:dyDescent="0.25">
      <c r="A14" s="2">
        <v>42920132120</v>
      </c>
      <c r="B14" s="2">
        <v>43020131827</v>
      </c>
      <c r="C14" s="1">
        <f>GEOMEAN(180,163,129,103,120,102,131,138,136,103)</f>
        <v>128.29788520314639</v>
      </c>
      <c r="D14" s="1">
        <f>AVERAGE(299,223,201,235,196,202,240,200,197,197)</f>
        <v>219</v>
      </c>
      <c r="E14" s="1">
        <f>AVERAGE(41,40,40,37,37,35,39,37,40,35)</f>
        <v>38.1</v>
      </c>
      <c r="F14" s="3">
        <v>4613449</v>
      </c>
      <c r="G14" s="3">
        <v>5181465</v>
      </c>
      <c r="H14" s="3">
        <f>AVERAGE(302,302,302,300,304,300,302,302,300,300)</f>
        <v>301.39999999999998</v>
      </c>
      <c r="I14" s="1">
        <f>AVERAGE(29,28,31,29,28,26,30,28,30,26)</f>
        <v>28.5</v>
      </c>
      <c r="K14" s="4">
        <f t="shared" si="0"/>
        <v>0.70696500299468079</v>
      </c>
      <c r="L14" s="4">
        <f t="shared" si="1"/>
        <v>0.17397260273972603</v>
      </c>
      <c r="M14" s="4">
        <f t="shared" si="2"/>
        <v>0.29696514435660887</v>
      </c>
    </row>
    <row r="15" spans="1:13" x14ac:dyDescent="0.25">
      <c r="A15" s="2">
        <v>43020131827</v>
      </c>
      <c r="B15" s="2">
        <v>50120130055</v>
      </c>
      <c r="C15" s="1">
        <f>GEOMEAN(176,141,137,127,132,128,139,134,103,120)</f>
        <v>132.59214727313795</v>
      </c>
      <c r="D15" s="1">
        <f>AVERAGE(277,240,217,199,214,233,198,235,205,197)</f>
        <v>221.5</v>
      </c>
      <c r="E15" s="1">
        <f>AVERAGE(34,29,26,31,29,26,28,29,27,31)</f>
        <v>29</v>
      </c>
      <c r="F15" s="3">
        <v>4613449</v>
      </c>
      <c r="G15" s="3">
        <v>5181465</v>
      </c>
      <c r="H15" s="3">
        <v>0</v>
      </c>
      <c r="I15" s="1">
        <f>AVERAGE(34,29,26,31,29,26,28,29,27,31)</f>
        <v>29</v>
      </c>
      <c r="K15" s="4">
        <f t="shared" si="0"/>
        <v>0.67053633684439196</v>
      </c>
      <c r="L15" s="4">
        <f t="shared" si="1"/>
        <v>0.1309255079006772</v>
      </c>
      <c r="M15" s="4">
        <f t="shared" si="2"/>
        <v>0.21871581836788878</v>
      </c>
    </row>
    <row r="16" spans="1:13" x14ac:dyDescent="0.25">
      <c r="A16" s="2">
        <v>50120130055</v>
      </c>
      <c r="B16" s="2">
        <v>50220131806</v>
      </c>
      <c r="C16" s="1">
        <f>GEOMEAN(231,141,130,123,102,129,132,129,104,128)</f>
        <v>131.56114327681769</v>
      </c>
      <c r="D16" s="1"/>
      <c r="E16" s="1"/>
      <c r="F16" s="3">
        <v>4613366</v>
      </c>
      <c r="G16" s="3"/>
      <c r="H16" s="3"/>
      <c r="I16" s="1"/>
      <c r="K16" s="4">
        <f t="shared" si="0"/>
        <v>-1</v>
      </c>
      <c r="L16" s="4" t="e">
        <f t="shared" si="1"/>
        <v>#DIV/0!</v>
      </c>
      <c r="M16" s="4">
        <f t="shared" si="2"/>
        <v>0</v>
      </c>
    </row>
    <row r="17" spans="1:13" x14ac:dyDescent="0.25">
      <c r="A17" s="2">
        <v>50220131806</v>
      </c>
      <c r="B17" s="2">
        <v>50220131856</v>
      </c>
      <c r="C17" s="1">
        <f>GEOMEAN(190,117,131,107,124,102,129,139,137,103)</f>
        <v>125.85714318754393</v>
      </c>
      <c r="D17" s="1">
        <f>AVERAGE(288,234,197,199,200,199,198,228,197)</f>
        <v>215.55555555555554</v>
      </c>
      <c r="E17" s="1">
        <f>AVERAGE(31,26,29,31,28,28,30,26)</f>
        <v>28.625</v>
      </c>
      <c r="F17" s="3">
        <v>4613366</v>
      </c>
      <c r="G17" s="3">
        <v>5181382</v>
      </c>
      <c r="H17" s="3">
        <v>0</v>
      </c>
      <c r="I17" s="1">
        <f>AVERAGE(31,26,29,31,28,28,30,26)</f>
        <v>28.625</v>
      </c>
      <c r="K17" s="4">
        <f t="shared" si="0"/>
        <v>0.71270020990663219</v>
      </c>
      <c r="L17" s="4">
        <f t="shared" si="1"/>
        <v>0.13279639175257732</v>
      </c>
      <c r="M17" s="4">
        <f t="shared" si="2"/>
        <v>0.22744040802948254</v>
      </c>
    </row>
    <row r="18" spans="1:13" x14ac:dyDescent="0.25">
      <c r="A18" s="2">
        <v>50220131856</v>
      </c>
      <c r="B18" s="2">
        <v>50720130016</v>
      </c>
      <c r="C18" s="1">
        <f>GEOMEAN(197,123,128,101,119,102,123,134,129,102)</f>
        <v>123.48805792433554</v>
      </c>
      <c r="D18" s="1"/>
      <c r="E18" s="1"/>
      <c r="F18" s="3">
        <v>4613389</v>
      </c>
      <c r="G18" s="3"/>
      <c r="H18" s="3"/>
      <c r="I18" s="1"/>
      <c r="K18" s="4">
        <f t="shared" si="0"/>
        <v>-1</v>
      </c>
      <c r="L18" s="4" t="e">
        <f t="shared" si="1"/>
        <v>#DIV/0!</v>
      </c>
      <c r="M18" s="4">
        <f t="shared" si="2"/>
        <v>0</v>
      </c>
    </row>
    <row r="19" spans="1:13" x14ac:dyDescent="0.25">
      <c r="A19" s="2">
        <v>50720130016</v>
      </c>
      <c r="B19" s="2">
        <v>52720131836</v>
      </c>
      <c r="C19" s="1">
        <f>GEOMEAN(187,117,128,105,145,137,130,103,130,102)</f>
        <v>126.35252952782379</v>
      </c>
      <c r="D19" s="1"/>
      <c r="E19" s="1"/>
      <c r="F19" s="3">
        <v>4612021</v>
      </c>
      <c r="G19" s="3"/>
      <c r="H19" s="3"/>
      <c r="I19" s="1"/>
      <c r="K19" s="4">
        <f t="shared" si="0"/>
        <v>-1</v>
      </c>
      <c r="L19" s="4" t="e">
        <f t="shared" si="1"/>
        <v>#DIV/0!</v>
      </c>
      <c r="M19" s="4">
        <f t="shared" si="2"/>
        <v>0</v>
      </c>
    </row>
    <row r="20" spans="1:13" x14ac:dyDescent="0.25">
      <c r="A20" s="2">
        <v>52720131836</v>
      </c>
      <c r="B20" s="2">
        <v>52720132001</v>
      </c>
      <c r="C20" s="1">
        <f>GEOMEAN(197,125,135,130,116,131,106,130,104,138)</f>
        <v>129.22734709993125</v>
      </c>
      <c r="D20" s="1">
        <f>AVERAGE(341,221,237,201,201,242,208,201,202,201)</f>
        <v>225.5</v>
      </c>
      <c r="E20" s="1">
        <f>AVERAGE(65,56,65,60,63,63,61,62,59,62)</f>
        <v>61.6</v>
      </c>
      <c r="F20" s="3">
        <v>4612005</v>
      </c>
      <c r="G20" s="3">
        <v>5180022</v>
      </c>
      <c r="H20" s="3">
        <f>AVERAGE(34256,34256,34256,34256,34250,34249,34256,34256,34256,34256)</f>
        <v>34254.699999999997</v>
      </c>
      <c r="I20" s="1">
        <f>AVERAGE(32,26,31,28,30,30,30,29,27,29)</f>
        <v>29.2</v>
      </c>
      <c r="K20" s="4">
        <f t="shared" si="0"/>
        <v>0.74498668478910512</v>
      </c>
      <c r="L20" s="4" t="e">
        <f>#REF!/D20</f>
        <v>#REF!</v>
      </c>
      <c r="M20" s="4" t="e">
        <f>#REF!/C20</f>
        <v>#REF!</v>
      </c>
    </row>
    <row r="21" spans="1:13" x14ac:dyDescent="0.25">
      <c r="A21" s="2">
        <v>52720132001</v>
      </c>
      <c r="B21" s="2">
        <v>60520130242</v>
      </c>
      <c r="C21" s="1">
        <f>GEOMEAN(178,162,135,136,138,130,102,127,103,119)</f>
        <v>131.17220561750202</v>
      </c>
      <c r="D21" s="1"/>
      <c r="E21" s="1"/>
      <c r="F21" s="3">
        <v>4614061</v>
      </c>
      <c r="G21" s="3"/>
      <c r="H21" s="3"/>
      <c r="I21" s="1"/>
      <c r="K21" s="4">
        <f t="shared" si="0"/>
        <v>-1</v>
      </c>
      <c r="L21" s="4" t="e">
        <f t="shared" si="1"/>
        <v>#DIV/0!</v>
      </c>
      <c r="M21" s="4">
        <f t="shared" si="2"/>
        <v>0</v>
      </c>
    </row>
    <row r="22" spans="1:13" x14ac:dyDescent="0.25">
      <c r="A22" s="2">
        <v>60520130242</v>
      </c>
      <c r="B22" s="2">
        <v>60520132159</v>
      </c>
      <c r="C22" s="1">
        <f>GEOMEAN(154,118,103,126,102,100,100,102,124,138)</f>
        <v>115.42799748116006</v>
      </c>
      <c r="D22" s="1"/>
      <c r="E22" s="1"/>
      <c r="F22" s="3">
        <v>4612005</v>
      </c>
      <c r="G22" s="3"/>
      <c r="H22" s="3"/>
      <c r="I22" s="1"/>
      <c r="K22" s="4">
        <f t="shared" si="0"/>
        <v>-1</v>
      </c>
      <c r="L22" s="4" t="e">
        <f t="shared" si="1"/>
        <v>#DIV/0!</v>
      </c>
      <c r="M22" s="4">
        <f t="shared" si="2"/>
        <v>0</v>
      </c>
    </row>
    <row r="23" spans="1:13" x14ac:dyDescent="0.25">
      <c r="A23" s="2">
        <v>60520132159</v>
      </c>
      <c r="B23" s="2">
        <v>60620130028</v>
      </c>
      <c r="C23" s="1">
        <f>GEOMEAN(199,117,126,103,124,102,127,137,128,104)</f>
        <v>124.36655838501436</v>
      </c>
      <c r="D23" s="1">
        <f>AVERAGE(272,233,235,242,298,211,198,216,238,196)</f>
        <v>233.9</v>
      </c>
      <c r="E23" s="1">
        <f>AVERAGE(32,28,33,29,30,31,66,26,27,26)</f>
        <v>32.799999999999997</v>
      </c>
      <c r="F23" s="3">
        <v>4612005</v>
      </c>
      <c r="G23" s="3">
        <v>5180022</v>
      </c>
      <c r="H23" s="3">
        <v>0</v>
      </c>
      <c r="I23" s="1">
        <f>AVERAGE(32,28,33,29,30,31,66,26,27,26)</f>
        <v>32.799999999999997</v>
      </c>
      <c r="K23" s="4">
        <f t="shared" si="0"/>
        <v>0.88073066455607552</v>
      </c>
      <c r="L23" s="4">
        <f t="shared" si="1"/>
        <v>0.14023086789226163</v>
      </c>
      <c r="M23" s="4">
        <f t="shared" si="2"/>
        <v>0.26373649336228844</v>
      </c>
    </row>
    <row r="24" spans="1:13" x14ac:dyDescent="0.25">
      <c r="A24" s="2">
        <v>60620130028</v>
      </c>
      <c r="B24" s="2">
        <v>60620130722</v>
      </c>
      <c r="C24" s="1">
        <f>GEOMEAN(262,154,137,129,103,120,102,140,131,142)</f>
        <v>137.07045701461169</v>
      </c>
      <c r="D24" s="1"/>
      <c r="E24" s="1"/>
      <c r="F24" s="3">
        <v>4614061</v>
      </c>
      <c r="G24" s="3"/>
      <c r="H24" s="3"/>
      <c r="I24" s="1"/>
      <c r="K24" s="4">
        <f t="shared" si="0"/>
        <v>-1</v>
      </c>
      <c r="L24" s="4" t="e">
        <f t="shared" si="1"/>
        <v>#DIV/0!</v>
      </c>
      <c r="M24" s="4">
        <f t="shared" si="2"/>
        <v>0</v>
      </c>
    </row>
    <row r="25" spans="1:13" x14ac:dyDescent="0.25">
      <c r="A25" s="2">
        <v>60620130722</v>
      </c>
      <c r="B25" s="2">
        <v>60620132234</v>
      </c>
      <c r="C25" s="1">
        <f>GEOMEAN(202,147,136,139,102,120,100,127,104,137)</f>
        <v>128.66373243828858</v>
      </c>
      <c r="D25" s="1">
        <f>AVERAGE(280,240,224,239,243,200,201,200,203,224)</f>
        <v>225.4</v>
      </c>
      <c r="E25" s="1">
        <f>AVERAGE(34,31,30,31,27,32,30,28,29,27)</f>
        <v>29.9</v>
      </c>
      <c r="F25" s="3">
        <v>4614061</v>
      </c>
      <c r="G25" s="3">
        <v>5182033</v>
      </c>
      <c r="H25" s="3">
        <v>0</v>
      </c>
      <c r="I25" s="1">
        <f>AVERAGE(34,31,30,31,27,32,30,28,29,27)</f>
        <v>29.9</v>
      </c>
      <c r="K25" s="4">
        <f t="shared" si="0"/>
        <v>0.75185342231626451</v>
      </c>
      <c r="L25" s="4">
        <f t="shared" si="1"/>
        <v>0.13265306122448978</v>
      </c>
      <c r="M25" s="4">
        <f t="shared" si="2"/>
        <v>0.2323887192868514</v>
      </c>
    </row>
    <row r="27" spans="1:13" x14ac:dyDescent="0.25">
      <c r="C27" s="1">
        <f>AVERAGE(C2:C25)</f>
        <v>129.33121654145404</v>
      </c>
      <c r="D27" s="1">
        <f>AVERAGE(D2:D25)</f>
        <v>222.43856209150331</v>
      </c>
      <c r="E27" s="1">
        <f>AVERAGE(E2:E25)</f>
        <v>46.242917542741466</v>
      </c>
      <c r="F27" s="1">
        <f>AVERAGE(F2:F25)</f>
        <v>4608591.958333333</v>
      </c>
      <c r="G27" s="1">
        <f t="shared" ref="G27:H27" si="3">AVERAGE(G2:G25)</f>
        <v>5174901.3529411769</v>
      </c>
      <c r="H27" s="1">
        <f t="shared" si="3"/>
        <v>41629.182352941178</v>
      </c>
      <c r="I27" s="1">
        <f>AVERAGE(I2:I25)</f>
        <v>29.575980392156861</v>
      </c>
      <c r="K27" s="4">
        <f>AVERAGE(K2:K25)</f>
        <v>0.21747999327383527</v>
      </c>
      <c r="L27" s="4" t="e">
        <f>AVERAGE(L2:L25)</f>
        <v>#DIV/0!</v>
      </c>
      <c r="M27" s="4" t="e">
        <f>AVERAGE(M2:M25)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4" workbookViewId="0">
      <selection activeCell="D28" sqref="D28"/>
    </sheetView>
  </sheetViews>
  <sheetFormatPr baseColWidth="10" defaultRowHeight="15" x14ac:dyDescent="0.25"/>
  <cols>
    <col min="1" max="1" width="21.7109375" customWidth="1"/>
    <col min="2" max="2" width="17.7109375" customWidth="1"/>
    <col min="3" max="3" width="16.140625" customWidth="1"/>
    <col min="4" max="4" width="17.7109375" customWidth="1"/>
  </cols>
  <sheetData>
    <row r="1" spans="1:4" x14ac:dyDescent="0.25">
      <c r="A1" s="5" t="s">
        <v>6</v>
      </c>
      <c r="B1" s="5" t="s">
        <v>7</v>
      </c>
      <c r="C1" s="2" t="s">
        <v>14</v>
      </c>
      <c r="D1" s="2" t="s">
        <v>15</v>
      </c>
    </row>
    <row r="2" spans="1:4" x14ac:dyDescent="0.25">
      <c r="A2" s="2">
        <v>30720132221</v>
      </c>
      <c r="B2" s="2">
        <v>31420132151</v>
      </c>
      <c r="C2" s="1">
        <f>SUM('Full Diff'!$C$2:C2)</f>
        <v>127.88377812997598</v>
      </c>
      <c r="D2" s="1">
        <f>SUM('Full Diff'!$E$2:E2)</f>
        <v>56.8</v>
      </c>
    </row>
    <row r="3" spans="1:4" x14ac:dyDescent="0.25">
      <c r="A3" s="2">
        <v>31420132151</v>
      </c>
      <c r="B3" s="2">
        <v>31620130026</v>
      </c>
      <c r="C3" s="1">
        <f>SUM('Full Diff'!$C$2:C3)</f>
        <v>264.90911613125871</v>
      </c>
      <c r="D3" s="1">
        <f>SUM('Full Diff'!$E$2:E3)</f>
        <v>86</v>
      </c>
    </row>
    <row r="4" spans="1:4" x14ac:dyDescent="0.25">
      <c r="A4" s="2">
        <v>31620130026</v>
      </c>
      <c r="B4" s="2">
        <v>31820131702</v>
      </c>
      <c r="C4" s="1">
        <f>SUM('Full Diff'!$C$2:C4)</f>
        <v>401.78297789665885</v>
      </c>
      <c r="D4" s="1">
        <f>SUM('Full Diff'!$E$2:E4)</f>
        <v>114.8</v>
      </c>
    </row>
    <row r="5" spans="1:4" x14ac:dyDescent="0.25">
      <c r="A5" s="2">
        <v>31820131702</v>
      </c>
      <c r="B5" s="2">
        <v>32020132304</v>
      </c>
      <c r="C5" s="1">
        <f>SUM('Full Diff'!$C$2:C5)</f>
        <v>523.87107212823014</v>
      </c>
      <c r="D5" s="1">
        <f>SUM('Full Diff'!$E$2:E5)</f>
        <v>161.30000000000001</v>
      </c>
    </row>
    <row r="6" spans="1:4" x14ac:dyDescent="0.25">
      <c r="A6" s="2">
        <v>32020132304</v>
      </c>
      <c r="B6" s="2">
        <v>32120131735</v>
      </c>
      <c r="C6" s="1">
        <f>SUM('Full Diff'!$C$2:C6)</f>
        <v>657.46118498820147</v>
      </c>
      <c r="D6" s="1">
        <f>SUM('Full Diff'!$E$2:E6)</f>
        <v>214.8</v>
      </c>
    </row>
    <row r="7" spans="1:4" x14ac:dyDescent="0.25">
      <c r="A7" s="2">
        <v>32120131735</v>
      </c>
      <c r="B7" s="2">
        <v>32120132100</v>
      </c>
      <c r="C7" s="1">
        <f>SUM('Full Diff'!$C$2:C7)</f>
        <v>786.57447318843867</v>
      </c>
      <c r="D7" s="1">
        <f>SUM('Full Diff'!$E$2:E7)</f>
        <v>242.5</v>
      </c>
    </row>
    <row r="8" spans="1:4" x14ac:dyDescent="0.25">
      <c r="A8" s="2">
        <v>32120132100</v>
      </c>
      <c r="B8" s="2">
        <v>32120132144</v>
      </c>
      <c r="C8" s="1">
        <f>SUM('Full Diff'!$C$2:C8)</f>
        <v>915.99778290936274</v>
      </c>
      <c r="D8" s="1">
        <f>SUM('Full Diff'!$E$2:E8)</f>
        <v>272</v>
      </c>
    </row>
    <row r="9" spans="1:4" x14ac:dyDescent="0.25">
      <c r="A9" s="2">
        <v>32120132144</v>
      </c>
      <c r="B9" s="2">
        <v>32720132135</v>
      </c>
      <c r="C9" s="1">
        <f>SUM('Full Diff'!$C$2:C9)</f>
        <v>1045.4487723771265</v>
      </c>
      <c r="D9" s="1">
        <f>SUM('Full Diff'!$E$2:E9)</f>
        <v>331.3</v>
      </c>
    </row>
    <row r="10" spans="1:4" x14ac:dyDescent="0.25">
      <c r="A10" s="2">
        <v>32720132135</v>
      </c>
      <c r="B10" s="2">
        <v>32720132341</v>
      </c>
      <c r="C10" s="1">
        <f>SUM('Full Diff'!$C$2:C10)</f>
        <v>1173.3700499930417</v>
      </c>
      <c r="D10" s="1">
        <f>SUM('Full Diff'!$E$2:E10)</f>
        <v>359.90000000000003</v>
      </c>
    </row>
    <row r="11" spans="1:4" x14ac:dyDescent="0.25">
      <c r="A11" s="2">
        <v>32720132341</v>
      </c>
      <c r="B11" s="2">
        <v>32720132348</v>
      </c>
      <c r="C11" s="1">
        <f>SUM('Full Diff'!$C$2:C11)</f>
        <v>1303.9363337336126</v>
      </c>
      <c r="D11" s="1">
        <f>SUM('Full Diff'!$E$2:E11)</f>
        <v>448.90000000000003</v>
      </c>
    </row>
    <row r="12" spans="1:4" x14ac:dyDescent="0.25">
      <c r="A12" s="2">
        <v>32720132348</v>
      </c>
      <c r="B12" s="2">
        <v>40120132353</v>
      </c>
      <c r="C12" s="1">
        <f>SUM('Full Diff'!$C$2:C12)</f>
        <v>1433.7781398013126</v>
      </c>
      <c r="D12" s="1">
        <f>SUM('Full Diff'!$E$2:E12)</f>
        <v>505.20000000000005</v>
      </c>
    </row>
    <row r="13" spans="1:4" x14ac:dyDescent="0.25">
      <c r="A13" s="2">
        <v>40120132353</v>
      </c>
      <c r="B13" s="2">
        <v>42920132120</v>
      </c>
      <c r="C13" s="1">
        <f>SUM('Full Diff'!$C$2:C13)</f>
        <v>1569.8719925655832</v>
      </c>
      <c r="D13" s="1">
        <f>SUM('Full Diff'!$E$2:E13)</f>
        <v>547.80000000000007</v>
      </c>
    </row>
    <row r="14" spans="1:4" x14ac:dyDescent="0.25">
      <c r="A14" s="2">
        <v>42920132120</v>
      </c>
      <c r="B14" s="2">
        <v>43020131827</v>
      </c>
      <c r="C14" s="1">
        <f>SUM('Full Diff'!$C$2:C14)</f>
        <v>1698.1698777687297</v>
      </c>
      <c r="D14" s="1">
        <f>SUM('Full Diff'!$E$2:E14)</f>
        <v>585.70000000000005</v>
      </c>
    </row>
    <row r="15" spans="1:4" x14ac:dyDescent="0.25">
      <c r="A15" s="2">
        <v>43020131827</v>
      </c>
      <c r="B15" s="2">
        <v>50120130055</v>
      </c>
      <c r="C15" s="1">
        <f>SUM('Full Diff'!$C$2:C15)</f>
        <v>1830.7620250418677</v>
      </c>
      <c r="D15" s="1">
        <f>SUM('Full Diff'!$E$2:E15)</f>
        <v>613.80000000000007</v>
      </c>
    </row>
    <row r="16" spans="1:4" x14ac:dyDescent="0.25">
      <c r="A16" s="2">
        <v>50120130055</v>
      </c>
      <c r="B16" s="2">
        <v>50220131806</v>
      </c>
      <c r="C16" s="1">
        <f>SUM('Full Diff'!$C$2:C16)</f>
        <v>1962.3231683186855</v>
      </c>
      <c r="D16" s="1">
        <f>SUM('Full Diff'!$E$2:E16)</f>
        <v>653.17500000000007</v>
      </c>
    </row>
    <row r="17" spans="1:4" x14ac:dyDescent="0.25">
      <c r="A17" s="2">
        <v>50220131806</v>
      </c>
      <c r="B17" s="2">
        <v>50220131856</v>
      </c>
      <c r="C17" s="1">
        <f>SUM('Full Diff'!$C$2:C17)</f>
        <v>2088.1803115062294</v>
      </c>
      <c r="D17" s="1">
        <f>SUM('Full Diff'!$E$2:E17)</f>
        <v>682.57500000000005</v>
      </c>
    </row>
    <row r="18" spans="1:4" x14ac:dyDescent="0.25">
      <c r="A18" s="2">
        <v>50220131856</v>
      </c>
      <c r="B18" s="2">
        <v>50720130016</v>
      </c>
      <c r="C18" s="1">
        <f>SUM('Full Diff'!$C$2:C18)</f>
        <v>2211.6683694305648</v>
      </c>
      <c r="D18" s="1">
        <f>SUM('Full Diff'!$E$2:E18)</f>
        <v>725.57500000000005</v>
      </c>
    </row>
    <row r="19" spans="1:4" x14ac:dyDescent="0.25">
      <c r="A19" s="2">
        <v>50720130016</v>
      </c>
      <c r="B19" s="2">
        <v>52720131836</v>
      </c>
      <c r="C19" s="1">
        <f>SUM('Full Diff'!$C$2:C19)</f>
        <v>2338.0208989583884</v>
      </c>
      <c r="D19" s="1">
        <f>SUM('Full Diff'!$E$2:E19)</f>
        <v>770.97500000000002</v>
      </c>
    </row>
    <row r="20" spans="1:4" x14ac:dyDescent="0.25">
      <c r="A20" s="2">
        <v>52720131836</v>
      </c>
      <c r="B20" s="2">
        <v>52720132001</v>
      </c>
      <c r="C20" s="1">
        <f>SUM('Full Diff'!$C$2:C20)</f>
        <v>2467.2482460583196</v>
      </c>
      <c r="D20" s="1">
        <f>SUM('Full Diff'!$E$2:E20)</f>
        <v>831.47500000000002</v>
      </c>
    </row>
    <row r="21" spans="1:4" x14ac:dyDescent="0.25">
      <c r="A21" s="2">
        <v>52720132001</v>
      </c>
      <c r="B21" s="2">
        <v>60520130242</v>
      </c>
      <c r="C21" s="1">
        <f>SUM('Full Diff'!$C$2:C21)</f>
        <v>2598.4204516758218</v>
      </c>
      <c r="D21" s="1">
        <f>SUM('Full Diff'!$E$2:E21)</f>
        <v>901.67500000000007</v>
      </c>
    </row>
    <row r="22" spans="1:4" x14ac:dyDescent="0.25">
      <c r="A22" s="2">
        <v>60520130242</v>
      </c>
      <c r="B22" s="2">
        <v>60520132159</v>
      </c>
      <c r="C22" s="1">
        <f>SUM('Full Diff'!$C$2:C22)</f>
        <v>2713.848449156982</v>
      </c>
      <c r="D22" s="1">
        <f>SUM('Full Diff'!$E$2:E22)</f>
        <v>964.97500000000002</v>
      </c>
    </row>
    <row r="23" spans="1:4" x14ac:dyDescent="0.25">
      <c r="A23" s="2">
        <v>60520132159</v>
      </c>
      <c r="B23" s="2">
        <v>60620130028</v>
      </c>
      <c r="C23" s="1">
        <f>SUM('Full Diff'!$C$2:C23)</f>
        <v>2838.2150075419963</v>
      </c>
      <c r="D23" s="1">
        <f>SUM('Full Diff'!$E$2:E23)</f>
        <v>993.27499999999998</v>
      </c>
    </row>
    <row r="24" spans="1:4" x14ac:dyDescent="0.25">
      <c r="A24" s="2">
        <v>60620130028</v>
      </c>
      <c r="B24" s="2">
        <v>60620130722</v>
      </c>
      <c r="C24" s="1">
        <f>SUM('Full Diff'!$C$2:C24)</f>
        <v>2975.2854645566081</v>
      </c>
      <c r="D24" s="1">
        <f>SUM('Full Diff'!$E$2:E24)</f>
        <v>1071.2750000000001</v>
      </c>
    </row>
    <row r="25" spans="1:4" x14ac:dyDescent="0.25">
      <c r="A25" s="2">
        <v>60620130722</v>
      </c>
      <c r="B25" s="2">
        <v>60620132234</v>
      </c>
      <c r="C25" s="1">
        <f>SUM('Full Diff'!$C$2:C25)</f>
        <v>3103.9491969948967</v>
      </c>
      <c r="D25" s="1">
        <f>SUM('Full Diff'!$E$2:E25)</f>
        <v>1100.575</v>
      </c>
    </row>
    <row r="27" spans="1:4" x14ac:dyDescent="0.25">
      <c r="D27" s="4">
        <f>D25/C25</f>
        <v>0.35457249141368907</v>
      </c>
    </row>
    <row r="28" spans="1:4" x14ac:dyDescent="0.25">
      <c r="D28" s="1">
        <f>C25-D25</f>
        <v>2003.3741969948967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 Diff</vt:lpstr>
      <vt:lpstr>Quick Diff</vt:lpstr>
      <vt:lpstr>Accumulated Savings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2013-08-26T14:23:39Z</dcterms:modified>
</cp:coreProperties>
</file>