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ull Diff" sheetId="1" r:id="rId1"/>
    <sheet name="Accumulated Savings" sheetId="2" r:id="rId2"/>
  </sheets>
  <calcPr calcId="14562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M27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D27" i="1" l="1"/>
  <c r="C27" i="1"/>
  <c r="D28" i="1"/>
  <c r="C28" i="1"/>
  <c r="N27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I25" i="1"/>
  <c r="E25" i="1"/>
  <c r="D25" i="1"/>
  <c r="I24" i="1"/>
  <c r="H24" i="1"/>
  <c r="E24" i="1"/>
  <c r="D24" i="1"/>
  <c r="I23" i="1"/>
  <c r="E23" i="1"/>
  <c r="D23" i="1"/>
  <c r="I22" i="1"/>
  <c r="H22" i="1"/>
  <c r="E22" i="1"/>
  <c r="D22" i="1"/>
  <c r="I21" i="1"/>
  <c r="H21" i="1"/>
  <c r="E21" i="1"/>
  <c r="D21" i="1"/>
  <c r="I20" i="1"/>
  <c r="E20" i="1"/>
  <c r="D20" i="1"/>
  <c r="I19" i="1"/>
  <c r="E19" i="1"/>
  <c r="D19" i="1"/>
  <c r="I18" i="1"/>
  <c r="E18" i="1"/>
  <c r="D18" i="1"/>
  <c r="I17" i="1"/>
  <c r="E17" i="1"/>
  <c r="D17" i="1"/>
  <c r="I16" i="1"/>
  <c r="H16" i="1"/>
  <c r="D16" i="1"/>
  <c r="E16" i="1"/>
  <c r="I15" i="1"/>
  <c r="E15" i="1"/>
  <c r="D15" i="1"/>
  <c r="I14" i="1"/>
  <c r="H14" i="1"/>
  <c r="E14" i="1"/>
  <c r="D14" i="1"/>
  <c r="I13" i="1"/>
  <c r="H13" i="1"/>
  <c r="E13" i="1"/>
  <c r="D13" i="1"/>
  <c r="I12" i="1"/>
  <c r="H12" i="1"/>
  <c r="E12" i="1"/>
  <c r="D12" i="1"/>
  <c r="I11" i="1"/>
  <c r="H11" i="1"/>
  <c r="E11" i="1"/>
  <c r="D11" i="1"/>
  <c r="I10" i="1"/>
  <c r="E10" i="1"/>
  <c r="D10" i="1"/>
  <c r="I9" i="1"/>
  <c r="H9" i="1"/>
  <c r="E9" i="1"/>
  <c r="D9" i="1"/>
  <c r="I8" i="1"/>
  <c r="E8" i="1"/>
  <c r="D8" i="1"/>
  <c r="I7" i="1"/>
  <c r="E7" i="1"/>
  <c r="D7" i="1"/>
  <c r="I6" i="1"/>
  <c r="H6" i="1"/>
  <c r="E6" i="1"/>
  <c r="D6" i="1"/>
  <c r="I5" i="1"/>
  <c r="E5" i="1"/>
  <c r="D5" i="1"/>
  <c r="I4" i="1"/>
  <c r="I3" i="1"/>
  <c r="E4" i="1"/>
  <c r="D4" i="1"/>
  <c r="E3" i="1"/>
  <c r="D3" i="1"/>
  <c r="I2" i="1"/>
  <c r="H2" i="1" l="1"/>
  <c r="E2" i="1"/>
  <c r="D2" i="1"/>
  <c r="O2" i="1" l="1"/>
  <c r="N2" i="1"/>
  <c r="O27" i="1" l="1"/>
</calcChain>
</file>

<file path=xl/sharedStrings.xml><?xml version="1.0" encoding="utf-8"?>
<sst xmlns="http://schemas.openxmlformats.org/spreadsheetml/2006/main" count="18" uniqueCount="16">
  <si>
    <t>OriginalTiming</t>
  </si>
  <si>
    <t>InitialTiming</t>
  </si>
  <si>
    <t>UpdateTiming</t>
  </si>
  <si>
    <t>OriginalEdges</t>
  </si>
  <si>
    <t>InitialEdges</t>
  </si>
  <si>
    <t>UpdateEdges</t>
  </si>
  <si>
    <t>From Revision</t>
  </si>
  <si>
    <t>To Revision</t>
  </si>
  <si>
    <t>Savings</t>
  </si>
  <si>
    <t>Overhead</t>
  </si>
  <si>
    <t>Savings HEROS</t>
  </si>
  <si>
    <t>Recompute</t>
  </si>
  <si>
    <t>Incremental</t>
  </si>
  <si>
    <t>Changeset</t>
  </si>
  <si>
    <t>Struct Diff</t>
  </si>
  <si>
    <t>Unchanged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</si>
</sst>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10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Initial Timing</c:v>
          </c:tx>
          <c:invertIfNegative val="0"/>
          <c:cat>
            <c:numRef>
              <c:f>'Full Diff'!$A$2:$A$25</c:f>
              <c:numCache>
                <c:formatCode>General</c:formatCode>
                <c:ptCount val="24"/>
                <c:pt idx="0">
                  <c:v>30720132221</c:v>
                </c:pt>
                <c:pt idx="1">
                  <c:v>31420132151</c:v>
                </c:pt>
                <c:pt idx="2">
                  <c:v>31620130026</c:v>
                </c:pt>
                <c:pt idx="3">
                  <c:v>31820131702</c:v>
                </c:pt>
                <c:pt idx="4">
                  <c:v>32020132304</c:v>
                </c:pt>
                <c:pt idx="5">
                  <c:v>32120131735</c:v>
                </c:pt>
                <c:pt idx="6">
                  <c:v>32120132100</c:v>
                </c:pt>
                <c:pt idx="7">
                  <c:v>32120132144</c:v>
                </c:pt>
                <c:pt idx="8">
                  <c:v>32720132135</c:v>
                </c:pt>
                <c:pt idx="9">
                  <c:v>32720132341</c:v>
                </c:pt>
                <c:pt idx="10">
                  <c:v>32720132348</c:v>
                </c:pt>
                <c:pt idx="11">
                  <c:v>40120132353</c:v>
                </c:pt>
                <c:pt idx="12">
                  <c:v>42920132120</c:v>
                </c:pt>
                <c:pt idx="13">
                  <c:v>43020131827</c:v>
                </c:pt>
                <c:pt idx="14">
                  <c:v>50120130055</c:v>
                </c:pt>
                <c:pt idx="15">
                  <c:v>50220131806</c:v>
                </c:pt>
                <c:pt idx="16">
                  <c:v>50220131856</c:v>
                </c:pt>
                <c:pt idx="17">
                  <c:v>50720130016</c:v>
                </c:pt>
                <c:pt idx="18">
                  <c:v>52720131836</c:v>
                </c:pt>
                <c:pt idx="19">
                  <c:v>52720132001</c:v>
                </c:pt>
                <c:pt idx="20">
                  <c:v>60520130242</c:v>
                </c:pt>
                <c:pt idx="21">
                  <c:v>60520132159</c:v>
                </c:pt>
                <c:pt idx="22">
                  <c:v>60620130028</c:v>
                </c:pt>
                <c:pt idx="23">
                  <c:v>60620130722</c:v>
                </c:pt>
              </c:numCache>
            </c:numRef>
          </c:cat>
          <c:val>
            <c:numRef>
              <c:f>'Full Diff'!$D$2:$D$25</c:f>
              <c:numCache>
                <c:formatCode>0.00</c:formatCode>
                <c:ptCount val="24"/>
                <c:pt idx="0">
                  <c:v>50.279999999999994</c:v>
                </c:pt>
                <c:pt idx="1">
                  <c:v>56.120000000000005</c:v>
                </c:pt>
                <c:pt idx="2">
                  <c:v>54.779999999999994</c:v>
                </c:pt>
                <c:pt idx="3">
                  <c:v>54.209090909090918</c:v>
                </c:pt>
                <c:pt idx="4">
                  <c:v>55.11</c:v>
                </c:pt>
                <c:pt idx="5">
                  <c:v>60.760000000000005</c:v>
                </c:pt>
                <c:pt idx="6">
                  <c:v>60.429999999999993</c:v>
                </c:pt>
                <c:pt idx="7">
                  <c:v>58.17</c:v>
                </c:pt>
                <c:pt idx="8">
                  <c:v>56.44</c:v>
                </c:pt>
                <c:pt idx="9">
                  <c:v>56.589999999999996</c:v>
                </c:pt>
                <c:pt idx="10">
                  <c:v>52.469999999999992</c:v>
                </c:pt>
                <c:pt idx="11">
                  <c:v>51.81</c:v>
                </c:pt>
                <c:pt idx="12">
                  <c:v>54.54</c:v>
                </c:pt>
                <c:pt idx="13" formatCode="General">
                  <c:v>56.83</c:v>
                </c:pt>
                <c:pt idx="14">
                  <c:v>55.510000000000005</c:v>
                </c:pt>
                <c:pt idx="15">
                  <c:v>59.870000000000005</c:v>
                </c:pt>
                <c:pt idx="16">
                  <c:v>52.9</c:v>
                </c:pt>
                <c:pt idx="17">
                  <c:v>59.1</c:v>
                </c:pt>
                <c:pt idx="18">
                  <c:v>56.290000000000006</c:v>
                </c:pt>
                <c:pt idx="19">
                  <c:v>58.930000000000007</c:v>
                </c:pt>
                <c:pt idx="20">
                  <c:v>57.999999999999986</c:v>
                </c:pt>
                <c:pt idx="21">
                  <c:v>53.910000000000004</c:v>
                </c:pt>
                <c:pt idx="22">
                  <c:v>48.127272727272725</c:v>
                </c:pt>
                <c:pt idx="23">
                  <c:v>54.1</c:v>
                </c:pt>
              </c:numCache>
            </c:numRef>
          </c:val>
        </c:ser>
        <c:ser>
          <c:idx val="2"/>
          <c:order val="1"/>
          <c:tx>
            <c:v>Original Timing</c:v>
          </c:tx>
          <c:invertIfNegative val="0"/>
          <c:cat>
            <c:numRef>
              <c:f>'Full Diff'!$A$2:$A$25</c:f>
              <c:numCache>
                <c:formatCode>General</c:formatCode>
                <c:ptCount val="24"/>
                <c:pt idx="0">
                  <c:v>30720132221</c:v>
                </c:pt>
                <c:pt idx="1">
                  <c:v>31420132151</c:v>
                </c:pt>
                <c:pt idx="2">
                  <c:v>31620130026</c:v>
                </c:pt>
                <c:pt idx="3">
                  <c:v>31820131702</c:v>
                </c:pt>
                <c:pt idx="4">
                  <c:v>32020132304</c:v>
                </c:pt>
                <c:pt idx="5">
                  <c:v>32120131735</c:v>
                </c:pt>
                <c:pt idx="6">
                  <c:v>32120132100</c:v>
                </c:pt>
                <c:pt idx="7">
                  <c:v>32120132144</c:v>
                </c:pt>
                <c:pt idx="8">
                  <c:v>32720132135</c:v>
                </c:pt>
                <c:pt idx="9">
                  <c:v>32720132341</c:v>
                </c:pt>
                <c:pt idx="10">
                  <c:v>32720132348</c:v>
                </c:pt>
                <c:pt idx="11">
                  <c:v>40120132353</c:v>
                </c:pt>
                <c:pt idx="12">
                  <c:v>42920132120</c:v>
                </c:pt>
                <c:pt idx="13">
                  <c:v>43020131827</c:v>
                </c:pt>
                <c:pt idx="14">
                  <c:v>50120130055</c:v>
                </c:pt>
                <c:pt idx="15">
                  <c:v>50220131806</c:v>
                </c:pt>
                <c:pt idx="16">
                  <c:v>50220131856</c:v>
                </c:pt>
                <c:pt idx="17">
                  <c:v>50720130016</c:v>
                </c:pt>
                <c:pt idx="18">
                  <c:v>52720131836</c:v>
                </c:pt>
                <c:pt idx="19">
                  <c:v>52720132001</c:v>
                </c:pt>
                <c:pt idx="20">
                  <c:v>60520130242</c:v>
                </c:pt>
                <c:pt idx="21">
                  <c:v>60520132159</c:v>
                </c:pt>
                <c:pt idx="22">
                  <c:v>60620130028</c:v>
                </c:pt>
                <c:pt idx="23">
                  <c:v>60620130722</c:v>
                </c:pt>
              </c:numCache>
            </c:numRef>
          </c:cat>
          <c:val>
            <c:numRef>
              <c:f>'Full Diff'!$C$2:$C$25</c:f>
              <c:numCache>
                <c:formatCode>0.00</c:formatCode>
                <c:ptCount val="24"/>
                <c:pt idx="0">
                  <c:v>57.36999999999999</c:v>
                </c:pt>
                <c:pt idx="1">
                  <c:v>57.55</c:v>
                </c:pt>
                <c:pt idx="2">
                  <c:v>59.949999999999989</c:v>
                </c:pt>
                <c:pt idx="3">
                  <c:v>60.120000000000005</c:v>
                </c:pt>
                <c:pt idx="4">
                  <c:v>58.236363636363642</c:v>
                </c:pt>
                <c:pt idx="5">
                  <c:v>62.379999999999995</c:v>
                </c:pt>
                <c:pt idx="6">
                  <c:v>63.680000000000007</c:v>
                </c:pt>
                <c:pt idx="7">
                  <c:v>53.780000000000008</c:v>
                </c:pt>
                <c:pt idx="8">
                  <c:v>56.779999999999994</c:v>
                </c:pt>
                <c:pt idx="9">
                  <c:v>52.2</c:v>
                </c:pt>
                <c:pt idx="10">
                  <c:v>57.739999999999995</c:v>
                </c:pt>
                <c:pt idx="11">
                  <c:v>61.67</c:v>
                </c:pt>
                <c:pt idx="12">
                  <c:v>54.739999999999995</c:v>
                </c:pt>
                <c:pt idx="13">
                  <c:v>72.08</c:v>
                </c:pt>
                <c:pt idx="14">
                  <c:v>63.989999999999995</c:v>
                </c:pt>
                <c:pt idx="15">
                  <c:v>54.830000000000005</c:v>
                </c:pt>
                <c:pt idx="16">
                  <c:v>57.08</c:v>
                </c:pt>
                <c:pt idx="17">
                  <c:v>72.259999999999991</c:v>
                </c:pt>
                <c:pt idx="18">
                  <c:v>58.010000000000005</c:v>
                </c:pt>
                <c:pt idx="19">
                  <c:v>65.44</c:v>
                </c:pt>
                <c:pt idx="20">
                  <c:v>57.249999999999986</c:v>
                </c:pt>
                <c:pt idx="21">
                  <c:v>58.010000000000005</c:v>
                </c:pt>
                <c:pt idx="22">
                  <c:v>55.7</c:v>
                </c:pt>
                <c:pt idx="23">
                  <c:v>56.470000000000006</c:v>
                </c:pt>
              </c:numCache>
            </c:numRef>
          </c:val>
        </c:ser>
        <c:ser>
          <c:idx val="1"/>
          <c:order val="2"/>
          <c:tx>
            <c:v>Update Timing</c:v>
          </c:tx>
          <c:invertIfNegative val="0"/>
          <c:cat>
            <c:numRef>
              <c:f>'Full Diff'!$A$2:$A$25</c:f>
              <c:numCache>
                <c:formatCode>General</c:formatCode>
                <c:ptCount val="24"/>
                <c:pt idx="0">
                  <c:v>30720132221</c:v>
                </c:pt>
                <c:pt idx="1">
                  <c:v>31420132151</c:v>
                </c:pt>
                <c:pt idx="2">
                  <c:v>31620130026</c:v>
                </c:pt>
                <c:pt idx="3">
                  <c:v>31820131702</c:v>
                </c:pt>
                <c:pt idx="4">
                  <c:v>32020132304</c:v>
                </c:pt>
                <c:pt idx="5">
                  <c:v>32120131735</c:v>
                </c:pt>
                <c:pt idx="6">
                  <c:v>32120132100</c:v>
                </c:pt>
                <c:pt idx="7">
                  <c:v>32120132144</c:v>
                </c:pt>
                <c:pt idx="8">
                  <c:v>32720132135</c:v>
                </c:pt>
                <c:pt idx="9">
                  <c:v>32720132341</c:v>
                </c:pt>
                <c:pt idx="10">
                  <c:v>32720132348</c:v>
                </c:pt>
                <c:pt idx="11">
                  <c:v>40120132353</c:v>
                </c:pt>
                <c:pt idx="12">
                  <c:v>42920132120</c:v>
                </c:pt>
                <c:pt idx="13">
                  <c:v>43020131827</c:v>
                </c:pt>
                <c:pt idx="14">
                  <c:v>50120130055</c:v>
                </c:pt>
                <c:pt idx="15">
                  <c:v>50220131806</c:v>
                </c:pt>
                <c:pt idx="16">
                  <c:v>50220131856</c:v>
                </c:pt>
                <c:pt idx="17">
                  <c:v>50720130016</c:v>
                </c:pt>
                <c:pt idx="18">
                  <c:v>52720131836</c:v>
                </c:pt>
                <c:pt idx="19">
                  <c:v>52720132001</c:v>
                </c:pt>
                <c:pt idx="20">
                  <c:v>60520130242</c:v>
                </c:pt>
                <c:pt idx="21">
                  <c:v>60520132159</c:v>
                </c:pt>
                <c:pt idx="22">
                  <c:v>60620130028</c:v>
                </c:pt>
                <c:pt idx="23">
                  <c:v>60620130722</c:v>
                </c:pt>
              </c:numCache>
            </c:numRef>
          </c:cat>
          <c:val>
            <c:numRef>
              <c:f>'Full Diff'!$E$2:$E$25</c:f>
              <c:numCache>
                <c:formatCode>0.00</c:formatCode>
                <c:ptCount val="24"/>
                <c:pt idx="0">
                  <c:v>58.15</c:v>
                </c:pt>
                <c:pt idx="1">
                  <c:v>37.550000000000004</c:v>
                </c:pt>
                <c:pt idx="2">
                  <c:v>37.61</c:v>
                </c:pt>
                <c:pt idx="3">
                  <c:v>45.67</c:v>
                </c:pt>
                <c:pt idx="4">
                  <c:v>57.150000000000013</c:v>
                </c:pt>
                <c:pt idx="5">
                  <c:v>49.870000000000005</c:v>
                </c:pt>
                <c:pt idx="6">
                  <c:v>44.95</c:v>
                </c:pt>
                <c:pt idx="7">
                  <c:v>60.350000000000009</c:v>
                </c:pt>
                <c:pt idx="8">
                  <c:v>31.499999999999993</c:v>
                </c:pt>
                <c:pt idx="9">
                  <c:v>59.140000000000008</c:v>
                </c:pt>
                <c:pt idx="10">
                  <c:v>69.45</c:v>
                </c:pt>
                <c:pt idx="11">
                  <c:v>45.029999999999994</c:v>
                </c:pt>
                <c:pt idx="12">
                  <c:v>43.879999999999995</c:v>
                </c:pt>
                <c:pt idx="13" formatCode="General">
                  <c:v>39.549999999999997</c:v>
                </c:pt>
                <c:pt idx="14">
                  <c:v>34.749999999999993</c:v>
                </c:pt>
                <c:pt idx="15">
                  <c:v>41.7</c:v>
                </c:pt>
                <c:pt idx="16">
                  <c:v>47.58</c:v>
                </c:pt>
                <c:pt idx="17">
                  <c:v>59.1</c:v>
                </c:pt>
                <c:pt idx="18">
                  <c:v>62.859999999999992</c:v>
                </c:pt>
                <c:pt idx="19">
                  <c:v>59.140000000000008</c:v>
                </c:pt>
                <c:pt idx="20">
                  <c:v>55.46</c:v>
                </c:pt>
                <c:pt idx="21">
                  <c:v>29.370000000000005</c:v>
                </c:pt>
                <c:pt idx="22">
                  <c:v>57.48</c:v>
                </c:pt>
                <c:pt idx="23">
                  <c:v>29.860000000000003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836672"/>
        <c:axId val="163838976"/>
      </c:barChart>
      <c:catAx>
        <c:axId val="16383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838976"/>
        <c:crosses val="autoZero"/>
        <c:auto val="1"/>
        <c:lblAlgn val="ctr"/>
        <c:lblOffset val="100"/>
        <c:noMultiLvlLbl val="0"/>
      </c:catAx>
      <c:valAx>
        <c:axId val="1638389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3836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28</xdr:row>
      <xdr:rowOff>142875</xdr:rowOff>
    </xdr:from>
    <xdr:to>
      <xdr:col>5</xdr:col>
      <xdr:colOff>466725</xdr:colOff>
      <xdr:row>46</xdr:row>
      <xdr:rowOff>61912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9.28515625" bestFit="1" customWidth="1"/>
    <col min="2" max="2" width="19.28515625" customWidth="1"/>
    <col min="3" max="3" width="14" bestFit="1" customWidth="1"/>
    <col min="4" max="4" width="12.140625" bestFit="1" customWidth="1"/>
    <col min="5" max="5" width="13.42578125" bestFit="1" customWidth="1"/>
    <col min="6" max="6" width="13.140625" bestFit="1" customWidth="1"/>
    <col min="7" max="7" width="11.28515625" bestFit="1" customWidth="1"/>
    <col min="8" max="8" width="12.5703125" bestFit="1" customWidth="1"/>
    <col min="9" max="9" width="10.28515625" bestFit="1" customWidth="1"/>
    <col min="10" max="10" width="9.85546875" bestFit="1" customWidth="1"/>
    <col min="11" max="11" width="19" bestFit="1" customWidth="1"/>
    <col min="12" max="12" width="13.85546875" bestFit="1" customWidth="1"/>
    <col min="13" max="13" width="11.42578125" customWidth="1"/>
    <col min="14" max="14" width="10.42578125" customWidth="1"/>
    <col min="15" max="15" width="15" customWidth="1"/>
  </cols>
  <sheetData>
    <row r="1" spans="1:15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13</v>
      </c>
      <c r="J1" s="2" t="s">
        <v>14</v>
      </c>
      <c r="K1" s="2" t="s">
        <v>15</v>
      </c>
      <c r="M1" s="2" t="s">
        <v>9</v>
      </c>
      <c r="N1" s="2" t="s">
        <v>8</v>
      </c>
      <c r="O1" s="2" t="s">
        <v>10</v>
      </c>
    </row>
    <row r="2" spans="1:15" x14ac:dyDescent="0.25">
      <c r="A2" s="2">
        <v>30720132221</v>
      </c>
      <c r="B2" s="2">
        <v>31420132151</v>
      </c>
      <c r="C2" s="1">
        <f>AVERAGE(122,51.6,56.8,51.4,52.4,46.6,45.2,45.2,49.7,52.8)</f>
        <v>57.36999999999999</v>
      </c>
      <c r="D2" s="1">
        <f>AVERAGE(87.3,48.1,45.7,45.1,44.2,45.7,46.7,46.2,45.4,48.4)</f>
        <v>50.279999999999994</v>
      </c>
      <c r="E2" s="1">
        <f>AVERAGE(44,40.7,47,45.1,41.5,60.6,45.4,113.7,61.3,82.2)</f>
        <v>58.15</v>
      </c>
      <c r="F2">
        <v>1148017</v>
      </c>
      <c r="G2" s="3">
        <v>1148017</v>
      </c>
      <c r="H2" s="3">
        <f>AVERAGE(8963,8967,9018,8967,8963,9026,8967,8971,8967,8963)</f>
        <v>8977.2000000000007</v>
      </c>
      <c r="I2">
        <f>AVERAGE(28.6,26.6,31.6,29.8,26.4,46.8,30.2,99.9,47.2,67.9)</f>
        <v>43.5</v>
      </c>
      <c r="L2" s="1"/>
      <c r="M2" s="4">
        <f>D2/C2-1</f>
        <v>-0.12358375457556214</v>
      </c>
      <c r="N2" s="4">
        <f>E2/D2</f>
        <v>1.1565234685759747</v>
      </c>
      <c r="O2" s="4">
        <f>E2/C2</f>
        <v>1.0135959560746035</v>
      </c>
    </row>
    <row r="3" spans="1:15" x14ac:dyDescent="0.25">
      <c r="A3" s="2">
        <v>31420132151</v>
      </c>
      <c r="B3" s="2">
        <v>31620130026</v>
      </c>
      <c r="C3" s="1">
        <f>AVERAGE(116.5,47.9,68.2,48.8,51.7,47.3,47.3,49.1,52.8,45.9)</f>
        <v>57.55</v>
      </c>
      <c r="D3" s="1">
        <f>AVERAGE(133.2,53.7,49.3,46,46.2,46.1,47.4,46.3,46,47)</f>
        <v>56.120000000000005</v>
      </c>
      <c r="E3" s="1">
        <f>AVERAGE(25.2,26.3,26.9,27.7,30,31,26,25.3,31.3,125.8)</f>
        <v>37.550000000000004</v>
      </c>
      <c r="F3">
        <v>1148017</v>
      </c>
      <c r="G3" s="3">
        <v>1148017</v>
      </c>
      <c r="H3" s="3">
        <v>0</v>
      </c>
      <c r="I3">
        <f>AVERAGE(25.2,26.3,26.9,27.7,29.5,31,26,25.3,31.3,125.8)</f>
        <v>37.500000000000007</v>
      </c>
      <c r="L3" s="1"/>
      <c r="M3" s="4">
        <f t="shared" ref="M3:M25" si="0">D3/C3-1</f>
        <v>-2.4847958297132822E-2</v>
      </c>
      <c r="N3" s="4">
        <f t="shared" ref="N3:N25" si="1">E3/D3</f>
        <v>0.6691019244476123</v>
      </c>
      <c r="O3" s="4">
        <f t="shared" ref="O3:O25" si="2">E3/C3</f>
        <v>0.65247610773240672</v>
      </c>
    </row>
    <row r="4" spans="1:15" x14ac:dyDescent="0.25">
      <c r="A4" s="2">
        <v>31620130026</v>
      </c>
      <c r="B4" s="2">
        <v>31820131702</v>
      </c>
      <c r="C4" s="1">
        <f>AVERAGE(124,50.2,55.5,52.9,50.2,46.2,74.2,45.9,48.3,52.1)</f>
        <v>59.949999999999989</v>
      </c>
      <c r="D4" s="1">
        <f>AVERAGE(124,49.3,48.2,46.3,45.4,45.8,47.2,44.4,46.3,50.9)</f>
        <v>54.779999999999994</v>
      </c>
      <c r="E4" s="1">
        <f>AVERAGE(27.8,28.1,45.2,29.8,25.7,30,24.9,69.2,68.4,27)</f>
        <v>37.61</v>
      </c>
      <c r="F4">
        <v>1148017</v>
      </c>
      <c r="G4" s="3">
        <v>1148017</v>
      </c>
      <c r="H4" s="3">
        <v>0</v>
      </c>
      <c r="I4">
        <f>AVERAGE(27.8,28.1,45.2,29.8,25.7,29.9,24.9,69.2,68.4,27)</f>
        <v>37.6</v>
      </c>
      <c r="L4" s="1"/>
      <c r="M4" s="4">
        <f t="shared" si="0"/>
        <v>-8.6238532110091692E-2</v>
      </c>
      <c r="N4" s="4">
        <f t="shared" si="1"/>
        <v>0.68656443957648783</v>
      </c>
      <c r="O4" s="4">
        <f t="shared" si="2"/>
        <v>0.62735613010842384</v>
      </c>
    </row>
    <row r="5" spans="1:15" x14ac:dyDescent="0.25">
      <c r="A5" s="2">
        <v>31820131702</v>
      </c>
      <c r="B5" s="2">
        <v>32020132304</v>
      </c>
      <c r="C5" s="1">
        <f>AVERAGE(121.3,50.7,68.4,50.8,53.6,55.4,61.1,47.2,46.5,46.2)</f>
        <v>60.120000000000005</v>
      </c>
      <c r="D5" s="1">
        <f>AVERAGE(103,57.9,56.1,61.9,68.1,47.6,48.2,51.1,48.4,54,)</f>
        <v>54.209090909090918</v>
      </c>
      <c r="E5" s="1">
        <f>AVERAGE(56.2,39.1,39.4,39.6,44.4,36.2,38.9,44.9,36.2,81.8)</f>
        <v>45.67</v>
      </c>
      <c r="F5">
        <v>1148246</v>
      </c>
      <c r="G5" s="3">
        <v>1148246</v>
      </c>
      <c r="H5" s="3">
        <v>5592</v>
      </c>
      <c r="I5">
        <f>AVERAGE(44.8,28.4,28.2,27.7,32.3,25.5,28.6,32.5,25.5,71.2)</f>
        <v>34.47</v>
      </c>
      <c r="L5" s="1"/>
      <c r="M5" s="4">
        <f t="shared" si="0"/>
        <v>-9.831851448617912E-2</v>
      </c>
      <c r="N5" s="4">
        <f t="shared" si="1"/>
        <v>0.84247861814522884</v>
      </c>
      <c r="O5" s="4">
        <f t="shared" si="2"/>
        <v>0.75964737192282095</v>
      </c>
    </row>
    <row r="6" spans="1:15" x14ac:dyDescent="0.25">
      <c r="A6" s="2">
        <v>32020132304</v>
      </c>
      <c r="B6" s="2">
        <v>32120131735</v>
      </c>
      <c r="C6" s="1">
        <f>AVERAGE( 129,50.9,94.8,52.1,51.7,56.4,62.5,50.3,46.7,46.2,)</f>
        <v>58.236363636363642</v>
      </c>
      <c r="D6" s="1">
        <f>AVERAGE(104.8,51.3,66.4,49.6,46.2,46.2,45.3,44,51.4,45.9)</f>
        <v>55.11</v>
      </c>
      <c r="E6" s="1">
        <f>AVERAGE(62.2,42.7,44.6,46.9,42.2,93,106.6,42.6,46.5,44.2)</f>
        <v>57.150000000000013</v>
      </c>
      <c r="F6">
        <v>1148481</v>
      </c>
      <c r="G6" s="3">
        <v>1148481</v>
      </c>
      <c r="H6" s="3">
        <f>AVERAGE(15440,15442,15440,15440,14128,14139,15442,15431,15431,15431)</f>
        <v>15176.4</v>
      </c>
      <c r="I6">
        <f>AVERAGE(46.3,27.6,29.6,31,27.2,78.1,91.7,27.1,30.9,29.4)</f>
        <v>41.89</v>
      </c>
      <c r="L6" s="1"/>
      <c r="M6" s="4">
        <f t="shared" si="0"/>
        <v>-5.3684046206681324E-2</v>
      </c>
      <c r="N6" s="4">
        <f t="shared" si="1"/>
        <v>1.0370168753402289</v>
      </c>
      <c r="O6" s="4">
        <f t="shared" si="2"/>
        <v>0.98134561348735572</v>
      </c>
    </row>
    <row r="7" spans="1:15" x14ac:dyDescent="0.25">
      <c r="A7" s="2">
        <v>32120131735</v>
      </c>
      <c r="B7" s="2">
        <v>32120132100</v>
      </c>
      <c r="C7" s="1">
        <f>AVERAGE(117.7,51,68.5,52.7,55.1,47.6,85.4,46.8,52.7,46.3)</f>
        <v>62.379999999999995</v>
      </c>
      <c r="D7" s="1">
        <f>AVERAGE(168.5,61.7,49.6,46.1,46.1,49.9,45.4,45.9,46.1,48.3)</f>
        <v>60.760000000000005</v>
      </c>
      <c r="E7" s="1">
        <f>AVERAGE(27.6,27.4,31.4,28.5,27.1,28.5,160.7,72.4,69.8,25.3)</f>
        <v>49.870000000000005</v>
      </c>
      <c r="F7">
        <v>1148481</v>
      </c>
      <c r="G7" s="3">
        <v>1148481</v>
      </c>
      <c r="H7" s="3">
        <v>0</v>
      </c>
      <c r="I7">
        <f>AVERAGE(27.6,27.4,31.4,28.5,27.1,28.5,160.7,72.4,69.8,25.3)</f>
        <v>49.870000000000005</v>
      </c>
      <c r="L7" s="1"/>
      <c r="M7" s="4">
        <f t="shared" si="0"/>
        <v>-2.5969862135299615E-2</v>
      </c>
      <c r="N7" s="4">
        <f t="shared" si="1"/>
        <v>0.82077024358130346</v>
      </c>
      <c r="O7" s="4">
        <f t="shared" si="2"/>
        <v>0.79945495351074081</v>
      </c>
    </row>
    <row r="8" spans="1:15" x14ac:dyDescent="0.25">
      <c r="A8" s="2">
        <v>32120132100</v>
      </c>
      <c r="B8" s="2">
        <v>32120132144</v>
      </c>
      <c r="C8" s="1">
        <f>AVERAGE(147.4,48.8,77,52.5,52.3,55.8,61.1,50.4,45.9,45.6)</f>
        <v>63.680000000000007</v>
      </c>
      <c r="D8" s="1">
        <f>AVERAGE(148.7,59.4,61.2,46.4,49.4,53.4,46,46.9,46.2,46.7)</f>
        <v>60.429999999999993</v>
      </c>
      <c r="E8" s="1">
        <f>AVERAGE(44.5,28.5,30.4,108.2,27.8,29.2,31.3,30.9,30.6,88.1)</f>
        <v>44.95</v>
      </c>
      <c r="F8">
        <v>1148481</v>
      </c>
      <c r="G8" s="3">
        <v>1148481</v>
      </c>
      <c r="H8" s="3">
        <v>0</v>
      </c>
      <c r="I8" s="1">
        <f>AVERAGE(44.5,28.5,30.4,108.2,27.8,29.2,31.3,30.9,30.6,88.1)</f>
        <v>44.95</v>
      </c>
      <c r="L8" s="1"/>
      <c r="M8" s="4">
        <f t="shared" si="0"/>
        <v>-5.1036432160804224E-2</v>
      </c>
      <c r="N8" s="4">
        <f t="shared" si="1"/>
        <v>0.7438358431242762</v>
      </c>
      <c r="O8" s="4">
        <f t="shared" si="2"/>
        <v>0.70587311557788945</v>
      </c>
    </row>
    <row r="9" spans="1:15" x14ac:dyDescent="0.25">
      <c r="A9" s="2">
        <v>32120132144</v>
      </c>
      <c r="B9" s="2">
        <v>32720132135</v>
      </c>
      <c r="C9" s="1">
        <f>AVERAGE(92.2,48.7,50.6,47.4,46.5,44.8,53,51.6,52.6,50.4)</f>
        <v>53.780000000000008</v>
      </c>
      <c r="D9" s="1">
        <f>AVERAGE(139.5,51.7,65.5,45.7,46.2,48.3,45.6,46.3,45.4,47.5)</f>
        <v>58.17</v>
      </c>
      <c r="E9" s="1">
        <f>AVERAGE(64.2,46.1,51.1,51.5,44.2,64.4,51.8,118.4,64.1,47.7)</f>
        <v>60.350000000000009</v>
      </c>
      <c r="F9">
        <v>1148346</v>
      </c>
      <c r="G9" s="3">
        <v>1148346</v>
      </c>
      <c r="H9" s="3">
        <f>AVERAGE(13669,13667,13667,13669,13669,13667,13669,13667,13667,13667)</f>
        <v>13667.8</v>
      </c>
      <c r="I9">
        <f>AVERAGE(44.7,27.5,31.9,33.6,26,46.4,33.2,99.2,45.1,29.2)</f>
        <v>41.68</v>
      </c>
      <c r="L9" s="1"/>
      <c r="M9" s="4">
        <f t="shared" si="0"/>
        <v>8.1628858311639796E-2</v>
      </c>
      <c r="N9" s="4">
        <f t="shared" si="1"/>
        <v>1.0374763623861099</v>
      </c>
      <c r="O9" s="4">
        <f t="shared" si="2"/>
        <v>1.1221643733730011</v>
      </c>
    </row>
    <row r="10" spans="1:15" x14ac:dyDescent="0.25">
      <c r="A10" s="2">
        <v>32720132135</v>
      </c>
      <c r="B10" s="2">
        <v>32720132341</v>
      </c>
      <c r="C10" s="1">
        <f>AVERAGE(98.8,51,54.9,65.2,46.7,51.4,52.8,49.6,51.1,46.3)</f>
        <v>56.779999999999994</v>
      </c>
      <c r="D10" s="1">
        <f>AVERAGE(140.1,45.9,50.6,46.5,47,44.8,45.3,49.6,44.8,49.8)</f>
        <v>56.44</v>
      </c>
      <c r="E10" s="1">
        <f>AVERAGE(42.6,28,24.4,31.3,28.3,29.7,45.8,28.9,27.7,28.3)</f>
        <v>31.499999999999993</v>
      </c>
      <c r="F10">
        <v>1148346</v>
      </c>
      <c r="G10" s="3">
        <v>1148346</v>
      </c>
      <c r="H10" s="3">
        <v>0</v>
      </c>
      <c r="I10" s="1">
        <f>AVERAGE(42.6,28,24.4,31.3,28.3,29.7,45.8,28.9,27.7,28.3)</f>
        <v>31.499999999999993</v>
      </c>
      <c r="L10" s="1"/>
      <c r="M10" s="4">
        <f t="shared" si="0"/>
        <v>-5.9880239520957446E-3</v>
      </c>
      <c r="N10" s="4">
        <f t="shared" si="1"/>
        <v>0.55811481218993608</v>
      </c>
      <c r="O10" s="4">
        <f t="shared" si="2"/>
        <v>0.55477280732652334</v>
      </c>
    </row>
    <row r="11" spans="1:15" x14ac:dyDescent="0.25">
      <c r="A11" s="2">
        <v>32720132341</v>
      </c>
      <c r="B11" s="2">
        <v>32720132348</v>
      </c>
      <c r="C11" s="1">
        <f>AVERAGE(73.7,53.1,48.5,53.8,53.1,46.7,46,46.5,48.9,51.7)</f>
        <v>52.2</v>
      </c>
      <c r="D11" s="1">
        <f>AVERAGE(106.5,58.7,72.1,49.2,46.7,46.3,48.3,44.8,47.3,46)</f>
        <v>56.589999999999996</v>
      </c>
      <c r="E11" s="1">
        <f>AVERAGE(64.2,51.5,54.6,46.6,50.7,73.3,79.7,48,55.1,67.7)</f>
        <v>59.140000000000008</v>
      </c>
      <c r="F11">
        <v>1153447</v>
      </c>
      <c r="G11" s="3">
        <v>1153447</v>
      </c>
      <c r="H11" s="3">
        <f>AVERAGE(17773,17722,17756,17720,17631,17671,17726,17770,17640,17731)</f>
        <v>17714</v>
      </c>
      <c r="I11">
        <f>AVERAGE(29.3,29.4,31.6,24.6,28.6,48.5,30.3,26.7,32.5,46.2)</f>
        <v>32.769999999999996</v>
      </c>
      <c r="L11" s="1"/>
      <c r="M11" s="4">
        <f t="shared" si="0"/>
        <v>8.4099616858237525E-2</v>
      </c>
      <c r="N11" s="4">
        <f t="shared" si="1"/>
        <v>1.0450609648347766</v>
      </c>
      <c r="O11" s="4">
        <f t="shared" si="2"/>
        <v>1.1329501915708813</v>
      </c>
    </row>
    <row r="12" spans="1:15" x14ac:dyDescent="0.25">
      <c r="A12" s="2">
        <v>32720132348</v>
      </c>
      <c r="B12" s="2">
        <v>40120132353</v>
      </c>
      <c r="C12" s="1">
        <f>AVERAGE(99,52,53.6,58.2,58.7,52.6,45.9,62.6,45.8,49)</f>
        <v>57.739999999999995</v>
      </c>
      <c r="D12" s="1">
        <f>AVERAGE(84.5,67.1,45.8,46.4,46,46,47.7,46.8,47.4,47)</f>
        <v>52.469999999999992</v>
      </c>
      <c r="E12" s="1">
        <f>AVERAGE(63.4,61.9,52.1,62.2,91.7,117.2,112.3,47.6,42.4,43.7)</f>
        <v>69.45</v>
      </c>
      <c r="F12">
        <v>1152609</v>
      </c>
      <c r="G12" s="3">
        <v>1152609</v>
      </c>
      <c r="H12" s="3">
        <f>AVERAGE(10822,10942,10822,10822,10942,10822,10942,10822,10942,10822)</f>
        <v>10870</v>
      </c>
      <c r="I12">
        <f>AVERAGE(47.2,31.3,32.3,31.6,76.6,101.6,96.4,27.7,26.6,27.9)</f>
        <v>49.92</v>
      </c>
      <c r="L12" s="1"/>
      <c r="M12" s="4">
        <f t="shared" si="0"/>
        <v>-9.1271215794942906E-2</v>
      </c>
      <c r="N12" s="4">
        <f t="shared" si="1"/>
        <v>1.3236134934248145</v>
      </c>
      <c r="O12" s="4">
        <f t="shared" si="2"/>
        <v>1.2028056806373399</v>
      </c>
    </row>
    <row r="13" spans="1:15" x14ac:dyDescent="0.25">
      <c r="A13" s="2">
        <v>40120132353</v>
      </c>
      <c r="B13" s="2">
        <v>42920132120</v>
      </c>
      <c r="C13" s="1">
        <f>AVERAGE(149.4,55.7,47.1,46.7,57.2,48.2,66.7,47,47,51.7)</f>
        <v>61.67</v>
      </c>
      <c r="D13" s="1">
        <f>AVERAGE(79.9,50.6,52.5,60.8,46.1,46.5,45.2,45.5,45.5,45.5)</f>
        <v>51.81</v>
      </c>
      <c r="E13" s="1">
        <f>AVERAGE(53.2,34.8,34.3,35.3,39.2,53.9,58.3,51.2,54.9,35.2)</f>
        <v>45.029999999999994</v>
      </c>
      <c r="F13">
        <v>1152341</v>
      </c>
      <c r="G13" s="3">
        <v>1152341</v>
      </c>
      <c r="H13" s="3">
        <f>AVERAGE(4438,4438,4438,4438,4438,4440,4438,4440,4438,4440)</f>
        <v>4438.6000000000004</v>
      </c>
      <c r="I13">
        <f>AVERAGE(45.2,27.8,27.6,28.8,28.4,47.2,51.6,44.6,48.2,28.4)</f>
        <v>37.78</v>
      </c>
      <c r="L13" s="1"/>
      <c r="M13" s="4">
        <f t="shared" si="0"/>
        <v>-0.15988324955407818</v>
      </c>
      <c r="N13" s="4">
        <f t="shared" si="1"/>
        <v>0.86913723219455685</v>
      </c>
      <c r="O13" s="4">
        <f t="shared" si="2"/>
        <v>0.73017674720285375</v>
      </c>
    </row>
    <row r="14" spans="1:15" x14ac:dyDescent="0.25">
      <c r="A14" s="2">
        <v>42920132120</v>
      </c>
      <c r="B14" s="2">
        <v>43020131827</v>
      </c>
      <c r="C14" s="1">
        <f>AVERAGE(106.7,55.5,47,46.1,46.3,46.7,50.5,51,51.2,46.4)</f>
        <v>54.739999999999995</v>
      </c>
      <c r="D14" s="1">
        <f>AVERAGE(81.6,52.8,48.9,69.6,45.6,61.4,47.2,46.8,45.6,45.9)</f>
        <v>54.54</v>
      </c>
      <c r="E14" s="1">
        <f>AVERAGE(50.1,31.5,29,40.3,75.6,85.1,30.6,28.8,32.9,34.9)</f>
        <v>43.879999999999995</v>
      </c>
      <c r="F14" s="3">
        <v>1152352</v>
      </c>
      <c r="G14" s="3">
        <v>1152352</v>
      </c>
      <c r="H14" s="3">
        <f>AVERAGE(57,57,64,57,64,64,57,64,57,64)</f>
        <v>60.5</v>
      </c>
      <c r="I14">
        <f>AVERAGE(46.5,28,25.9,33,72.5,82,27.6,25.9,29.7,31.9)</f>
        <v>40.299999999999997</v>
      </c>
      <c r="L14" s="1"/>
      <c r="M14" s="4">
        <f t="shared" si="0"/>
        <v>-3.6536353671903221E-3</v>
      </c>
      <c r="N14" s="4">
        <f t="shared" si="1"/>
        <v>0.80454712137880446</v>
      </c>
      <c r="O14" s="4">
        <f t="shared" si="2"/>
        <v>0.8016075995615638</v>
      </c>
    </row>
    <row r="15" spans="1:15" x14ac:dyDescent="0.25">
      <c r="A15" s="2">
        <v>43020131827</v>
      </c>
      <c r="B15" s="2">
        <v>50120130055</v>
      </c>
      <c r="C15" s="1">
        <f>AVERAGE(140.6,51.3,58.1,52.5,53.3,47.6,153.7,46.9,52.3,64.5)</f>
        <v>72.08</v>
      </c>
      <c r="D15">
        <f>AVERAGE(152.1,46,46.7,45.6,46,49.2,45.6,46.2,46.1,44.8)</f>
        <v>56.83</v>
      </c>
      <c r="E15">
        <f>AVERAGE(42.5,26.4,29.2,29.8,87.3,68.2,26.8,28,32.4,24.9)</f>
        <v>39.549999999999997</v>
      </c>
      <c r="F15" s="3">
        <v>1152352</v>
      </c>
      <c r="G15" s="3">
        <v>1152352</v>
      </c>
      <c r="H15" s="3">
        <v>0</v>
      </c>
      <c r="I15">
        <f>AVERAGE(42.5,26.4,29.2,29.8,87.3,68.2,26.8,28,32.4,24.9)</f>
        <v>39.549999999999997</v>
      </c>
      <c r="L15" s="1"/>
      <c r="M15" s="4">
        <f t="shared" si="0"/>
        <v>-0.21157047724750278</v>
      </c>
      <c r="N15" s="4">
        <f t="shared" si="1"/>
        <v>0.69593524546894248</v>
      </c>
      <c r="O15" s="4">
        <f t="shared" si="2"/>
        <v>0.54869589345172032</v>
      </c>
    </row>
    <row r="16" spans="1:15" x14ac:dyDescent="0.25">
      <c r="A16" s="2">
        <v>50120130055</v>
      </c>
      <c r="B16" s="2">
        <v>50220131806</v>
      </c>
      <c r="C16" s="1">
        <f>AVERAGE(143.2,53.2,67.6,53.9,54.1,46.5,72.8,46.5,50.7,51.4)</f>
        <v>63.989999999999995</v>
      </c>
      <c r="D16" s="1">
        <f>AVERAGE(111.8,51.5,47.9,47.1,51.3,53.3,52.3,48.4,45.5,46)</f>
        <v>55.510000000000005</v>
      </c>
      <c r="E16" s="1">
        <f>AVERAGE(34.5,32.8,32.5,32.9,30.5,32.6,51.5,36.9,29.9,33.4)</f>
        <v>34.749999999999993</v>
      </c>
      <c r="F16" s="3">
        <v>1152321</v>
      </c>
      <c r="G16" s="3">
        <v>1152321</v>
      </c>
      <c r="H16" s="3">
        <f>AVERAGE(279,277,277,277,279,277,277,277,277,277)</f>
        <v>277.39999999999998</v>
      </c>
      <c r="I16">
        <f>AVERAGE(29.1,27.8,27.7,27.6,25.9,27.2,46.7,30.9,25.3,28.8)</f>
        <v>29.7</v>
      </c>
      <c r="L16" s="1"/>
      <c r="M16" s="4">
        <f t="shared" si="0"/>
        <v>-0.13252070636036861</v>
      </c>
      <c r="N16" s="4">
        <f t="shared" si="1"/>
        <v>0.62601333093136358</v>
      </c>
      <c r="O16" s="4">
        <f t="shared" si="2"/>
        <v>0.54305360212533205</v>
      </c>
    </row>
    <row r="17" spans="1:15" x14ac:dyDescent="0.25">
      <c r="A17" s="2">
        <v>50220131806</v>
      </c>
      <c r="B17" s="2">
        <v>50220131856</v>
      </c>
      <c r="C17" s="1">
        <f>AVERAGE(100.5,56.5,47.1,47.1,46.1,47.5,51.6,51,53.2,47.7)</f>
        <v>54.830000000000005</v>
      </c>
      <c r="D17" s="1">
        <f>AVERAGE(135.4,60.9,53.2,48.3,48.5,47.1,60.6,49.2,46.8,48.7)</f>
        <v>59.870000000000005</v>
      </c>
      <c r="E17" s="1">
        <f>AVERAGE(44.2,28.3,27.8,44.4,29,105.9,56.2,30,25.5,25.7)</f>
        <v>41.7</v>
      </c>
      <c r="F17" s="3">
        <v>1152321</v>
      </c>
      <c r="G17" s="3">
        <v>1152321</v>
      </c>
      <c r="H17" s="3">
        <v>0</v>
      </c>
      <c r="I17" s="1">
        <f>AVERAGE(44.2,28.3,27.8,44.4,29,105.9,56.2,30,25.5,25.7)</f>
        <v>41.7</v>
      </c>
      <c r="L17" s="1"/>
      <c r="M17" s="4">
        <f t="shared" si="0"/>
        <v>9.1920481488236394E-2</v>
      </c>
      <c r="N17" s="4">
        <f t="shared" si="1"/>
        <v>0.69650910305662272</v>
      </c>
      <c r="O17" s="4">
        <f t="shared" si="2"/>
        <v>0.76053255517052709</v>
      </c>
    </row>
    <row r="18" spans="1:15" x14ac:dyDescent="0.25">
      <c r="A18" s="2">
        <v>50220131856</v>
      </c>
      <c r="B18" s="2">
        <v>50720130016</v>
      </c>
      <c r="C18" s="1">
        <f>AVERAGE(118.7,68.6,46.2,46.8,47.5,51.9,51.6,47.1,46.1,46.3)</f>
        <v>57.08</v>
      </c>
      <c r="D18" s="1">
        <f>AVERAGE(81.2,72.2,45.6,45.6,44.2,45.5,45.7,56.8,46.4,45.8)</f>
        <v>52.9</v>
      </c>
      <c r="E18" s="1">
        <f>AVERAGE(50.1,37.1,37.1,83.8,68.9,63.9,34.3,33,32.9,34.7)</f>
        <v>47.58</v>
      </c>
      <c r="F18" s="3">
        <v>1152339</v>
      </c>
      <c r="G18" s="3">
        <v>1152339</v>
      </c>
      <c r="H18" s="3">
        <v>3272</v>
      </c>
      <c r="I18">
        <f>AVERAGE(43.8,31.6,31.7,78.3,63.6,58.6,28.7,27.7,27.2,29.5)</f>
        <v>42.07</v>
      </c>
      <c r="L18" s="1"/>
      <c r="M18" s="4">
        <f t="shared" si="0"/>
        <v>-7.3230553608969906E-2</v>
      </c>
      <c r="N18" s="4">
        <f t="shared" si="1"/>
        <v>0.89943289224952738</v>
      </c>
      <c r="O18" s="4">
        <f t="shared" si="2"/>
        <v>0.83356692361597762</v>
      </c>
    </row>
    <row r="19" spans="1:15" x14ac:dyDescent="0.25">
      <c r="A19" s="2">
        <v>50720130016</v>
      </c>
      <c r="B19" s="2">
        <v>52720131836</v>
      </c>
      <c r="C19" s="1">
        <f>AVERAGE(193.4,53.7,94.4,49,51.9,55.9,60.8,63,45.6,54.9)</f>
        <v>72.259999999999991</v>
      </c>
      <c r="D19" s="1">
        <f>AVERAGE(154.5,51.9,51.5,52.4,47.3,46.6,46.6,46.2,47.5,46.5)</f>
        <v>59.1</v>
      </c>
      <c r="E19" s="1">
        <f>AVERAGE(154.5,51.9,51.5,52.4,47.3,46.6,46.6,46.2,47.5,46.5)</f>
        <v>59.1</v>
      </c>
      <c r="F19" s="3">
        <v>1151762</v>
      </c>
      <c r="G19" s="3">
        <v>1151762</v>
      </c>
      <c r="H19" s="3">
        <v>3868</v>
      </c>
      <c r="I19">
        <f>AVERAGE(44.5,28,26.8,28,25.7,24.3,31.6,119,57.9,24)</f>
        <v>40.98</v>
      </c>
      <c r="L19" s="1"/>
      <c r="M19" s="4">
        <f t="shared" si="0"/>
        <v>-0.18212012178245218</v>
      </c>
      <c r="N19" s="4">
        <f t="shared" si="1"/>
        <v>1</v>
      </c>
      <c r="O19" s="4">
        <f t="shared" si="2"/>
        <v>0.81787987821754782</v>
      </c>
    </row>
    <row r="20" spans="1:15" x14ac:dyDescent="0.25">
      <c r="A20" s="2">
        <v>52720131836</v>
      </c>
      <c r="B20" s="2">
        <v>52720132001</v>
      </c>
      <c r="C20" s="1">
        <f>AVERAGE(120.3,51.6,57,70.5,47.6,47,47.3,46.4,46.3,46.1)</f>
        <v>58.010000000000005</v>
      </c>
      <c r="D20" s="1">
        <f>AVERAGE(142.5,45.3,48.3,47.5,46,46.1,50.6,45.6,45.7,45.3)</f>
        <v>56.290000000000006</v>
      </c>
      <c r="E20" s="1">
        <f>AVERAGE(47.8,49.4,49.5,50.6,49.5,47.8,137.3,81.4,65.8,49.5)</f>
        <v>62.859999999999992</v>
      </c>
      <c r="F20" s="3">
        <v>1151743</v>
      </c>
      <c r="G20" s="3">
        <v>1151743</v>
      </c>
      <c r="H20" s="3">
        <v>4195</v>
      </c>
      <c r="I20">
        <f>AVERAGE(25.8,27.7,28.2,29.9,29.1,26.9,116.6,60.9,44.9,29)</f>
        <v>41.899999999999991</v>
      </c>
      <c r="L20" s="1"/>
      <c r="M20" s="4">
        <f t="shared" si="0"/>
        <v>-2.9650060334425077E-2</v>
      </c>
      <c r="N20" s="4">
        <f t="shared" si="1"/>
        <v>1.1167170012435599</v>
      </c>
      <c r="O20" s="4">
        <f t="shared" si="2"/>
        <v>1.08360627478021</v>
      </c>
    </row>
    <row r="21" spans="1:15" x14ac:dyDescent="0.25">
      <c r="A21" s="2">
        <v>52720132001</v>
      </c>
      <c r="B21" s="2">
        <v>60520130242</v>
      </c>
      <c r="C21" s="1">
        <f>AVERAGE(70.5,51.2,48,155.4,52.7,53.2,54.1,49.1,57.3,62.9)</f>
        <v>65.44</v>
      </c>
      <c r="D21" s="1">
        <f>AVERAGE(144.8,59,61.3,44.8,46.9,46,46,46.1,47.2,47.2)</f>
        <v>58.930000000000007</v>
      </c>
      <c r="E21" s="1">
        <f>AVERAGE(71.4,51.5,57.7,51.4,54.8,122.4,65.9,52.2,10.4,53.7)</f>
        <v>59.140000000000008</v>
      </c>
      <c r="F21" s="3">
        <v>1152193</v>
      </c>
      <c r="G21" s="3">
        <v>1152193</v>
      </c>
      <c r="H21" s="3">
        <f>AVERAGE(17979,18060,17989,18002,18042,18132,17943,18021,17946,17946)</f>
        <v>18006</v>
      </c>
      <c r="I21">
        <f>AVERAGE(43.8,28.6,32.6,27.7,30.9,100.7,28.8,29.5,31,27)</f>
        <v>38.06</v>
      </c>
      <c r="L21" s="1"/>
      <c r="M21" s="4">
        <f t="shared" si="0"/>
        <v>-9.9480440097799328E-2</v>
      </c>
      <c r="N21" s="4">
        <f t="shared" si="1"/>
        <v>1.0035635499745461</v>
      </c>
      <c r="O21" s="4">
        <f t="shared" si="2"/>
        <v>0.90372860635696839</v>
      </c>
    </row>
    <row r="22" spans="1:15" x14ac:dyDescent="0.25">
      <c r="A22" s="2">
        <v>60520130242</v>
      </c>
      <c r="B22" s="2">
        <v>60520132159</v>
      </c>
      <c r="C22" s="1">
        <f>AVERAGE(113.6,51.9,56.6,69.7,47.9,46.9,46.5,47,45.6,46.8)</f>
        <v>57.249999999999986</v>
      </c>
      <c r="D22" s="1">
        <f>AVERAGE(119.9,53.5,59.6,47.3,51.9,46.5,45.9,61.3,47.3,46.8)</f>
        <v>57.999999999999986</v>
      </c>
      <c r="E22" s="1">
        <f>AVERAGE(67.8,52.2,51.1,52,49.7,53.3,52.7,50.7,71.8,53.3)</f>
        <v>55.46</v>
      </c>
      <c r="F22" s="3">
        <v>1151743</v>
      </c>
      <c r="G22" s="3">
        <v>1151743</v>
      </c>
      <c r="H22" s="3">
        <f>AVERAGE(6314,6320,6303,6325,6307,6306,6313,6320,6308,6317)</f>
        <v>6313.3</v>
      </c>
      <c r="I22">
        <f>AVERAGE(44.1,28.3,27.6,28.7,26.7,30.3,29.1,27.9,48,28.5)</f>
        <v>31.919999999999998</v>
      </c>
      <c r="L22" s="1"/>
      <c r="M22" s="4">
        <f t="shared" si="0"/>
        <v>1.3100436681222627E-2</v>
      </c>
      <c r="N22" s="4">
        <f t="shared" si="1"/>
        <v>0.95620689655172442</v>
      </c>
      <c r="O22" s="4">
        <f t="shared" si="2"/>
        <v>0.96873362445414868</v>
      </c>
    </row>
    <row r="23" spans="1:15" x14ac:dyDescent="0.25">
      <c r="A23" s="2">
        <v>60520132159</v>
      </c>
      <c r="B23" s="2">
        <v>60620130028</v>
      </c>
      <c r="C23" s="1">
        <f>AVERAGE(95.3,53.1,54.5,56.5,58.3,72.7,46.5,46.6,47.6,49)</f>
        <v>58.010000000000005</v>
      </c>
      <c r="D23" s="1">
        <f>AVERAGE(101,49,50.2,49.6,47.4,47.5,52.2,46.1,46.7,49.4)</f>
        <v>53.910000000000004</v>
      </c>
      <c r="E23" s="1">
        <f>AVERAGE(28.9,26.3,29.1,25.8,25.3,27.2,27.4,44.6,32,27.1)</f>
        <v>29.370000000000005</v>
      </c>
      <c r="F23" s="3">
        <v>1151743</v>
      </c>
      <c r="G23" s="3">
        <v>1151743</v>
      </c>
      <c r="H23" s="3">
        <v>0</v>
      </c>
      <c r="I23" s="1">
        <f>AVERAGE(28.9,26.3,29.1,25.8,25.3,27.2,27.4,44.6,32,27.1)</f>
        <v>29.370000000000005</v>
      </c>
      <c r="L23" s="1"/>
      <c r="M23" s="4">
        <f t="shared" si="0"/>
        <v>-7.0677469401827286E-2</v>
      </c>
      <c r="N23" s="4">
        <f t="shared" si="1"/>
        <v>0.54479688369504731</v>
      </c>
      <c r="O23" s="4">
        <f t="shared" si="2"/>
        <v>0.50629201861747974</v>
      </c>
    </row>
    <row r="24" spans="1:15" x14ac:dyDescent="0.25">
      <c r="A24" s="2">
        <v>60620130028</v>
      </c>
      <c r="B24" s="2">
        <v>60620130722</v>
      </c>
      <c r="C24" s="1">
        <f>AVERAGE(102,50.3,56.6,52.3,46.6,48.7,57.5,47.4,48.7,46.9)</f>
        <v>55.7</v>
      </c>
      <c r="D24" s="1">
        <f>AVERAGE(94.3,51.8,54.2,46.3,45.3,44.9,46.4,46.1,47.7,52.4,)</f>
        <v>48.127272727272725</v>
      </c>
      <c r="E24" s="1">
        <f>AVERAGE(54.2,53,51.2,69.1,59.9,51.5,72.3,65.3,47,51.3)</f>
        <v>57.48</v>
      </c>
      <c r="F24" s="3">
        <v>1152193</v>
      </c>
      <c r="G24" s="3">
        <v>1152193</v>
      </c>
      <c r="H24" s="3">
        <f>AVERAGE(18021,18060,17970,18141,17946,17940,18128,18000,18009,17933)</f>
        <v>18014.8</v>
      </c>
      <c r="I24">
        <f>AVERAGE(29.9,25.9,28.3,47.2,35.9,26.2,31.1,28.8,24.1,27.2)</f>
        <v>30.46</v>
      </c>
      <c r="L24" s="1"/>
      <c r="M24" s="4">
        <f t="shared" si="0"/>
        <v>-0.13595560633262616</v>
      </c>
      <c r="N24" s="4">
        <f t="shared" si="1"/>
        <v>1.1943332074046089</v>
      </c>
      <c r="O24" s="4">
        <f t="shared" si="2"/>
        <v>1.0319569120287253</v>
      </c>
    </row>
    <row r="25" spans="1:15" x14ac:dyDescent="0.25">
      <c r="A25" s="2">
        <v>60620130722</v>
      </c>
      <c r="B25" s="2">
        <v>60620132234</v>
      </c>
      <c r="C25" s="1">
        <f>AVERAGE(96,50.6,54.8,62.4,46.1,52.5,52.3,51.9,51.4,46.7)</f>
        <v>56.470000000000006</v>
      </c>
      <c r="D25" s="1">
        <f>AVERAGE(96.5,49.7,54,52.5,47.2,46.3,45.9,46.2,54.7,48)</f>
        <v>54.1</v>
      </c>
      <c r="E25" s="1">
        <f>AVERAGE(43.9,28.3,25.8,28.3,25.6,30.9,28.7,31.3,24.8,31)</f>
        <v>29.860000000000003</v>
      </c>
      <c r="F25" s="3">
        <v>1152193</v>
      </c>
      <c r="G25" s="3">
        <v>1152193</v>
      </c>
      <c r="H25" s="3">
        <v>0</v>
      </c>
      <c r="I25" s="1">
        <f>AVERAGE(43.9,28.3,25.8,28.3,25.6,30.9,28.7,31.3,24.8,31)</f>
        <v>29.860000000000003</v>
      </c>
      <c r="L25" s="1"/>
      <c r="M25" s="4">
        <f t="shared" si="0"/>
        <v>-4.1969187179033196E-2</v>
      </c>
      <c r="N25" s="4">
        <f t="shared" si="1"/>
        <v>0.55194085027726436</v>
      </c>
      <c r="O25" s="4">
        <f t="shared" si="2"/>
        <v>0.52877634142022312</v>
      </c>
    </row>
    <row r="27" spans="1:15" x14ac:dyDescent="0.25">
      <c r="C27" s="1">
        <f>AVERAGE(C2:C25)</f>
        <v>59.471515151515156</v>
      </c>
      <c r="D27" s="1">
        <f>AVERAGE(D2:D25)</f>
        <v>55.636515151515162</v>
      </c>
      <c r="M27" s="4">
        <f>AVERAGE(M2:M25)</f>
        <v>-5.9620852235238608E-2</v>
      </c>
      <c r="N27" s="4">
        <f>GEOMEAN(N2:N25)</f>
        <v>0.84316942360233793</v>
      </c>
      <c r="O27" s="4">
        <f>GEOMEAN(O2:O25)</f>
        <v>0.79016575083633533</v>
      </c>
    </row>
    <row r="28" spans="1:15" x14ac:dyDescent="0.25">
      <c r="C28">
        <f>AVEDEV(C2:C25)</f>
        <v>3.8605303030303042</v>
      </c>
      <c r="D28">
        <f>AVEDEV(D2:D25)</f>
        <v>2.4909848484848487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21.28515625" customWidth="1"/>
    <col min="2" max="2" width="20.5703125" customWidth="1"/>
    <col min="3" max="3" width="15.140625" customWidth="1"/>
    <col min="4" max="4" width="16" customWidth="1"/>
  </cols>
  <sheetData>
    <row r="1" spans="1:4" x14ac:dyDescent="0.25">
      <c r="A1" s="5" t="s">
        <v>6</v>
      </c>
      <c r="B1" s="5" t="s">
        <v>7</v>
      </c>
      <c r="C1" s="2" t="s">
        <v>11</v>
      </c>
      <c r="D1" s="2" t="s">
        <v>12</v>
      </c>
    </row>
    <row r="2" spans="1:4" x14ac:dyDescent="0.25">
      <c r="A2" s="5">
        <v>30720132221</v>
      </c>
      <c r="B2" s="5">
        <v>30720132221</v>
      </c>
      <c r="C2" s="1">
        <f>SUM('Full Diff'!$C$2:C2)</f>
        <v>57.36999999999999</v>
      </c>
      <c r="D2" s="1">
        <f>SUM('Full Diff'!$E$2:E2)</f>
        <v>58.15</v>
      </c>
    </row>
    <row r="3" spans="1:4" x14ac:dyDescent="0.25">
      <c r="A3" s="5">
        <v>31420132151</v>
      </c>
      <c r="B3" s="5">
        <v>31620130026</v>
      </c>
      <c r="C3" s="1">
        <f>SUM('Full Diff'!$C$2:C3)</f>
        <v>114.91999999999999</v>
      </c>
      <c r="D3" s="1">
        <f>SUM('Full Diff'!$E$2:E3)</f>
        <v>95.7</v>
      </c>
    </row>
    <row r="4" spans="1:4" x14ac:dyDescent="0.25">
      <c r="A4" s="5">
        <v>31620130026</v>
      </c>
      <c r="B4" s="5">
        <v>31820131702</v>
      </c>
      <c r="C4" s="1">
        <f>SUM('Full Diff'!$C$2:C4)</f>
        <v>174.86999999999998</v>
      </c>
      <c r="D4" s="1">
        <f>SUM('Full Diff'!$E$2:E4)</f>
        <v>133.31</v>
      </c>
    </row>
    <row r="5" spans="1:4" x14ac:dyDescent="0.25">
      <c r="A5" s="5">
        <v>31820131702</v>
      </c>
      <c r="B5" s="5">
        <v>32020132304</v>
      </c>
      <c r="C5" s="1">
        <f>SUM('Full Diff'!$C$2:C5)</f>
        <v>234.98999999999998</v>
      </c>
      <c r="D5" s="1">
        <f>SUM('Full Diff'!$E$2:E5)</f>
        <v>178.98000000000002</v>
      </c>
    </row>
    <row r="6" spans="1:4" x14ac:dyDescent="0.25">
      <c r="A6" s="5">
        <v>32020132304</v>
      </c>
      <c r="B6" s="5">
        <v>32120131735</v>
      </c>
      <c r="C6" s="1">
        <f>SUM('Full Diff'!$C$2:C6)</f>
        <v>293.2263636363636</v>
      </c>
      <c r="D6" s="1">
        <f>SUM('Full Diff'!$E$2:E6)</f>
        <v>236.13000000000002</v>
      </c>
    </row>
    <row r="7" spans="1:4" x14ac:dyDescent="0.25">
      <c r="A7" s="5">
        <v>32120131735</v>
      </c>
      <c r="B7" s="5">
        <v>32120132100</v>
      </c>
      <c r="C7" s="1">
        <f>SUM('Full Diff'!$C$2:C7)</f>
        <v>355.6063636363636</v>
      </c>
      <c r="D7" s="1">
        <f>SUM('Full Diff'!$E$2:E7)</f>
        <v>286</v>
      </c>
    </row>
    <row r="8" spans="1:4" x14ac:dyDescent="0.25">
      <c r="A8" s="5">
        <v>32120132100</v>
      </c>
      <c r="B8" s="5">
        <v>32120132144</v>
      </c>
      <c r="C8" s="1">
        <f>SUM('Full Diff'!$C$2:C8)</f>
        <v>419.2863636363636</v>
      </c>
      <c r="D8" s="1">
        <f>SUM('Full Diff'!$E$2:E8)</f>
        <v>330.95</v>
      </c>
    </row>
    <row r="9" spans="1:4" x14ac:dyDescent="0.25">
      <c r="A9" s="5">
        <v>32120132144</v>
      </c>
      <c r="B9" s="5">
        <v>32720132135</v>
      </c>
      <c r="C9" s="1">
        <f>SUM('Full Diff'!$C$2:C9)</f>
        <v>473.06636363636363</v>
      </c>
      <c r="D9" s="1">
        <f>SUM('Full Diff'!$E$2:E9)</f>
        <v>391.3</v>
      </c>
    </row>
    <row r="10" spans="1:4" x14ac:dyDescent="0.25">
      <c r="A10" s="5">
        <v>32720132135</v>
      </c>
      <c r="B10" s="5">
        <v>32720132341</v>
      </c>
      <c r="C10" s="1">
        <f>SUM('Full Diff'!$C$2:C10)</f>
        <v>529.84636363636366</v>
      </c>
      <c r="D10" s="1">
        <f>SUM('Full Diff'!$E$2:E10)</f>
        <v>422.8</v>
      </c>
    </row>
    <row r="11" spans="1:4" x14ac:dyDescent="0.25">
      <c r="A11" s="5">
        <v>32720132341</v>
      </c>
      <c r="B11" s="5">
        <v>32720132348</v>
      </c>
      <c r="C11" s="1">
        <f>SUM('Full Diff'!$C$2:C11)</f>
        <v>582.04636363636371</v>
      </c>
      <c r="D11" s="1">
        <f>SUM('Full Diff'!$E$2:E11)</f>
        <v>481.94</v>
      </c>
    </row>
    <row r="12" spans="1:4" x14ac:dyDescent="0.25">
      <c r="A12" s="5">
        <v>32720132348</v>
      </c>
      <c r="B12" s="5">
        <v>40120132353</v>
      </c>
      <c r="C12" s="1">
        <f>SUM('Full Diff'!$C$2:C12)</f>
        <v>639.78636363636372</v>
      </c>
      <c r="D12" s="1">
        <f>SUM('Full Diff'!$E$2:E12)</f>
        <v>551.39</v>
      </c>
    </row>
    <row r="13" spans="1:4" x14ac:dyDescent="0.25">
      <c r="A13" s="5">
        <v>40120132353</v>
      </c>
      <c r="B13" s="5">
        <v>42920132120</v>
      </c>
      <c r="C13" s="1">
        <f>SUM('Full Diff'!$C$2:C13)</f>
        <v>701.45636363636368</v>
      </c>
      <c r="D13" s="1">
        <f>SUM('Full Diff'!$E$2:E13)</f>
        <v>596.41999999999996</v>
      </c>
    </row>
    <row r="14" spans="1:4" x14ac:dyDescent="0.25">
      <c r="A14" s="5">
        <v>42920132120</v>
      </c>
      <c r="B14" s="5">
        <v>43020131827</v>
      </c>
      <c r="C14" s="1">
        <f>SUM('Full Diff'!$C$2:C14)</f>
        <v>756.19636363636369</v>
      </c>
      <c r="D14" s="1">
        <f>SUM('Full Diff'!$E$2:E14)</f>
        <v>640.29999999999995</v>
      </c>
    </row>
    <row r="15" spans="1:4" x14ac:dyDescent="0.25">
      <c r="A15" s="5">
        <v>43020131827</v>
      </c>
      <c r="B15" s="5">
        <v>50120130055</v>
      </c>
      <c r="C15" s="1">
        <f>SUM('Full Diff'!$C$2:C15)</f>
        <v>828.27636363636373</v>
      </c>
      <c r="D15" s="1">
        <f>SUM('Full Diff'!$E$2:E15)</f>
        <v>679.84999999999991</v>
      </c>
    </row>
    <row r="16" spans="1:4" x14ac:dyDescent="0.25">
      <c r="A16" s="5">
        <v>50120130055</v>
      </c>
      <c r="B16" s="5">
        <v>50220131806</v>
      </c>
      <c r="C16" s="1">
        <f>SUM('Full Diff'!$C$2:C16)</f>
        <v>892.26636363636374</v>
      </c>
      <c r="D16" s="1">
        <f>SUM('Full Diff'!$E$2:E16)</f>
        <v>714.59999999999991</v>
      </c>
    </row>
    <row r="17" spans="1:4" x14ac:dyDescent="0.25">
      <c r="A17" s="5">
        <v>50220131806</v>
      </c>
      <c r="B17" s="5">
        <v>50220131856</v>
      </c>
      <c r="C17" s="1">
        <f>SUM('Full Diff'!$C$2:C17)</f>
        <v>947.09636363636378</v>
      </c>
      <c r="D17" s="1">
        <f>SUM('Full Diff'!$E$2:E17)</f>
        <v>756.3</v>
      </c>
    </row>
    <row r="18" spans="1:4" x14ac:dyDescent="0.25">
      <c r="A18" s="5">
        <v>50220131856</v>
      </c>
      <c r="B18" s="5">
        <v>50720130016</v>
      </c>
      <c r="C18" s="1">
        <f>SUM('Full Diff'!$C$2:C18)</f>
        <v>1004.1763636363638</v>
      </c>
      <c r="D18" s="1">
        <f>SUM('Full Diff'!$E$2:E18)</f>
        <v>803.88</v>
      </c>
    </row>
    <row r="19" spans="1:4" x14ac:dyDescent="0.25">
      <c r="A19" s="5">
        <v>50720130016</v>
      </c>
      <c r="B19" s="5">
        <v>52720131836</v>
      </c>
      <c r="C19" s="1">
        <f>SUM('Full Diff'!$C$2:C19)</f>
        <v>1076.4363636363637</v>
      </c>
      <c r="D19" s="1">
        <f>SUM('Full Diff'!$E$2:E19)</f>
        <v>862.98</v>
      </c>
    </row>
    <row r="20" spans="1:4" x14ac:dyDescent="0.25">
      <c r="A20" s="5">
        <v>52720131836</v>
      </c>
      <c r="B20" s="5">
        <v>52720132001</v>
      </c>
      <c r="C20" s="1">
        <f>SUM('Full Diff'!$C$2:C20)</f>
        <v>1134.4463636363637</v>
      </c>
      <c r="D20" s="1">
        <f>SUM('Full Diff'!$E$2:E20)</f>
        <v>925.84</v>
      </c>
    </row>
    <row r="21" spans="1:4" x14ac:dyDescent="0.25">
      <c r="A21" s="5">
        <v>52720132001</v>
      </c>
      <c r="B21" s="5">
        <v>60520130242</v>
      </c>
      <c r="C21" s="1">
        <f>SUM('Full Diff'!$C$2:C21)</f>
        <v>1199.8863636363637</v>
      </c>
      <c r="D21" s="1">
        <f>SUM('Full Diff'!$E$2:E21)</f>
        <v>984.98</v>
      </c>
    </row>
    <row r="22" spans="1:4" x14ac:dyDescent="0.25">
      <c r="A22" s="5">
        <v>60520130242</v>
      </c>
      <c r="B22" s="5">
        <v>60520132159</v>
      </c>
      <c r="C22" s="1">
        <f>SUM('Full Diff'!$C$2:C22)</f>
        <v>1257.1363636363637</v>
      </c>
      <c r="D22" s="1">
        <f>SUM('Full Diff'!$E$2:E22)</f>
        <v>1040.44</v>
      </c>
    </row>
    <row r="23" spans="1:4" x14ac:dyDescent="0.25">
      <c r="A23" s="5">
        <v>60520132159</v>
      </c>
      <c r="B23" s="5">
        <v>60620130028</v>
      </c>
      <c r="C23" s="1">
        <f>SUM('Full Diff'!$C$2:C23)</f>
        <v>1315.1463636363637</v>
      </c>
      <c r="D23" s="1">
        <f>SUM('Full Diff'!$E$2:E23)</f>
        <v>1069.81</v>
      </c>
    </row>
    <row r="24" spans="1:4" x14ac:dyDescent="0.25">
      <c r="A24" s="5">
        <v>60620130028</v>
      </c>
      <c r="B24" s="5">
        <v>60620130722</v>
      </c>
      <c r="C24" s="1">
        <f>SUM('Full Diff'!$C$2:C24)</f>
        <v>1370.8463636363638</v>
      </c>
      <c r="D24" s="1">
        <f>SUM('Full Diff'!$E$2:E24)</f>
        <v>1127.29</v>
      </c>
    </row>
    <row r="25" spans="1:4" x14ac:dyDescent="0.25">
      <c r="A25" s="5">
        <v>60620130722</v>
      </c>
      <c r="B25" s="5">
        <v>60620132234</v>
      </c>
      <c r="C25" s="1">
        <f>SUM('Full Diff'!$C$2:C25)</f>
        <v>1427.3163636363638</v>
      </c>
      <c r="D25" s="1">
        <f>SUM('Full Diff'!$E$2:E25)</f>
        <v>1157.1499999999999</v>
      </c>
    </row>
    <row r="26" spans="1:4" x14ac:dyDescent="0.25">
      <c r="C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 Diff</vt:lpstr>
      <vt:lpstr>Accumulated Savings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2013-09-04T15:19:12Z</dcterms:modified>
</cp:coreProperties>
</file>