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Reaching Definitions" sheetId="1" r:id="rId1"/>
    <sheet name="Uninitialized Variables" sheetId="2" r:id="rId2"/>
  </sheets>
  <calcPr calcId="145621"/>
</workbook>
</file>

<file path=xl/calcChain.xml><?xml version="1.0" encoding="utf-8"?>
<calcChain xmlns="http://schemas.openxmlformats.org/spreadsheetml/2006/main">
  <c r="E11" i="2" l="1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N3" i="2" l="1"/>
  <c r="N4" i="2"/>
  <c r="N5" i="2"/>
  <c r="N6" i="2"/>
  <c r="N7" i="2"/>
  <c r="N8" i="2"/>
  <c r="N9" i="2"/>
  <c r="N10" i="2"/>
  <c r="N11" i="2"/>
  <c r="N2" i="2"/>
  <c r="M3" i="2"/>
  <c r="M4" i="2"/>
  <c r="M5" i="2"/>
  <c r="M6" i="2"/>
  <c r="M7" i="2"/>
  <c r="M8" i="2"/>
  <c r="M9" i="2"/>
  <c r="M10" i="2"/>
  <c r="M11" i="2"/>
  <c r="M2" i="2"/>
  <c r="L3" i="2"/>
  <c r="L4" i="2"/>
  <c r="L5" i="2"/>
  <c r="L6" i="2"/>
  <c r="L7" i="2"/>
  <c r="L8" i="2"/>
  <c r="L9" i="2"/>
  <c r="L10" i="2"/>
  <c r="L11" i="2"/>
  <c r="L2" i="2"/>
  <c r="L13" i="2"/>
  <c r="H10" i="2"/>
  <c r="D10" i="2"/>
  <c r="C10" i="2"/>
  <c r="H9" i="2"/>
  <c r="D9" i="2"/>
  <c r="C9" i="2"/>
  <c r="M13" i="2" l="1"/>
  <c r="N13" i="2"/>
  <c r="H8" i="2"/>
  <c r="D8" i="2"/>
  <c r="C8" i="2"/>
  <c r="H7" i="2"/>
  <c r="D7" i="2"/>
  <c r="C7" i="2"/>
  <c r="H6" i="2"/>
  <c r="D6" i="2"/>
  <c r="C6" i="2"/>
  <c r="H11" i="2" l="1"/>
  <c r="G11" i="2"/>
  <c r="D11" i="2"/>
  <c r="C11" i="2"/>
  <c r="H5" i="2"/>
  <c r="D5" i="2"/>
  <c r="C5" i="2"/>
  <c r="H4" i="2"/>
  <c r="D4" i="2"/>
  <c r="C4" i="2"/>
  <c r="H3" i="2"/>
  <c r="D3" i="2" l="1"/>
  <c r="C3" i="2"/>
  <c r="D2" i="2"/>
  <c r="C2" i="2"/>
  <c r="I13" i="1" l="1"/>
  <c r="J13" i="1"/>
  <c r="C5" i="1"/>
  <c r="K5" i="1" s="1"/>
  <c r="D5" i="1"/>
  <c r="G9" i="1"/>
  <c r="D9" i="1"/>
  <c r="C9" i="1"/>
  <c r="C6" i="1"/>
  <c r="K6" i="1" s="1"/>
  <c r="G6" i="1"/>
  <c r="D6" i="1"/>
  <c r="G4" i="1"/>
  <c r="D4" i="1"/>
  <c r="C4" i="1"/>
  <c r="K4" i="1" s="1"/>
  <c r="C10" i="1"/>
  <c r="K10" i="1" s="1"/>
  <c r="G10" i="1"/>
  <c r="D10" i="1"/>
  <c r="G3" i="1"/>
  <c r="D3" i="1"/>
  <c r="C3" i="1"/>
  <c r="K3" i="1" s="1"/>
  <c r="K2" i="1"/>
  <c r="K8" i="1"/>
  <c r="K9" i="1"/>
  <c r="K11" i="1"/>
  <c r="K7" i="1"/>
  <c r="C7" i="1"/>
  <c r="G7" i="1"/>
  <c r="D7" i="1"/>
  <c r="G8" i="1"/>
  <c r="D8" i="1"/>
  <c r="C8" i="1"/>
  <c r="G11" i="1" l="1"/>
  <c r="C11" i="1" l="1"/>
  <c r="I11" i="1" s="1"/>
  <c r="J11" i="1"/>
  <c r="D11" i="1"/>
  <c r="K13" i="1" l="1"/>
  <c r="J3" i="1"/>
  <c r="J4" i="1"/>
  <c r="J5" i="1"/>
  <c r="J6" i="1"/>
  <c r="J7" i="1"/>
  <c r="J8" i="1"/>
  <c r="J9" i="1"/>
  <c r="J10" i="1"/>
  <c r="J2" i="1"/>
  <c r="I3" i="1" l="1"/>
  <c r="I4" i="1"/>
  <c r="I5" i="1"/>
  <c r="I6" i="1"/>
  <c r="I7" i="1"/>
  <c r="I8" i="1"/>
  <c r="I9" i="1"/>
  <c r="I10" i="1"/>
  <c r="I2" i="1"/>
  <c r="B1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<sst xmlns="http://schemas.openxmlformats.org/spreadsheetml/2006/main" count="39" uniqueCount="21">
  <si>
    <t>TestCase</t>
  </si>
  <si>
    <t>OriginalTiming</t>
  </si>
  <si>
    <t>InitialTiming</t>
  </si>
  <si>
    <t>UpdateTiming</t>
  </si>
  <si>
    <t>OriginalEdges</t>
  </si>
  <si>
    <t>InitialEdges</t>
  </si>
  <si>
    <t>UpdateEdges</t>
  </si>
  <si>
    <t>Base Case</t>
  </si>
  <si>
    <t>New Variable</t>
  </si>
  <si>
    <t>Overwrite Variable</t>
  </si>
  <si>
    <t>Remove Statement</t>
  </si>
  <si>
    <t>Remove Assignment</t>
  </si>
  <si>
    <t>Add Call Statement</t>
  </si>
  <si>
    <t>Add Call Result</t>
  </si>
  <si>
    <t>Remove From Loop</t>
  </si>
  <si>
    <t>Overwrite Return</t>
  </si>
  <si>
    <t>Two JUnit Versions</t>
  </si>
  <si>
    <t>Overhead</t>
  </si>
  <si>
    <t>Changeset</t>
  </si>
  <si>
    <t>Struct Diff</t>
  </si>
  <si>
    <t>Unchanged Pointers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</si>
</sst>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Initial Timing</c:v>
          </c:tx>
          <c:invertIfNegative val="0"/>
          <c:cat>
            <c:strRef>
              <c:f>'Reaching Definitions'!$A$2:$A$11</c:f>
              <c:strCache>
                <c:ptCount val="10"/>
                <c:pt idx="0">
                  <c:v>Base Case</c:v>
                </c:pt>
                <c:pt idx="1">
                  <c:v>New Variable</c:v>
                </c:pt>
                <c:pt idx="2">
                  <c:v>Overwrite Variable</c:v>
                </c:pt>
                <c:pt idx="3">
                  <c:v>Remove Statement</c:v>
                </c:pt>
                <c:pt idx="4">
                  <c:v>Remove Assignment</c:v>
                </c:pt>
                <c:pt idx="5">
                  <c:v>Add Call Statement</c:v>
                </c:pt>
                <c:pt idx="6">
                  <c:v>Add Call Result</c:v>
                </c:pt>
                <c:pt idx="7">
                  <c:v>Remove From Loop</c:v>
                </c:pt>
                <c:pt idx="8">
                  <c:v>Overwrite Return</c:v>
                </c:pt>
                <c:pt idx="9">
                  <c:v>Two JUnit Versions</c:v>
                </c:pt>
              </c:strCache>
            </c:strRef>
          </c:cat>
          <c:val>
            <c:numRef>
              <c:f>'Reaching Definitions'!$C$2:$C$11</c:f>
              <c:numCache>
                <c:formatCode>0.00</c:formatCode>
                <c:ptCount val="10"/>
                <c:pt idx="1">
                  <c:v>211.35918739780118</c:v>
                </c:pt>
                <c:pt idx="2">
                  <c:v>220.28498693688402</c:v>
                </c:pt>
                <c:pt idx="3">
                  <c:v>208.09108230053405</c:v>
                </c:pt>
                <c:pt idx="4">
                  <c:v>218.55543208790635</c:v>
                </c:pt>
                <c:pt idx="5">
                  <c:v>205.69394959730593</c:v>
                </c:pt>
                <c:pt idx="6">
                  <c:v>222.3400925157321</c:v>
                </c:pt>
                <c:pt idx="7">
                  <c:v>220.01634447876955</c:v>
                </c:pt>
                <c:pt idx="8">
                  <c:v>212.69005436646407</c:v>
                </c:pt>
                <c:pt idx="9">
                  <c:v>214.63061269682478</c:v>
                </c:pt>
              </c:numCache>
            </c:numRef>
          </c:val>
        </c:ser>
        <c:ser>
          <c:idx val="1"/>
          <c:order val="1"/>
          <c:tx>
            <c:v>Update Timing</c:v>
          </c:tx>
          <c:invertIfNegative val="0"/>
          <c:cat>
            <c:strRef>
              <c:f>'Reaching Definitions'!$A$2:$A$11</c:f>
              <c:strCache>
                <c:ptCount val="10"/>
                <c:pt idx="0">
                  <c:v>Base Case</c:v>
                </c:pt>
                <c:pt idx="1">
                  <c:v>New Variable</c:v>
                </c:pt>
                <c:pt idx="2">
                  <c:v>Overwrite Variable</c:v>
                </c:pt>
                <c:pt idx="3">
                  <c:v>Remove Statement</c:v>
                </c:pt>
                <c:pt idx="4">
                  <c:v>Remove Assignment</c:v>
                </c:pt>
                <c:pt idx="5">
                  <c:v>Add Call Statement</c:v>
                </c:pt>
                <c:pt idx="6">
                  <c:v>Add Call Result</c:v>
                </c:pt>
                <c:pt idx="7">
                  <c:v>Remove From Loop</c:v>
                </c:pt>
                <c:pt idx="8">
                  <c:v>Overwrite Return</c:v>
                </c:pt>
                <c:pt idx="9">
                  <c:v>Two JUnit Versions</c:v>
                </c:pt>
              </c:strCache>
            </c:strRef>
          </c:cat>
          <c:val>
            <c:numRef>
              <c:f>'Reaching Definitions'!$D$2:$D$11</c:f>
              <c:numCache>
                <c:formatCode>0.00</c:formatCode>
                <c:ptCount val="10"/>
                <c:pt idx="1">
                  <c:v>37.60212556236354</c:v>
                </c:pt>
                <c:pt idx="2">
                  <c:v>34.175536081353329</c:v>
                </c:pt>
                <c:pt idx="3">
                  <c:v>41.012404554467395</c:v>
                </c:pt>
                <c:pt idx="4">
                  <c:v>37.29207310114711</c:v>
                </c:pt>
                <c:pt idx="5">
                  <c:v>34.96230641444587</c:v>
                </c:pt>
                <c:pt idx="6">
                  <c:v>37.639635219257372</c:v>
                </c:pt>
                <c:pt idx="7">
                  <c:v>37.650428610065681</c:v>
                </c:pt>
                <c:pt idx="8">
                  <c:v>35.753344897141083</c:v>
                </c:pt>
                <c:pt idx="9">
                  <c:v>204.57675468436028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78688"/>
        <c:axId val="113780224"/>
      </c:barChart>
      <c:catAx>
        <c:axId val="11377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780224"/>
        <c:crosses val="autoZero"/>
        <c:auto val="1"/>
        <c:lblAlgn val="ctr"/>
        <c:lblOffset val="100"/>
        <c:noMultiLvlLbl val="0"/>
      </c:catAx>
      <c:valAx>
        <c:axId val="113780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377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14</xdr:row>
      <xdr:rowOff>147637</xdr:rowOff>
    </xdr:from>
    <xdr:to>
      <xdr:col>5</xdr:col>
      <xdr:colOff>695325</xdr:colOff>
      <xdr:row>29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2" sqref="K2"/>
    </sheetView>
  </sheetViews>
  <sheetFormatPr baseColWidth="10" defaultColWidth="9.140625" defaultRowHeight="15" x14ac:dyDescent="0.25"/>
  <cols>
    <col min="1" max="1" width="19.28515625" bestFit="1" customWidth="1"/>
    <col min="2" max="2" width="14" bestFit="1" customWidth="1"/>
    <col min="3" max="3" width="12.140625" bestFit="1" customWidth="1"/>
    <col min="4" max="4" width="13.42578125" bestFit="1" customWidth="1"/>
    <col min="5" max="5" width="13.140625" bestFit="1" customWidth="1"/>
    <col min="6" max="6" width="11.28515625" bestFit="1" customWidth="1"/>
    <col min="7" max="7" width="12.5703125" bestFit="1" customWidth="1"/>
    <col min="11" max="11" width="9.71093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K1" s="2" t="s">
        <v>17</v>
      </c>
    </row>
    <row r="2" spans="1:11" x14ac:dyDescent="0.25">
      <c r="A2" s="2" t="s">
        <v>7</v>
      </c>
      <c r="B2" s="1">
        <f>GEOMEAN(200,146,148,139,96,158,158,95,96,95)</f>
        <v>128.70526755839694</v>
      </c>
      <c r="C2" s="1"/>
      <c r="D2" s="1"/>
      <c r="E2" s="3">
        <v>4419205</v>
      </c>
      <c r="F2" s="3"/>
      <c r="G2" s="3"/>
      <c r="I2" s="4" t="e">
        <f>D2/C2</f>
        <v>#DIV/0!</v>
      </c>
      <c r="J2" s="4">
        <f>D2/B2</f>
        <v>0</v>
      </c>
      <c r="K2" s="4">
        <f t="shared" ref="K2:K6" si="0">C2/B2-1</f>
        <v>-1</v>
      </c>
    </row>
    <row r="3" spans="1:11" x14ac:dyDescent="0.25">
      <c r="A3" s="2" t="s">
        <v>8</v>
      </c>
      <c r="B3" s="1">
        <f>GEOMEAN(201,142,151,153,95,95,95,94,93,96)</f>
        <v>116.84780622858521</v>
      </c>
      <c r="C3" s="1">
        <f>GEOMEAN(286,194,215,202,191,200,220,209,186,226)</f>
        <v>211.35918739780118</v>
      </c>
      <c r="D3" s="1">
        <f>GEOMEAN(42,74,34,34,34,35,33,38,31,34)</f>
        <v>37.60212556236354</v>
      </c>
      <c r="E3" s="3">
        <v>4419256</v>
      </c>
      <c r="F3" s="3">
        <v>4990811</v>
      </c>
      <c r="G3" s="3">
        <f>GEOMEAN(554,543,554,554,554,554,554,554,554,543)</f>
        <v>551.782315977042</v>
      </c>
      <c r="I3" s="4">
        <f t="shared" ref="I3:I10" si="1">D3/C3</f>
        <v>0.17790627426851435</v>
      </c>
      <c r="J3" s="4">
        <f t="shared" ref="J3:J10" si="2">D3/B3</f>
        <v>0.32180429206179395</v>
      </c>
      <c r="K3" s="4">
        <f t="shared" si="0"/>
        <v>0.80884172514395947</v>
      </c>
    </row>
    <row r="4" spans="1:11" x14ac:dyDescent="0.25">
      <c r="A4" s="2" t="s">
        <v>9</v>
      </c>
      <c r="B4" s="1">
        <f>GEOMEAN(172,146,94,94,93,93,93,94,92,92)</f>
        <v>103.56879810697038</v>
      </c>
      <c r="C4" s="1">
        <f>GEOMEAN(276,201,225,236,220,245,184,247,181,206)</f>
        <v>220.28498693688402</v>
      </c>
      <c r="D4" s="1">
        <f>GEOMEAN(41,34,33,32,32,36,31,34,32,38)</f>
        <v>34.175536081353329</v>
      </c>
      <c r="E4" s="3">
        <v>4419485</v>
      </c>
      <c r="F4" s="3">
        <v>4990811</v>
      </c>
      <c r="G4" s="3">
        <f>GEOMEAN(1175,1175,1175,1175,1175,1163,1175,1175,1175,1175)</f>
        <v>1173.7944491693443</v>
      </c>
      <c r="I4" s="4">
        <f t="shared" si="1"/>
        <v>0.15514237514127682</v>
      </c>
      <c r="J4" s="4">
        <f t="shared" si="2"/>
        <v>0.32997907387179815</v>
      </c>
      <c r="K4" s="4">
        <f t="shared" si="0"/>
        <v>1.1269435482814436</v>
      </c>
    </row>
    <row r="5" spans="1:11" x14ac:dyDescent="0.25">
      <c r="A5" s="2" t="s">
        <v>10</v>
      </c>
      <c r="B5" s="1">
        <f>GEOMEAN(175,146,146,151,150,94,95,95,95,90)</f>
        <v>119.87684781085298</v>
      </c>
      <c r="C5" s="1">
        <f>GEOMEAN(291,217,205,210,224,208,205,180,178,183)</f>
        <v>208.09108230053405</v>
      </c>
      <c r="D5" s="1">
        <f>GEOMEAN(42,36,35,65,34,38,75,33,34,36)</f>
        <v>41.012404554467395</v>
      </c>
      <c r="E5" s="3">
        <v>4419061</v>
      </c>
      <c r="F5" s="3">
        <v>4990811</v>
      </c>
      <c r="G5" s="3">
        <v>920</v>
      </c>
      <c r="I5" s="4">
        <f t="shared" si="1"/>
        <v>0.19708871759932281</v>
      </c>
      <c r="J5" s="4">
        <f t="shared" si="2"/>
        <v>0.34212114602127836</v>
      </c>
      <c r="K5" s="4">
        <f t="shared" si="0"/>
        <v>0.73587382468439122</v>
      </c>
    </row>
    <row r="6" spans="1:11" x14ac:dyDescent="0.25">
      <c r="A6" s="2" t="s">
        <v>11</v>
      </c>
      <c r="B6" s="1">
        <f>GEOMEAN(224,94,158,156,94,94,93,92,92,93)</f>
        <v>112.87440697859671</v>
      </c>
      <c r="C6" s="1">
        <f>GEOMEAN(316,212,220,218,203,220,220,203,218,178)</f>
        <v>218.55543208790635</v>
      </c>
      <c r="D6" s="1">
        <f>GEOMEAN(45,39,38,34,35,37,38,35,37,36)</f>
        <v>37.29207310114711</v>
      </c>
      <c r="E6" s="3">
        <v>4419038</v>
      </c>
      <c r="F6" s="3">
        <v>4990811</v>
      </c>
      <c r="G6" s="3">
        <f>GEOMEAN(4665,4676,4689,4665,4689,4676,4689,4689,4689,4665)</f>
        <v>4679.1881799757884</v>
      </c>
      <c r="I6" s="4">
        <f t="shared" si="1"/>
        <v>0.17062981571717542</v>
      </c>
      <c r="J6" s="4">
        <f t="shared" si="2"/>
        <v>0.33038555062547037</v>
      </c>
      <c r="K6" s="4">
        <f t="shared" si="0"/>
        <v>0.93627092215287488</v>
      </c>
    </row>
    <row r="7" spans="1:11" x14ac:dyDescent="0.25">
      <c r="A7" s="2" t="s">
        <v>12</v>
      </c>
      <c r="B7" s="1">
        <f>GEOMEAN(182,142,159,153,147,94,94,95,95,98)</f>
        <v>121.86232551651052</v>
      </c>
      <c r="C7" s="1">
        <f>GEOMEAN(270,212,193,198,183,206,201,222,173,213)</f>
        <v>205.69394959730593</v>
      </c>
      <c r="D7" s="1">
        <f>GEOMEAN(35,37,36,34,34,36,37,32,36,33)</f>
        <v>34.96230641444587</v>
      </c>
      <c r="E7" s="3">
        <v>4419227</v>
      </c>
      <c r="F7" s="3">
        <v>4990811</v>
      </c>
      <c r="G7" s="3">
        <f>GEOMEAN(269,260,269,260,260,271,271,271,260,260)</f>
        <v>265.05006633095132</v>
      </c>
      <c r="I7" s="4">
        <f t="shared" si="1"/>
        <v>0.1699724589998528</v>
      </c>
      <c r="J7" s="4">
        <f t="shared" si="2"/>
        <v>0.28690004286607018</v>
      </c>
      <c r="K7" s="4">
        <f>C7/B7-1</f>
        <v>0.68792076407107028</v>
      </c>
    </row>
    <row r="8" spans="1:11" x14ac:dyDescent="0.25">
      <c r="A8" s="2" t="s">
        <v>13</v>
      </c>
      <c r="B8" s="1">
        <f>GEOMEAN(170,154,149,149,92,95,93,141,93,93)</f>
        <v>119.13850799335137</v>
      </c>
      <c r="C8" s="1">
        <f>GEOMEAN(287,218,206,229,231,203,215,219,205,221)</f>
        <v>222.3400925157321</v>
      </c>
      <c r="D8" s="1">
        <f>GEOMEAN(41,34,33,35,34,74,35,34,37,32)</f>
        <v>37.639635219257372</v>
      </c>
      <c r="E8" s="3">
        <v>4419274</v>
      </c>
      <c r="F8" s="3">
        <v>4990811</v>
      </c>
      <c r="G8" s="3">
        <f>GEOMEAN(395,394,394,394,394,395,395,395,394,394)</f>
        <v>394.39969584306868</v>
      </c>
      <c r="I8" s="4">
        <f t="shared" si="1"/>
        <v>0.16928856506882181</v>
      </c>
      <c r="J8" s="4">
        <f t="shared" si="2"/>
        <v>0.31593173234432215</v>
      </c>
      <c r="K8" s="4">
        <f t="shared" ref="K8:K11" si="3">C8/B8-1</f>
        <v>0.86623197033943033</v>
      </c>
    </row>
    <row r="9" spans="1:11" x14ac:dyDescent="0.25">
      <c r="A9" s="2" t="s">
        <v>14</v>
      </c>
      <c r="B9" s="1">
        <f>GEOMEAN(155,147,150,95,94,95,95,95,93,95)</f>
        <v>108.74189876967522</v>
      </c>
      <c r="C9" s="1">
        <f>GEOMEAN(288,213,214,223,242,216,217,183,243,180)</f>
        <v>220.01634447876955</v>
      </c>
      <c r="D9" s="1">
        <f>GEOMEAN(48,36,38,37,38,37,37,36,37,34)</f>
        <v>37.650428610065681</v>
      </c>
      <c r="E9" s="3">
        <v>4419433</v>
      </c>
      <c r="F9" s="3">
        <v>4990811</v>
      </c>
      <c r="G9" s="3">
        <f>GEOMEAN(6914,6904,6904,6913,6914,6904,6904,6904,6904,6904)</f>
        <v>6906.8985751528908</v>
      </c>
      <c r="I9" s="4">
        <f t="shared" si="1"/>
        <v>0.17112559841525207</v>
      </c>
      <c r="J9" s="4">
        <f t="shared" si="2"/>
        <v>0.34623663037016261</v>
      </c>
      <c r="K9" s="4">
        <f t="shared" si="3"/>
        <v>1.0232895228800749</v>
      </c>
    </row>
    <row r="10" spans="1:11" x14ac:dyDescent="0.25">
      <c r="A10" s="2" t="s">
        <v>15</v>
      </c>
      <c r="B10" s="1">
        <f>GEOMEAN(160,152,154,152,153,149,95,94,164,94)</f>
        <v>133.4144511486237</v>
      </c>
      <c r="C10" s="1">
        <f>GEOMEAN(261,202,213,218,212,217,236,183,214,182)</f>
        <v>212.69005436646407</v>
      </c>
      <c r="D10" s="1">
        <f>GEOMEAN(37,71,33,32,35,31,35,30,36,30)</f>
        <v>35.753344897141083</v>
      </c>
      <c r="E10" s="3">
        <v>4419251</v>
      </c>
      <c r="F10" s="3">
        <v>4990811</v>
      </c>
      <c r="G10" s="3">
        <f>GEOMEAN(706,700,706,700,700,698,692,706,700,706)</f>
        <v>701.38625069337809</v>
      </c>
      <c r="I10" s="4">
        <f t="shared" si="1"/>
        <v>0.16810069000940786</v>
      </c>
      <c r="J10" s="4">
        <f t="shared" si="2"/>
        <v>0.26798704779973093</v>
      </c>
      <c r="K10" s="4">
        <f t="shared" si="3"/>
        <v>0.59420551923215092</v>
      </c>
    </row>
    <row r="11" spans="1:11" x14ac:dyDescent="0.25">
      <c r="A11" s="2" t="s">
        <v>16</v>
      </c>
      <c r="B11" s="1">
        <f>GEOMEAN(183,154,159,154,155,92,92,93,92,147)</f>
        <v>127.53767980087497</v>
      </c>
      <c r="C11" s="1">
        <f>GEOMEAN(297,203,212,208,196,200,215,208,208,214)</f>
        <v>214.63061269682478</v>
      </c>
      <c r="D11" s="1">
        <f>GEOMEAN(212,270,187,193,230,195,192,199,195,186)</f>
        <v>204.57675468436028</v>
      </c>
      <c r="E11" s="3">
        <v>4415988</v>
      </c>
      <c r="F11" s="3">
        <v>4990811</v>
      </c>
      <c r="G11" s="3">
        <f>GEOMEAN(383121,383115,383338,383227,383454,383098,382954,382976,383269,383058)</f>
        <v>383160.97017715906</v>
      </c>
      <c r="I11" s="4">
        <f t="shared" ref="I11" si="4">D11/C11</f>
        <v>0.95315739033617719</v>
      </c>
      <c r="J11" s="4">
        <f t="shared" ref="J11" si="5">D11/B11</f>
        <v>1.6040495248444748</v>
      </c>
      <c r="K11" s="4">
        <f t="shared" si="3"/>
        <v>0.6828800165717952</v>
      </c>
    </row>
    <row r="13" spans="1:11" x14ac:dyDescent="0.25">
      <c r="I13" s="4">
        <f>AVERAGE(I3:I10)</f>
        <v>0.17240681190245299</v>
      </c>
      <c r="J13" s="4">
        <f>AVERAGE(J3:J10)</f>
        <v>0.31766818949507836</v>
      </c>
      <c r="K13" s="4">
        <f>AVERAGE(K2:K10)</f>
        <v>0.64217531075393297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E12" sqref="E12"/>
    </sheetView>
  </sheetViews>
  <sheetFormatPr baseColWidth="10" defaultColWidth="9.140625" defaultRowHeight="15" x14ac:dyDescent="0.25"/>
  <cols>
    <col min="1" max="1" width="22" customWidth="1"/>
    <col min="2" max="2" width="17.140625" customWidth="1"/>
    <col min="3" max="3" width="14.140625" customWidth="1"/>
    <col min="4" max="4" width="15.140625" customWidth="1"/>
    <col min="5" max="5" width="16.85546875" customWidth="1"/>
    <col min="6" max="6" width="14.28515625" customWidth="1"/>
    <col min="7" max="7" width="14.7109375" customWidth="1"/>
    <col min="8" max="8" width="14.85546875" customWidth="1"/>
    <col min="9" max="9" width="13.85546875" customWidth="1"/>
    <col min="10" max="10" width="21.57031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18</v>
      </c>
      <c r="I1" s="2" t="s">
        <v>19</v>
      </c>
      <c r="J1" s="2" t="s">
        <v>20</v>
      </c>
      <c r="N1" s="2" t="s">
        <v>17</v>
      </c>
    </row>
    <row r="2" spans="1:14" x14ac:dyDescent="0.25">
      <c r="A2" s="2" t="s">
        <v>7</v>
      </c>
      <c r="B2">
        <f>AVERAGE(83.9,48.9,37.8,38.4,37.5,37.9,37,36.8,36.7,36.9)</f>
        <v>43.18</v>
      </c>
      <c r="C2">
        <f>AVERAGE(168.4,44.2,67.3,43.9,46.4,46.6,44.2,64.2,46.6,46.7)</f>
        <v>61.850000000000009</v>
      </c>
      <c r="D2">
        <f>AVERAGE(24.5,24,29.4,24,28,28.7,117.6,102.6,26.1,28.4)</f>
        <v>43.33</v>
      </c>
      <c r="E2">
        <f>AVERAGE(1261489,1261429,1261504,1261454,1261481,1261442,1261469,1261402,1261441,1261465)</f>
        <v>1261457.6000000001</v>
      </c>
      <c r="F2">
        <v>1174627</v>
      </c>
      <c r="G2">
        <v>0</v>
      </c>
      <c r="L2" s="4">
        <f>D2/C2</f>
        <v>0.70056588520614382</v>
      </c>
      <c r="M2" s="4">
        <f>D2/B2</f>
        <v>1.0034738304770727</v>
      </c>
      <c r="N2" s="4">
        <f>C2/B2-1</f>
        <v>0.43237610004631799</v>
      </c>
    </row>
    <row r="3" spans="1:14" x14ac:dyDescent="0.25">
      <c r="A3" s="2" t="s">
        <v>8</v>
      </c>
      <c r="B3">
        <f>AVERAGE(50,90.4,43.1,53.5,54.9,38.3,37.7,37.2,37.7,38.2)</f>
        <v>48.099999999999994</v>
      </c>
      <c r="C3">
        <f>AVERAGE(156.5,50.1,50.5,45.5,46.9,47.2,45,52.5,43.7,44.9)</f>
        <v>58.279999999999994</v>
      </c>
      <c r="D3">
        <f>AVERAGE(30.3,29.8,30.5,29.2,28.7,31.4,26.2,78,77.4,48.3)</f>
        <v>40.980000000000004</v>
      </c>
      <c r="E3">
        <f>AVERAGE(1261529,1261460,1261476,1261563,1261431,1261542,1261529,1261501,1261547,1261523)</f>
        <v>1261510.1000000001</v>
      </c>
      <c r="F3">
        <v>1174652</v>
      </c>
      <c r="G3">
        <v>115</v>
      </c>
      <c r="H3">
        <f>AVERAGE(26.1,26.6,27.5,26.1,25.8,28.5,23.1,30.9,74.2,45.3)</f>
        <v>33.410000000000004</v>
      </c>
      <c r="L3" s="4">
        <f t="shared" ref="L3:L11" si="0">D3/C3</f>
        <v>0.70315717227179153</v>
      </c>
      <c r="M3" s="4">
        <f t="shared" ref="M3:M11" si="1">D3/B3</f>
        <v>0.85197505197505219</v>
      </c>
      <c r="N3" s="4">
        <f t="shared" ref="N3:N11" si="2">C3/B3-1</f>
        <v>0.2116424116424116</v>
      </c>
    </row>
    <row r="4" spans="1:14" x14ac:dyDescent="0.25">
      <c r="A4" s="2" t="s">
        <v>9</v>
      </c>
      <c r="B4">
        <f>AVERAGE(65.7,61.3,42.1,53.2,54,38.6,37.5,37.1,37.6,38.1)</f>
        <v>46.52000000000001</v>
      </c>
      <c r="C4">
        <f>AVERAGE(114.1,61.1,45.4,47.7,43.6,47,44.9,45.3,44.6,44.6)</f>
        <v>53.830000000000005</v>
      </c>
      <c r="D4">
        <f>AVERAGE(46.7,28.9,28.7,32.7,30.5,29,31.5,32.7,68.4,32.5)</f>
        <v>36.160000000000004</v>
      </c>
      <c r="E4">
        <f>AVERAGE(1261640,1261671,1261646,1261676,1261661,1261686,1261641,1261729,1261629,1261699)</f>
        <v>1261667.8</v>
      </c>
      <c r="F4">
        <v>1174817</v>
      </c>
      <c r="G4">
        <v>316</v>
      </c>
      <c r="H4">
        <f>AVERAGE(43.8,26.1,25.3,29.9,27.8,26,28.8,30,65.6,29.7)</f>
        <v>33.299999999999997</v>
      </c>
      <c r="L4" s="4">
        <f t="shared" si="0"/>
        <v>0.67174438045699425</v>
      </c>
      <c r="M4" s="4">
        <f t="shared" si="1"/>
        <v>0.77730008598452272</v>
      </c>
      <c r="N4" s="4">
        <f t="shared" si="2"/>
        <v>0.15713671539122953</v>
      </c>
    </row>
    <row r="5" spans="1:14" x14ac:dyDescent="0.25">
      <c r="A5" s="2" t="s">
        <v>10</v>
      </c>
      <c r="B5">
        <f>AVERAGE(54.7,83.4,42.7,53.4,55.3,39.2,38.5,38.2,38.1,38.9)</f>
        <v>48.239999999999995</v>
      </c>
      <c r="C5">
        <f>AVERAGE(99.3,48.1,61.8,44.5,50.1,44.9,45.8,46.1,48.1,44.1)</f>
        <v>53.280000000000008</v>
      </c>
      <c r="D5">
        <f>AVERAGE(30.5,28.9,34.7,28.2,29.1,48.7,32,28.1,47.9,32.6)</f>
        <v>34.070000000000007</v>
      </c>
      <c r="E5">
        <f>AVERAGE(1261400,1261414,1261446,1261421,1261373,1261422,1261361,1261381,1261418,1261398)</f>
        <v>1261403.3999999999</v>
      </c>
      <c r="F5">
        <v>1174577</v>
      </c>
      <c r="G5">
        <v>423</v>
      </c>
      <c r="H5">
        <f>AVERAGE(25.5,24.2,30,23.5,24.5,44.1,27.5,23.4,43.3,28)</f>
        <v>29.4</v>
      </c>
      <c r="L5" s="4">
        <f t="shared" si="0"/>
        <v>0.63945195195195204</v>
      </c>
      <c r="M5" s="4">
        <f t="shared" si="1"/>
        <v>0.70626036484245458</v>
      </c>
      <c r="N5" s="4">
        <f t="shared" si="2"/>
        <v>0.10447761194029881</v>
      </c>
    </row>
    <row r="6" spans="1:14" x14ac:dyDescent="0.25">
      <c r="A6" s="2" t="s">
        <v>11</v>
      </c>
      <c r="B6">
        <f>AVERAGE(49.9,80.5,41.6,38.7,39.4,37.1,36.4,36.8,36.5,37.2)</f>
        <v>43.41</v>
      </c>
      <c r="C6">
        <f>AVERAGE(76.1,58.8,50.8,49.5,51.8,45.8,44.5,44.9,43.5,46.3)</f>
        <v>51.2</v>
      </c>
      <c r="D6">
        <f>AVERAGE(51.2,31.4,31.5,30.5,29.5,37.3,143.9,82.5,28.8,34.9)</f>
        <v>50.149999999999991</v>
      </c>
      <c r="E6">
        <f>AVERAGE(1261229,1261236,1261261,1261237,1261235,1261370,1261313,1261289,1261341,1261272)</f>
        <v>1261278.3</v>
      </c>
      <c r="F6">
        <v>1174464</v>
      </c>
      <c r="G6">
        <v>1247</v>
      </c>
      <c r="H6">
        <f>AVERAGE(45,25.5,25.6,24.9,23.9,31.7,138.1,76.8,23,29.3)</f>
        <v>44.38</v>
      </c>
      <c r="L6" s="4">
        <f t="shared" si="0"/>
        <v>0.97949218749999978</v>
      </c>
      <c r="M6" s="4">
        <f t="shared" si="1"/>
        <v>1.1552637641096521</v>
      </c>
      <c r="N6" s="4">
        <f t="shared" si="2"/>
        <v>0.1794517392305921</v>
      </c>
    </row>
    <row r="7" spans="1:14" x14ac:dyDescent="0.25">
      <c r="A7" s="2" t="s">
        <v>12</v>
      </c>
      <c r="B7">
        <f>AVERAGE(60.6,83.4,43.3,54,54,38.4,37.5,37.4,37.7,38.7)</f>
        <v>48.499999999999993</v>
      </c>
      <c r="C7">
        <f>AVERAGE(97.9,46.3,45.2,46.2,45.7,44.9,45.2,50.4,46,46)</f>
        <v>51.379999999999995</v>
      </c>
      <c r="D7">
        <f>AVERAGE(29.7,31.1,31.1,30.1,31.1,27.4,33.4,27.5,28.1,29.2)</f>
        <v>29.869999999999997</v>
      </c>
      <c r="E7">
        <f>AVERAGE(1261494,1261490,1261480,1261406,1261548,1261548,1261390,1261551,1261460,1261434)</f>
        <v>1261480.1000000001</v>
      </c>
      <c r="F7">
        <v>1174641</v>
      </c>
      <c r="G7">
        <v>122</v>
      </c>
      <c r="H7">
        <f>AVERAGE(26.4,28.1,26,27,28.2,24.3,30.3,24.3,25,25.8)</f>
        <v>26.540000000000003</v>
      </c>
      <c r="L7" s="4">
        <f t="shared" si="0"/>
        <v>0.58135461268976252</v>
      </c>
      <c r="M7" s="4">
        <f t="shared" si="1"/>
        <v>0.61587628865979382</v>
      </c>
      <c r="N7" s="4">
        <f t="shared" si="2"/>
        <v>5.9381443298969216E-2</v>
      </c>
    </row>
    <row r="8" spans="1:14" x14ac:dyDescent="0.25">
      <c r="A8" s="2" t="s">
        <v>13</v>
      </c>
      <c r="B8">
        <f>AVERAGE(65.3,61.7,42,53.9,55.7,36.7,36.9,36.5,36.2,37.3)</f>
        <v>46.22</v>
      </c>
      <c r="C8">
        <f>AVERAGE(121.3,62.9,46.7,45.3,44.3,44.3,44.7,44.5,44.9,45.2)</f>
        <v>54.410000000000004</v>
      </c>
      <c r="D8">
        <f>AVERAGE(46.1,33.2,32.6,28.4,34.9,31.5,128.6,54.8,78.5,86.5)</f>
        <v>55.510000000000005</v>
      </c>
      <c r="E8">
        <f>AVERAGE(1261458,1261537,1261536,1261523,1261516,1261529,1261455,1261586,1261578,1261505)</f>
        <v>1261522.3</v>
      </c>
      <c r="F8">
        <v>1174694</v>
      </c>
      <c r="G8">
        <v>191</v>
      </c>
      <c r="H8">
        <f>AVERAGE(42.3,29.7,29.3,25.1,30.1,28.3,125.3,51,75.2,83.3)</f>
        <v>51.96</v>
      </c>
      <c r="L8" s="4">
        <f t="shared" si="0"/>
        <v>1.020216871898548</v>
      </c>
      <c r="M8" s="4">
        <f t="shared" si="1"/>
        <v>1.2009952401557769</v>
      </c>
      <c r="N8" s="4">
        <f t="shared" si="2"/>
        <v>0.1771960190393771</v>
      </c>
    </row>
    <row r="9" spans="1:14" x14ac:dyDescent="0.25">
      <c r="A9" s="2" t="s">
        <v>14</v>
      </c>
      <c r="B9">
        <f>AVERAGE(68.7,60.1,41,38.5,37.4,36.3,37.2,50.1,55.8,37.2)</f>
        <v>46.230000000000004</v>
      </c>
      <c r="C9">
        <f>AVERAGE(108.9,60.9,49.6,51.1,56.4,46.2,47.8,50.4,47.8,51.7)</f>
        <v>57.08</v>
      </c>
      <c r="D9">
        <f>AVERAGE(52,33,30.5,34.1,34.8,30.8,52.2,34,29.9,86.4)</f>
        <v>41.769999999999996</v>
      </c>
      <c r="E9">
        <f>AVERAGE(1261510,1261493,1261546,1261474,1261542,1261539,1261498,1261528,1261509,1261494)</f>
        <v>1261513.3</v>
      </c>
      <c r="F9">
        <v>1174664</v>
      </c>
      <c r="G9">
        <v>1892</v>
      </c>
      <c r="H9">
        <f>AVERAGE(45.4,26.8,24.1,28.1,28.8,24.5,46.1,27.9,23.6,80)</f>
        <v>35.53</v>
      </c>
      <c r="L9" s="4">
        <f t="shared" si="0"/>
        <v>0.73177995795374906</v>
      </c>
      <c r="M9" s="4">
        <f t="shared" si="1"/>
        <v>0.90352584901579047</v>
      </c>
      <c r="N9" s="4">
        <f t="shared" si="2"/>
        <v>0.23469608479342408</v>
      </c>
    </row>
    <row r="10" spans="1:14" x14ac:dyDescent="0.25">
      <c r="A10" s="2" t="s">
        <v>15</v>
      </c>
      <c r="B10">
        <f>AVERAGE(61.6,73.4,42.2,52.9,54.4,38.8,38.4,37.8,37.7,38.4)</f>
        <v>47.559999999999995</v>
      </c>
      <c r="C10">
        <f>AVERAGE(135.8,65.9,45.4,45.2,60.3,45.1,47.6,45.1,45,44.9)</f>
        <v>58.030000000000008</v>
      </c>
      <c r="D10">
        <f>AVERAGE(44.6,31.8,48.9,31.2,26.5,30.1,30.8,29.7,51.9,45.1)</f>
        <v>37.06</v>
      </c>
      <c r="E10">
        <f>AVERAGE(1261444,1261515,1261454,1261442,1261409,1261507,1261417,1261404,1261432,1261451)</f>
        <v>1261447.5</v>
      </c>
      <c r="F10">
        <v>1174627</v>
      </c>
      <c r="G10">
        <v>257</v>
      </c>
      <c r="H10">
        <f>AVERAGE(41.5,27.6,45.8,28.3,23.6,27.3,27.9,22.8,49,42.2)</f>
        <v>33.6</v>
      </c>
      <c r="L10" s="4">
        <f t="shared" si="0"/>
        <v>0.63863518869550229</v>
      </c>
      <c r="M10" s="4">
        <f t="shared" si="1"/>
        <v>0.77922624053826761</v>
      </c>
      <c r="N10" s="4">
        <f t="shared" si="2"/>
        <v>0.22014297729184218</v>
      </c>
    </row>
    <row r="11" spans="1:14" x14ac:dyDescent="0.25">
      <c r="A11" s="2" t="s">
        <v>16</v>
      </c>
      <c r="B11">
        <f>AVERAGE(110.4,37.4,38.3,56.2,38.5,38.1,38.4,37.5,38.7,38.1)</f>
        <v>47.160000000000004</v>
      </c>
      <c r="C11">
        <f>AVERAGE(101.2,51.1,62.2,44.8,44.9,47.6,44.8,44.9,48.9,44.9)</f>
        <v>53.529999999999994</v>
      </c>
      <c r="D11">
        <f>AVERAGE(193.8,179.3,197.9,193.3,200.8,198.8,194.3,188.8,190.4,219.1)</f>
        <v>195.64999999999998</v>
      </c>
      <c r="E11">
        <f>AVERAGE(1263515,1263520,1263538,1263492,1263488,1263528,1263509,1263548,1263571,1263543)</f>
        <v>1263525.2</v>
      </c>
      <c r="F11">
        <v>1176741</v>
      </c>
      <c r="G11">
        <f>AVERAGE(92735,93598,93098,93230,92654,93364,92676,93102,93754,93306)</f>
        <v>93151.7</v>
      </c>
      <c r="H11">
        <f>AVERAGE(42.3,26.4,30.1,29.2,29.3,28,46.2,27.6,27.8,70.8)</f>
        <v>35.770000000000003</v>
      </c>
      <c r="L11" s="4">
        <f t="shared" si="0"/>
        <v>3.6549598356062023</v>
      </c>
      <c r="M11" s="4">
        <f t="shared" si="1"/>
        <v>4.1486429177268862</v>
      </c>
      <c r="N11" s="4">
        <f t="shared" si="2"/>
        <v>0.1350720949957589</v>
      </c>
    </row>
    <row r="13" spans="1:14" x14ac:dyDescent="0.25">
      <c r="L13" s="4">
        <f>AVERAGE(L3:L10)</f>
        <v>0.74572904042728749</v>
      </c>
      <c r="M13" s="4">
        <f>AVERAGE(M3:M10)</f>
        <v>0.87380286066016377</v>
      </c>
      <c r="N13" s="4">
        <f>AVERAGE(N2:N10)</f>
        <v>0.19738901140827361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Reaching Definitions</vt:lpstr>
      <vt:lpstr>Uninitialized Variables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2013-08-30T14:13:50Z</dcterms:modified>
</cp:coreProperties>
</file>