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1415" windowHeight="5295" activeTab="1"/>
  </bookViews>
  <sheets>
    <sheet name="Full Diff" sheetId="1" r:id="rId1"/>
    <sheet name="Accumulated Savings" sheetId="2" r:id="rId2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D28" i="1" l="1"/>
  <c r="C27" i="1"/>
  <c r="D27" i="1"/>
  <c r="M29" i="1" l="1"/>
  <c r="N25" i="1"/>
  <c r="M25" i="1"/>
  <c r="M2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K20" i="1"/>
  <c r="J20" i="1"/>
  <c r="I20" i="1"/>
  <c r="H20" i="1"/>
  <c r="E20" i="1"/>
  <c r="D20" i="1"/>
  <c r="K25" i="1"/>
  <c r="J25" i="1"/>
  <c r="I25" i="1"/>
  <c r="E25" i="1"/>
  <c r="D25" i="1"/>
  <c r="K24" i="1" l="1"/>
  <c r="J24" i="1"/>
  <c r="I24" i="1"/>
  <c r="E24" i="1"/>
  <c r="D24" i="1"/>
  <c r="K23" i="1"/>
  <c r="J23" i="1"/>
  <c r="I23" i="1"/>
  <c r="E23" i="1"/>
  <c r="D23" i="1"/>
  <c r="I22" i="1"/>
  <c r="K22" i="1"/>
  <c r="J22" i="1"/>
  <c r="H22" i="1"/>
  <c r="D22" i="1"/>
  <c r="E22" i="1"/>
  <c r="K21" i="1"/>
  <c r="J21" i="1"/>
  <c r="I21" i="1"/>
  <c r="E21" i="1"/>
  <c r="D21" i="1"/>
  <c r="K19" i="1" l="1"/>
  <c r="J19" i="1"/>
  <c r="I19" i="1"/>
  <c r="H19" i="1"/>
  <c r="E19" i="1"/>
  <c r="D19" i="1"/>
  <c r="K18" i="1"/>
  <c r="J18" i="1"/>
  <c r="I18" i="1"/>
  <c r="H18" i="1"/>
  <c r="E18" i="1"/>
  <c r="D18" i="1"/>
  <c r="K17" i="1"/>
  <c r="J17" i="1"/>
  <c r="I17" i="1"/>
  <c r="E17" i="1"/>
  <c r="D17" i="1"/>
  <c r="K16" i="1"/>
  <c r="J16" i="1"/>
  <c r="I16" i="1"/>
  <c r="H16" i="1"/>
  <c r="E16" i="1"/>
  <c r="D16" i="1"/>
  <c r="K15" i="1" l="1"/>
  <c r="J15" i="1"/>
  <c r="I15" i="1"/>
  <c r="E15" i="1"/>
  <c r="D15" i="1"/>
  <c r="K14" i="1"/>
  <c r="J14" i="1"/>
  <c r="I14" i="1"/>
  <c r="H14" i="1"/>
  <c r="E14" i="1"/>
  <c r="D14" i="1"/>
  <c r="K13" i="1"/>
  <c r="J13" i="1"/>
  <c r="I13" i="1"/>
  <c r="E13" i="1"/>
  <c r="D13" i="1"/>
  <c r="K12" i="1"/>
  <c r="J12" i="1"/>
  <c r="I12" i="1"/>
  <c r="E12" i="1"/>
  <c r="D12" i="1"/>
  <c r="K11" i="1"/>
  <c r="J11" i="1"/>
  <c r="I11" i="1"/>
  <c r="E11" i="1"/>
  <c r="D11" i="1"/>
  <c r="K10" i="1" l="1"/>
  <c r="J10" i="1"/>
  <c r="I10" i="1"/>
  <c r="E10" i="1"/>
  <c r="D10" i="1"/>
  <c r="K9" i="1"/>
  <c r="J9" i="1"/>
  <c r="I9" i="1"/>
  <c r="E9" i="1"/>
  <c r="D9" i="1"/>
  <c r="K8" i="1"/>
  <c r="J8" i="1"/>
  <c r="I8" i="1"/>
  <c r="E8" i="1"/>
  <c r="D8" i="1"/>
  <c r="K7" i="1"/>
  <c r="J7" i="1"/>
  <c r="I7" i="1"/>
  <c r="E7" i="1"/>
  <c r="D7" i="1"/>
  <c r="K6" i="1" l="1"/>
  <c r="J6" i="1"/>
  <c r="I6" i="1"/>
  <c r="H6" i="1"/>
  <c r="E6" i="1"/>
  <c r="D6" i="1"/>
  <c r="K5" i="1"/>
  <c r="J5" i="1"/>
  <c r="I5" i="1"/>
  <c r="E5" i="1"/>
  <c r="D5" i="1"/>
  <c r="K4" i="1"/>
  <c r="J4" i="1"/>
  <c r="I4" i="1"/>
  <c r="E4" i="1"/>
  <c r="D4" i="1"/>
  <c r="K3" i="1"/>
  <c r="J3" i="1"/>
  <c r="D3" i="1"/>
  <c r="E3" i="1"/>
  <c r="I3" i="1"/>
  <c r="H3" i="1"/>
  <c r="K2" i="1"/>
  <c r="J2" i="1"/>
  <c r="I2" i="1"/>
  <c r="E2" i="1"/>
  <c r="D2" i="1"/>
  <c r="C25" i="1" l="1"/>
  <c r="C24" i="1"/>
  <c r="C23" i="1"/>
  <c r="C22" i="1"/>
  <c r="C21" i="1"/>
  <c r="C20" i="1"/>
  <c r="C19" i="1"/>
  <c r="C18" i="1"/>
  <c r="C17" i="1"/>
  <c r="C16" i="1"/>
  <c r="C15" i="1"/>
  <c r="C14" i="1" l="1"/>
  <c r="C13" i="1"/>
  <c r="C12" i="1"/>
  <c r="C11" i="1"/>
  <c r="C10" i="1"/>
  <c r="C9" i="1"/>
  <c r="C8" i="1"/>
  <c r="C7" i="1"/>
  <c r="C6" i="1"/>
  <c r="C5" i="1"/>
  <c r="C4" i="1" l="1"/>
  <c r="C3" i="1"/>
  <c r="C2" i="1"/>
  <c r="C28" i="1" l="1"/>
  <c r="E28" i="1" l="1"/>
  <c r="E27" i="1" l="1"/>
  <c r="F27" i="1"/>
  <c r="G27" i="1"/>
  <c r="H27" i="1"/>
  <c r="K27" i="1"/>
  <c r="J27" i="1"/>
  <c r="I27" i="1"/>
  <c r="N2" i="1"/>
  <c r="O2" i="1"/>
  <c r="M2" i="1" l="1"/>
  <c r="M28" i="1" l="1"/>
  <c r="O27" i="1"/>
  <c r="N27" i="1"/>
</calcChain>
</file>

<file path=xl/sharedStrings.xml><?xml version="1.0" encoding="utf-8"?>
<sst xmlns="http://schemas.openxmlformats.org/spreadsheetml/2006/main" count="18" uniqueCount="16">
  <si>
    <t>OriginalTiming</t>
  </si>
  <si>
    <t>InitialTiming</t>
  </si>
  <si>
    <t>UpdateTiming</t>
  </si>
  <si>
    <t>OriginalEdges</t>
  </si>
  <si>
    <t>InitialEdges</t>
  </si>
  <si>
    <t>UpdateEdges</t>
  </si>
  <si>
    <t>From Revision</t>
  </si>
  <si>
    <t>To Revision</t>
  </si>
  <si>
    <t>Savings</t>
  </si>
  <si>
    <t>Overhead</t>
  </si>
  <si>
    <t>Savings HEROS</t>
  </si>
  <si>
    <t>Changeset</t>
  </si>
  <si>
    <t>Struct Diff</t>
  </si>
  <si>
    <t>Unchanged Pointers</t>
  </si>
  <si>
    <t>Recompute</t>
  </si>
  <si>
    <t>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</si>
</sst>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10" fontId="0" fillId="0" borderId="0" xfId="0" applyNumberFormat="1"/>
    <xf numFmtId="164" fontId="1" fillId="0" borderId="0" xfId="0" applyNumberFormat="1" applyFont="1"/>
    <xf numFmtId="0" fontId="0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Initial Timing</c:v>
          </c:tx>
          <c:invertIfNegative val="0"/>
          <c:cat>
            <c:numRef>
              <c:f>'Full Diff'!$A$2:$A$25</c:f>
              <c:numCache>
                <c:formatCode>00000</c:formatCode>
                <c:ptCount val="24"/>
                <c:pt idx="0">
                  <c:v>201306040837</c:v>
                </c:pt>
                <c:pt idx="1">
                  <c:v>201306041738</c:v>
                </c:pt>
                <c:pt idx="2">
                  <c:v>201306061001</c:v>
                </c:pt>
                <c:pt idx="3">
                  <c:v>201306061858</c:v>
                </c:pt>
                <c:pt idx="4">
                  <c:v>201306131547</c:v>
                </c:pt>
                <c:pt idx="5">
                  <c:v>201306140947</c:v>
                </c:pt>
                <c:pt idx="6">
                  <c:v>201306141844</c:v>
                </c:pt>
                <c:pt idx="7">
                  <c:v>201306151219</c:v>
                </c:pt>
                <c:pt idx="8">
                  <c:v>201306161541</c:v>
                </c:pt>
                <c:pt idx="9">
                  <c:v>201306161548</c:v>
                </c:pt>
                <c:pt idx="10">
                  <c:v>201306162138</c:v>
                </c:pt>
                <c:pt idx="11">
                  <c:v>201306192053</c:v>
                </c:pt>
                <c:pt idx="12">
                  <c:v>201306200925</c:v>
                </c:pt>
                <c:pt idx="13">
                  <c:v>201306201648</c:v>
                </c:pt>
                <c:pt idx="14">
                  <c:v>201306261912</c:v>
                </c:pt>
                <c:pt idx="15">
                  <c:v>201306270212</c:v>
                </c:pt>
                <c:pt idx="16">
                  <c:v>201306281749</c:v>
                </c:pt>
                <c:pt idx="17">
                  <c:v>201307011116</c:v>
                </c:pt>
                <c:pt idx="18">
                  <c:v>201307021644</c:v>
                </c:pt>
                <c:pt idx="19">
                  <c:v>201307021649</c:v>
                </c:pt>
                <c:pt idx="20">
                  <c:v>201307041303</c:v>
                </c:pt>
                <c:pt idx="21">
                  <c:v>201307042149</c:v>
                </c:pt>
                <c:pt idx="22">
                  <c:v>201307042220</c:v>
                </c:pt>
                <c:pt idx="23">
                  <c:v>201307051815</c:v>
                </c:pt>
              </c:numCache>
            </c:numRef>
          </c:cat>
          <c:val>
            <c:numRef>
              <c:f>'Full Diff'!$D$2:$D$25</c:f>
              <c:numCache>
                <c:formatCode>0.00</c:formatCode>
                <c:ptCount val="24"/>
                <c:pt idx="0">
                  <c:v>53.3</c:v>
                </c:pt>
                <c:pt idx="1">
                  <c:v>47.8</c:v>
                </c:pt>
                <c:pt idx="2">
                  <c:v>49.9</c:v>
                </c:pt>
                <c:pt idx="3">
                  <c:v>52.3</c:v>
                </c:pt>
                <c:pt idx="4">
                  <c:v>63.8</c:v>
                </c:pt>
                <c:pt idx="5">
                  <c:v>53.3</c:v>
                </c:pt>
                <c:pt idx="6">
                  <c:v>54.2</c:v>
                </c:pt>
                <c:pt idx="7">
                  <c:v>55.1</c:v>
                </c:pt>
                <c:pt idx="8">
                  <c:v>49.6</c:v>
                </c:pt>
                <c:pt idx="9">
                  <c:v>51.6</c:v>
                </c:pt>
                <c:pt idx="10">
                  <c:v>61.5</c:v>
                </c:pt>
                <c:pt idx="11">
                  <c:v>62</c:v>
                </c:pt>
                <c:pt idx="12">
                  <c:v>56.8</c:v>
                </c:pt>
                <c:pt idx="13">
                  <c:v>56.1</c:v>
                </c:pt>
                <c:pt idx="14">
                  <c:v>53.6</c:v>
                </c:pt>
                <c:pt idx="15">
                  <c:v>68.400000000000006</c:v>
                </c:pt>
                <c:pt idx="16">
                  <c:v>50.9</c:v>
                </c:pt>
                <c:pt idx="17">
                  <c:v>48.8</c:v>
                </c:pt>
                <c:pt idx="18">
                  <c:v>49.3</c:v>
                </c:pt>
                <c:pt idx="19">
                  <c:v>55.9</c:v>
                </c:pt>
                <c:pt idx="20">
                  <c:v>57.9</c:v>
                </c:pt>
                <c:pt idx="21">
                  <c:v>57</c:v>
                </c:pt>
                <c:pt idx="22">
                  <c:v>49.5</c:v>
                </c:pt>
                <c:pt idx="23">
                  <c:v>54.7</c:v>
                </c:pt>
              </c:numCache>
            </c:numRef>
          </c:val>
        </c:ser>
        <c:ser>
          <c:idx val="2"/>
          <c:order val="1"/>
          <c:tx>
            <c:v>Original Timing</c:v>
          </c:tx>
          <c:invertIfNegative val="0"/>
          <c:cat>
            <c:numRef>
              <c:f>'Full Diff'!$A$2:$A$25</c:f>
              <c:numCache>
                <c:formatCode>00000</c:formatCode>
                <c:ptCount val="24"/>
                <c:pt idx="0">
                  <c:v>201306040837</c:v>
                </c:pt>
                <c:pt idx="1">
                  <c:v>201306041738</c:v>
                </c:pt>
                <c:pt idx="2">
                  <c:v>201306061001</c:v>
                </c:pt>
                <c:pt idx="3">
                  <c:v>201306061858</c:v>
                </c:pt>
                <c:pt idx="4">
                  <c:v>201306131547</c:v>
                </c:pt>
                <c:pt idx="5">
                  <c:v>201306140947</c:v>
                </c:pt>
                <c:pt idx="6">
                  <c:v>201306141844</c:v>
                </c:pt>
                <c:pt idx="7">
                  <c:v>201306151219</c:v>
                </c:pt>
                <c:pt idx="8">
                  <c:v>201306161541</c:v>
                </c:pt>
                <c:pt idx="9">
                  <c:v>201306161548</c:v>
                </c:pt>
                <c:pt idx="10">
                  <c:v>201306162138</c:v>
                </c:pt>
                <c:pt idx="11">
                  <c:v>201306192053</c:v>
                </c:pt>
                <c:pt idx="12">
                  <c:v>201306200925</c:v>
                </c:pt>
                <c:pt idx="13">
                  <c:v>201306201648</c:v>
                </c:pt>
                <c:pt idx="14">
                  <c:v>201306261912</c:v>
                </c:pt>
                <c:pt idx="15">
                  <c:v>201306270212</c:v>
                </c:pt>
                <c:pt idx="16">
                  <c:v>201306281749</c:v>
                </c:pt>
                <c:pt idx="17">
                  <c:v>201307011116</c:v>
                </c:pt>
                <c:pt idx="18">
                  <c:v>201307021644</c:v>
                </c:pt>
                <c:pt idx="19">
                  <c:v>201307021649</c:v>
                </c:pt>
                <c:pt idx="20">
                  <c:v>201307041303</c:v>
                </c:pt>
                <c:pt idx="21">
                  <c:v>201307042149</c:v>
                </c:pt>
                <c:pt idx="22">
                  <c:v>201307042220</c:v>
                </c:pt>
                <c:pt idx="23">
                  <c:v>201307051815</c:v>
                </c:pt>
              </c:numCache>
            </c:numRef>
          </c:cat>
          <c:val>
            <c:numRef>
              <c:f>'Full Diff'!$C$2:$C$25</c:f>
              <c:numCache>
                <c:formatCode>0.00</c:formatCode>
                <c:ptCount val="24"/>
                <c:pt idx="0">
                  <c:v>61.3</c:v>
                </c:pt>
                <c:pt idx="1">
                  <c:v>57.3</c:v>
                </c:pt>
                <c:pt idx="2">
                  <c:v>44.909090909090907</c:v>
                </c:pt>
                <c:pt idx="3">
                  <c:v>48.9</c:v>
                </c:pt>
                <c:pt idx="4">
                  <c:v>36.636363636363633</c:v>
                </c:pt>
                <c:pt idx="5">
                  <c:v>49.6</c:v>
                </c:pt>
                <c:pt idx="6">
                  <c:v>45.454545454545453</c:v>
                </c:pt>
                <c:pt idx="7">
                  <c:v>48.2</c:v>
                </c:pt>
                <c:pt idx="8">
                  <c:v>40</c:v>
                </c:pt>
                <c:pt idx="9">
                  <c:v>40.5</c:v>
                </c:pt>
                <c:pt idx="10">
                  <c:v>45.9</c:v>
                </c:pt>
                <c:pt idx="11">
                  <c:v>46.7</c:v>
                </c:pt>
                <c:pt idx="12">
                  <c:v>46.3</c:v>
                </c:pt>
                <c:pt idx="13">
                  <c:v>44.4</c:v>
                </c:pt>
                <c:pt idx="14">
                  <c:v>49</c:v>
                </c:pt>
                <c:pt idx="15">
                  <c:v>50.5</c:v>
                </c:pt>
                <c:pt idx="16">
                  <c:v>48.5</c:v>
                </c:pt>
                <c:pt idx="17">
                  <c:v>42.090909090909093</c:v>
                </c:pt>
                <c:pt idx="18">
                  <c:v>55</c:v>
                </c:pt>
                <c:pt idx="19">
                  <c:v>47.6</c:v>
                </c:pt>
                <c:pt idx="20">
                  <c:v>49.8</c:v>
                </c:pt>
                <c:pt idx="21">
                  <c:v>44</c:v>
                </c:pt>
                <c:pt idx="22">
                  <c:v>44.454545454545453</c:v>
                </c:pt>
                <c:pt idx="23">
                  <c:v>40.090909090909093</c:v>
                </c:pt>
              </c:numCache>
            </c:numRef>
          </c:val>
        </c:ser>
        <c:ser>
          <c:idx val="1"/>
          <c:order val="2"/>
          <c:tx>
            <c:v>Update Timing</c:v>
          </c:tx>
          <c:invertIfNegative val="0"/>
          <c:cat>
            <c:numRef>
              <c:f>'Full Diff'!$A$2:$A$25</c:f>
              <c:numCache>
                <c:formatCode>00000</c:formatCode>
                <c:ptCount val="24"/>
                <c:pt idx="0">
                  <c:v>201306040837</c:v>
                </c:pt>
                <c:pt idx="1">
                  <c:v>201306041738</c:v>
                </c:pt>
                <c:pt idx="2">
                  <c:v>201306061001</c:v>
                </c:pt>
                <c:pt idx="3">
                  <c:v>201306061858</c:v>
                </c:pt>
                <c:pt idx="4">
                  <c:v>201306131547</c:v>
                </c:pt>
                <c:pt idx="5">
                  <c:v>201306140947</c:v>
                </c:pt>
                <c:pt idx="6">
                  <c:v>201306141844</c:v>
                </c:pt>
                <c:pt idx="7">
                  <c:v>201306151219</c:v>
                </c:pt>
                <c:pt idx="8">
                  <c:v>201306161541</c:v>
                </c:pt>
                <c:pt idx="9">
                  <c:v>201306161548</c:v>
                </c:pt>
                <c:pt idx="10">
                  <c:v>201306162138</c:v>
                </c:pt>
                <c:pt idx="11">
                  <c:v>201306192053</c:v>
                </c:pt>
                <c:pt idx="12">
                  <c:v>201306200925</c:v>
                </c:pt>
                <c:pt idx="13">
                  <c:v>201306201648</c:v>
                </c:pt>
                <c:pt idx="14">
                  <c:v>201306261912</c:v>
                </c:pt>
                <c:pt idx="15">
                  <c:v>201306270212</c:v>
                </c:pt>
                <c:pt idx="16">
                  <c:v>201306281749</c:v>
                </c:pt>
                <c:pt idx="17">
                  <c:v>201307011116</c:v>
                </c:pt>
                <c:pt idx="18">
                  <c:v>201307021644</c:v>
                </c:pt>
                <c:pt idx="19">
                  <c:v>201307021649</c:v>
                </c:pt>
                <c:pt idx="20">
                  <c:v>201307041303</c:v>
                </c:pt>
                <c:pt idx="21">
                  <c:v>201307042149</c:v>
                </c:pt>
                <c:pt idx="22">
                  <c:v>201307042220</c:v>
                </c:pt>
                <c:pt idx="23">
                  <c:v>201307051815</c:v>
                </c:pt>
              </c:numCache>
            </c:numRef>
          </c:cat>
          <c:val>
            <c:numRef>
              <c:f>'Full Diff'!$E$2:$E$25</c:f>
              <c:numCache>
                <c:formatCode>0.00</c:formatCode>
                <c:ptCount val="24"/>
                <c:pt idx="0">
                  <c:v>8.8000000000000007</c:v>
                </c:pt>
                <c:pt idx="1">
                  <c:v>11.6</c:v>
                </c:pt>
                <c:pt idx="2">
                  <c:v>9</c:v>
                </c:pt>
                <c:pt idx="3">
                  <c:v>10.8</c:v>
                </c:pt>
                <c:pt idx="4">
                  <c:v>11.5</c:v>
                </c:pt>
                <c:pt idx="5">
                  <c:v>9.1</c:v>
                </c:pt>
                <c:pt idx="6">
                  <c:v>11.1</c:v>
                </c:pt>
                <c:pt idx="7">
                  <c:v>9.3000000000000007</c:v>
                </c:pt>
                <c:pt idx="8">
                  <c:v>11.1</c:v>
                </c:pt>
                <c:pt idx="9">
                  <c:v>9.1999999999999993</c:v>
                </c:pt>
                <c:pt idx="10">
                  <c:v>9.1999999999999993</c:v>
                </c:pt>
                <c:pt idx="11">
                  <c:v>8.8000000000000007</c:v>
                </c:pt>
                <c:pt idx="12">
                  <c:v>14.5</c:v>
                </c:pt>
                <c:pt idx="13">
                  <c:v>9.1999999999999993</c:v>
                </c:pt>
                <c:pt idx="14">
                  <c:v>12.5</c:v>
                </c:pt>
                <c:pt idx="15">
                  <c:v>9.3000000000000007</c:v>
                </c:pt>
                <c:pt idx="16">
                  <c:v>18.2</c:v>
                </c:pt>
                <c:pt idx="17">
                  <c:v>15.5</c:v>
                </c:pt>
                <c:pt idx="18">
                  <c:v>18.7</c:v>
                </c:pt>
                <c:pt idx="19">
                  <c:v>11</c:v>
                </c:pt>
                <c:pt idx="20">
                  <c:v>32.4</c:v>
                </c:pt>
                <c:pt idx="21">
                  <c:v>10.7</c:v>
                </c:pt>
                <c:pt idx="22">
                  <c:v>9</c:v>
                </c:pt>
                <c:pt idx="23">
                  <c:v>9.1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176896"/>
        <c:axId val="110178688"/>
      </c:barChart>
      <c:catAx>
        <c:axId val="110176896"/>
        <c:scaling>
          <c:orientation val="minMax"/>
        </c:scaling>
        <c:delete val="0"/>
        <c:axPos val="b"/>
        <c:numFmt formatCode="00000" sourceLinked="1"/>
        <c:majorTickMark val="out"/>
        <c:minorTickMark val="none"/>
        <c:tickLblPos val="nextTo"/>
        <c:crossAx val="110178688"/>
        <c:crosses val="autoZero"/>
        <c:auto val="1"/>
        <c:lblAlgn val="ctr"/>
        <c:lblOffset val="100"/>
        <c:noMultiLvlLbl val="0"/>
      </c:catAx>
      <c:valAx>
        <c:axId val="110178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017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29</xdr:row>
      <xdr:rowOff>152400</xdr:rowOff>
    </xdr:from>
    <xdr:to>
      <xdr:col>5</xdr:col>
      <xdr:colOff>409575</xdr:colOff>
      <xdr:row>47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29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9.28515625" bestFit="1" customWidth="1"/>
    <col min="2" max="2" width="19.28515625" customWidth="1"/>
    <col min="3" max="3" width="14" bestFit="1" customWidth="1"/>
    <col min="4" max="4" width="12.140625" bestFit="1" customWidth="1"/>
    <col min="5" max="5" width="13.42578125" bestFit="1" customWidth="1"/>
    <col min="6" max="6" width="13.140625" bestFit="1" customWidth="1"/>
    <col min="7" max="7" width="11.28515625" bestFit="1" customWidth="1"/>
    <col min="8" max="8" width="12.5703125" bestFit="1" customWidth="1"/>
    <col min="9" max="10" width="12.5703125" customWidth="1"/>
    <col min="11" max="11" width="19" bestFit="1" customWidth="1"/>
    <col min="13" max="13" width="9.7109375" bestFit="1" customWidth="1"/>
    <col min="14" max="14" width="10.42578125" customWidth="1"/>
    <col min="15" max="15" width="13.85546875" bestFit="1" customWidth="1"/>
  </cols>
  <sheetData>
    <row r="1" spans="1:15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12</v>
      </c>
      <c r="K1" s="2" t="s">
        <v>13</v>
      </c>
      <c r="M1" s="2" t="s">
        <v>9</v>
      </c>
      <c r="N1" s="2" t="s">
        <v>8</v>
      </c>
      <c r="O1" s="2" t="s">
        <v>10</v>
      </c>
    </row>
    <row r="2" spans="1:15" x14ac:dyDescent="0.25">
      <c r="A2" s="5">
        <v>201306040837</v>
      </c>
      <c r="B2" s="5">
        <v>201306041738</v>
      </c>
      <c r="C2" s="1">
        <f>AVERAGE(132,97,96,36,36,35,57,45,37,42)</f>
        <v>61.3</v>
      </c>
      <c r="D2" s="1">
        <f>AVERAGE(109,79,43,43,43,44,42,43,44,43)</f>
        <v>53.3</v>
      </c>
      <c r="E2" s="1">
        <f>AVERAGE(10,8,10,8,9,8,8,8,10,9)</f>
        <v>8.8000000000000007</v>
      </c>
      <c r="F2" s="3">
        <v>2118344</v>
      </c>
      <c r="G2" s="3">
        <v>2169863</v>
      </c>
      <c r="H2" s="3">
        <v>0</v>
      </c>
      <c r="I2" s="1">
        <f>AVERAGE(10,8,10,8,9,8,8,8,10,9)</f>
        <v>8.8000000000000007</v>
      </c>
      <c r="J2" s="1">
        <f>AVERAGE(5,4,5,4,5,4,4,4,5,4)</f>
        <v>4.4000000000000004</v>
      </c>
      <c r="K2" s="1">
        <f>AVERAGE(3,3,3,3,3,3,3,3,3,3)</f>
        <v>3</v>
      </c>
      <c r="L2" s="6"/>
      <c r="M2" s="4">
        <f t="shared" ref="M2:M24" si="0">D2/C2-1</f>
        <v>-0.13050570962479613</v>
      </c>
      <c r="N2" s="4">
        <f>E2/D2</f>
        <v>0.16510318949343342</v>
      </c>
      <c r="O2" s="4">
        <f t="shared" ref="O2:O25" si="1">E2/C2</f>
        <v>0.14355628058727571</v>
      </c>
    </row>
    <row r="3" spans="1:15" x14ac:dyDescent="0.25">
      <c r="A3" s="5">
        <v>201306041738</v>
      </c>
      <c r="B3" s="5">
        <v>201306061001</v>
      </c>
      <c r="C3" s="1">
        <f>AVERAGE(115,35,82,51,37,35,76,35,34,73)</f>
        <v>57.3</v>
      </c>
      <c r="D3" s="1">
        <f>AVERAGE(76,43,43,43,56,44,44,43,44,42)</f>
        <v>47.8</v>
      </c>
      <c r="E3" s="1">
        <f>AVERAGE(13,12,12,10,11,12,13,11,11,11)</f>
        <v>11.6</v>
      </c>
      <c r="F3">
        <v>2118473</v>
      </c>
      <c r="G3" s="3">
        <v>2169992</v>
      </c>
      <c r="H3" s="3">
        <f>AVERAGE(2406,2406,2406,2406,2397,2397,2397,2406,2406,2397)</f>
        <v>2402.4</v>
      </c>
      <c r="I3" s="1">
        <f>AVERAGE(10,9,10,8,9,9,10,8,9,9)</f>
        <v>9.1</v>
      </c>
      <c r="J3" s="1">
        <f>AVERAGE(5,5,5,4,4,5,5,4,4,4)</f>
        <v>4.5</v>
      </c>
      <c r="K3" s="1">
        <f>AVERAGE(3,3,3,3,3,3,3,3,3,3)</f>
        <v>3</v>
      </c>
      <c r="L3" s="6"/>
      <c r="M3" s="4">
        <f t="shared" si="0"/>
        <v>-0.1657940663176265</v>
      </c>
      <c r="N3" s="4">
        <f t="shared" ref="N3:N24" si="2">E3/D3</f>
        <v>0.24267782426778242</v>
      </c>
      <c r="O3" s="4">
        <f t="shared" si="1"/>
        <v>0.2024432809773124</v>
      </c>
    </row>
    <row r="4" spans="1:15" x14ac:dyDescent="0.25">
      <c r="A4" s="5">
        <v>201306061001</v>
      </c>
      <c r="B4" s="5">
        <v>201306061858</v>
      </c>
      <c r="C4" s="1">
        <f>AVERAGE(73,100,35,35,36,36,51,46,48,34,)</f>
        <v>44.909090909090907</v>
      </c>
      <c r="D4" s="1">
        <f>AVERAGE(92,43,43,44,42,43,43,45,61,43)</f>
        <v>49.9</v>
      </c>
      <c r="E4" s="1">
        <f>AVERAGE(10,8,9,9,9,8,9,9,10,9)</f>
        <v>9</v>
      </c>
      <c r="F4">
        <v>2118473</v>
      </c>
      <c r="G4" s="3">
        <v>2169992</v>
      </c>
      <c r="H4" s="3">
        <v>0</v>
      </c>
      <c r="I4" s="1">
        <f>AVERAGE(10,8,9,9,9,8,9,9,10,9)</f>
        <v>9</v>
      </c>
      <c r="J4" s="1">
        <f>AVERAGE(5,4,4,4,5,4,4,4,4,5,)</f>
        <v>3.9090909090909092</v>
      </c>
      <c r="K4" s="1">
        <f>AVERAGE(3,3,3,3,3,3,3,3,4,3,)</f>
        <v>2.8181818181818183</v>
      </c>
      <c r="L4" s="6"/>
      <c r="M4" s="4">
        <f t="shared" si="0"/>
        <v>0.11113360323886634</v>
      </c>
      <c r="N4" s="4">
        <f t="shared" si="2"/>
        <v>0.18036072144288579</v>
      </c>
      <c r="O4" s="4">
        <f t="shared" si="1"/>
        <v>0.20040485829959515</v>
      </c>
    </row>
    <row r="5" spans="1:15" x14ac:dyDescent="0.25">
      <c r="A5" s="5">
        <v>201306061858</v>
      </c>
      <c r="B5" s="5">
        <v>201306131547</v>
      </c>
      <c r="C5" s="1">
        <f>AVERAGE(101,35,35,35,36,82,61,34,35,35)</f>
        <v>48.9</v>
      </c>
      <c r="D5" s="1">
        <f>AVERAGE(94,44,56,58,44,43,43,55,43,43)</f>
        <v>52.3</v>
      </c>
      <c r="E5" s="1">
        <f>AVERAGE(10,9,10,9,9,9,9,9,9,25)</f>
        <v>10.8</v>
      </c>
      <c r="F5">
        <v>2118473</v>
      </c>
      <c r="G5" s="3">
        <v>2169992</v>
      </c>
      <c r="H5" s="3">
        <v>0</v>
      </c>
      <c r="I5" s="1">
        <f>AVERAGE(10,9,10,9,9,9,9,9,9,25)</f>
        <v>10.8</v>
      </c>
      <c r="J5" s="1">
        <f>AVERAGE(5,4,6,4,5,4,4,4,4,21)</f>
        <v>6.1</v>
      </c>
      <c r="K5" s="1">
        <f>AVERAGE(3,3,3,3,3,3,3,3,3,3)</f>
        <v>3</v>
      </c>
      <c r="L5" s="6"/>
      <c r="M5" s="4">
        <f t="shared" si="0"/>
        <v>6.9529652351738136E-2</v>
      </c>
      <c r="N5" s="4">
        <f t="shared" si="2"/>
        <v>0.20650095602294458</v>
      </c>
      <c r="O5" s="4">
        <f t="shared" si="1"/>
        <v>0.2208588957055215</v>
      </c>
    </row>
    <row r="6" spans="1:15" x14ac:dyDescent="0.25">
      <c r="A6" s="5">
        <v>201306131547</v>
      </c>
      <c r="B6" s="5">
        <v>201306140947</v>
      </c>
      <c r="C6" s="1">
        <f>AVERAGE(62,41,36,36,50,36,35,35,35,37,)</f>
        <v>36.636363636363633</v>
      </c>
      <c r="D6" s="1">
        <f>AVERAGE(108,45,57,44,44,114,56,82,44,44)</f>
        <v>63.8</v>
      </c>
      <c r="E6" s="1">
        <f>AVERAGE(12,12,11,11,12,12,11,11,11,12)</f>
        <v>11.5</v>
      </c>
      <c r="F6">
        <v>2118599</v>
      </c>
      <c r="G6" s="3">
        <v>2170118</v>
      </c>
      <c r="H6" s="3">
        <f>AVERAGE(6306,6238,6273,6273,6273,6252,6198,6273,6273,6273)</f>
        <v>6263.2</v>
      </c>
      <c r="I6" s="1">
        <f>AVERAGE(10,9,9,8,9,9,9,8,9,9)</f>
        <v>8.9</v>
      </c>
      <c r="J6" s="1">
        <f>AVERAGE(5,4,4,4,5,5,4,4,5,5,)</f>
        <v>4.0909090909090908</v>
      </c>
      <c r="K6" s="1">
        <f>AVERAGE(3,3,3,3,3,3,3,3,3,3)</f>
        <v>3</v>
      </c>
      <c r="L6" s="6"/>
      <c r="M6" s="4">
        <f t="shared" si="0"/>
        <v>0.74143920595533497</v>
      </c>
      <c r="N6" s="4">
        <f t="shared" si="2"/>
        <v>0.18025078369905956</v>
      </c>
      <c r="O6" s="4">
        <f t="shared" si="1"/>
        <v>0.31389578163771714</v>
      </c>
    </row>
    <row r="7" spans="1:15" x14ac:dyDescent="0.25">
      <c r="A7" s="5">
        <v>201306140947</v>
      </c>
      <c r="B7" s="5">
        <v>201306141844</v>
      </c>
      <c r="C7" s="1">
        <f>AVERAGE(118,34,36,47,36,70,35,35,35,50)</f>
        <v>49.6</v>
      </c>
      <c r="D7" s="1">
        <f>AVERAGE(104,44,44,61,45,44,43,44,43,61)</f>
        <v>53.3</v>
      </c>
      <c r="E7" s="1">
        <f>AVERAGE(10,9,9,10,9,9,9,9,9,8)</f>
        <v>9.1</v>
      </c>
      <c r="F7">
        <v>2118599</v>
      </c>
      <c r="G7" s="3">
        <v>2170118</v>
      </c>
      <c r="H7" s="3">
        <v>0</v>
      </c>
      <c r="I7" s="1">
        <f>AVERAGE(10,9,9,10,9,9,9,9,9,8)</f>
        <v>9.1</v>
      </c>
      <c r="J7" s="1">
        <f>AVERAGE(5,4,4,5,5,5,4,4,5,4)</f>
        <v>4.5</v>
      </c>
      <c r="K7" s="1">
        <f>AVERAGE(4,3,3,3,3,3,3,3,3,3)</f>
        <v>3.1</v>
      </c>
      <c r="L7" s="6"/>
      <c r="M7" s="4">
        <f t="shared" si="0"/>
        <v>7.4596774193548265E-2</v>
      </c>
      <c r="N7" s="4">
        <f t="shared" si="2"/>
        <v>0.17073170731707318</v>
      </c>
      <c r="O7" s="4">
        <f t="shared" si="1"/>
        <v>0.18346774193548385</v>
      </c>
    </row>
    <row r="8" spans="1:15" x14ac:dyDescent="0.25">
      <c r="A8" s="5">
        <v>201306141844</v>
      </c>
      <c r="B8" s="5">
        <v>201306151219</v>
      </c>
      <c r="C8" s="1">
        <f>AVERAGE(80,38,112,35,50,36,35,35,34,45,)</f>
        <v>45.454545454545453</v>
      </c>
      <c r="D8" s="1">
        <f>AVERAGE(81,57,45,44,45,44,45,45,44,92)</f>
        <v>54.2</v>
      </c>
      <c r="E8" s="1">
        <f>AVERAGE(11,11,9,9,8,27,8,9,9,10)</f>
        <v>11.1</v>
      </c>
      <c r="F8">
        <v>2118599</v>
      </c>
      <c r="G8" s="3">
        <v>2170118</v>
      </c>
      <c r="H8" s="3">
        <v>0</v>
      </c>
      <c r="I8" s="1">
        <f>AVERAGE(11,11,9,9,8,27,8,9,9,10)</f>
        <v>11.1</v>
      </c>
      <c r="J8" s="1">
        <f>AVERAGE(5,4,4,4,4,23,4,4,4,4)</f>
        <v>6</v>
      </c>
      <c r="K8" s="1">
        <f>AVERAGE(4,5,3,3,3,3,3,3,3,5)</f>
        <v>3.5</v>
      </c>
      <c r="L8" s="6"/>
      <c r="M8" s="4">
        <f t="shared" si="0"/>
        <v>0.19240000000000013</v>
      </c>
      <c r="N8" s="4">
        <f t="shared" si="2"/>
        <v>0.20479704797047968</v>
      </c>
      <c r="O8" s="4">
        <f t="shared" si="1"/>
        <v>0.2442</v>
      </c>
    </row>
    <row r="9" spans="1:15" x14ac:dyDescent="0.25">
      <c r="A9" s="5">
        <v>201306151219</v>
      </c>
      <c r="B9" s="5">
        <v>201306161541</v>
      </c>
      <c r="C9" s="1">
        <f>AVERAGE(61,68,35,57,55,35,60,34,42,35)</f>
        <v>48.2</v>
      </c>
      <c r="D9" s="1">
        <f>AVERAGE(78,58,61,44,44,45,78,56,43,44)</f>
        <v>55.1</v>
      </c>
      <c r="E9" s="1">
        <f>AVERAGE(11,9,9,8,9,9,10,10,9,9)</f>
        <v>9.3000000000000007</v>
      </c>
      <c r="F9">
        <v>2118599</v>
      </c>
      <c r="G9" s="3">
        <v>2170118</v>
      </c>
      <c r="H9" s="3">
        <v>0</v>
      </c>
      <c r="I9" s="1">
        <f>AVERAGE(11,9,9,8,9,9,10,10,9,9)</f>
        <v>9.3000000000000007</v>
      </c>
      <c r="J9" s="1">
        <f>AVERAGE(6,4,3,4,5,4,6,6,4,4)</f>
        <v>4.5999999999999996</v>
      </c>
      <c r="K9" s="1">
        <f>AVERAGE(3,3,3,3,3,3,3,3,3,3)</f>
        <v>3</v>
      </c>
      <c r="L9" s="6"/>
      <c r="M9" s="4">
        <f t="shared" si="0"/>
        <v>0.14315352697095429</v>
      </c>
      <c r="N9" s="4">
        <f t="shared" si="2"/>
        <v>0.16878402903811254</v>
      </c>
      <c r="O9" s="4">
        <f t="shared" si="1"/>
        <v>0.19294605809128632</v>
      </c>
    </row>
    <row r="10" spans="1:15" x14ac:dyDescent="0.25">
      <c r="A10" s="5">
        <v>201306161541</v>
      </c>
      <c r="B10" s="5">
        <v>201306161548</v>
      </c>
      <c r="C10" s="1">
        <f>AVERAGE(78,35,37,36,36,36,35,36,35,36)</f>
        <v>40</v>
      </c>
      <c r="D10" s="1">
        <f>AVERAGE(80,60,45,45,45,44,44,45,44,44)</f>
        <v>49.6</v>
      </c>
      <c r="E10" s="1">
        <f>AVERAGE(11,10,9,8,9,10,9,27,9,9)</f>
        <v>11.1</v>
      </c>
      <c r="F10">
        <v>2118599</v>
      </c>
      <c r="G10" s="3">
        <v>2170118</v>
      </c>
      <c r="H10" s="3">
        <v>0</v>
      </c>
      <c r="I10" s="1">
        <f>AVERAGE(11,10,9,8,9,10,9,27,9,9)</f>
        <v>11.1</v>
      </c>
      <c r="J10" s="1">
        <f>AVERAGE(5,5,5,4,4,6,4,23,3,4)</f>
        <v>6.3</v>
      </c>
      <c r="K10" s="1">
        <f>AVERAGE(4,3,3,3,3,3,3,3,3,3)</f>
        <v>3.1</v>
      </c>
      <c r="L10" s="6"/>
      <c r="M10" s="4">
        <f t="shared" si="0"/>
        <v>0.24</v>
      </c>
      <c r="N10" s="4">
        <f t="shared" si="2"/>
        <v>0.22379032258064516</v>
      </c>
      <c r="O10" s="4">
        <f t="shared" si="1"/>
        <v>0.27749999999999997</v>
      </c>
    </row>
    <row r="11" spans="1:15" x14ac:dyDescent="0.25">
      <c r="A11" s="5">
        <v>201306161548</v>
      </c>
      <c r="B11" s="5">
        <v>201306162138</v>
      </c>
      <c r="C11" s="1">
        <f>AVERAGE(76,35,36,36,37,34,45,35,35,36)</f>
        <v>40.5</v>
      </c>
      <c r="D11" s="1">
        <f>AVERAGE(89,60,59,44,43,45,44,45,43,44)</f>
        <v>51.6</v>
      </c>
      <c r="E11" s="1">
        <f>AVERAGE(11,9,9,9,9,9,10,8,9,9)</f>
        <v>9.1999999999999993</v>
      </c>
      <c r="F11">
        <v>2118599</v>
      </c>
      <c r="G11" s="3">
        <v>2170118</v>
      </c>
      <c r="H11" s="3">
        <v>0</v>
      </c>
      <c r="I11" s="1">
        <f>AVERAGE(11,9,9,9,9,9,10,8,9,9)</f>
        <v>9.1999999999999993</v>
      </c>
      <c r="J11" s="1">
        <f>AVERAGE(5,4,5,5,4,5,5,4,5,5)</f>
        <v>4.7</v>
      </c>
      <c r="K11" s="1">
        <f>AVERAGE(4,3,3,3,3,3,3,3,3,3)</f>
        <v>3.1</v>
      </c>
      <c r="L11" s="6"/>
      <c r="M11" s="4">
        <f t="shared" si="0"/>
        <v>0.27407407407407414</v>
      </c>
      <c r="N11" s="4">
        <f t="shared" si="2"/>
        <v>0.17829457364341084</v>
      </c>
      <c r="O11" s="4">
        <f t="shared" si="1"/>
        <v>0.22716049382716047</v>
      </c>
    </row>
    <row r="12" spans="1:15" x14ac:dyDescent="0.25">
      <c r="A12" s="5">
        <v>201306162138</v>
      </c>
      <c r="B12" s="5">
        <v>201306192053</v>
      </c>
      <c r="C12" s="1">
        <f>AVERAGE(56,67,36,36,36,35,35,88,35,35)</f>
        <v>45.9</v>
      </c>
      <c r="D12" s="1">
        <f>AVERAGE(86,105,59,45,45,44,52,46,88,45)</f>
        <v>61.5</v>
      </c>
      <c r="E12" s="1">
        <f>AVERAGE(10,8,8,10,8,10,9,9,11,9)</f>
        <v>9.1999999999999993</v>
      </c>
      <c r="F12">
        <v>2118599</v>
      </c>
      <c r="G12" s="3">
        <v>2170118</v>
      </c>
      <c r="H12" s="3">
        <v>0</v>
      </c>
      <c r="I12" s="1">
        <f>AVERAGE(10,8,8,10,8,10,9,9,11,9)</f>
        <v>9.1999999999999993</v>
      </c>
      <c r="J12" s="1">
        <f>AVERAGE(5,4,4,5,4,6,4,4,6,4)</f>
        <v>4.5999999999999996</v>
      </c>
      <c r="K12" s="1">
        <f>AVERAGE(4,3,3,3,3,3,3,3,3,3)</f>
        <v>3.1</v>
      </c>
      <c r="L12" s="6"/>
      <c r="M12" s="4">
        <f t="shared" si="0"/>
        <v>0.33986928104575176</v>
      </c>
      <c r="N12" s="4">
        <f t="shared" si="2"/>
        <v>0.14959349593495933</v>
      </c>
      <c r="O12" s="4">
        <f t="shared" si="1"/>
        <v>0.20043572984749455</v>
      </c>
    </row>
    <row r="13" spans="1:15" x14ac:dyDescent="0.25">
      <c r="A13" s="5">
        <v>201306192053</v>
      </c>
      <c r="B13" s="5">
        <v>201306200925</v>
      </c>
      <c r="C13" s="1">
        <f>AVERAGE(64,81,35,35,35,53,53,37,37,37)</f>
        <v>46.7</v>
      </c>
      <c r="D13" s="1">
        <f>AVERAGE(99,45,45,45,80,44,57,43,44,118)</f>
        <v>62</v>
      </c>
      <c r="E13" s="1">
        <f>AVERAGE(10,9,8,9,9,9,9,8,9,8)</f>
        <v>8.8000000000000007</v>
      </c>
      <c r="F13">
        <v>2118599</v>
      </c>
      <c r="G13" s="3">
        <v>2170118</v>
      </c>
      <c r="H13" s="3">
        <v>0</v>
      </c>
      <c r="I13" s="1">
        <f>AVERAGE(10,9,8,9,9,9,9,8,9,8)</f>
        <v>8.8000000000000007</v>
      </c>
      <c r="J13" s="1">
        <f>AVERAGE(5,5,4,4,4,4,4,4,4,4)</f>
        <v>4.2</v>
      </c>
      <c r="K13" s="1">
        <f>AVERAGE(3,3,3,3,3,3,3,3,3,3)</f>
        <v>3</v>
      </c>
      <c r="L13" s="6"/>
      <c r="M13" s="4">
        <f t="shared" si="0"/>
        <v>0.32762312633832957</v>
      </c>
      <c r="N13" s="4">
        <f t="shared" si="2"/>
        <v>0.14193548387096774</v>
      </c>
      <c r="O13" s="4">
        <f t="shared" si="1"/>
        <v>0.18843683083511778</v>
      </c>
    </row>
    <row r="14" spans="1:15" x14ac:dyDescent="0.25">
      <c r="A14" s="5">
        <v>201306200925</v>
      </c>
      <c r="B14" s="5">
        <v>201306201648</v>
      </c>
      <c r="C14" s="1">
        <f>AVERAGE(86,42,39,39,39,36,79,34,34,35)</f>
        <v>46.3</v>
      </c>
      <c r="D14" s="1">
        <f>AVERAGE(103,44,78,44,44,44,78,44,44,45)</f>
        <v>56.8</v>
      </c>
      <c r="E14" s="1">
        <f>AVERAGE(18,12,12,12,12,12,12,13,12,30)</f>
        <v>14.5</v>
      </c>
      <c r="F14">
        <v>2119246</v>
      </c>
      <c r="G14" s="3">
        <v>2170765</v>
      </c>
      <c r="H14" s="3">
        <f>AVERAGE(14352,14498,14498,14340,14498,14348,14362,14498,14348,14498)</f>
        <v>14424</v>
      </c>
      <c r="I14" s="1">
        <f>AVERAGE(14,9,9,9,9,9,9,9,8,27)</f>
        <v>11.2</v>
      </c>
      <c r="J14" s="1">
        <f>AVERAGE(8,4,4,4,4,4,4,4,4,23)</f>
        <v>6.3</v>
      </c>
      <c r="K14" s="1">
        <f>AVERAGE(3,3,3,3,3,3,3,3,3,3)</f>
        <v>3</v>
      </c>
      <c r="L14" s="6"/>
      <c r="M14" s="4">
        <f t="shared" si="0"/>
        <v>0.226781857451404</v>
      </c>
      <c r="N14" s="4">
        <f t="shared" si="2"/>
        <v>0.25528169014084506</v>
      </c>
      <c r="O14" s="4">
        <f t="shared" si="1"/>
        <v>0.31317494600431967</v>
      </c>
    </row>
    <row r="15" spans="1:15" x14ac:dyDescent="0.25">
      <c r="A15" s="5">
        <v>201306201648</v>
      </c>
      <c r="B15" s="5">
        <v>201306261912</v>
      </c>
      <c r="C15" s="1">
        <f>AVERAGE(91,39,45,36,36,36,34,45,48,34)</f>
        <v>44.4</v>
      </c>
      <c r="D15" s="1">
        <f>AVERAGE(102,44,45,66,56,44,44,45,71,44)</f>
        <v>56.1</v>
      </c>
      <c r="E15" s="1">
        <f>AVERAGE(11,9,10,9,9,9,10,9,8,8)</f>
        <v>9.1999999999999993</v>
      </c>
      <c r="F15">
        <v>2119246</v>
      </c>
      <c r="G15" s="3">
        <v>2170765</v>
      </c>
      <c r="H15" s="3">
        <v>0</v>
      </c>
      <c r="I15" s="1">
        <f>AVERAGE(11,9,10,9,9,9,10,9,8,8)</f>
        <v>9.1999999999999993</v>
      </c>
      <c r="J15" s="1">
        <f>AVERAGE(6,4,5,4,4,4,6,4,4,4)</f>
        <v>4.5</v>
      </c>
      <c r="K15" s="1">
        <f>AVERAGE(3,4,3,3,3,3,3,3,3,3)</f>
        <v>3.1</v>
      </c>
      <c r="L15" s="6"/>
      <c r="M15" s="4">
        <f t="shared" si="0"/>
        <v>0.2635135135135136</v>
      </c>
      <c r="N15" s="4">
        <f t="shared" si="2"/>
        <v>0.1639928698752228</v>
      </c>
      <c r="O15" s="4">
        <f t="shared" si="1"/>
        <v>0.2072072072072072</v>
      </c>
    </row>
    <row r="16" spans="1:15" x14ac:dyDescent="0.25">
      <c r="A16" s="5">
        <v>201306261912</v>
      </c>
      <c r="B16" s="5">
        <v>201306270212</v>
      </c>
      <c r="C16" s="1">
        <f>AVERAGE(118,35,46,37,49,36,35,72,75,36,)</f>
        <v>49</v>
      </c>
      <c r="D16" s="1">
        <f>AVERAGE(96,45,44,44,87,44,44,44,44,44)</f>
        <v>53.6</v>
      </c>
      <c r="E16" s="1">
        <f>AVERAGE(14,12,12,12,12,13,12,13,12,13)</f>
        <v>12.5</v>
      </c>
      <c r="F16">
        <v>2119451</v>
      </c>
      <c r="G16" s="3">
        <v>2170970</v>
      </c>
      <c r="H16" s="3">
        <f>AVERAGE(2042,2042,2040,2042,2035,2044,2042,2043,2040,2041)</f>
        <v>2041.1</v>
      </c>
      <c r="I16" s="1">
        <f>AVERAGE(10,9,9,9,9,10,9,10,9,10)</f>
        <v>9.4</v>
      </c>
      <c r="J16" s="1">
        <f>AVERAGE(5,5,5,5,4,5,5,5,4,5)</f>
        <v>4.8</v>
      </c>
      <c r="K16" s="1">
        <f>AVERAGE(3,3,3,3,3,3,3,3,3,3)</f>
        <v>3</v>
      </c>
      <c r="L16" s="6"/>
      <c r="M16" s="4">
        <f t="shared" si="0"/>
        <v>9.3877551020408179E-2</v>
      </c>
      <c r="N16" s="4">
        <f t="shared" si="2"/>
        <v>0.2332089552238806</v>
      </c>
      <c r="O16" s="4">
        <f t="shared" si="1"/>
        <v>0.25510204081632654</v>
      </c>
    </row>
    <row r="17" spans="1:15" x14ac:dyDescent="0.25">
      <c r="A17" s="5">
        <v>201306270212</v>
      </c>
      <c r="B17" s="5">
        <v>201306281749</v>
      </c>
      <c r="C17" s="1">
        <f>AVERAGE(107,37,36,51,55,36,57,52,38,36)</f>
        <v>50.5</v>
      </c>
      <c r="D17" s="1">
        <f>AVERAGE(82,91,120,44,51,44,45,43,119,45)</f>
        <v>68.400000000000006</v>
      </c>
      <c r="E17" s="1">
        <f>AVERAGE(10,9,9,9,9,10,9,10,9,9)</f>
        <v>9.3000000000000007</v>
      </c>
      <c r="F17">
        <v>2119451</v>
      </c>
      <c r="G17" s="3">
        <v>2170970</v>
      </c>
      <c r="H17" s="3">
        <v>0</v>
      </c>
      <c r="I17" s="1">
        <f>AVERAGE(10,9,9,9,9,10,9,10,9,9)</f>
        <v>9.3000000000000007</v>
      </c>
      <c r="J17" s="1">
        <f>AVERAGE(6,4,4,4,4,6,4,6,4,4)</f>
        <v>4.5999999999999996</v>
      </c>
      <c r="K17" s="1">
        <f>AVERAGE(3,3,3,3,3,3,3,3,3,3)</f>
        <v>3</v>
      </c>
      <c r="M17" s="4">
        <f t="shared" si="0"/>
        <v>0.35445544554455455</v>
      </c>
      <c r="N17" s="4">
        <f t="shared" si="2"/>
        <v>0.13596491228070176</v>
      </c>
      <c r="O17" s="4">
        <f t="shared" si="1"/>
        <v>0.18415841584158418</v>
      </c>
    </row>
    <row r="18" spans="1:15" x14ac:dyDescent="0.25">
      <c r="A18" s="5">
        <v>201306281749</v>
      </c>
      <c r="B18" s="5">
        <v>201307011116</v>
      </c>
      <c r="C18" s="1">
        <f>AVERAGE(70,36,51,37,51,52,36,63,52,37)</f>
        <v>48.5</v>
      </c>
      <c r="D18" s="1">
        <f>AVERAGE(96,44,44,56,44,45,44,46,44,46)</f>
        <v>50.9</v>
      </c>
      <c r="E18" s="1">
        <f>AVERAGE(23,19,18,17,16,18,17,19,17,18)</f>
        <v>18.2</v>
      </c>
      <c r="F18">
        <v>2120567</v>
      </c>
      <c r="G18" s="3">
        <v>2172086</v>
      </c>
      <c r="H18" s="3">
        <f>AVERAGE(50349,50438,50401,50148,50438,50594,50438,50438,50147,50491)</f>
        <v>50388.2</v>
      </c>
      <c r="I18" s="1">
        <f>AVERAGE(12,9,9,9,8,9,8,9,9,9)</f>
        <v>9.1</v>
      </c>
      <c r="J18" s="1">
        <f>AVERAGE(5,4,4,4,4,5,4,4,4,5)</f>
        <v>4.3</v>
      </c>
      <c r="K18" s="1">
        <f>AVERAGE(3,3,3,3,3,3,3,3,3,3)</f>
        <v>3</v>
      </c>
      <c r="M18" s="4">
        <f t="shared" si="0"/>
        <v>4.9484536082474273E-2</v>
      </c>
      <c r="N18" s="4">
        <f t="shared" si="2"/>
        <v>0.35756385068762281</v>
      </c>
      <c r="O18" s="4">
        <f t="shared" si="1"/>
        <v>0.37525773195876289</v>
      </c>
    </row>
    <row r="19" spans="1:15" x14ac:dyDescent="0.25">
      <c r="A19" s="5">
        <v>201307011116</v>
      </c>
      <c r="B19" s="5">
        <v>201307021644</v>
      </c>
      <c r="C19" s="1">
        <f>AVERAGE(58,36,36,37,67,37,80,38,37,37,)</f>
        <v>42.090909090909093</v>
      </c>
      <c r="D19" s="1">
        <f>AVERAGE(86,44,44,46,45,44,45,44,46,44)</f>
        <v>48.8</v>
      </c>
      <c r="E19" s="1">
        <f>AVERAGE(19,15,17,15,16,15,15,15,14,14)</f>
        <v>15.5</v>
      </c>
      <c r="F19">
        <v>2119451</v>
      </c>
      <c r="G19" s="3">
        <v>2170970</v>
      </c>
      <c r="H19" s="3">
        <f>AVERAGE(47664,47527,47663,47475,47505,47340,47624,47476,47476,47335)</f>
        <v>47508.5</v>
      </c>
      <c r="I19" s="1">
        <f>AVERAGE(11,9,11,9,11,9,10,9,8,8)</f>
        <v>9.5</v>
      </c>
      <c r="J19" s="1">
        <f>AVERAGE(5,4,6,4,6,4,5,4,4,4)</f>
        <v>4.5999999999999996</v>
      </c>
      <c r="K19" s="1">
        <f>AVERAGE(3,3,3,3,3,3,3,3,3,3)</f>
        <v>3</v>
      </c>
      <c r="M19" s="4">
        <f t="shared" si="0"/>
        <v>0.15939524838012953</v>
      </c>
      <c r="N19" s="4">
        <f t="shared" si="2"/>
        <v>0.31762295081967212</v>
      </c>
      <c r="O19" s="4">
        <f t="shared" si="1"/>
        <v>0.36825053995680346</v>
      </c>
    </row>
    <row r="20" spans="1:15" x14ac:dyDescent="0.25">
      <c r="A20" s="5">
        <v>201307021644</v>
      </c>
      <c r="B20" s="5">
        <v>201307021649</v>
      </c>
      <c r="C20" s="1">
        <f>AVERAGE(80,53,36,37,104,45,34,36,89,36)</f>
        <v>55</v>
      </c>
      <c r="D20" s="1">
        <f>AVERAGE(83,45,43,60,44,43,45,43,44,43)</f>
        <v>49.3</v>
      </c>
      <c r="E20" s="1">
        <f>AVERAGE(24,18,18,18,19,21,17,17,17,18)</f>
        <v>18.7</v>
      </c>
      <c r="F20">
        <v>2120567</v>
      </c>
      <c r="G20" s="3">
        <v>2172086</v>
      </c>
      <c r="H20" s="3">
        <f>AVERAGE(50438,50491,50338,50471,50438,50276,50276,50491,50438,50276)</f>
        <v>50393.3</v>
      </c>
      <c r="I20" s="1">
        <f>AVERAGE(11,9,9,9,10,9,10,8,9,9)</f>
        <v>9.3000000000000007</v>
      </c>
      <c r="J20" s="1">
        <f>AVERAGE(6,4,4,5,6,4,4,4,4,5)</f>
        <v>4.5999999999999996</v>
      </c>
      <c r="K20" s="1">
        <f>AVERAGE(3,3,3,3,3,3,3,3,3,3)</f>
        <v>3</v>
      </c>
      <c r="M20" s="4">
        <f t="shared" si="0"/>
        <v>-0.10363636363636364</v>
      </c>
      <c r="N20" s="4">
        <f t="shared" si="2"/>
        <v>0.37931034482758619</v>
      </c>
      <c r="O20" s="4">
        <f t="shared" si="1"/>
        <v>0.33999999999999997</v>
      </c>
    </row>
    <row r="21" spans="1:15" x14ac:dyDescent="0.25">
      <c r="A21" s="5">
        <v>201307021649</v>
      </c>
      <c r="B21" s="5">
        <v>201307041303</v>
      </c>
      <c r="C21" s="1">
        <f>AVERAGE(80,36,36,95,36,36,35,34,35,53)</f>
        <v>47.6</v>
      </c>
      <c r="D21" s="1">
        <f>AVERAGE(96,96,58,44,45,43,45,43,44,45)</f>
        <v>55.9</v>
      </c>
      <c r="E21" s="1">
        <f>AVERAGE(11,13,8,8,9,8,9,8,27,9)</f>
        <v>11</v>
      </c>
      <c r="F21">
        <v>2120567</v>
      </c>
      <c r="G21">
        <v>2172086</v>
      </c>
      <c r="H21" s="3">
        <v>0</v>
      </c>
      <c r="I21" s="1">
        <f>AVERAGE(11,13,8,8,9,8,9,8,27,9)</f>
        <v>11</v>
      </c>
      <c r="J21" s="1">
        <f>AVERAGE(6,8,4,4,5,4,5,4,23,5)</f>
        <v>6.8</v>
      </c>
      <c r="K21" s="1">
        <f>AVERAGE(4,3,3,3,3,3,3,3,3,3)</f>
        <v>3.1</v>
      </c>
      <c r="M21" s="4">
        <f t="shared" si="0"/>
        <v>0.17436974789915949</v>
      </c>
      <c r="N21" s="4">
        <f t="shared" si="2"/>
        <v>0.1967799642218247</v>
      </c>
      <c r="O21" s="4">
        <f t="shared" si="1"/>
        <v>0.2310924369747899</v>
      </c>
    </row>
    <row r="22" spans="1:15" x14ac:dyDescent="0.25">
      <c r="A22" s="5">
        <v>201307041303</v>
      </c>
      <c r="B22" s="5">
        <v>201307042149</v>
      </c>
      <c r="C22" s="1">
        <f>AVERAGE(80,36,36,78,36,34,49,36,63,50)</f>
        <v>49.8</v>
      </c>
      <c r="D22" s="1">
        <f>AVERAGE(95,89,44,45,54,43,43,44,60,62)</f>
        <v>57.9</v>
      </c>
      <c r="E22" s="1">
        <f>AVERAGE(36,31,32,32,32,31,32,32,32,34)</f>
        <v>32.4</v>
      </c>
      <c r="F22">
        <v>2121858</v>
      </c>
      <c r="G22" s="3">
        <v>2173377</v>
      </c>
      <c r="H22" s="3">
        <f>AVERAGE(166638,166632,166632,166632,166632,166632,166632,166632,166632,166620)</f>
        <v>166631.4</v>
      </c>
      <c r="I22" s="1">
        <f>AVERAGE(12,8,9,8,9,9,8,10,9,11)</f>
        <v>9.3000000000000007</v>
      </c>
      <c r="J22" s="1">
        <f>AVERAGE(7,4,4,4,4,4,4,5,5,6)</f>
        <v>4.7</v>
      </c>
      <c r="K22" s="1">
        <f>AVERAGE(3,3,3,3,3,3,3,3,3,3)</f>
        <v>3</v>
      </c>
      <c r="M22" s="4">
        <f t="shared" si="0"/>
        <v>0.16265060240963858</v>
      </c>
      <c r="N22" s="4">
        <f t="shared" si="2"/>
        <v>0.55958549222797926</v>
      </c>
      <c r="O22" s="4">
        <f t="shared" si="1"/>
        <v>0.6506024096385542</v>
      </c>
    </row>
    <row r="23" spans="1:15" x14ac:dyDescent="0.25">
      <c r="A23" s="5">
        <v>201307042149</v>
      </c>
      <c r="B23" s="5">
        <v>201307042220</v>
      </c>
      <c r="C23" s="1">
        <f>AVERAGE(81,34,34,36,51,34,35,50,50,35)</f>
        <v>44</v>
      </c>
      <c r="D23" s="1">
        <f>AVERAGE(107,64,73,44,44,45,60,44,45,44)</f>
        <v>57</v>
      </c>
      <c r="E23" s="1">
        <f>AVERAGE(10,9,8,9,8,9,9,27,9,9)</f>
        <v>10.7</v>
      </c>
      <c r="F23">
        <v>2121858</v>
      </c>
      <c r="G23" s="3">
        <v>2173377</v>
      </c>
      <c r="H23" s="3">
        <v>0</v>
      </c>
      <c r="I23" s="1">
        <f>AVERAGE(10,9,8,9,8,9,9,27,9,9)</f>
        <v>10.7</v>
      </c>
      <c r="J23" s="1">
        <f>AVERAGE(5,4,4,5,4,5,4,23,4,4)</f>
        <v>6.2</v>
      </c>
      <c r="K23" s="1">
        <f>AVERAGE(4,3,3,3,3,3,3,3,3,3)</f>
        <v>3.1</v>
      </c>
      <c r="M23" s="4">
        <f t="shared" si="0"/>
        <v>0.29545454545454541</v>
      </c>
      <c r="N23" s="4">
        <f t="shared" si="2"/>
        <v>0.18771929824561404</v>
      </c>
      <c r="O23" s="4">
        <f t="shared" si="1"/>
        <v>0.24318181818181817</v>
      </c>
    </row>
    <row r="24" spans="1:15" x14ac:dyDescent="0.25">
      <c r="A24" s="5">
        <v>201307042220</v>
      </c>
      <c r="B24" s="5">
        <v>201307051815</v>
      </c>
      <c r="C24" s="1">
        <f>AVERAGE(85,80,54,47,35,46,35,35,36,36,)</f>
        <v>44.454545454545453</v>
      </c>
      <c r="D24" s="1">
        <f>AVERAGE(86,56,45,44,43,44,44,44,45,44)</f>
        <v>49.5</v>
      </c>
      <c r="E24" s="1">
        <f>AVERAGE(10,8,9,9,9,9,9,8,10,9)</f>
        <v>9</v>
      </c>
      <c r="F24">
        <v>2121858</v>
      </c>
      <c r="G24" s="3">
        <v>2173377</v>
      </c>
      <c r="H24" s="3">
        <v>0</v>
      </c>
      <c r="I24" s="1">
        <f>AVERAGE(10,8,9,9,9,9,9,8,10,9)</f>
        <v>9</v>
      </c>
      <c r="J24" s="1">
        <f>AVERAGE(5,4,4,4,4,4,4,4,6,4)</f>
        <v>4.3</v>
      </c>
      <c r="K24" s="1">
        <f>AVERAGE(3,3,3,3,3,3,3,3,3,3)</f>
        <v>3</v>
      </c>
      <c r="M24" s="4">
        <f t="shared" si="0"/>
        <v>0.11349693251533743</v>
      </c>
      <c r="N24" s="4">
        <f t="shared" si="2"/>
        <v>0.18181818181818182</v>
      </c>
      <c r="O24" s="4">
        <f t="shared" si="1"/>
        <v>0.20245398773006135</v>
      </c>
    </row>
    <row r="25" spans="1:15" x14ac:dyDescent="0.25">
      <c r="A25" s="5">
        <v>201307051815</v>
      </c>
      <c r="B25" s="5">
        <v>201307051826</v>
      </c>
      <c r="C25" s="1">
        <f>AVERAGE(106,36,41,45,36,35,35,37,35,35,)</f>
        <v>40.090909090909093</v>
      </c>
      <c r="D25" s="1">
        <f>AVERAGE(79,60,46,92,44,44,44,45,48,45)</f>
        <v>54.7</v>
      </c>
      <c r="E25" s="1">
        <f>AVERAGE(11,9,11,8,8,9,9,8,9,9)</f>
        <v>9.1</v>
      </c>
      <c r="F25">
        <v>2121858</v>
      </c>
      <c r="G25">
        <v>2173377</v>
      </c>
      <c r="H25" s="3">
        <v>0</v>
      </c>
      <c r="I25" s="1">
        <f>AVERAGE(11,9,11,8,8,9,9,8,9,9)</f>
        <v>9.1</v>
      </c>
      <c r="J25" s="1">
        <f>AVERAGE(6,5,4,4,4,5,4,4,5,4)</f>
        <v>4.5</v>
      </c>
      <c r="K25" s="1">
        <f>AVERAGE(3,3,5,3,3,3,3,3,3,3)</f>
        <v>3.2</v>
      </c>
      <c r="M25" s="4">
        <f>D25/C25-1</f>
        <v>0.36439909297052142</v>
      </c>
      <c r="N25" s="4">
        <f>E25/D25</f>
        <v>0.16636197440585007</v>
      </c>
      <c r="O25" s="4">
        <f t="shared" si="1"/>
        <v>0.22698412698412695</v>
      </c>
    </row>
    <row r="27" spans="1:15" x14ac:dyDescent="0.25">
      <c r="C27" s="1">
        <f>AVERAGE(C2:C25)</f>
        <v>46.964015151515149</v>
      </c>
      <c r="D27" s="1">
        <f>AVERAGE(D2:D25)</f>
        <v>54.720833333333339</v>
      </c>
      <c r="E27" s="1">
        <f t="shared" ref="E27:K27" si="3">AVERAGE(E2:E25)</f>
        <v>12.066666666666665</v>
      </c>
      <c r="F27" s="1">
        <f t="shared" si="3"/>
        <v>2119522.2083333335</v>
      </c>
      <c r="G27" s="1">
        <f t="shared" si="3"/>
        <v>2171041.2083333335</v>
      </c>
      <c r="H27" s="1">
        <f t="shared" si="3"/>
        <v>14168.8375</v>
      </c>
      <c r="I27" s="1">
        <f t="shared" si="3"/>
        <v>9.6041666666666661</v>
      </c>
      <c r="J27" s="1">
        <f t="shared" si="3"/>
        <v>4.9208333333333325</v>
      </c>
      <c r="K27" s="1">
        <f t="shared" si="3"/>
        <v>3.0507575757575758</v>
      </c>
      <c r="M27" s="4">
        <f>AVERAGE(M2:M25)</f>
        <v>0.18215675740964576</v>
      </c>
      <c r="N27" s="4">
        <f>AVERAGE(N2:N25)</f>
        <v>0.22283460916903067</v>
      </c>
      <c r="O27" s="4">
        <f>AVERAGE(O2:O25)</f>
        <v>0.25803215054326339</v>
      </c>
    </row>
    <row r="28" spans="1:15" x14ac:dyDescent="0.25">
      <c r="C28" s="1">
        <f>STDEVA(C2:C25)</f>
        <v>5.5729871040321273</v>
      </c>
      <c r="D28" s="1">
        <f>D27-C27</f>
        <v>7.7568181818181898</v>
      </c>
      <c r="E28" s="1">
        <f>AVERAGEIF(H2:H25,"&gt;0",E2:E25)</f>
        <v>16.862500000000001</v>
      </c>
      <c r="M28" s="4">
        <f>AVERAGEIF(M2:M25,"&gt;0")</f>
        <v>0.22722372940048974</v>
      </c>
    </row>
    <row r="29" spans="1:15" x14ac:dyDescent="0.25">
      <c r="M29" s="1">
        <f>AVEDEV(M2:M25)</f>
        <v>0.13469048423682722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7" sqref="D27"/>
    </sheetView>
  </sheetViews>
  <sheetFormatPr baseColWidth="10" defaultRowHeight="15" x14ac:dyDescent="0.25"/>
  <cols>
    <col min="1" max="1" width="21.28515625" customWidth="1"/>
    <col min="2" max="2" width="18.140625" customWidth="1"/>
    <col min="3" max="3" width="19.28515625" customWidth="1"/>
    <col min="4" max="4" width="19.5703125" customWidth="1"/>
  </cols>
  <sheetData>
    <row r="1" spans="1:4" x14ac:dyDescent="0.25">
      <c r="A1" s="7" t="s">
        <v>6</v>
      </c>
      <c r="B1" s="7" t="s">
        <v>7</v>
      </c>
      <c r="C1" s="2" t="s">
        <v>14</v>
      </c>
      <c r="D1" s="2" t="s">
        <v>15</v>
      </c>
    </row>
    <row r="2" spans="1:4" x14ac:dyDescent="0.25">
      <c r="A2" s="5">
        <v>201306040837</v>
      </c>
      <c r="B2" s="5">
        <v>201306041738</v>
      </c>
      <c r="C2" s="1">
        <f>SUM('Full Diff'!$C$2:C2)</f>
        <v>61.3</v>
      </c>
      <c r="D2" s="1">
        <f>SUM('Full Diff'!$E$2:E2)</f>
        <v>8.8000000000000007</v>
      </c>
    </row>
    <row r="3" spans="1:4" x14ac:dyDescent="0.25">
      <c r="A3" s="5">
        <v>201306041738</v>
      </c>
      <c r="B3" s="5">
        <v>201306061001</v>
      </c>
      <c r="C3" s="1">
        <f>SUM('Full Diff'!$C$2:C3)</f>
        <v>118.6</v>
      </c>
      <c r="D3" s="1">
        <f>SUM('Full Diff'!$E$2:E3)</f>
        <v>20.399999999999999</v>
      </c>
    </row>
    <row r="4" spans="1:4" x14ac:dyDescent="0.25">
      <c r="A4" s="5">
        <v>201306061001</v>
      </c>
      <c r="B4" s="5">
        <v>201306061858</v>
      </c>
      <c r="C4" s="1">
        <f>SUM('Full Diff'!$C$2:C4)</f>
        <v>163.5090909090909</v>
      </c>
      <c r="D4" s="1">
        <f>SUM('Full Diff'!$E$2:E4)</f>
        <v>29.4</v>
      </c>
    </row>
    <row r="5" spans="1:4" x14ac:dyDescent="0.25">
      <c r="A5" s="5">
        <v>201306061858</v>
      </c>
      <c r="B5" s="5">
        <v>201306131547</v>
      </c>
      <c r="C5" s="1">
        <f>SUM('Full Diff'!$C$2:C5)</f>
        <v>212.40909090909091</v>
      </c>
      <c r="D5" s="1">
        <f>SUM('Full Diff'!$E$2:E5)</f>
        <v>40.200000000000003</v>
      </c>
    </row>
    <row r="6" spans="1:4" x14ac:dyDescent="0.25">
      <c r="A6" s="5">
        <v>201306131547</v>
      </c>
      <c r="B6" s="5">
        <v>201306140947</v>
      </c>
      <c r="C6" s="1">
        <f>SUM('Full Diff'!$C$2:C6)</f>
        <v>249.04545454545453</v>
      </c>
      <c r="D6" s="1">
        <f>SUM('Full Diff'!$E$2:E6)</f>
        <v>51.7</v>
      </c>
    </row>
    <row r="7" spans="1:4" x14ac:dyDescent="0.25">
      <c r="A7" s="5">
        <v>201306140947</v>
      </c>
      <c r="B7" s="5">
        <v>201306141844</v>
      </c>
      <c r="C7" s="1">
        <f>SUM('Full Diff'!$C$2:C7)</f>
        <v>298.64545454545453</v>
      </c>
      <c r="D7" s="1">
        <f>SUM('Full Diff'!$E$2:E7)</f>
        <v>60.800000000000004</v>
      </c>
    </row>
    <row r="8" spans="1:4" x14ac:dyDescent="0.25">
      <c r="A8" s="5">
        <v>201306141844</v>
      </c>
      <c r="B8" s="5">
        <v>201306151219</v>
      </c>
      <c r="C8" s="1">
        <f>SUM('Full Diff'!$C$2:C8)</f>
        <v>344.09999999999997</v>
      </c>
      <c r="D8" s="1">
        <f>SUM('Full Diff'!$E$2:E8)</f>
        <v>71.900000000000006</v>
      </c>
    </row>
    <row r="9" spans="1:4" x14ac:dyDescent="0.25">
      <c r="A9" s="5">
        <v>201306151219</v>
      </c>
      <c r="B9" s="5">
        <v>201306161541</v>
      </c>
      <c r="C9" s="1">
        <f>SUM('Full Diff'!$C$2:C9)</f>
        <v>392.29999999999995</v>
      </c>
      <c r="D9" s="1">
        <f>SUM('Full Diff'!$E$2:E9)</f>
        <v>81.2</v>
      </c>
    </row>
    <row r="10" spans="1:4" x14ac:dyDescent="0.25">
      <c r="A10" s="5">
        <v>201306161541</v>
      </c>
      <c r="B10" s="5">
        <v>201306161548</v>
      </c>
      <c r="C10" s="1">
        <f>SUM('Full Diff'!$C$2:C10)</f>
        <v>432.29999999999995</v>
      </c>
      <c r="D10" s="1">
        <f>SUM('Full Diff'!$E$2:E10)</f>
        <v>92.3</v>
      </c>
    </row>
    <row r="11" spans="1:4" x14ac:dyDescent="0.25">
      <c r="A11" s="5">
        <v>201306161548</v>
      </c>
      <c r="B11" s="5">
        <v>201306162138</v>
      </c>
      <c r="C11" s="1">
        <f>SUM('Full Diff'!$C$2:C11)</f>
        <v>472.79999999999995</v>
      </c>
      <c r="D11" s="1">
        <f>SUM('Full Diff'!$E$2:E11)</f>
        <v>101.5</v>
      </c>
    </row>
    <row r="12" spans="1:4" x14ac:dyDescent="0.25">
      <c r="A12" s="5">
        <v>201306162138</v>
      </c>
      <c r="B12" s="5">
        <v>201306192053</v>
      </c>
      <c r="C12" s="1">
        <f>SUM('Full Diff'!$C$2:C12)</f>
        <v>518.69999999999993</v>
      </c>
      <c r="D12" s="1">
        <f>SUM('Full Diff'!$E$2:E12)</f>
        <v>110.7</v>
      </c>
    </row>
    <row r="13" spans="1:4" x14ac:dyDescent="0.25">
      <c r="A13" s="5">
        <v>201306192053</v>
      </c>
      <c r="B13" s="5">
        <v>201306200925</v>
      </c>
      <c r="C13" s="1">
        <f>SUM('Full Diff'!$C$2:C13)</f>
        <v>565.4</v>
      </c>
      <c r="D13" s="1">
        <f>SUM('Full Diff'!$E$2:E13)</f>
        <v>119.5</v>
      </c>
    </row>
    <row r="14" spans="1:4" x14ac:dyDescent="0.25">
      <c r="A14" s="5">
        <v>201306200925</v>
      </c>
      <c r="B14" s="5">
        <v>201306201648</v>
      </c>
      <c r="C14" s="1">
        <f>SUM('Full Diff'!$C$2:C14)</f>
        <v>611.69999999999993</v>
      </c>
      <c r="D14" s="1">
        <f>SUM('Full Diff'!$E$2:E14)</f>
        <v>134</v>
      </c>
    </row>
    <row r="15" spans="1:4" x14ac:dyDescent="0.25">
      <c r="A15" s="5">
        <v>201306201648</v>
      </c>
      <c r="B15" s="5">
        <v>201306261912</v>
      </c>
      <c r="C15" s="1">
        <f>SUM('Full Diff'!$C$2:C15)</f>
        <v>656.09999999999991</v>
      </c>
      <c r="D15" s="1">
        <f>SUM('Full Diff'!$E$2:E15)</f>
        <v>143.19999999999999</v>
      </c>
    </row>
    <row r="16" spans="1:4" x14ac:dyDescent="0.25">
      <c r="A16" s="5">
        <v>201306261912</v>
      </c>
      <c r="B16" s="5">
        <v>201306270212</v>
      </c>
      <c r="C16" s="1">
        <f>SUM('Full Diff'!$C$2:C16)</f>
        <v>705.09999999999991</v>
      </c>
      <c r="D16" s="1">
        <f>SUM('Full Diff'!$E$2:E16)</f>
        <v>155.69999999999999</v>
      </c>
    </row>
    <row r="17" spans="1:4" x14ac:dyDescent="0.25">
      <c r="A17" s="5">
        <v>201306270212</v>
      </c>
      <c r="B17" s="5">
        <v>201306281749</v>
      </c>
      <c r="C17" s="1">
        <f>SUM('Full Diff'!$C$2:C17)</f>
        <v>755.59999999999991</v>
      </c>
      <c r="D17" s="1">
        <f>SUM('Full Diff'!$E$2:E17)</f>
        <v>165</v>
      </c>
    </row>
    <row r="18" spans="1:4" x14ac:dyDescent="0.25">
      <c r="A18" s="5">
        <v>201306281749</v>
      </c>
      <c r="B18" s="5">
        <v>201307011116</v>
      </c>
      <c r="C18" s="1">
        <f>SUM('Full Diff'!$C$2:C18)</f>
        <v>804.09999999999991</v>
      </c>
      <c r="D18" s="1">
        <f>SUM('Full Diff'!$E$2:E18)</f>
        <v>183.2</v>
      </c>
    </row>
    <row r="19" spans="1:4" x14ac:dyDescent="0.25">
      <c r="A19" s="5">
        <v>201307011116</v>
      </c>
      <c r="B19" s="5">
        <v>201307021644</v>
      </c>
      <c r="C19" s="1">
        <f>SUM('Full Diff'!$C$2:C19)</f>
        <v>846.19090909090903</v>
      </c>
      <c r="D19" s="1">
        <f>SUM('Full Diff'!$E$2:E19)</f>
        <v>198.7</v>
      </c>
    </row>
    <row r="20" spans="1:4" x14ac:dyDescent="0.25">
      <c r="A20" s="5">
        <v>201307021644</v>
      </c>
      <c r="B20" s="5">
        <v>201307021649</v>
      </c>
      <c r="C20" s="1">
        <f>SUM('Full Diff'!$C$2:C20)</f>
        <v>901.19090909090903</v>
      </c>
      <c r="D20" s="1">
        <f>SUM('Full Diff'!$E$2:E20)</f>
        <v>217.39999999999998</v>
      </c>
    </row>
    <row r="21" spans="1:4" x14ac:dyDescent="0.25">
      <c r="A21" s="5">
        <v>201307021649</v>
      </c>
      <c r="B21" s="5">
        <v>201307041303</v>
      </c>
      <c r="C21" s="1">
        <f>SUM('Full Diff'!$C$2:C21)</f>
        <v>948.79090909090905</v>
      </c>
      <c r="D21" s="1">
        <f>SUM('Full Diff'!$E$2:E21)</f>
        <v>228.39999999999998</v>
      </c>
    </row>
    <row r="22" spans="1:4" x14ac:dyDescent="0.25">
      <c r="A22" s="5">
        <v>201307041303</v>
      </c>
      <c r="B22" s="5">
        <v>201307042149</v>
      </c>
      <c r="C22" s="1">
        <f>SUM('Full Diff'!$C$2:C22)</f>
        <v>998.59090909090901</v>
      </c>
      <c r="D22" s="1">
        <f>SUM('Full Diff'!$E$2:E22)</f>
        <v>260.79999999999995</v>
      </c>
    </row>
    <row r="23" spans="1:4" x14ac:dyDescent="0.25">
      <c r="A23" s="5">
        <v>201307042149</v>
      </c>
      <c r="B23" s="5">
        <v>201307042220</v>
      </c>
      <c r="C23" s="1">
        <f>SUM('Full Diff'!$C$2:C23)</f>
        <v>1042.590909090909</v>
      </c>
      <c r="D23" s="1">
        <f>SUM('Full Diff'!$E$2:E23)</f>
        <v>271.49999999999994</v>
      </c>
    </row>
    <row r="24" spans="1:4" x14ac:dyDescent="0.25">
      <c r="A24" s="5">
        <v>201307042220</v>
      </c>
      <c r="B24" s="5">
        <v>201307051815</v>
      </c>
      <c r="C24" s="1">
        <f>SUM('Full Diff'!$C$2:C24)</f>
        <v>1087.0454545454545</v>
      </c>
      <c r="D24" s="1">
        <f>SUM('Full Diff'!$E$2:E24)</f>
        <v>280.49999999999994</v>
      </c>
    </row>
    <row r="25" spans="1:4" x14ac:dyDescent="0.25">
      <c r="A25" s="5">
        <v>201307051815</v>
      </c>
      <c r="B25" s="5">
        <v>201307051826</v>
      </c>
      <c r="C25" s="1">
        <f>SUM('Full Diff'!$C$2:C25)</f>
        <v>1127.1363636363635</v>
      </c>
      <c r="D25" s="1">
        <f>SUM('Full Diff'!$E$2:E25)</f>
        <v>289.59999999999997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 Diff</vt:lpstr>
      <vt:lpstr>Accumulated Savings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2013-08-26T14:40:32Z</dcterms:modified>
</cp:coreProperties>
</file>