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1415" windowHeight="5295" activeTab="1"/>
  </bookViews>
  <sheets>
    <sheet name="Full Diff" sheetId="1" r:id="rId1"/>
    <sheet name="Accumulated Savings" sheetId="2" r:id="rId2"/>
  </sheets>
  <calcPr calcId="145621"/>
</workbook>
</file>

<file path=xl/calcChain.xml><?xml version="1.0" encoding="utf-8"?>
<calcChain xmlns="http://schemas.openxmlformats.org/spreadsheetml/2006/main">
  <c r="E27" i="2" l="1"/>
  <c r="D28" i="2"/>
  <c r="D27" i="2"/>
  <c r="C27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3" i="2"/>
  <c r="C2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C2" i="2"/>
  <c r="C28" i="1" l="1"/>
  <c r="M28" i="1"/>
  <c r="M27" i="1"/>
  <c r="C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C24" i="1"/>
  <c r="C23" i="1"/>
  <c r="C17" i="1"/>
  <c r="C18" i="1"/>
  <c r="C19" i="1"/>
  <c r="C22" i="1" l="1"/>
  <c r="C21" i="1"/>
  <c r="C20" i="1"/>
  <c r="C16" i="1"/>
  <c r="C15" i="1"/>
  <c r="C14" i="1"/>
  <c r="C13" i="1"/>
  <c r="C12" i="1" l="1"/>
  <c r="E28" i="1"/>
  <c r="C11" i="1"/>
  <c r="C10" i="1"/>
  <c r="C9" i="1"/>
  <c r="C8" i="1"/>
  <c r="C7" i="1"/>
  <c r="C6" i="1"/>
  <c r="C5" i="1"/>
  <c r="C4" i="1"/>
  <c r="C3" i="1"/>
  <c r="C2" i="1" l="1"/>
  <c r="K25" i="1"/>
  <c r="K24" i="1"/>
  <c r="J24" i="1"/>
  <c r="I24" i="1"/>
  <c r="E24" i="1"/>
  <c r="D24" i="1"/>
  <c r="K23" i="1"/>
  <c r="J23" i="1"/>
  <c r="I23" i="1"/>
  <c r="E23" i="1"/>
  <c r="D23" i="1"/>
  <c r="K16" i="1"/>
  <c r="J16" i="1"/>
  <c r="I16" i="1"/>
  <c r="E16" i="1"/>
  <c r="D16" i="1"/>
  <c r="K15" i="1" l="1"/>
  <c r="J15" i="1"/>
  <c r="I15" i="1"/>
  <c r="E15" i="1"/>
  <c r="D15" i="1"/>
  <c r="K14" i="1"/>
  <c r="J14" i="1"/>
  <c r="I14" i="1"/>
  <c r="H14" i="1"/>
  <c r="E14" i="1"/>
  <c r="D14" i="1"/>
  <c r="K13" i="1"/>
  <c r="J13" i="1"/>
  <c r="I13" i="1"/>
  <c r="E13" i="1"/>
  <c r="D13" i="1"/>
  <c r="K12" i="1"/>
  <c r="J12" i="1"/>
  <c r="I12" i="1"/>
  <c r="E12" i="1"/>
  <c r="D12" i="1"/>
  <c r="K11" i="1"/>
  <c r="J11" i="1"/>
  <c r="I11" i="1"/>
  <c r="E11" i="1"/>
  <c r="D11" i="1"/>
  <c r="K10" i="1"/>
  <c r="J10" i="1"/>
  <c r="I10" i="1"/>
  <c r="E10" i="1"/>
  <c r="D10" i="1"/>
  <c r="K9" i="1"/>
  <c r="J9" i="1"/>
  <c r="I9" i="1"/>
  <c r="E9" i="1"/>
  <c r="D9" i="1"/>
  <c r="K8" i="1"/>
  <c r="J8" i="1"/>
  <c r="I8" i="1"/>
  <c r="E8" i="1"/>
  <c r="D8" i="1"/>
  <c r="I7" i="1"/>
  <c r="K7" i="1"/>
  <c r="J7" i="1"/>
  <c r="E7" i="1"/>
  <c r="D7" i="1"/>
  <c r="K5" i="1"/>
  <c r="K6" i="1"/>
  <c r="J6" i="1"/>
  <c r="I6" i="1"/>
  <c r="E6" i="1"/>
  <c r="D6" i="1"/>
  <c r="J5" i="1"/>
  <c r="I5" i="1"/>
  <c r="E5" i="1"/>
  <c r="D5" i="1"/>
  <c r="D27" i="1" l="1"/>
  <c r="E27" i="1"/>
  <c r="F27" i="1"/>
  <c r="G27" i="1"/>
  <c r="H27" i="1"/>
  <c r="K27" i="1"/>
  <c r="J27" i="1"/>
  <c r="I27" i="1"/>
  <c r="N2" i="1"/>
  <c r="K2" i="1"/>
  <c r="J2" i="1"/>
  <c r="I2" i="1"/>
  <c r="E2" i="1"/>
  <c r="O2" i="1" s="1"/>
  <c r="D2" i="1"/>
  <c r="N3" i="1"/>
  <c r="N4" i="1"/>
  <c r="K4" i="1"/>
  <c r="J4" i="1"/>
  <c r="I4" i="1"/>
  <c r="E4" i="1"/>
  <c r="D4" i="1"/>
  <c r="D3" i="1"/>
  <c r="I3" i="1"/>
  <c r="J3" i="1"/>
  <c r="K3" i="1"/>
  <c r="E3" i="1"/>
  <c r="K22" i="1"/>
  <c r="J22" i="1"/>
  <c r="I22" i="1"/>
  <c r="D22" i="1"/>
  <c r="E22" i="1"/>
  <c r="N5" i="1" l="1"/>
  <c r="N6" i="1"/>
  <c r="N7" i="1"/>
  <c r="N8" i="1"/>
  <c r="N9" i="1"/>
  <c r="N10" i="1"/>
  <c r="N11" i="1"/>
  <c r="N12" i="1"/>
  <c r="N13" i="1"/>
  <c r="N14" i="1"/>
  <c r="N15" i="1"/>
  <c r="N16" i="1"/>
  <c r="M2" i="1"/>
  <c r="N18" i="1"/>
  <c r="N19" i="1"/>
  <c r="N20" i="1"/>
  <c r="N21" i="1"/>
  <c r="N22" i="1"/>
  <c r="N23" i="1"/>
  <c r="N24" i="1"/>
  <c r="N25" i="1"/>
  <c r="O27" i="1" l="1"/>
  <c r="N27" i="1"/>
  <c r="N17" i="1"/>
  <c r="K21" i="1"/>
  <c r="J21" i="1"/>
  <c r="I21" i="1"/>
  <c r="D21" i="1"/>
  <c r="E21" i="1"/>
  <c r="D20" i="1"/>
  <c r="H20" i="1"/>
  <c r="E20" i="1"/>
  <c r="I20" i="1"/>
  <c r="J20" i="1"/>
  <c r="K20" i="1"/>
  <c r="K19" i="1"/>
  <c r="J19" i="1"/>
  <c r="I19" i="1"/>
  <c r="H19" i="1"/>
  <c r="E19" i="1"/>
  <c r="D19" i="1"/>
  <c r="D18" i="1"/>
  <c r="H18" i="1"/>
  <c r="E18" i="1"/>
  <c r="I18" i="1"/>
  <c r="J18" i="1"/>
  <c r="K18" i="1"/>
  <c r="K17" i="1"/>
  <c r="J17" i="1"/>
  <c r="I17" i="1"/>
  <c r="E17" i="1"/>
  <c r="D17" i="1"/>
  <c r="J25" i="1" l="1"/>
  <c r="I25" i="1"/>
  <c r="E25" i="1"/>
  <c r="D25" i="1"/>
  <c r="C27" i="1" l="1"/>
</calcChain>
</file>

<file path=xl/sharedStrings.xml><?xml version="1.0" encoding="utf-8"?>
<sst xmlns="http://schemas.openxmlformats.org/spreadsheetml/2006/main" count="18" uniqueCount="16">
  <si>
    <t>OriginalTiming</t>
  </si>
  <si>
    <t>InitialTiming</t>
  </si>
  <si>
    <t>UpdateTiming</t>
  </si>
  <si>
    <t>OriginalEdges</t>
  </si>
  <si>
    <t>InitialEdges</t>
  </si>
  <si>
    <t>UpdateEdges</t>
  </si>
  <si>
    <t>From Revision</t>
  </si>
  <si>
    <t>To Revision</t>
  </si>
  <si>
    <t>Savings</t>
  </si>
  <si>
    <t>Overhead</t>
  </si>
  <si>
    <t>Savings HEROS</t>
  </si>
  <si>
    <t>Changeset</t>
  </si>
  <si>
    <t>Struct Diff</t>
  </si>
  <si>
    <t>Unchanged Pointers</t>
  </si>
  <si>
    <t>Recompute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</si>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</sst>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201306040837</c:v>
                </c:pt>
                <c:pt idx="1">
                  <c:v>201306041738</c:v>
                </c:pt>
                <c:pt idx="2">
                  <c:v>201306061001</c:v>
                </c:pt>
                <c:pt idx="3">
                  <c:v>201306061858</c:v>
                </c:pt>
                <c:pt idx="4">
                  <c:v>201306131547</c:v>
                </c:pt>
                <c:pt idx="5">
                  <c:v>201306140947</c:v>
                </c:pt>
                <c:pt idx="6">
                  <c:v>201306141844</c:v>
                </c:pt>
                <c:pt idx="7">
                  <c:v>201306151219</c:v>
                </c:pt>
                <c:pt idx="8">
                  <c:v>201306161541</c:v>
                </c:pt>
                <c:pt idx="9">
                  <c:v>201306161548</c:v>
                </c:pt>
                <c:pt idx="10">
                  <c:v>201306162138</c:v>
                </c:pt>
                <c:pt idx="11">
                  <c:v>201306192053</c:v>
                </c:pt>
                <c:pt idx="12">
                  <c:v>201306200925</c:v>
                </c:pt>
                <c:pt idx="13">
                  <c:v>201306201648</c:v>
                </c:pt>
                <c:pt idx="14">
                  <c:v>201306261912</c:v>
                </c:pt>
                <c:pt idx="15">
                  <c:v>201306270212</c:v>
                </c:pt>
                <c:pt idx="16">
                  <c:v>201306281749</c:v>
                </c:pt>
                <c:pt idx="17">
                  <c:v>201307011116</c:v>
                </c:pt>
                <c:pt idx="18">
                  <c:v>201307021644</c:v>
                </c:pt>
                <c:pt idx="19">
                  <c:v>201307021649</c:v>
                </c:pt>
                <c:pt idx="20">
                  <c:v>201307041303</c:v>
                </c:pt>
                <c:pt idx="21">
                  <c:v>201307042149</c:v>
                </c:pt>
                <c:pt idx="22">
                  <c:v>201307042220</c:v>
                </c:pt>
                <c:pt idx="23">
                  <c:v>201307051815</c:v>
                </c:pt>
              </c:numCache>
            </c:numRef>
          </c:cat>
          <c:val>
            <c:numRef>
              <c:f>'Full Diff'!$D$2:$D$25</c:f>
              <c:numCache>
                <c:formatCode>0.00</c:formatCode>
                <c:ptCount val="24"/>
                <c:pt idx="0">
                  <c:v>57.333333333333336</c:v>
                </c:pt>
                <c:pt idx="1">
                  <c:v>54.6</c:v>
                </c:pt>
                <c:pt idx="2">
                  <c:v>40.4</c:v>
                </c:pt>
                <c:pt idx="3">
                  <c:v>40.799999999999997</c:v>
                </c:pt>
                <c:pt idx="4">
                  <c:v>44.2</c:v>
                </c:pt>
                <c:pt idx="5">
                  <c:v>44.3</c:v>
                </c:pt>
                <c:pt idx="6">
                  <c:v>44.9</c:v>
                </c:pt>
                <c:pt idx="7">
                  <c:v>43.5</c:v>
                </c:pt>
                <c:pt idx="8">
                  <c:v>46.7</c:v>
                </c:pt>
                <c:pt idx="9">
                  <c:v>50.8</c:v>
                </c:pt>
                <c:pt idx="10">
                  <c:v>44.7</c:v>
                </c:pt>
                <c:pt idx="11">
                  <c:v>48.4</c:v>
                </c:pt>
                <c:pt idx="12">
                  <c:v>39.799999999999997</c:v>
                </c:pt>
                <c:pt idx="13">
                  <c:v>53.7</c:v>
                </c:pt>
                <c:pt idx="14">
                  <c:v>52.6</c:v>
                </c:pt>
                <c:pt idx="15">
                  <c:v>43.2</c:v>
                </c:pt>
                <c:pt idx="16">
                  <c:v>48.5</c:v>
                </c:pt>
                <c:pt idx="17">
                  <c:v>51</c:v>
                </c:pt>
                <c:pt idx="18">
                  <c:v>52.1</c:v>
                </c:pt>
                <c:pt idx="19">
                  <c:v>48.3</c:v>
                </c:pt>
                <c:pt idx="20">
                  <c:v>41.9</c:v>
                </c:pt>
                <c:pt idx="21">
                  <c:v>46.5</c:v>
                </c:pt>
                <c:pt idx="22">
                  <c:v>48.1</c:v>
                </c:pt>
                <c:pt idx="23">
                  <c:v>42.5</c:v>
                </c:pt>
              </c:numCache>
            </c:numRef>
          </c:val>
        </c:ser>
        <c:ser>
          <c:idx val="2"/>
          <c:order val="1"/>
          <c:tx>
            <c:v>Original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201306040837</c:v>
                </c:pt>
                <c:pt idx="1">
                  <c:v>201306041738</c:v>
                </c:pt>
                <c:pt idx="2">
                  <c:v>201306061001</c:v>
                </c:pt>
                <c:pt idx="3">
                  <c:v>201306061858</c:v>
                </c:pt>
                <c:pt idx="4">
                  <c:v>201306131547</c:v>
                </c:pt>
                <c:pt idx="5">
                  <c:v>201306140947</c:v>
                </c:pt>
                <c:pt idx="6">
                  <c:v>201306141844</c:v>
                </c:pt>
                <c:pt idx="7">
                  <c:v>201306151219</c:v>
                </c:pt>
                <c:pt idx="8">
                  <c:v>201306161541</c:v>
                </c:pt>
                <c:pt idx="9">
                  <c:v>201306161548</c:v>
                </c:pt>
                <c:pt idx="10">
                  <c:v>201306162138</c:v>
                </c:pt>
                <c:pt idx="11">
                  <c:v>201306192053</c:v>
                </c:pt>
                <c:pt idx="12">
                  <c:v>201306200925</c:v>
                </c:pt>
                <c:pt idx="13">
                  <c:v>201306201648</c:v>
                </c:pt>
                <c:pt idx="14">
                  <c:v>201306261912</c:v>
                </c:pt>
                <c:pt idx="15">
                  <c:v>201306270212</c:v>
                </c:pt>
                <c:pt idx="16">
                  <c:v>201306281749</c:v>
                </c:pt>
                <c:pt idx="17">
                  <c:v>201307011116</c:v>
                </c:pt>
                <c:pt idx="18">
                  <c:v>201307021644</c:v>
                </c:pt>
                <c:pt idx="19">
                  <c:v>201307021649</c:v>
                </c:pt>
                <c:pt idx="20">
                  <c:v>201307041303</c:v>
                </c:pt>
                <c:pt idx="21">
                  <c:v>201307042149</c:v>
                </c:pt>
                <c:pt idx="22">
                  <c:v>201307042220</c:v>
                </c:pt>
                <c:pt idx="23">
                  <c:v>201307051815</c:v>
                </c:pt>
              </c:numCache>
            </c:numRef>
          </c:cat>
          <c:val>
            <c:numRef>
              <c:f>'Full Diff'!$C$2:$C$25</c:f>
              <c:numCache>
                <c:formatCode>0.00</c:formatCode>
                <c:ptCount val="24"/>
                <c:pt idx="0">
                  <c:v>49.4</c:v>
                </c:pt>
                <c:pt idx="1">
                  <c:v>49.1</c:v>
                </c:pt>
                <c:pt idx="2">
                  <c:v>60.8</c:v>
                </c:pt>
                <c:pt idx="3">
                  <c:v>47.9</c:v>
                </c:pt>
                <c:pt idx="4">
                  <c:v>38.9</c:v>
                </c:pt>
                <c:pt idx="5">
                  <c:v>47</c:v>
                </c:pt>
                <c:pt idx="6">
                  <c:v>44.6</c:v>
                </c:pt>
                <c:pt idx="7">
                  <c:v>45.909090909090907</c:v>
                </c:pt>
                <c:pt idx="8">
                  <c:v>42.18181818181818</c:v>
                </c:pt>
                <c:pt idx="9">
                  <c:v>56</c:v>
                </c:pt>
                <c:pt idx="10">
                  <c:v>54.1</c:v>
                </c:pt>
                <c:pt idx="11">
                  <c:v>47.1</c:v>
                </c:pt>
                <c:pt idx="12">
                  <c:v>47.727272727272727</c:v>
                </c:pt>
                <c:pt idx="13">
                  <c:v>52.3</c:v>
                </c:pt>
                <c:pt idx="14">
                  <c:v>44.4</c:v>
                </c:pt>
                <c:pt idx="15">
                  <c:v>72.8</c:v>
                </c:pt>
                <c:pt idx="16">
                  <c:v>45.7</c:v>
                </c:pt>
                <c:pt idx="17">
                  <c:v>40.6</c:v>
                </c:pt>
                <c:pt idx="18">
                  <c:v>47.272727272727273</c:v>
                </c:pt>
                <c:pt idx="19">
                  <c:v>51.9</c:v>
                </c:pt>
                <c:pt idx="20">
                  <c:v>38.454545454545453</c:v>
                </c:pt>
                <c:pt idx="21">
                  <c:v>51.9</c:v>
                </c:pt>
                <c:pt idx="22">
                  <c:v>56.4</c:v>
                </c:pt>
                <c:pt idx="23">
                  <c:v>52.8</c:v>
                </c:pt>
              </c:numCache>
            </c:numRef>
          </c:val>
        </c:ser>
        <c:ser>
          <c:idx val="1"/>
          <c:order val="2"/>
          <c:tx>
            <c:v>Update Timing</c:v>
          </c:tx>
          <c:invertIfNegative val="0"/>
          <c:cat>
            <c:numRef>
              <c:f>'Full Diff'!$A$2:$A$25</c:f>
              <c:numCache>
                <c:formatCode>00000</c:formatCode>
                <c:ptCount val="24"/>
                <c:pt idx="0">
                  <c:v>201306040837</c:v>
                </c:pt>
                <c:pt idx="1">
                  <c:v>201306041738</c:v>
                </c:pt>
                <c:pt idx="2">
                  <c:v>201306061001</c:v>
                </c:pt>
                <c:pt idx="3">
                  <c:v>201306061858</c:v>
                </c:pt>
                <c:pt idx="4">
                  <c:v>201306131547</c:v>
                </c:pt>
                <c:pt idx="5">
                  <c:v>201306140947</c:v>
                </c:pt>
                <c:pt idx="6">
                  <c:v>201306141844</c:v>
                </c:pt>
                <c:pt idx="7">
                  <c:v>201306151219</c:v>
                </c:pt>
                <c:pt idx="8">
                  <c:v>201306161541</c:v>
                </c:pt>
                <c:pt idx="9">
                  <c:v>201306161548</c:v>
                </c:pt>
                <c:pt idx="10">
                  <c:v>201306162138</c:v>
                </c:pt>
                <c:pt idx="11">
                  <c:v>201306192053</c:v>
                </c:pt>
                <c:pt idx="12">
                  <c:v>201306200925</c:v>
                </c:pt>
                <c:pt idx="13">
                  <c:v>201306201648</c:v>
                </c:pt>
                <c:pt idx="14">
                  <c:v>201306261912</c:v>
                </c:pt>
                <c:pt idx="15">
                  <c:v>201306270212</c:v>
                </c:pt>
                <c:pt idx="16">
                  <c:v>201306281749</c:v>
                </c:pt>
                <c:pt idx="17">
                  <c:v>201307011116</c:v>
                </c:pt>
                <c:pt idx="18">
                  <c:v>201307021644</c:v>
                </c:pt>
                <c:pt idx="19">
                  <c:v>201307021649</c:v>
                </c:pt>
                <c:pt idx="20">
                  <c:v>201307041303</c:v>
                </c:pt>
                <c:pt idx="21">
                  <c:v>201307042149</c:v>
                </c:pt>
                <c:pt idx="22">
                  <c:v>201307042220</c:v>
                </c:pt>
                <c:pt idx="23">
                  <c:v>201307051815</c:v>
                </c:pt>
              </c:numCache>
            </c:numRef>
          </c:cat>
          <c:val>
            <c:numRef>
              <c:f>'Full Diff'!$E$2:$E$25</c:f>
              <c:numCache>
                <c:formatCode>0.00</c:formatCode>
                <c:ptCount val="24"/>
                <c:pt idx="0">
                  <c:v>10.5</c:v>
                </c:pt>
                <c:pt idx="1">
                  <c:v>11.7</c:v>
                </c:pt>
                <c:pt idx="2">
                  <c:v>9</c:v>
                </c:pt>
                <c:pt idx="3">
                  <c:v>9.4</c:v>
                </c:pt>
                <c:pt idx="4">
                  <c:v>11.6</c:v>
                </c:pt>
                <c:pt idx="5">
                  <c:v>9.6</c:v>
                </c:pt>
                <c:pt idx="6">
                  <c:v>12</c:v>
                </c:pt>
                <c:pt idx="7">
                  <c:v>9.5</c:v>
                </c:pt>
                <c:pt idx="8">
                  <c:v>14.2</c:v>
                </c:pt>
                <c:pt idx="9">
                  <c:v>9.4</c:v>
                </c:pt>
                <c:pt idx="10">
                  <c:v>9.5</c:v>
                </c:pt>
                <c:pt idx="11">
                  <c:v>9.3000000000000007</c:v>
                </c:pt>
                <c:pt idx="12">
                  <c:v>13.5</c:v>
                </c:pt>
                <c:pt idx="13">
                  <c:v>11.5</c:v>
                </c:pt>
                <c:pt idx="14">
                  <c:v>12.6</c:v>
                </c:pt>
                <c:pt idx="15">
                  <c:v>11</c:v>
                </c:pt>
                <c:pt idx="16">
                  <c:v>19.899999999999999</c:v>
                </c:pt>
                <c:pt idx="17">
                  <c:v>15.6</c:v>
                </c:pt>
                <c:pt idx="18">
                  <c:v>20</c:v>
                </c:pt>
                <c:pt idx="19">
                  <c:v>9.5</c:v>
                </c:pt>
                <c:pt idx="20">
                  <c:v>47.6</c:v>
                </c:pt>
                <c:pt idx="21">
                  <c:v>11.4</c:v>
                </c:pt>
                <c:pt idx="22">
                  <c:v>9.4</c:v>
                </c:pt>
                <c:pt idx="23">
                  <c:v>11.6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07168"/>
        <c:axId val="111879296"/>
      </c:barChart>
      <c:catAx>
        <c:axId val="111607168"/>
        <c:scaling>
          <c:orientation val="minMax"/>
        </c:scaling>
        <c:delete val="0"/>
        <c:axPos val="b"/>
        <c:numFmt formatCode="00000" sourceLinked="1"/>
        <c:majorTickMark val="out"/>
        <c:minorTickMark val="none"/>
        <c:tickLblPos val="nextTo"/>
        <c:crossAx val="111879296"/>
        <c:crosses val="autoZero"/>
        <c:auto val="1"/>
        <c:lblAlgn val="ctr"/>
        <c:lblOffset val="100"/>
        <c:noMultiLvlLbl val="0"/>
      </c:catAx>
      <c:valAx>
        <c:axId val="111879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29</xdr:row>
      <xdr:rowOff>152400</xdr:rowOff>
    </xdr:from>
    <xdr:to>
      <xdr:col>5</xdr:col>
      <xdr:colOff>409575</xdr:colOff>
      <xdr:row>47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28"/>
  <sheetViews>
    <sheetView topLeftCell="A4" workbookViewId="0">
      <selection activeCell="M27" sqref="M27"/>
    </sheetView>
  </sheetViews>
  <sheetFormatPr baseColWidth="10" defaultColWidth="9.140625" defaultRowHeight="15" x14ac:dyDescent="0.25"/>
  <cols>
    <col min="1" max="1" width="19.28515625" bestFit="1" customWidth="1"/>
    <col min="2" max="2" width="19.28515625" customWidth="1"/>
    <col min="3" max="3" width="14" bestFit="1" customWidth="1"/>
    <col min="4" max="4" width="12.140625" bestFit="1" customWidth="1"/>
    <col min="5" max="5" width="13.42578125" bestFit="1" customWidth="1"/>
    <col min="6" max="6" width="13.140625" bestFit="1" customWidth="1"/>
    <col min="7" max="7" width="11.28515625" bestFit="1" customWidth="1"/>
    <col min="8" max="8" width="12.5703125" bestFit="1" customWidth="1"/>
    <col min="9" max="10" width="12.5703125" customWidth="1"/>
    <col min="11" max="11" width="19" bestFit="1" customWidth="1"/>
    <col min="13" max="13" width="9.7109375" bestFit="1" customWidth="1"/>
    <col min="14" max="14" width="10.42578125" customWidth="1"/>
    <col min="15" max="15" width="13.85546875" bestFit="1" customWidth="1"/>
  </cols>
  <sheetData>
    <row r="1" spans="1:15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</v>
      </c>
      <c r="J1" s="2" t="s">
        <v>12</v>
      </c>
      <c r="K1" s="2" t="s">
        <v>13</v>
      </c>
      <c r="M1" s="2" t="s">
        <v>9</v>
      </c>
      <c r="N1" s="2" t="s">
        <v>8</v>
      </c>
      <c r="O1" s="2" t="s">
        <v>10</v>
      </c>
    </row>
    <row r="2" spans="1:15" x14ac:dyDescent="0.25">
      <c r="A2" s="5">
        <v>201306040837</v>
      </c>
      <c r="B2" s="5">
        <v>201306041738</v>
      </c>
      <c r="C2" s="1">
        <f>AVERAGE(88,35,123,34,35,45,35,33,33,33)</f>
        <v>49.4</v>
      </c>
      <c r="D2" s="7">
        <f>AVERAGE(104,33,35)</f>
        <v>57.333333333333336</v>
      </c>
      <c r="E2" s="7">
        <f>AVERAGE(12,9)</f>
        <v>10.5</v>
      </c>
      <c r="F2" s="3">
        <v>1733909</v>
      </c>
      <c r="G2" s="8">
        <v>1733909</v>
      </c>
      <c r="H2" s="8">
        <v>0</v>
      </c>
      <c r="I2" s="7">
        <f>AVERAGE(12,9)</f>
        <v>10.5</v>
      </c>
      <c r="J2" s="7">
        <f>AVERAGE(6,4)</f>
        <v>5</v>
      </c>
      <c r="K2" s="7">
        <f>AVERAGE(4,3)</f>
        <v>3.5</v>
      </c>
      <c r="L2" s="6"/>
      <c r="M2" s="4">
        <f t="shared" ref="M2:M25" si="0">D2/C2-1</f>
        <v>0.16059379217273961</v>
      </c>
      <c r="N2" s="4">
        <f>E2/D2</f>
        <v>0.18313953488372092</v>
      </c>
      <c r="O2" s="4">
        <f t="shared" ref="O2:O25" si="1">E2/C2</f>
        <v>0.2125506072874494</v>
      </c>
    </row>
    <row r="3" spans="1:15" x14ac:dyDescent="0.25">
      <c r="A3" s="5">
        <v>201306041738</v>
      </c>
      <c r="B3" s="5">
        <v>201306061001</v>
      </c>
      <c r="C3" s="1">
        <f>AVERAGE(77,34,50,34,34,50,34,33,112,33)</f>
        <v>49.1</v>
      </c>
      <c r="D3" s="1">
        <f>AVERAGE(97,100,35,33,67,35,33,62,35,49)</f>
        <v>54.6</v>
      </c>
      <c r="E3" s="1">
        <f>AVERAGE(13,12,12,12,11,11,11,12,12,11)</f>
        <v>11.7</v>
      </c>
      <c r="F3">
        <v>1734443</v>
      </c>
      <c r="G3" s="3">
        <v>1734443</v>
      </c>
      <c r="H3" s="3">
        <v>2189</v>
      </c>
      <c r="I3" s="1">
        <f>AVERAGE(10,9,9,10,8,9,9,9,10,8)</f>
        <v>9.1</v>
      </c>
      <c r="J3" s="1">
        <f>AVERAGE(5,4,4,4,4,4,4,4,5,4)</f>
        <v>4.2</v>
      </c>
      <c r="K3" s="1">
        <f>AVERAGE(3,3,3,3,3,3,3,3,3,3)</f>
        <v>3</v>
      </c>
      <c r="L3" s="6"/>
      <c r="M3" s="4">
        <f t="shared" si="0"/>
        <v>0.11201629327902229</v>
      </c>
      <c r="N3" s="4">
        <f t="shared" ref="N3:N16" si="2">E3/D3</f>
        <v>0.21428571428571427</v>
      </c>
      <c r="O3" s="4">
        <f t="shared" si="1"/>
        <v>0.23828920570264764</v>
      </c>
    </row>
    <row r="4" spans="1:15" x14ac:dyDescent="0.25">
      <c r="A4" s="5">
        <v>201306061001</v>
      </c>
      <c r="B4" s="5">
        <v>201306061858</v>
      </c>
      <c r="C4" s="1">
        <f>AVERAGE(90,106,33,34,113,33,33,99,33,34)</f>
        <v>60.8</v>
      </c>
      <c r="D4" s="1">
        <f>AVERAGE(103,34,35,33,33,33,33,34,33,33)</f>
        <v>40.4</v>
      </c>
      <c r="E4" s="1">
        <f>AVERAGE(10,8,9,9,9,9,9,9,9,9)</f>
        <v>9</v>
      </c>
      <c r="F4">
        <v>1734443</v>
      </c>
      <c r="G4" s="3">
        <v>1734443</v>
      </c>
      <c r="H4" s="3">
        <v>0</v>
      </c>
      <c r="I4" s="1">
        <f>AVERAGE(10,8,9,9,9,9,9,9,9,9)</f>
        <v>9</v>
      </c>
      <c r="J4" s="1">
        <f>AVERAGE(5,4,4,4,4,4,4,4,4,5)</f>
        <v>4.2</v>
      </c>
      <c r="K4" s="1">
        <f>AVERAGE(3,3,3,3,3,3,3,3,3,3)</f>
        <v>3</v>
      </c>
      <c r="L4" s="6"/>
      <c r="M4" s="4">
        <f t="shared" si="0"/>
        <v>-0.33552631578947367</v>
      </c>
      <c r="N4" s="4">
        <f t="shared" si="2"/>
        <v>0.22277227722772278</v>
      </c>
      <c r="O4" s="4">
        <f t="shared" si="1"/>
        <v>0.1480263157894737</v>
      </c>
    </row>
    <row r="5" spans="1:15" x14ac:dyDescent="0.25">
      <c r="A5" s="5">
        <v>201306061858</v>
      </c>
      <c r="B5" s="5">
        <v>201306131547</v>
      </c>
      <c r="C5" s="1">
        <f>AVERAGE(78,35,34,76,35,33,62,33,59,34)</f>
        <v>47.9</v>
      </c>
      <c r="D5" s="1">
        <f>AVERAGE(78,34,34,33,45,34,51,33,33,33)</f>
        <v>40.799999999999997</v>
      </c>
      <c r="E5" s="1">
        <f>AVERAGE(10,9,9,10,9,9,9,10,9,10)</f>
        <v>9.4</v>
      </c>
      <c r="F5">
        <v>1734443</v>
      </c>
      <c r="G5" s="3">
        <v>1734443</v>
      </c>
      <c r="H5" s="3">
        <v>0</v>
      </c>
      <c r="I5" s="1">
        <f>AVERAGE(10,9,9,10,9,9,9,10,9,10)</f>
        <v>9.4</v>
      </c>
      <c r="J5" s="1">
        <f>AVERAGE(5,4,4,5,4,4,4,4,4,5)</f>
        <v>4.3</v>
      </c>
      <c r="K5" s="1">
        <f>AVERAGE(3,3,3,3,3,3,3,4,3,3)</f>
        <v>3.1</v>
      </c>
      <c r="L5" s="6"/>
      <c r="M5" s="4">
        <f t="shared" si="0"/>
        <v>-0.14822546972860129</v>
      </c>
      <c r="N5" s="4">
        <f t="shared" si="2"/>
        <v>0.23039215686274511</v>
      </c>
      <c r="O5" s="4">
        <f t="shared" si="1"/>
        <v>0.19624217118997914</v>
      </c>
    </row>
    <row r="6" spans="1:15" x14ac:dyDescent="0.25">
      <c r="A6" s="5">
        <v>201306131547</v>
      </c>
      <c r="B6" s="5">
        <v>201306140947</v>
      </c>
      <c r="C6" s="1">
        <f>AVERAGE(56,34,34,35,47,49,33,34,33,34)</f>
        <v>38.9</v>
      </c>
      <c r="D6" s="1">
        <f>AVERAGE(79,35,34,48,34,46,33,34,34,65)</f>
        <v>44.2</v>
      </c>
      <c r="E6" s="1">
        <f>AVERAGE(13,11,13,11,12,12,12,10,11,11)</f>
        <v>11.6</v>
      </c>
      <c r="F6">
        <v>1734580</v>
      </c>
      <c r="G6" s="3">
        <v>1734580</v>
      </c>
      <c r="H6" s="3">
        <v>2703</v>
      </c>
      <c r="I6" s="1">
        <f>AVERAGE(10,9,10,9,10,10,10,8,9,9)</f>
        <v>9.4</v>
      </c>
      <c r="J6" s="1">
        <f>AVERAGE(5,4,5,4,5,5,5,4,4,4)</f>
        <v>4.5</v>
      </c>
      <c r="K6" s="1">
        <f>AVERAGE(3,3,3,3,3,3,3,3,3,3)</f>
        <v>3</v>
      </c>
      <c r="L6" s="6"/>
      <c r="M6" s="4">
        <f t="shared" si="0"/>
        <v>0.13624678663239087</v>
      </c>
      <c r="N6" s="4">
        <f t="shared" si="2"/>
        <v>0.26244343891402711</v>
      </c>
      <c r="O6" s="4">
        <f t="shared" si="1"/>
        <v>0.29820051413881749</v>
      </c>
    </row>
    <row r="7" spans="1:15" x14ac:dyDescent="0.25">
      <c r="A7" s="5">
        <v>201306140947</v>
      </c>
      <c r="B7" s="5">
        <v>201306141844</v>
      </c>
      <c r="C7" s="1">
        <f>AVERAGE(78,60,47,34,35,44,49,33,57,33)</f>
        <v>47</v>
      </c>
      <c r="D7" s="1">
        <f>AVERAGE(95,58,35,33,52,33,33,35,34,35)</f>
        <v>44.3</v>
      </c>
      <c r="E7" s="1">
        <f>AVERAGE(11,10,9,9,10,10,10,9,9,9)</f>
        <v>9.6</v>
      </c>
      <c r="F7">
        <v>1734580</v>
      </c>
      <c r="G7" s="3">
        <v>1734580</v>
      </c>
      <c r="H7" s="3">
        <v>0</v>
      </c>
      <c r="I7" s="1">
        <f>AVERAGE(11,10,9,9,10,10,10,9,9,9)</f>
        <v>9.6</v>
      </c>
      <c r="J7" s="1">
        <f>AVERAGE(6,5,4,4,4,4,5,4,4,4)</f>
        <v>4.4000000000000004</v>
      </c>
      <c r="K7" s="1">
        <f>AVERAGE(3,3,3,3,3,4,3,3,3,3)</f>
        <v>3.1</v>
      </c>
      <c r="L7" s="6"/>
      <c r="M7" s="4">
        <f t="shared" si="0"/>
        <v>-5.7446808510638325E-2</v>
      </c>
      <c r="N7" s="4">
        <f t="shared" si="2"/>
        <v>0.21670428893905191</v>
      </c>
      <c r="O7" s="4">
        <f t="shared" si="1"/>
        <v>0.20425531914893616</v>
      </c>
    </row>
    <row r="8" spans="1:15" x14ac:dyDescent="0.25">
      <c r="A8" s="5">
        <v>201306141844</v>
      </c>
      <c r="B8" s="5">
        <v>201306151219</v>
      </c>
      <c r="C8" s="1">
        <f>AVERAGE(79,91,34,34,41,33,34,33,34,33)</f>
        <v>44.6</v>
      </c>
      <c r="D8" s="1">
        <f>AVERAGE(83,51,62,34,50,33,34,35,33,34)</f>
        <v>44.9</v>
      </c>
      <c r="E8" s="1">
        <f>AVERAGE(12,10,9,9,9,29,10,9,11,12)</f>
        <v>12</v>
      </c>
      <c r="F8">
        <v>1734580</v>
      </c>
      <c r="G8" s="3">
        <v>1734580</v>
      </c>
      <c r="H8" s="3">
        <v>0</v>
      </c>
      <c r="I8" s="1">
        <f>AVERAGE(12,10,9,9,9,29,10,9,11,12)</f>
        <v>12</v>
      </c>
      <c r="J8" s="1">
        <f>AVERAGE(6,5,4,4,4,25,5,4,6,7)</f>
        <v>7</v>
      </c>
      <c r="K8" s="1">
        <f>AVERAGE(3,3,3,3,3,3,3,3,3,3)</f>
        <v>3</v>
      </c>
      <c r="L8" s="6"/>
      <c r="M8" s="4">
        <f t="shared" si="0"/>
        <v>6.7264573991030474E-3</v>
      </c>
      <c r="N8" s="4">
        <f t="shared" si="2"/>
        <v>0.267260579064588</v>
      </c>
      <c r="O8" s="4">
        <f t="shared" si="1"/>
        <v>0.26905829596412556</v>
      </c>
    </row>
    <row r="9" spans="1:15" x14ac:dyDescent="0.25">
      <c r="A9" s="5">
        <v>201306151219</v>
      </c>
      <c r="B9" s="5">
        <v>201306161541</v>
      </c>
      <c r="C9" s="1">
        <f>AVERAGE(62,162,46,34,34,33,34,33,34,33,)</f>
        <v>45.909090909090907</v>
      </c>
      <c r="D9" s="1">
        <f>AVERAGE(63,34,35,33,34,33,33,35,47,88)</f>
        <v>43.5</v>
      </c>
      <c r="E9" s="1">
        <f>AVERAGE(11,9,9,9,9,9,10,9,11,9)</f>
        <v>9.5</v>
      </c>
      <c r="F9">
        <v>1734580</v>
      </c>
      <c r="G9" s="3">
        <v>1734580</v>
      </c>
      <c r="H9" s="3">
        <v>0</v>
      </c>
      <c r="I9" s="1">
        <f>AVERAGE(11,9,9,9,9,9,10,9,11,9)</f>
        <v>9.5</v>
      </c>
      <c r="J9" s="1">
        <f>AVERAGE(6,4,4,4,4,4,5,4,6,4)</f>
        <v>4.5</v>
      </c>
      <c r="K9" s="1">
        <f>AVERAGE(3,3,3,3,3,3,3,3,3,3)</f>
        <v>3</v>
      </c>
      <c r="L9" s="6"/>
      <c r="M9" s="4">
        <f t="shared" si="0"/>
        <v>-5.2475247524752411E-2</v>
      </c>
      <c r="N9" s="4">
        <f t="shared" si="2"/>
        <v>0.21839080459770116</v>
      </c>
      <c r="O9" s="4">
        <f t="shared" si="1"/>
        <v>0.20693069306930695</v>
      </c>
    </row>
    <row r="10" spans="1:15" x14ac:dyDescent="0.25">
      <c r="A10" s="5">
        <v>201306161541</v>
      </c>
      <c r="B10" s="5">
        <v>201306161548</v>
      </c>
      <c r="C10" s="1">
        <f>AVERAGE(99,33,69,35,33,52,33,33,43,34,)</f>
        <v>42.18181818181818</v>
      </c>
      <c r="D10" s="1">
        <f>AVERAGE(90,55,91,34,33,32,33,33,33,33)</f>
        <v>46.7</v>
      </c>
      <c r="E10" s="1">
        <f>AVERAGE(11,9,8,9,10,9,9,57,10,10)</f>
        <v>14.2</v>
      </c>
      <c r="F10">
        <v>1734580</v>
      </c>
      <c r="G10" s="3">
        <v>1734580</v>
      </c>
      <c r="H10" s="3">
        <v>0</v>
      </c>
      <c r="I10" s="1">
        <f>AVERAGE(11,9,8,9,10,9,9,57,10,10,)</f>
        <v>12.909090909090908</v>
      </c>
      <c r="J10" s="1">
        <f>AVERAGE(6,4,4,4,5,4,4,52,4,4,)</f>
        <v>8.2727272727272734</v>
      </c>
      <c r="K10" s="1">
        <f>AVERAGE(3,3,3,3,3,3,3,3,4,4)</f>
        <v>3.2</v>
      </c>
      <c r="L10" s="6"/>
      <c r="M10" s="4">
        <f t="shared" si="0"/>
        <v>0.10711206896551739</v>
      </c>
      <c r="N10" s="4">
        <f t="shared" si="2"/>
        <v>0.30406852248394001</v>
      </c>
      <c r="O10" s="4">
        <f t="shared" si="1"/>
        <v>0.33663793103448275</v>
      </c>
    </row>
    <row r="11" spans="1:15" x14ac:dyDescent="0.25">
      <c r="A11" s="5">
        <v>201306161548</v>
      </c>
      <c r="B11" s="5">
        <v>201306162138</v>
      </c>
      <c r="C11" s="1">
        <f>AVERAGE(92,97,38,43,36,34,62,33,92,33)</f>
        <v>56</v>
      </c>
      <c r="D11" s="1">
        <f>AVERAGE(84,142,35,35,33,35,42,33,34,35)</f>
        <v>50.8</v>
      </c>
      <c r="E11" s="1">
        <f>AVERAGE(11,9,9,9,10,9,9,10,9,9)</f>
        <v>9.4</v>
      </c>
      <c r="F11">
        <v>1734580</v>
      </c>
      <c r="G11" s="3">
        <v>1734580</v>
      </c>
      <c r="H11" s="3">
        <v>0</v>
      </c>
      <c r="I11" s="1">
        <f>AVERAGE(11,9,9,9,10,9,9,10,9,9,)</f>
        <v>8.545454545454545</v>
      </c>
      <c r="J11" s="1">
        <f>AVERAGE(6,4,4,4,5,4,4,5,5,4)</f>
        <v>4.5</v>
      </c>
      <c r="K11" s="1">
        <f>AVERAGE(3,3,3,3,3,3,3,3,3,3)</f>
        <v>3</v>
      </c>
      <c r="L11" s="6"/>
      <c r="M11" s="4">
        <f t="shared" si="0"/>
        <v>-9.285714285714286E-2</v>
      </c>
      <c r="N11" s="4">
        <f t="shared" si="2"/>
        <v>0.18503937007874016</v>
      </c>
      <c r="O11" s="4">
        <f t="shared" si="1"/>
        <v>0.16785714285714287</v>
      </c>
    </row>
    <row r="12" spans="1:15" x14ac:dyDescent="0.25">
      <c r="A12" s="5">
        <v>201306162138</v>
      </c>
      <c r="B12" s="5">
        <v>201306192053</v>
      </c>
      <c r="C12" s="1">
        <f>AVERAGE(53,35,34,44,34,33,89,33,33,153)</f>
        <v>54.1</v>
      </c>
      <c r="D12" s="1">
        <f>AVERAGE(105,50,34,34,33,33,33,35,55,35)</f>
        <v>44.7</v>
      </c>
      <c r="E12" s="1">
        <f>AVERAGE(11,9,9,9,11,10,9,9,9,9)</f>
        <v>9.5</v>
      </c>
      <c r="F12">
        <v>1734580</v>
      </c>
      <c r="G12" s="3">
        <v>1734580</v>
      </c>
      <c r="H12" s="3">
        <v>0</v>
      </c>
      <c r="I12" s="1">
        <f>AVERAGE(11,9,9,9,11,10,9,9,9,9)</f>
        <v>9.5</v>
      </c>
      <c r="J12" s="1">
        <f>AVERAGE(6,4,4,4,6,4,4,4,4,4)</f>
        <v>4.4000000000000004</v>
      </c>
      <c r="K12" s="1">
        <f>AVERAGE(3,3,3,3,3,4,3,3,3,3)</f>
        <v>3.1</v>
      </c>
      <c r="L12" s="6"/>
      <c r="M12" s="4">
        <f t="shared" si="0"/>
        <v>-0.17375231053604434</v>
      </c>
      <c r="N12" s="4">
        <f t="shared" si="2"/>
        <v>0.21252796420581654</v>
      </c>
      <c r="O12" s="4">
        <f t="shared" si="1"/>
        <v>0.1756007393715342</v>
      </c>
    </row>
    <row r="13" spans="1:15" x14ac:dyDescent="0.25">
      <c r="A13" s="5">
        <v>201306192053</v>
      </c>
      <c r="B13" s="5">
        <v>201306200925</v>
      </c>
      <c r="C13" s="1">
        <f>AVERAGE(127,35,42,34,35,33,46,33,33,53)</f>
        <v>47.1</v>
      </c>
      <c r="D13" s="1">
        <f>AVERAGE(98,33,34,33,33,33,33,105,34,48)</f>
        <v>48.4</v>
      </c>
      <c r="E13" s="1">
        <f>AVERAGE(10,9,9,9,9,10,9,9,9,10)</f>
        <v>9.3000000000000007</v>
      </c>
      <c r="F13">
        <v>1734580</v>
      </c>
      <c r="G13" s="3">
        <v>1734580</v>
      </c>
      <c r="H13" s="3">
        <v>0</v>
      </c>
      <c r="I13" s="1">
        <f>AVERAGE(10,9,9,9,9,10,9,9,9,10)</f>
        <v>9.3000000000000007</v>
      </c>
      <c r="J13" s="1">
        <f>AVERAGE(5,4,4,4,4,4,4,4,4,4)</f>
        <v>4.0999999999999996</v>
      </c>
      <c r="K13" s="1">
        <f>AVERAGE(3,3,3,3,3,3,3,3,3,3,)</f>
        <v>2.7272727272727271</v>
      </c>
      <c r="L13" s="6"/>
      <c r="M13" s="4">
        <f t="shared" si="0"/>
        <v>2.7600849256900206E-2</v>
      </c>
      <c r="N13" s="4">
        <f t="shared" si="2"/>
        <v>0.19214876033057854</v>
      </c>
      <c r="O13" s="4">
        <f t="shared" si="1"/>
        <v>0.19745222929936307</v>
      </c>
    </row>
    <row r="14" spans="1:15" x14ac:dyDescent="0.25">
      <c r="A14" s="5">
        <v>201306200925</v>
      </c>
      <c r="B14" s="5">
        <v>201306201648</v>
      </c>
      <c r="C14" s="1">
        <f>AVERAGE(53,34,93,35,109,36,34,65,33,33,)</f>
        <v>47.727272727272727</v>
      </c>
      <c r="D14" s="1">
        <f>AVERAGE(97,34,33,34,33,34,33,33,34,33)</f>
        <v>39.799999999999997</v>
      </c>
      <c r="E14" s="1">
        <f>AVERAGE(16,13,14,12,13,13,13,14,13,14)</f>
        <v>13.5</v>
      </c>
      <c r="F14">
        <v>1734940</v>
      </c>
      <c r="G14" s="3">
        <v>1734940</v>
      </c>
      <c r="H14" s="3">
        <f>AVERAGE(11455,11455,11454,11455,11455,11455,11454,11455,11455,11455)</f>
        <v>11454.8</v>
      </c>
      <c r="I14" s="1">
        <f>AVERAGE(11,9,10,9,10,9,10,10,9,10)</f>
        <v>9.6999999999999993</v>
      </c>
      <c r="J14" s="1">
        <f>AVERAGE(6,4,5,4,5,4,4,5,4,4,)</f>
        <v>4.0909090909090908</v>
      </c>
      <c r="K14" s="1">
        <f>AVERAGE(3,3,3,3,3,3,3,3,3,4,)</f>
        <v>2.8181818181818183</v>
      </c>
      <c r="L14" s="6"/>
      <c r="M14" s="4">
        <f t="shared" si="0"/>
        <v>-0.16609523809523818</v>
      </c>
      <c r="N14" s="4">
        <f t="shared" si="2"/>
        <v>0.33919597989949751</v>
      </c>
      <c r="O14" s="4">
        <f t="shared" si="1"/>
        <v>0.28285714285714286</v>
      </c>
    </row>
    <row r="15" spans="1:15" x14ac:dyDescent="0.25">
      <c r="A15" s="5">
        <v>201306201648</v>
      </c>
      <c r="B15" s="5">
        <v>201306261912</v>
      </c>
      <c r="C15" s="1">
        <f>AVERAGE(106,33,33,35,95,47,45,34,47,48)</f>
        <v>52.3</v>
      </c>
      <c r="D15" s="1">
        <f>AVERAGE(99,53,146,34,33,35,34,34,34,35)</f>
        <v>53.7</v>
      </c>
      <c r="E15" s="1">
        <f>AVERAGE(11,11,9,9,10,9,9,9,29,9)</f>
        <v>11.5</v>
      </c>
      <c r="F15">
        <v>1734940</v>
      </c>
      <c r="G15" s="3">
        <v>1734940</v>
      </c>
      <c r="H15" s="3">
        <v>0</v>
      </c>
      <c r="I15" s="1">
        <f>AVERAGE(11,11,9,9,10,9,9,9,29,9)</f>
        <v>11.5</v>
      </c>
      <c r="J15" s="1">
        <f>AVERAGE(6,6,4,4,5,4,4,4,24,4)</f>
        <v>6.5</v>
      </c>
      <c r="K15" s="1">
        <f>AVERAGE(3,3,3,3,3,3,3,3,3,3)</f>
        <v>3</v>
      </c>
      <c r="L15" s="6"/>
      <c r="M15" s="4">
        <f t="shared" si="0"/>
        <v>2.6768642447418944E-2</v>
      </c>
      <c r="N15" s="4">
        <f t="shared" si="2"/>
        <v>0.21415270018621974</v>
      </c>
      <c r="O15" s="4">
        <f t="shared" si="1"/>
        <v>0.21988527724665394</v>
      </c>
    </row>
    <row r="16" spans="1:15" x14ac:dyDescent="0.25">
      <c r="A16" s="5">
        <v>201306261912</v>
      </c>
      <c r="B16" s="5">
        <v>201306270212</v>
      </c>
      <c r="C16" s="1">
        <f>AVERAGE(103,34,33,35,35,33,72,33,33,33)</f>
        <v>44.4</v>
      </c>
      <c r="D16" s="1">
        <f>AVERAGE(119,35,119,33,34,51,34,34,34,33)</f>
        <v>52.6</v>
      </c>
      <c r="E16" s="1">
        <f>AVERAGE(14,13,12,12,12,13,12,12,13,13)</f>
        <v>12.6</v>
      </c>
      <c r="F16">
        <v>1735155</v>
      </c>
      <c r="G16" s="3">
        <v>1735155</v>
      </c>
      <c r="H16" s="3">
        <v>1580</v>
      </c>
      <c r="I16" s="1">
        <f>AVERAGE(10,10,9,9,9,10,10,9,11,10)</f>
        <v>9.6999999999999993</v>
      </c>
      <c r="J16" s="1">
        <f>AVERAGE(5,5,4,4,4,5,5,4,6,5)</f>
        <v>4.7</v>
      </c>
      <c r="K16" s="1">
        <f>AVERAGE(3,3,3,3,3,3,3,3,3,3)</f>
        <v>3</v>
      </c>
      <c r="L16" s="6"/>
      <c r="M16" s="4">
        <f t="shared" si="0"/>
        <v>0.1846846846846848</v>
      </c>
      <c r="N16" s="4">
        <f t="shared" si="2"/>
        <v>0.23954372623574144</v>
      </c>
      <c r="O16" s="4">
        <f t="shared" si="1"/>
        <v>0.28378378378378377</v>
      </c>
    </row>
    <row r="17" spans="1:15" x14ac:dyDescent="0.25">
      <c r="A17" s="5">
        <v>201306270212</v>
      </c>
      <c r="B17" s="5">
        <v>201306281749</v>
      </c>
      <c r="C17" s="1">
        <f>AVERAGE(95,89,82,35,152,33,73,63,72,34)</f>
        <v>72.8</v>
      </c>
      <c r="D17" s="1">
        <f>AVERAGE(127,33,36,33,34,33,33,33,37,33)</f>
        <v>43.2</v>
      </c>
      <c r="E17" s="1">
        <f>AVERAGE(28,9,9,9,10,9,9,9,9,9)</f>
        <v>11</v>
      </c>
      <c r="F17">
        <v>1735155</v>
      </c>
      <c r="G17" s="3">
        <v>1735155</v>
      </c>
      <c r="H17" s="3">
        <v>0</v>
      </c>
      <c r="I17" s="1">
        <f>AVERAGE(28,9,9,9,10,9,9,9,9,9)</f>
        <v>11</v>
      </c>
      <c r="J17" s="1">
        <f>AVERAGE(23,4,4,5,5,4,4,4,4,4)</f>
        <v>6.1</v>
      </c>
      <c r="K17" s="1">
        <f>AVERAGE(3,3,3,3,3,3,3,3,3,3)</f>
        <v>3</v>
      </c>
      <c r="M17" s="4">
        <f t="shared" si="0"/>
        <v>-0.40659340659340648</v>
      </c>
      <c r="N17" s="4">
        <f>E17/D17</f>
        <v>0.25462962962962959</v>
      </c>
      <c r="O17" s="4">
        <f t="shared" si="1"/>
        <v>0.15109890109890112</v>
      </c>
    </row>
    <row r="18" spans="1:15" x14ac:dyDescent="0.25">
      <c r="A18" s="5">
        <v>201306281749</v>
      </c>
      <c r="B18" s="5">
        <v>201307011116</v>
      </c>
      <c r="C18" s="1">
        <f>AVERAGE(56,65,33,34,77,59,33,33,33,34)</f>
        <v>45.7</v>
      </c>
      <c r="D18" s="1">
        <f>AVERAGE(118,34,56,33,32,49,47,34,48,34)</f>
        <v>48.5</v>
      </c>
      <c r="E18" s="1">
        <f>AVERAGE(23,19,19,19,20,19,20,20,20,20)</f>
        <v>19.899999999999999</v>
      </c>
      <c r="F18">
        <v>1735900</v>
      </c>
      <c r="G18" s="3">
        <v>1735900</v>
      </c>
      <c r="H18" s="3">
        <f>AVERAGE(29986,29987,29987,30009,29987,29987,29987,30009,29986,29987)</f>
        <v>29991.200000000001</v>
      </c>
      <c r="I18" s="1">
        <f>AVERAGE(12,9,9,9,10,9,10,9,10,10)</f>
        <v>9.6999999999999993</v>
      </c>
      <c r="J18" s="1">
        <f>AVERAGE(6,4,4,4,5,4,4,4,4,4)</f>
        <v>4.3</v>
      </c>
      <c r="K18" s="1">
        <f>AVERAGE(3,3,3,3,3,3,3,3,3,3)</f>
        <v>3</v>
      </c>
      <c r="M18" s="4">
        <f t="shared" si="0"/>
        <v>6.1269146608315062E-2</v>
      </c>
      <c r="N18" s="4">
        <f t="shared" ref="N18:N25" si="3">E18/D18</f>
        <v>0.41030927835051545</v>
      </c>
      <c r="O18" s="4">
        <f t="shared" si="1"/>
        <v>0.43544857768052508</v>
      </c>
    </row>
    <row r="19" spans="1:15" x14ac:dyDescent="0.25">
      <c r="A19" s="5">
        <v>201307011116</v>
      </c>
      <c r="B19" s="5">
        <v>201307021644</v>
      </c>
      <c r="C19" s="1">
        <f>AVERAGE(67,35,51,35,34,33,34,33,50,34)</f>
        <v>40.6</v>
      </c>
      <c r="D19" s="1">
        <f>AVERAGE(103,99,33,51,51,35,33,34,35,36)</f>
        <v>51</v>
      </c>
      <c r="E19" s="1">
        <f>AVERAGE(18,15,15,15,16,14,16,15,15,17)</f>
        <v>15.6</v>
      </c>
      <c r="F19">
        <v>1735155</v>
      </c>
      <c r="G19" s="3">
        <v>1735155</v>
      </c>
      <c r="H19" s="3">
        <f>AVERAGE(29261,29261,29261,29261,29261,29261,29261,29261,29261,29261)</f>
        <v>29261</v>
      </c>
      <c r="I19" s="1">
        <f>AVERAGE(11,9,10,10,10,9,10,9,9,11)</f>
        <v>9.8000000000000007</v>
      </c>
      <c r="J19" s="1">
        <f>AVERAGE(5,4,4,4,4,4,4,4,4,6)</f>
        <v>4.3</v>
      </c>
      <c r="K19" s="1">
        <f>AVERAGE(3,3,3,3,4,3,3,3,3,3)</f>
        <v>3.1</v>
      </c>
      <c r="M19" s="4">
        <f t="shared" si="0"/>
        <v>0.2561576354679802</v>
      </c>
      <c r="N19" s="4">
        <f t="shared" si="3"/>
        <v>0.30588235294117644</v>
      </c>
      <c r="O19" s="4">
        <f t="shared" si="1"/>
        <v>0.38423645320197042</v>
      </c>
    </row>
    <row r="20" spans="1:15" x14ac:dyDescent="0.25">
      <c r="A20" s="5">
        <v>201307021644</v>
      </c>
      <c r="B20" s="5">
        <v>201307021649</v>
      </c>
      <c r="C20" s="1">
        <f>AVERAGE(98,34,34,34,34,75,33,57,33,88,)</f>
        <v>47.272727272727273</v>
      </c>
      <c r="D20" s="1">
        <f>AVERAGE(135,34,46,92,33,34,33,46,34,34)</f>
        <v>52.1</v>
      </c>
      <c r="E20" s="1">
        <f>AVERAGE(24,20,21,19,20,19,19,20,19,19)</f>
        <v>20</v>
      </c>
      <c r="F20">
        <v>1735900</v>
      </c>
      <c r="G20" s="3">
        <v>1735900</v>
      </c>
      <c r="H20" s="3">
        <f>AVERAGE(29987,29986,30009,29987,29987,30009,29987,29987,29986,30009)</f>
        <v>29993.4</v>
      </c>
      <c r="I20" s="1">
        <f>AVERAGE(11,10,11,9,9,10,9,9,9,9)</f>
        <v>9.6</v>
      </c>
      <c r="J20" s="1">
        <f>AVERAGE(6,4,4,4,4,5,4,4,4,4)</f>
        <v>4.3</v>
      </c>
      <c r="K20" s="1">
        <f>AVERAGE(3,3,5,3,3,3,3,3,3,3)</f>
        <v>3.2</v>
      </c>
      <c r="M20" s="4">
        <f t="shared" si="0"/>
        <v>0.10211538461538461</v>
      </c>
      <c r="N20" s="4">
        <f t="shared" si="3"/>
        <v>0.38387715930902111</v>
      </c>
      <c r="O20" s="4">
        <f t="shared" si="1"/>
        <v>0.42307692307692307</v>
      </c>
    </row>
    <row r="21" spans="1:15" x14ac:dyDescent="0.25">
      <c r="A21" s="5">
        <v>201307021649</v>
      </c>
      <c r="B21" s="5">
        <v>201307041303</v>
      </c>
      <c r="C21" s="1">
        <f>AVERAGE(158,35,34,35,40,34,33,34,83,33)</f>
        <v>51.9</v>
      </c>
      <c r="D21" s="1">
        <f>AVERAGE(92,86,36,34,49,33,34,33,52,34)</f>
        <v>48.3</v>
      </c>
      <c r="E21" s="1">
        <f>AVERAGE(11,11,9,10,9,9,9,9,9,9)</f>
        <v>9.5</v>
      </c>
      <c r="F21">
        <v>1735900</v>
      </c>
      <c r="G21" s="3">
        <v>1735900</v>
      </c>
      <c r="H21" s="3">
        <v>0</v>
      </c>
      <c r="I21" s="1">
        <f>AVERAGE(11,11,9,10,9,9,9,9,9,9)</f>
        <v>9.5</v>
      </c>
      <c r="J21" s="1">
        <f>AVERAGE(5,4,4,5,4,4,4,4,4,4)</f>
        <v>4.2</v>
      </c>
      <c r="K21" s="1">
        <f>AVERAGE(4,3,3,3,3,3,3,3,3,3)</f>
        <v>3.1</v>
      </c>
      <c r="M21" s="4">
        <f t="shared" si="0"/>
        <v>-6.9364161849711059E-2</v>
      </c>
      <c r="N21" s="4">
        <f t="shared" si="3"/>
        <v>0.19668737060041408</v>
      </c>
      <c r="O21" s="4">
        <f t="shared" si="1"/>
        <v>0.18304431599229287</v>
      </c>
    </row>
    <row r="22" spans="1:15" x14ac:dyDescent="0.25">
      <c r="A22" s="5">
        <v>201307041303</v>
      </c>
      <c r="B22" s="5">
        <v>201307042149</v>
      </c>
      <c r="C22" s="1">
        <f>AVERAGE(81,52,33,43,33,34,33,47,34,33,)</f>
        <v>38.454545454545453</v>
      </c>
      <c r="D22" s="1">
        <f>AVERAGE(86,33,34,33,33,69,33,32,33,33)</f>
        <v>41.9</v>
      </c>
      <c r="E22" s="1">
        <f>AVERAGE(49,48,47,48,48,47,48,47,47,47)</f>
        <v>47.6</v>
      </c>
      <c r="F22">
        <v>1735943</v>
      </c>
      <c r="G22" s="3">
        <v>1735943</v>
      </c>
      <c r="H22" s="3">
        <v>106175</v>
      </c>
      <c r="I22" s="1">
        <f>AVERAGE(10,9,9,11,10,9,10,9,9,9)</f>
        <v>9.5</v>
      </c>
      <c r="J22" s="1">
        <f>AVERAGE(5,4,4,6,5,4,5,4,4,4)</f>
        <v>4.5</v>
      </c>
      <c r="K22" s="1">
        <f>AVERAGE(3,3,3,3,3,3,3,3,3,3)</f>
        <v>3</v>
      </c>
      <c r="M22" s="4">
        <f t="shared" si="0"/>
        <v>8.9598108747044991E-2</v>
      </c>
      <c r="N22" s="4">
        <f t="shared" si="3"/>
        <v>1.1360381861575179</v>
      </c>
      <c r="O22" s="4">
        <f t="shared" si="1"/>
        <v>1.2378250591016549</v>
      </c>
    </row>
    <row r="23" spans="1:15" x14ac:dyDescent="0.25">
      <c r="A23" s="5">
        <v>201307042149</v>
      </c>
      <c r="B23" s="5">
        <v>201307042220</v>
      </c>
      <c r="C23" s="1">
        <f>AVERAGE(72,35,85,34,34,100,33,33,35,58)</f>
        <v>51.9</v>
      </c>
      <c r="D23" s="1">
        <f>AVERAGE(101,34,63,34,34,34,33,49,50,33)</f>
        <v>46.5</v>
      </c>
      <c r="E23" s="1">
        <f>AVERAGE(11,9,10,9,10,10,9,9,9,28)</f>
        <v>11.4</v>
      </c>
      <c r="F23">
        <v>1735943</v>
      </c>
      <c r="G23" s="3">
        <v>1735943</v>
      </c>
      <c r="H23" s="3">
        <v>0</v>
      </c>
      <c r="I23" s="1">
        <f>AVERAGE(11,9,10,9,10,10,9,9,9,28)</f>
        <v>11.4</v>
      </c>
      <c r="J23" s="1">
        <f>AVERAGE(5,4,5,4,5,5,4,4,4,23)</f>
        <v>6.3</v>
      </c>
      <c r="K23" s="1">
        <f>AVERAGE(3,3,3,3,3,3,3,3,3,3)</f>
        <v>3</v>
      </c>
      <c r="M23" s="4">
        <f t="shared" si="0"/>
        <v>-0.10404624277456642</v>
      </c>
      <c r="N23" s="4">
        <f t="shared" si="3"/>
        <v>0.24516129032258066</v>
      </c>
      <c r="O23" s="4">
        <f t="shared" si="1"/>
        <v>0.21965317919075145</v>
      </c>
    </row>
    <row r="24" spans="1:15" x14ac:dyDescent="0.25">
      <c r="A24" s="5">
        <v>201307042220</v>
      </c>
      <c r="B24" s="5">
        <v>201307051815</v>
      </c>
      <c r="C24" s="1">
        <f>AVERAGE(88,102,34,35,125,34,33,46,34,33)</f>
        <v>56.4</v>
      </c>
      <c r="D24" s="1">
        <f>AVERAGE(94,91,46,33,48,33,34,33,34,35)</f>
        <v>48.1</v>
      </c>
      <c r="E24" s="1">
        <f>AVERAGE(10,9,9,10,9,9,10,9,9,10)</f>
        <v>9.4</v>
      </c>
      <c r="F24">
        <v>1735943</v>
      </c>
      <c r="G24" s="3">
        <v>1735943</v>
      </c>
      <c r="H24" s="3">
        <v>0</v>
      </c>
      <c r="I24" s="1">
        <f>AVERAGE(10,9,9,10,9,9,10,9,9,10)</f>
        <v>9.4</v>
      </c>
      <c r="J24" s="1">
        <f>AVERAGE(5,4,4,5,4,4,5,4,4,5)</f>
        <v>4.4000000000000004</v>
      </c>
      <c r="K24" s="1">
        <f>AVERAGE(3,3,3,3,3,3,3,3,3,3)</f>
        <v>3</v>
      </c>
      <c r="M24" s="4">
        <f t="shared" si="0"/>
        <v>-0.14716312056737579</v>
      </c>
      <c r="N24" s="4">
        <f t="shared" si="3"/>
        <v>0.19542619542619544</v>
      </c>
      <c r="O24" s="4">
        <f t="shared" si="1"/>
        <v>0.16666666666666669</v>
      </c>
    </row>
    <row r="25" spans="1:15" x14ac:dyDescent="0.25">
      <c r="A25" s="5">
        <v>201307051815</v>
      </c>
      <c r="B25" s="5">
        <v>201307051826</v>
      </c>
      <c r="C25" s="1">
        <f>AVERAGE(108,76,33,53,35,33,66,33,57,34)</f>
        <v>52.8</v>
      </c>
      <c r="D25" s="1">
        <f>AVERAGE(67,34,45,48,46,47,33,36,35,34)</f>
        <v>42.5</v>
      </c>
      <c r="E25" s="1">
        <f>AVERAGE(10,10,10,9,9,10,10,27,11,10)</f>
        <v>11.6</v>
      </c>
      <c r="F25">
        <v>1735943</v>
      </c>
      <c r="G25">
        <v>1735943</v>
      </c>
      <c r="H25" s="3">
        <v>0</v>
      </c>
      <c r="I25" s="1">
        <f>AVERAGE(10,10,10,9,9,10,10,27,11,10)</f>
        <v>11.6</v>
      </c>
      <c r="J25" s="1">
        <f>AVERAGE(5,5,4,4,4,5,4,22,6,4)</f>
        <v>6.3</v>
      </c>
      <c r="K25" s="1">
        <f>AVERAGE(3,3,4,3,3,4,3,3,3,3)</f>
        <v>3.2</v>
      </c>
      <c r="M25" s="4">
        <f t="shared" si="0"/>
        <v>-0.19507575757575757</v>
      </c>
      <c r="N25" s="4">
        <f t="shared" si="3"/>
        <v>0.27294117647058824</v>
      </c>
      <c r="O25" s="4">
        <f t="shared" si="1"/>
        <v>0.2196969696969697</v>
      </c>
    </row>
    <row r="27" spans="1:15" x14ac:dyDescent="0.25">
      <c r="C27" s="1">
        <f>AVERAGE(C18:C25)</f>
        <v>48.128409090909088</v>
      </c>
      <c r="D27" s="1">
        <f t="shared" ref="D27:K27" si="4">AVERAGE(D2:D25)</f>
        <v>47.034722222222221</v>
      </c>
      <c r="E27" s="1">
        <f t="shared" si="4"/>
        <v>13.304166666666667</v>
      </c>
      <c r="F27" s="1">
        <f t="shared" si="4"/>
        <v>1735028.9583333333</v>
      </c>
      <c r="G27" s="1">
        <f t="shared" si="4"/>
        <v>1735028.9583333333</v>
      </c>
      <c r="H27" s="1">
        <f t="shared" si="4"/>
        <v>8889.4750000000004</v>
      </c>
      <c r="I27" s="1">
        <f t="shared" si="4"/>
        <v>10.048106060606059</v>
      </c>
      <c r="J27" s="1">
        <f t="shared" si="4"/>
        <v>4.9734848484848486</v>
      </c>
      <c r="K27" s="1">
        <f t="shared" si="4"/>
        <v>3.0477272727272733</v>
      </c>
      <c r="M27" s="4">
        <f>AVERAGE(M2:M25)</f>
        <v>-2.8238807171925267E-2</v>
      </c>
      <c r="N27" s="4">
        <f>AVERAGE(N2:N25)</f>
        <v>0.28762576905847687</v>
      </c>
      <c r="O27" s="4">
        <f>AVERAGE(O2:O25)</f>
        <v>0.28576560060197898</v>
      </c>
    </row>
    <row r="28" spans="1:15" x14ac:dyDescent="0.25">
      <c r="C28">
        <f>STDEVA(C2:C25)</f>
        <v>7.4567146234253965</v>
      </c>
      <c r="E28">
        <f>AVERAGEIF(H2:H25,"&gt;0",E2:E25)</f>
        <v>19.0625</v>
      </c>
      <c r="M28" s="4">
        <f>AVERAGEIF(M2:M25,"&gt;0")</f>
        <v>0.10590748752304184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7" sqref="E27"/>
    </sheetView>
  </sheetViews>
  <sheetFormatPr baseColWidth="10" defaultRowHeight="15" x14ac:dyDescent="0.25"/>
  <cols>
    <col min="1" max="1" width="17.5703125" customWidth="1"/>
    <col min="2" max="2" width="15.7109375" customWidth="1"/>
    <col min="3" max="3" width="15.42578125" customWidth="1"/>
    <col min="4" max="4" width="14.85546875" customWidth="1"/>
  </cols>
  <sheetData>
    <row r="1" spans="1:4" x14ac:dyDescent="0.25">
      <c r="A1" s="2" t="s">
        <v>6</v>
      </c>
      <c r="B1" s="2" t="s">
        <v>7</v>
      </c>
      <c r="C1" s="2" t="s">
        <v>14</v>
      </c>
      <c r="D1" s="2" t="s">
        <v>15</v>
      </c>
    </row>
    <row r="2" spans="1:4" x14ac:dyDescent="0.25">
      <c r="A2" s="5">
        <v>201306040837</v>
      </c>
      <c r="B2" s="5">
        <v>201306041738</v>
      </c>
      <c r="C2" s="1">
        <f>SUM('Full Diff'!C2)</f>
        <v>49.4</v>
      </c>
      <c r="D2" s="1">
        <f>SUM('Full Diff'!E2)</f>
        <v>10.5</v>
      </c>
    </row>
    <row r="3" spans="1:4" x14ac:dyDescent="0.25">
      <c r="A3" s="5">
        <v>201306041738</v>
      </c>
      <c r="B3" s="5">
        <v>201306061001</v>
      </c>
      <c r="C3" s="1">
        <f>SUM('Full Diff'!$C$2:C3)</f>
        <v>98.5</v>
      </c>
      <c r="D3" s="1">
        <f>SUM('Full Diff'!$E$2:E3)</f>
        <v>22.2</v>
      </c>
    </row>
    <row r="4" spans="1:4" x14ac:dyDescent="0.25">
      <c r="A4" s="5">
        <v>201306061001</v>
      </c>
      <c r="B4" s="5">
        <v>201306061858</v>
      </c>
      <c r="C4" s="1">
        <f>SUM('Full Diff'!$C$2:C4)</f>
        <v>159.30000000000001</v>
      </c>
      <c r="D4" s="1">
        <f>SUM('Full Diff'!$E$2:E4)</f>
        <v>31.2</v>
      </c>
    </row>
    <row r="5" spans="1:4" x14ac:dyDescent="0.25">
      <c r="A5" s="5">
        <v>201306061858</v>
      </c>
      <c r="B5" s="5">
        <v>201306131547</v>
      </c>
      <c r="C5" s="1">
        <f>SUM('Full Diff'!$C$2:C5)</f>
        <v>207.20000000000002</v>
      </c>
      <c r="D5" s="1">
        <f>SUM('Full Diff'!$E$2:E5)</f>
        <v>40.6</v>
      </c>
    </row>
    <row r="6" spans="1:4" x14ac:dyDescent="0.25">
      <c r="A6" s="5">
        <v>201306131547</v>
      </c>
      <c r="B6" s="5">
        <v>201306140947</v>
      </c>
      <c r="C6" s="1">
        <f>SUM('Full Diff'!$C$2:C6)</f>
        <v>246.10000000000002</v>
      </c>
      <c r="D6" s="1">
        <f>SUM('Full Diff'!$E$2:E6)</f>
        <v>52.2</v>
      </c>
    </row>
    <row r="7" spans="1:4" x14ac:dyDescent="0.25">
      <c r="A7" s="5">
        <v>201306140947</v>
      </c>
      <c r="B7" s="5">
        <v>201306141844</v>
      </c>
      <c r="C7" s="1">
        <f>SUM('Full Diff'!$C$2:C7)</f>
        <v>293.10000000000002</v>
      </c>
      <c r="D7" s="1">
        <f>SUM('Full Diff'!$E$2:E7)</f>
        <v>61.800000000000004</v>
      </c>
    </row>
    <row r="8" spans="1:4" x14ac:dyDescent="0.25">
      <c r="A8" s="5">
        <v>201306141844</v>
      </c>
      <c r="B8" s="5">
        <v>201306151219</v>
      </c>
      <c r="C8" s="1">
        <f>SUM('Full Diff'!$C$2:C8)</f>
        <v>337.70000000000005</v>
      </c>
      <c r="D8" s="1">
        <f>SUM('Full Diff'!$E$2:E8)</f>
        <v>73.800000000000011</v>
      </c>
    </row>
    <row r="9" spans="1:4" x14ac:dyDescent="0.25">
      <c r="A9" s="5">
        <v>201306151219</v>
      </c>
      <c r="B9" s="5">
        <v>201306161541</v>
      </c>
      <c r="C9" s="1">
        <f>SUM('Full Diff'!$C$2:C9)</f>
        <v>383.60909090909092</v>
      </c>
      <c r="D9" s="1">
        <f>SUM('Full Diff'!$E$2:E9)</f>
        <v>83.300000000000011</v>
      </c>
    </row>
    <row r="10" spans="1:4" x14ac:dyDescent="0.25">
      <c r="A10" s="5">
        <v>201306161541</v>
      </c>
      <c r="B10" s="5">
        <v>201306161548</v>
      </c>
      <c r="C10" s="1">
        <f>SUM('Full Diff'!$C$2:C10)</f>
        <v>425.79090909090911</v>
      </c>
      <c r="D10" s="1">
        <f>SUM('Full Diff'!$E$2:E10)</f>
        <v>97.500000000000014</v>
      </c>
    </row>
    <row r="11" spans="1:4" x14ac:dyDescent="0.25">
      <c r="A11" s="5">
        <v>201306161548</v>
      </c>
      <c r="B11" s="5">
        <v>201306162138</v>
      </c>
      <c r="C11" s="1">
        <f>SUM('Full Diff'!$C$2:C11)</f>
        <v>481.79090909090911</v>
      </c>
      <c r="D11" s="1">
        <f>SUM('Full Diff'!$E$2:E11)</f>
        <v>106.90000000000002</v>
      </c>
    </row>
    <row r="12" spans="1:4" x14ac:dyDescent="0.25">
      <c r="A12" s="5">
        <v>201306162138</v>
      </c>
      <c r="B12" s="5">
        <v>201306192053</v>
      </c>
      <c r="C12" s="1">
        <f>SUM('Full Diff'!$C$2:C12)</f>
        <v>535.89090909090908</v>
      </c>
      <c r="D12" s="1">
        <f>SUM('Full Diff'!$E$2:E12)</f>
        <v>116.40000000000002</v>
      </c>
    </row>
    <row r="13" spans="1:4" x14ac:dyDescent="0.25">
      <c r="A13" s="5">
        <v>201306192053</v>
      </c>
      <c r="B13" s="5">
        <v>201306200925</v>
      </c>
      <c r="C13" s="1">
        <f>SUM('Full Diff'!$C$2:C13)</f>
        <v>582.9909090909091</v>
      </c>
      <c r="D13" s="1">
        <f>SUM('Full Diff'!$E$2:E13)</f>
        <v>125.70000000000002</v>
      </c>
    </row>
    <row r="14" spans="1:4" x14ac:dyDescent="0.25">
      <c r="A14" s="5">
        <v>201306200925</v>
      </c>
      <c r="B14" s="5">
        <v>201306201648</v>
      </c>
      <c r="C14" s="1">
        <f>SUM('Full Diff'!$C$2:C14)</f>
        <v>630.71818181818185</v>
      </c>
      <c r="D14" s="1">
        <f>SUM('Full Diff'!$E$2:E14)</f>
        <v>139.20000000000002</v>
      </c>
    </row>
    <row r="15" spans="1:4" x14ac:dyDescent="0.25">
      <c r="A15" s="5">
        <v>201306201648</v>
      </c>
      <c r="B15" s="5">
        <v>201306261912</v>
      </c>
      <c r="C15" s="1">
        <f>SUM('Full Diff'!$C$2:C15)</f>
        <v>683.0181818181818</v>
      </c>
      <c r="D15" s="1">
        <f>SUM('Full Diff'!$E$2:E15)</f>
        <v>150.70000000000002</v>
      </c>
    </row>
    <row r="16" spans="1:4" x14ac:dyDescent="0.25">
      <c r="A16" s="5">
        <v>201306261912</v>
      </c>
      <c r="B16" s="5">
        <v>201306270212</v>
      </c>
      <c r="C16" s="1">
        <f>SUM('Full Diff'!$C$2:C16)</f>
        <v>727.41818181818178</v>
      </c>
      <c r="D16" s="1">
        <f>SUM('Full Diff'!$E$2:E16)</f>
        <v>163.30000000000001</v>
      </c>
    </row>
    <row r="17" spans="1:5" x14ac:dyDescent="0.25">
      <c r="A17" s="5">
        <v>201306270212</v>
      </c>
      <c r="B17" s="5">
        <v>201306281749</v>
      </c>
      <c r="C17" s="1">
        <f>SUM('Full Diff'!$C$2:C17)</f>
        <v>800.21818181818173</v>
      </c>
      <c r="D17" s="1">
        <f>SUM('Full Diff'!$E$2:E17)</f>
        <v>174.3</v>
      </c>
    </row>
    <row r="18" spans="1:5" x14ac:dyDescent="0.25">
      <c r="A18" s="5">
        <v>201306281749</v>
      </c>
      <c r="B18" s="5">
        <v>201307011116</v>
      </c>
      <c r="C18" s="1">
        <f>SUM('Full Diff'!$C$2:C18)</f>
        <v>845.91818181818178</v>
      </c>
      <c r="D18" s="1">
        <f>SUM('Full Diff'!$E$2:E18)</f>
        <v>194.20000000000002</v>
      </c>
    </row>
    <row r="19" spans="1:5" x14ac:dyDescent="0.25">
      <c r="A19" s="5">
        <v>201307011116</v>
      </c>
      <c r="B19" s="5">
        <v>201307021644</v>
      </c>
      <c r="C19" s="1">
        <f>SUM('Full Diff'!$C$2:C19)</f>
        <v>886.5181818181818</v>
      </c>
      <c r="D19" s="1">
        <f>SUM('Full Diff'!$E$2:E19)</f>
        <v>209.8</v>
      </c>
    </row>
    <row r="20" spans="1:5" x14ac:dyDescent="0.25">
      <c r="A20" s="5">
        <v>201307021644</v>
      </c>
      <c r="B20" s="5">
        <v>201307021649</v>
      </c>
      <c r="C20" s="1">
        <f>SUM('Full Diff'!$C$2:C20)</f>
        <v>933.79090909090905</v>
      </c>
      <c r="D20" s="1">
        <f>SUM('Full Diff'!$E$2:E20)</f>
        <v>229.8</v>
      </c>
    </row>
    <row r="21" spans="1:5" x14ac:dyDescent="0.25">
      <c r="A21" s="5">
        <v>201307021649</v>
      </c>
      <c r="B21" s="5">
        <v>201307041303</v>
      </c>
      <c r="C21" s="1">
        <f>SUM('Full Diff'!$C$2:C21)</f>
        <v>985.69090909090903</v>
      </c>
      <c r="D21" s="1">
        <f>SUM('Full Diff'!$E$2:E21)</f>
        <v>239.3</v>
      </c>
    </row>
    <row r="22" spans="1:5" x14ac:dyDescent="0.25">
      <c r="A22" s="5">
        <v>201307041303</v>
      </c>
      <c r="B22" s="5">
        <v>201307042149</v>
      </c>
      <c r="C22" s="1">
        <f>SUM('Full Diff'!$C$2:C22)</f>
        <v>1024.1454545454544</v>
      </c>
      <c r="D22" s="1">
        <f>SUM('Full Diff'!$E$2:E22)</f>
        <v>286.90000000000003</v>
      </c>
    </row>
    <row r="23" spans="1:5" x14ac:dyDescent="0.25">
      <c r="A23" s="5">
        <v>201307042149</v>
      </c>
      <c r="B23" s="5">
        <v>201307042220</v>
      </c>
      <c r="C23" s="1">
        <f>SUM('Full Diff'!$C$2:C23)</f>
        <v>1076.0454545454545</v>
      </c>
      <c r="D23" s="1">
        <f>SUM('Full Diff'!$E$2:E23)</f>
        <v>298.3</v>
      </c>
    </row>
    <row r="24" spans="1:5" x14ac:dyDescent="0.25">
      <c r="A24" s="5">
        <v>201307042220</v>
      </c>
      <c r="B24" s="5">
        <v>201307051815</v>
      </c>
      <c r="C24" s="1">
        <f>SUM('Full Diff'!$C$2:C24)</f>
        <v>1132.4454545454546</v>
      </c>
      <c r="D24" s="1">
        <f>SUM('Full Diff'!$E$2:E24)</f>
        <v>307.7</v>
      </c>
    </row>
    <row r="25" spans="1:5" x14ac:dyDescent="0.25">
      <c r="A25" s="5">
        <v>201307051815</v>
      </c>
      <c r="B25" s="5">
        <v>201307051826</v>
      </c>
      <c r="C25" s="1">
        <f>SUM('Full Diff'!$C$2:C25)</f>
        <v>1185.2454545454545</v>
      </c>
      <c r="D25" s="1">
        <f>SUM('Full Diff'!$E$2:E25)</f>
        <v>319.3</v>
      </c>
    </row>
    <row r="27" spans="1:5" x14ac:dyDescent="0.25">
      <c r="C27" s="1">
        <f>SUM(C2:C25)</f>
        <v>14712.545454545454</v>
      </c>
      <c r="D27" s="1">
        <f>SUM(D2:D25)</f>
        <v>3534.9000000000005</v>
      </c>
      <c r="E27" s="1">
        <f>C27-D27</f>
        <v>11177.645454545454</v>
      </c>
    </row>
    <row r="28" spans="1:5" x14ac:dyDescent="0.25">
      <c r="D28" s="4">
        <f>D27/C27</f>
        <v>0.24026433841248659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Full Diff</vt:lpstr>
      <vt:lpstr>Accumulated Savings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2013-07-29T14:55:18Z</dcterms:modified>
</cp:coreProperties>
</file>