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AA\in-memory-gpu\"/>
    </mc:Choice>
  </mc:AlternateContent>
  <bookViews>
    <workbookView xWindow="0" yWindow="0" windowWidth="25125" windowHeight="12300" activeTab="4"/>
  </bookViews>
  <sheets>
    <sheet name="preliminary-analysis" sheetId="1" r:id="rId1"/>
    <sheet name="adc_stats_norm45" sheetId="3" r:id="rId2"/>
    <sheet name="analog-mvmu-specs" sheetId="2" r:id="rId3"/>
    <sheet name="mvmu-design-space-exploration" sheetId="4" r:id="rId4"/>
    <sheet name="mvmu-scaling-trends" sheetId="5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5" l="1"/>
  <c r="G30" i="5"/>
  <c r="F30" i="5"/>
  <c r="H29" i="5"/>
  <c r="G29" i="5"/>
  <c r="F29" i="5"/>
  <c r="H28" i="5"/>
  <c r="G28" i="5"/>
  <c r="F28" i="5"/>
  <c r="H27" i="5"/>
  <c r="G27" i="5"/>
  <c r="F27" i="5"/>
  <c r="H26" i="5"/>
  <c r="G26" i="5"/>
  <c r="F26" i="5"/>
  <c r="H25" i="5"/>
  <c r="G25" i="5"/>
  <c r="F25" i="5"/>
  <c r="H24" i="5"/>
  <c r="G24" i="5"/>
  <c r="F24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A24" i="5"/>
  <c r="H18" i="5"/>
  <c r="H17" i="5"/>
  <c r="H16" i="5"/>
  <c r="H15" i="5"/>
  <c r="H14" i="5"/>
  <c r="H13" i="5"/>
  <c r="H12" i="5"/>
  <c r="G18" i="5"/>
  <c r="G17" i="5"/>
  <c r="G16" i="5"/>
  <c r="G15" i="5"/>
  <c r="G14" i="5"/>
  <c r="G13" i="5"/>
  <c r="G12" i="5"/>
  <c r="F18" i="5"/>
  <c r="F17" i="5"/>
  <c r="F16" i="5"/>
  <c r="F15" i="5"/>
  <c r="F14" i="5"/>
  <c r="F13" i="5"/>
  <c r="F12" i="5"/>
  <c r="B18" i="5"/>
  <c r="B17" i="5"/>
  <c r="B16" i="5"/>
  <c r="B15" i="5"/>
  <c r="B14" i="5"/>
  <c r="B13" i="5"/>
  <c r="B12" i="5"/>
  <c r="C17" i="5"/>
  <c r="B8" i="5"/>
  <c r="D17" i="5" s="1"/>
  <c r="B7" i="5"/>
  <c r="C16" i="5" s="1"/>
  <c r="A12" i="5"/>
  <c r="D4" i="5"/>
  <c r="K55" i="4"/>
  <c r="K54" i="4"/>
  <c r="K53" i="4"/>
  <c r="K52" i="4"/>
  <c r="K51" i="4"/>
  <c r="K50" i="4"/>
  <c r="K49" i="4"/>
  <c r="K48" i="4"/>
  <c r="J55" i="4"/>
  <c r="J54" i="4"/>
  <c r="J53" i="4"/>
  <c r="J52" i="4"/>
  <c r="J51" i="4"/>
  <c r="J50" i="4"/>
  <c r="J49" i="4"/>
  <c r="I55" i="4"/>
  <c r="I54" i="4"/>
  <c r="I53" i="4"/>
  <c r="I52" i="4"/>
  <c r="I51" i="4"/>
  <c r="I50" i="4"/>
  <c r="I49" i="4"/>
  <c r="J48" i="4"/>
  <c r="K30" i="4"/>
  <c r="I48" i="4"/>
  <c r="J30" i="4"/>
  <c r="G55" i="4"/>
  <c r="G54" i="4"/>
  <c r="G53" i="4"/>
  <c r="G52" i="4"/>
  <c r="G51" i="4"/>
  <c r="G50" i="4"/>
  <c r="G49" i="4"/>
  <c r="G48" i="4"/>
  <c r="F55" i="4"/>
  <c r="F54" i="4"/>
  <c r="F53" i="4"/>
  <c r="F52" i="4"/>
  <c r="F51" i="4"/>
  <c r="F50" i="4"/>
  <c r="F49" i="4"/>
  <c r="F48" i="4"/>
  <c r="E49" i="4"/>
  <c r="E55" i="4"/>
  <c r="E54" i="4"/>
  <c r="E53" i="4"/>
  <c r="E52" i="4"/>
  <c r="E51" i="4"/>
  <c r="E50" i="4"/>
  <c r="E48" i="4"/>
  <c r="F30" i="4"/>
  <c r="D55" i="4"/>
  <c r="D54" i="4"/>
  <c r="D53" i="4"/>
  <c r="D52" i="4"/>
  <c r="D51" i="4"/>
  <c r="D50" i="4"/>
  <c r="D48" i="4"/>
  <c r="D49" i="4"/>
  <c r="C55" i="4"/>
  <c r="C54" i="4"/>
  <c r="C53" i="4"/>
  <c r="C52" i="4"/>
  <c r="C51" i="4"/>
  <c r="C50" i="4"/>
  <c r="C49" i="4"/>
  <c r="C48" i="4"/>
  <c r="B55" i="4"/>
  <c r="B54" i="4"/>
  <c r="B53" i="4"/>
  <c r="B52" i="4"/>
  <c r="B51" i="4"/>
  <c r="B50" i="4"/>
  <c r="B49" i="4"/>
  <c r="B48" i="4"/>
  <c r="B46" i="4"/>
  <c r="B45" i="4"/>
  <c r="L37" i="4"/>
  <c r="L36" i="4"/>
  <c r="L35" i="4"/>
  <c r="L34" i="4"/>
  <c r="L33" i="4"/>
  <c r="L32" i="4"/>
  <c r="L31" i="4"/>
  <c r="K37" i="4"/>
  <c r="K36" i="4"/>
  <c r="K35" i="4"/>
  <c r="K34" i="4"/>
  <c r="K33" i="4"/>
  <c r="K32" i="4"/>
  <c r="K31" i="4"/>
  <c r="J37" i="4"/>
  <c r="J36" i="4"/>
  <c r="J35" i="4"/>
  <c r="J34" i="4"/>
  <c r="J33" i="4"/>
  <c r="J32" i="4"/>
  <c r="J31" i="4"/>
  <c r="D18" i="5" l="1"/>
  <c r="C18" i="5"/>
  <c r="D12" i="5"/>
  <c r="C12" i="5"/>
  <c r="D13" i="5"/>
  <c r="C13" i="5"/>
  <c r="D14" i="5"/>
  <c r="C14" i="5"/>
  <c r="D15" i="5"/>
  <c r="C15" i="5"/>
  <c r="D16" i="5"/>
  <c r="C37" i="4"/>
  <c r="B37" i="4"/>
  <c r="C36" i="4"/>
  <c r="B36" i="4"/>
  <c r="C35" i="4"/>
  <c r="B35" i="4"/>
  <c r="C34" i="4"/>
  <c r="B34" i="4"/>
  <c r="G33" i="4"/>
  <c r="C33" i="4"/>
  <c r="B33" i="4"/>
  <c r="G32" i="4"/>
  <c r="F32" i="4"/>
  <c r="C32" i="4"/>
  <c r="B32" i="4"/>
  <c r="C31" i="4"/>
  <c r="B31" i="4"/>
  <c r="C30" i="4"/>
  <c r="B30" i="4"/>
  <c r="G30" i="4" s="1"/>
  <c r="B28" i="4"/>
  <c r="B27" i="4"/>
  <c r="N279" i="3"/>
  <c r="L279" i="3"/>
  <c r="N278" i="3"/>
  <c r="L278" i="3"/>
  <c r="N277" i="3"/>
  <c r="L277" i="3"/>
  <c r="N276" i="3"/>
  <c r="L276" i="3"/>
  <c r="N275" i="3"/>
  <c r="L275" i="3"/>
  <c r="N274" i="3"/>
  <c r="L274" i="3"/>
  <c r="N273" i="3"/>
  <c r="L273" i="3"/>
  <c r="N272" i="3"/>
  <c r="L272" i="3"/>
  <c r="N271" i="3"/>
  <c r="L271" i="3"/>
  <c r="N270" i="3"/>
  <c r="L270" i="3"/>
  <c r="N269" i="3"/>
  <c r="L269" i="3"/>
  <c r="N268" i="3"/>
  <c r="L268" i="3"/>
  <c r="N267" i="3"/>
  <c r="L267" i="3"/>
  <c r="N266" i="3"/>
  <c r="L266" i="3"/>
  <c r="N265" i="3"/>
  <c r="L265" i="3"/>
  <c r="N264" i="3"/>
  <c r="L264" i="3"/>
  <c r="N263" i="3"/>
  <c r="L263" i="3"/>
  <c r="N262" i="3"/>
  <c r="L262" i="3"/>
  <c r="N261" i="3"/>
  <c r="L261" i="3"/>
  <c r="N260" i="3"/>
  <c r="L260" i="3"/>
  <c r="N259" i="3"/>
  <c r="L259" i="3"/>
  <c r="N258" i="3"/>
  <c r="L258" i="3"/>
  <c r="N257" i="3"/>
  <c r="L257" i="3"/>
  <c r="N256" i="3"/>
  <c r="L256" i="3"/>
  <c r="N255" i="3"/>
  <c r="L255" i="3"/>
  <c r="N254" i="3"/>
  <c r="L254" i="3"/>
  <c r="N253" i="3"/>
  <c r="L253" i="3"/>
  <c r="N252" i="3"/>
  <c r="L252" i="3"/>
  <c r="N251" i="3"/>
  <c r="L251" i="3"/>
  <c r="N250" i="3"/>
  <c r="L250" i="3"/>
  <c r="N249" i="3"/>
  <c r="L249" i="3"/>
  <c r="N248" i="3"/>
  <c r="L248" i="3"/>
  <c r="N247" i="3"/>
  <c r="L247" i="3"/>
  <c r="N246" i="3"/>
  <c r="L246" i="3"/>
  <c r="N245" i="3"/>
  <c r="L245" i="3"/>
  <c r="N244" i="3"/>
  <c r="L244" i="3"/>
  <c r="N243" i="3"/>
  <c r="L243" i="3"/>
  <c r="N242" i="3"/>
  <c r="L242" i="3"/>
  <c r="N241" i="3"/>
  <c r="L241" i="3"/>
  <c r="N240" i="3"/>
  <c r="L240" i="3"/>
  <c r="N239" i="3"/>
  <c r="L239" i="3"/>
  <c r="N238" i="3"/>
  <c r="L238" i="3"/>
  <c r="N237" i="3"/>
  <c r="L237" i="3"/>
  <c r="N236" i="3"/>
  <c r="L236" i="3"/>
  <c r="N235" i="3"/>
  <c r="L235" i="3"/>
  <c r="N234" i="3"/>
  <c r="L234" i="3"/>
  <c r="N233" i="3"/>
  <c r="L233" i="3"/>
  <c r="N232" i="3"/>
  <c r="L232" i="3"/>
  <c r="N231" i="3"/>
  <c r="L231" i="3"/>
  <c r="N230" i="3"/>
  <c r="L230" i="3"/>
  <c r="N229" i="3"/>
  <c r="L229" i="3"/>
  <c r="N228" i="3"/>
  <c r="L228" i="3"/>
  <c r="N227" i="3"/>
  <c r="L227" i="3"/>
  <c r="N226" i="3"/>
  <c r="L226" i="3"/>
  <c r="N225" i="3"/>
  <c r="L225" i="3"/>
  <c r="N224" i="3"/>
  <c r="L224" i="3"/>
  <c r="N223" i="3"/>
  <c r="L223" i="3"/>
  <c r="N222" i="3"/>
  <c r="L222" i="3"/>
  <c r="N221" i="3"/>
  <c r="L221" i="3"/>
  <c r="N220" i="3"/>
  <c r="L220" i="3"/>
  <c r="N219" i="3"/>
  <c r="L219" i="3"/>
  <c r="N218" i="3"/>
  <c r="L218" i="3"/>
  <c r="N217" i="3"/>
  <c r="L217" i="3"/>
  <c r="N216" i="3"/>
  <c r="L216" i="3"/>
  <c r="N215" i="3"/>
  <c r="L215" i="3"/>
  <c r="N214" i="3"/>
  <c r="L214" i="3"/>
  <c r="N213" i="3"/>
  <c r="L213" i="3"/>
  <c r="N212" i="3"/>
  <c r="L212" i="3"/>
  <c r="N211" i="3"/>
  <c r="L211" i="3"/>
  <c r="N210" i="3"/>
  <c r="L210" i="3"/>
  <c r="N209" i="3"/>
  <c r="L209" i="3"/>
  <c r="N208" i="3"/>
  <c r="L208" i="3"/>
  <c r="N207" i="3"/>
  <c r="L207" i="3"/>
  <c r="N206" i="3"/>
  <c r="L206" i="3"/>
  <c r="N205" i="3"/>
  <c r="L205" i="3"/>
  <c r="N204" i="3"/>
  <c r="L204" i="3"/>
  <c r="N203" i="3"/>
  <c r="L203" i="3"/>
  <c r="N202" i="3"/>
  <c r="L202" i="3"/>
  <c r="N201" i="3"/>
  <c r="L201" i="3"/>
  <c r="N200" i="3"/>
  <c r="L200" i="3"/>
  <c r="N199" i="3"/>
  <c r="L199" i="3"/>
  <c r="N198" i="3"/>
  <c r="L198" i="3"/>
  <c r="N197" i="3"/>
  <c r="L197" i="3"/>
  <c r="N196" i="3"/>
  <c r="L196" i="3"/>
  <c r="N195" i="3"/>
  <c r="L195" i="3"/>
  <c r="N194" i="3"/>
  <c r="L194" i="3"/>
  <c r="N193" i="3"/>
  <c r="L193" i="3"/>
  <c r="N192" i="3"/>
  <c r="L192" i="3"/>
  <c r="N191" i="3"/>
  <c r="L191" i="3"/>
  <c r="N190" i="3"/>
  <c r="L190" i="3"/>
  <c r="N189" i="3"/>
  <c r="L189" i="3"/>
  <c r="N188" i="3"/>
  <c r="L188" i="3"/>
  <c r="N187" i="3"/>
  <c r="L187" i="3"/>
  <c r="N186" i="3"/>
  <c r="L186" i="3"/>
  <c r="N185" i="3"/>
  <c r="L185" i="3"/>
  <c r="N184" i="3"/>
  <c r="L184" i="3"/>
  <c r="N183" i="3"/>
  <c r="L183" i="3"/>
  <c r="N182" i="3"/>
  <c r="L182" i="3"/>
  <c r="N181" i="3"/>
  <c r="L181" i="3"/>
  <c r="N180" i="3"/>
  <c r="L180" i="3"/>
  <c r="N179" i="3"/>
  <c r="L179" i="3"/>
  <c r="N178" i="3"/>
  <c r="L178" i="3"/>
  <c r="N177" i="3"/>
  <c r="L177" i="3"/>
  <c r="N176" i="3"/>
  <c r="L176" i="3"/>
  <c r="N175" i="3"/>
  <c r="L175" i="3"/>
  <c r="N174" i="3"/>
  <c r="L174" i="3"/>
  <c r="N173" i="3"/>
  <c r="L173" i="3"/>
  <c r="N172" i="3"/>
  <c r="L172" i="3"/>
  <c r="N171" i="3"/>
  <c r="L171" i="3"/>
  <c r="N170" i="3"/>
  <c r="L170" i="3"/>
  <c r="N169" i="3"/>
  <c r="L169" i="3"/>
  <c r="N168" i="3"/>
  <c r="L168" i="3"/>
  <c r="N167" i="3"/>
  <c r="L167" i="3"/>
  <c r="N166" i="3"/>
  <c r="L166" i="3"/>
  <c r="N165" i="3"/>
  <c r="L165" i="3"/>
  <c r="N164" i="3"/>
  <c r="L164" i="3"/>
  <c r="N163" i="3"/>
  <c r="L163" i="3"/>
  <c r="N162" i="3"/>
  <c r="L162" i="3"/>
  <c r="N161" i="3"/>
  <c r="L161" i="3"/>
  <c r="N160" i="3"/>
  <c r="L160" i="3"/>
  <c r="N159" i="3"/>
  <c r="L159" i="3"/>
  <c r="N158" i="3"/>
  <c r="L158" i="3"/>
  <c r="N157" i="3"/>
  <c r="L157" i="3"/>
  <c r="N156" i="3"/>
  <c r="L156" i="3"/>
  <c r="N155" i="3"/>
  <c r="L155" i="3"/>
  <c r="N154" i="3"/>
  <c r="L154" i="3"/>
  <c r="N153" i="3"/>
  <c r="L153" i="3"/>
  <c r="N152" i="3"/>
  <c r="L152" i="3"/>
  <c r="N151" i="3"/>
  <c r="L151" i="3"/>
  <c r="N150" i="3"/>
  <c r="L150" i="3"/>
  <c r="N149" i="3"/>
  <c r="L149" i="3"/>
  <c r="N148" i="3"/>
  <c r="L148" i="3"/>
  <c r="N147" i="3"/>
  <c r="L147" i="3"/>
  <c r="N146" i="3"/>
  <c r="L146" i="3"/>
  <c r="N145" i="3"/>
  <c r="L145" i="3"/>
  <c r="N144" i="3"/>
  <c r="L144" i="3"/>
  <c r="N143" i="3"/>
  <c r="L143" i="3"/>
  <c r="N142" i="3"/>
  <c r="L142" i="3"/>
  <c r="N141" i="3"/>
  <c r="L141" i="3"/>
  <c r="N140" i="3"/>
  <c r="L140" i="3"/>
  <c r="N139" i="3"/>
  <c r="L139" i="3"/>
  <c r="N138" i="3"/>
  <c r="L138" i="3"/>
  <c r="N137" i="3"/>
  <c r="L137" i="3"/>
  <c r="N136" i="3"/>
  <c r="L136" i="3"/>
  <c r="N135" i="3"/>
  <c r="L135" i="3"/>
  <c r="N134" i="3"/>
  <c r="L134" i="3"/>
  <c r="N133" i="3"/>
  <c r="L133" i="3"/>
  <c r="N132" i="3"/>
  <c r="L132" i="3"/>
  <c r="N131" i="3"/>
  <c r="L131" i="3"/>
  <c r="N130" i="3"/>
  <c r="L130" i="3"/>
  <c r="N129" i="3"/>
  <c r="L129" i="3"/>
  <c r="N128" i="3"/>
  <c r="L128" i="3"/>
  <c r="N127" i="3"/>
  <c r="L127" i="3"/>
  <c r="N126" i="3"/>
  <c r="L126" i="3"/>
  <c r="N125" i="3"/>
  <c r="L125" i="3"/>
  <c r="N124" i="3"/>
  <c r="L124" i="3"/>
  <c r="N123" i="3"/>
  <c r="L123" i="3"/>
  <c r="N122" i="3"/>
  <c r="L122" i="3"/>
  <c r="N121" i="3"/>
  <c r="L121" i="3"/>
  <c r="N120" i="3"/>
  <c r="L120" i="3"/>
  <c r="N119" i="3"/>
  <c r="L119" i="3"/>
  <c r="N118" i="3"/>
  <c r="L118" i="3"/>
  <c r="N117" i="3"/>
  <c r="L117" i="3"/>
  <c r="N116" i="3"/>
  <c r="L116" i="3"/>
  <c r="N115" i="3"/>
  <c r="L115" i="3"/>
  <c r="N114" i="3"/>
  <c r="L114" i="3"/>
  <c r="N113" i="3"/>
  <c r="L113" i="3"/>
  <c r="N112" i="3"/>
  <c r="L112" i="3"/>
  <c r="N111" i="3"/>
  <c r="L111" i="3"/>
  <c r="N110" i="3"/>
  <c r="L110" i="3"/>
  <c r="N109" i="3"/>
  <c r="L109" i="3"/>
  <c r="N108" i="3"/>
  <c r="L108" i="3"/>
  <c r="N107" i="3"/>
  <c r="L107" i="3"/>
  <c r="N106" i="3"/>
  <c r="L106" i="3"/>
  <c r="N105" i="3"/>
  <c r="L105" i="3"/>
  <c r="N104" i="3"/>
  <c r="L104" i="3"/>
  <c r="N103" i="3"/>
  <c r="L103" i="3"/>
  <c r="N102" i="3"/>
  <c r="L102" i="3"/>
  <c r="N101" i="3"/>
  <c r="L101" i="3"/>
  <c r="N100" i="3"/>
  <c r="L100" i="3"/>
  <c r="N99" i="3"/>
  <c r="L99" i="3"/>
  <c r="N98" i="3"/>
  <c r="L98" i="3"/>
  <c r="N97" i="3"/>
  <c r="L97" i="3"/>
  <c r="N96" i="3"/>
  <c r="L96" i="3"/>
  <c r="N95" i="3"/>
  <c r="L95" i="3"/>
  <c r="N94" i="3"/>
  <c r="L94" i="3"/>
  <c r="N93" i="3"/>
  <c r="L93" i="3"/>
  <c r="N92" i="3"/>
  <c r="L92" i="3"/>
  <c r="N91" i="3"/>
  <c r="L91" i="3"/>
  <c r="N90" i="3"/>
  <c r="L90" i="3"/>
  <c r="N89" i="3"/>
  <c r="L89" i="3"/>
  <c r="N88" i="3"/>
  <c r="L88" i="3"/>
  <c r="N87" i="3"/>
  <c r="L87" i="3"/>
  <c r="N86" i="3"/>
  <c r="L86" i="3"/>
  <c r="N85" i="3"/>
  <c r="L85" i="3"/>
  <c r="N84" i="3"/>
  <c r="L84" i="3"/>
  <c r="N83" i="3"/>
  <c r="L83" i="3"/>
  <c r="N82" i="3"/>
  <c r="L82" i="3"/>
  <c r="N81" i="3"/>
  <c r="L81" i="3"/>
  <c r="N80" i="3"/>
  <c r="L80" i="3"/>
  <c r="N79" i="3"/>
  <c r="L79" i="3"/>
  <c r="N78" i="3"/>
  <c r="L78" i="3"/>
  <c r="N77" i="3"/>
  <c r="L77" i="3"/>
  <c r="N76" i="3"/>
  <c r="L76" i="3"/>
  <c r="N75" i="3"/>
  <c r="L75" i="3"/>
  <c r="N74" i="3"/>
  <c r="L74" i="3"/>
  <c r="N73" i="3"/>
  <c r="L73" i="3"/>
  <c r="N72" i="3"/>
  <c r="L72" i="3"/>
  <c r="N71" i="3"/>
  <c r="L71" i="3"/>
  <c r="N70" i="3"/>
  <c r="L70" i="3"/>
  <c r="N69" i="3"/>
  <c r="L69" i="3"/>
  <c r="N68" i="3"/>
  <c r="L68" i="3"/>
  <c r="N67" i="3"/>
  <c r="L67" i="3"/>
  <c r="N66" i="3"/>
  <c r="L66" i="3"/>
  <c r="N65" i="3"/>
  <c r="L65" i="3"/>
  <c r="N64" i="3"/>
  <c r="L64" i="3"/>
  <c r="N63" i="3"/>
  <c r="L63" i="3"/>
  <c r="N62" i="3"/>
  <c r="L62" i="3"/>
  <c r="N61" i="3"/>
  <c r="L61" i="3"/>
  <c r="N60" i="3"/>
  <c r="L60" i="3"/>
  <c r="N59" i="3"/>
  <c r="L59" i="3"/>
  <c r="N58" i="3"/>
  <c r="L58" i="3"/>
  <c r="N57" i="3"/>
  <c r="L57" i="3"/>
  <c r="N56" i="3"/>
  <c r="L56" i="3"/>
  <c r="N55" i="3"/>
  <c r="L55" i="3"/>
  <c r="N54" i="3"/>
  <c r="L54" i="3"/>
  <c r="N53" i="3"/>
  <c r="L53" i="3"/>
  <c r="N52" i="3"/>
  <c r="L52" i="3"/>
  <c r="N51" i="3"/>
  <c r="L51" i="3"/>
  <c r="N50" i="3"/>
  <c r="L50" i="3"/>
  <c r="N49" i="3"/>
  <c r="L49" i="3"/>
  <c r="N48" i="3"/>
  <c r="L48" i="3"/>
  <c r="N47" i="3"/>
  <c r="L47" i="3"/>
  <c r="N46" i="3"/>
  <c r="L46" i="3"/>
  <c r="N45" i="3"/>
  <c r="L45" i="3"/>
  <c r="N44" i="3"/>
  <c r="L44" i="3"/>
  <c r="N43" i="3"/>
  <c r="L43" i="3"/>
  <c r="N42" i="3"/>
  <c r="L42" i="3"/>
  <c r="N41" i="3"/>
  <c r="L41" i="3"/>
  <c r="N40" i="3"/>
  <c r="L40" i="3"/>
  <c r="N39" i="3"/>
  <c r="L39" i="3"/>
  <c r="N38" i="3"/>
  <c r="L38" i="3"/>
  <c r="N37" i="3"/>
  <c r="L37" i="3"/>
  <c r="N36" i="3"/>
  <c r="L36" i="3"/>
  <c r="N35" i="3"/>
  <c r="L35" i="3"/>
  <c r="N34" i="3"/>
  <c r="L34" i="3"/>
  <c r="N33" i="3"/>
  <c r="L33" i="3"/>
  <c r="N32" i="3"/>
  <c r="L32" i="3"/>
  <c r="N31" i="3"/>
  <c r="L31" i="3"/>
  <c r="N30" i="3"/>
  <c r="L30" i="3"/>
  <c r="N29" i="3"/>
  <c r="L29" i="3"/>
  <c r="N28" i="3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19" i="3"/>
  <c r="L19" i="3"/>
  <c r="N18" i="3"/>
  <c r="L18" i="3"/>
  <c r="N17" i="3"/>
  <c r="L17" i="3"/>
  <c r="N16" i="3"/>
  <c r="L16" i="3"/>
  <c r="N15" i="3"/>
  <c r="L15" i="3"/>
  <c r="N14" i="3"/>
  <c r="L14" i="3"/>
  <c r="N13" i="3"/>
  <c r="L13" i="3"/>
  <c r="N12" i="3"/>
  <c r="L12" i="3"/>
  <c r="N11" i="3"/>
  <c r="L11" i="3"/>
  <c r="N10" i="3"/>
  <c r="L10" i="3"/>
  <c r="N9" i="3"/>
  <c r="L9" i="3"/>
  <c r="N8" i="3"/>
  <c r="L8" i="3"/>
  <c r="N7" i="3"/>
  <c r="L7" i="3"/>
  <c r="N6" i="3"/>
  <c r="L6" i="3"/>
  <c r="N5" i="3"/>
  <c r="L5" i="3"/>
  <c r="N4" i="3"/>
  <c r="L4" i="3"/>
  <c r="N3" i="3"/>
  <c r="L3" i="3"/>
  <c r="E24" i="2"/>
  <c r="B23" i="2"/>
  <c r="E21" i="2"/>
  <c r="F21" i="2" s="1"/>
  <c r="G21" i="2" s="1"/>
  <c r="H21" i="2" s="1"/>
  <c r="I21" i="2" s="1"/>
  <c r="C21" i="2"/>
  <c r="D21" i="2" s="1"/>
  <c r="B21" i="2"/>
  <c r="D31" i="4" s="1"/>
  <c r="B7" i="2"/>
  <c r="B12" i="2" s="1"/>
  <c r="B13" i="2" s="1"/>
  <c r="B6" i="2"/>
  <c r="B2" i="2"/>
  <c r="I24" i="2" s="1"/>
  <c r="C29" i="1"/>
  <c r="G27" i="1"/>
  <c r="F27" i="1"/>
  <c r="E27" i="1"/>
  <c r="D27" i="1"/>
  <c r="C27" i="1"/>
  <c r="B27" i="1"/>
  <c r="G26" i="1"/>
  <c r="F26" i="1"/>
  <c r="E26" i="1"/>
  <c r="D26" i="1"/>
  <c r="C26" i="1"/>
  <c r="B26" i="1"/>
  <c r="C25" i="1"/>
  <c r="B25" i="1"/>
  <c r="G24" i="1"/>
  <c r="F24" i="1"/>
  <c r="E24" i="1"/>
  <c r="D24" i="1"/>
  <c r="C24" i="1"/>
  <c r="B24" i="1"/>
  <c r="B29" i="1" s="1"/>
  <c r="J23" i="1"/>
  <c r="N22" i="1"/>
  <c r="K22" i="1"/>
  <c r="J22" i="1"/>
  <c r="G18" i="1"/>
  <c r="F18" i="1"/>
  <c r="E18" i="1"/>
  <c r="D18" i="1"/>
  <c r="C18" i="1"/>
  <c r="B18" i="1"/>
  <c r="K17" i="1"/>
  <c r="L17" i="1" s="1"/>
  <c r="M17" i="1" s="1"/>
  <c r="N17" i="1" s="1"/>
  <c r="O17" i="1" s="1"/>
  <c r="J17" i="1"/>
  <c r="G17" i="1"/>
  <c r="F17" i="1"/>
  <c r="E17" i="1"/>
  <c r="D17" i="1"/>
  <c r="C17" i="1"/>
  <c r="B17" i="1"/>
  <c r="M16" i="1"/>
  <c r="N16" i="1" s="1"/>
  <c r="O16" i="1" s="1"/>
  <c r="J16" i="1"/>
  <c r="K16" i="1" s="1"/>
  <c r="L16" i="1" s="1"/>
  <c r="F16" i="1"/>
  <c r="E16" i="1"/>
  <c r="D16" i="1"/>
  <c r="D20" i="1" s="1"/>
  <c r="C16" i="1"/>
  <c r="C20" i="1" s="1"/>
  <c r="B16" i="1"/>
  <c r="J15" i="1"/>
  <c r="O22" i="1" s="1"/>
  <c r="G15" i="1"/>
  <c r="F15" i="1"/>
  <c r="E15" i="1"/>
  <c r="E20" i="1" s="1"/>
  <c r="D15" i="1"/>
  <c r="C15" i="1"/>
  <c r="B15" i="1"/>
  <c r="B20" i="1" s="1"/>
  <c r="B11" i="1"/>
  <c r="D25" i="1" s="1"/>
  <c r="D29" i="1" s="1"/>
  <c r="B2" i="1"/>
  <c r="B7" i="1" s="1"/>
  <c r="C10" i="1" s="1"/>
  <c r="F29" i="1" l="1"/>
  <c r="M29" i="3"/>
  <c r="U29" i="3" s="1"/>
  <c r="F24" i="2"/>
  <c r="D24" i="2"/>
  <c r="B24" i="2"/>
  <c r="C24" i="2"/>
  <c r="J24" i="2"/>
  <c r="M118" i="3" s="1"/>
  <c r="M38" i="3"/>
  <c r="M110" i="3"/>
  <c r="U110" i="3" s="1"/>
  <c r="B16" i="2"/>
  <c r="B15" i="2"/>
  <c r="B14" i="2"/>
  <c r="J25" i="1"/>
  <c r="F20" i="1"/>
  <c r="M75" i="3"/>
  <c r="M46" i="3"/>
  <c r="M92" i="3"/>
  <c r="U92" i="3" s="1"/>
  <c r="J19" i="1"/>
  <c r="L22" i="1"/>
  <c r="M104" i="3"/>
  <c r="U104" i="3" s="1"/>
  <c r="G25" i="1"/>
  <c r="G29" i="1" s="1"/>
  <c r="G16" i="1"/>
  <c r="G20" i="1" s="1"/>
  <c r="F25" i="1"/>
  <c r="E25" i="1"/>
  <c r="E29" i="1" s="1"/>
  <c r="K15" i="1"/>
  <c r="M22" i="1"/>
  <c r="O156" i="3"/>
  <c r="M32" i="3"/>
  <c r="U32" i="3" s="1"/>
  <c r="M40" i="3"/>
  <c r="U40" i="3" s="1"/>
  <c r="M135" i="3"/>
  <c r="U135" i="3" s="1"/>
  <c r="M100" i="3"/>
  <c r="U100" i="3" s="1"/>
  <c r="J18" i="1"/>
  <c r="G24" i="2"/>
  <c r="M43" i="3"/>
  <c r="U43" i="3" s="1"/>
  <c r="M51" i="3"/>
  <c r="U51" i="3" s="1"/>
  <c r="K23" i="1"/>
  <c r="H24" i="2"/>
  <c r="M65" i="3"/>
  <c r="U65" i="3" s="1"/>
  <c r="M80" i="3"/>
  <c r="U80" i="3" s="1"/>
  <c r="M111" i="3"/>
  <c r="M114" i="3"/>
  <c r="U114" i="3" s="1"/>
  <c r="M180" i="3"/>
  <c r="U180" i="3" s="1"/>
  <c r="M125" i="3"/>
  <c r="M176" i="3"/>
  <c r="M199" i="3"/>
  <c r="M153" i="3"/>
  <c r="U153" i="3" s="1"/>
  <c r="M163" i="3"/>
  <c r="M265" i="3"/>
  <c r="U265" i="3" s="1"/>
  <c r="M202" i="3"/>
  <c r="U202" i="3" s="1"/>
  <c r="M240" i="3"/>
  <c r="U240" i="3" s="1"/>
  <c r="M253" i="3"/>
  <c r="M162" i="3"/>
  <c r="U162" i="3" s="1"/>
  <c r="G36" i="4"/>
  <c r="F36" i="4"/>
  <c r="D36" i="4"/>
  <c r="M156" i="3"/>
  <c r="U156" i="3" s="1"/>
  <c r="M219" i="3"/>
  <c r="U219" i="3" s="1"/>
  <c r="M184" i="3"/>
  <c r="M269" i="3"/>
  <c r="M203" i="3"/>
  <c r="U203" i="3" s="1"/>
  <c r="O203" i="3"/>
  <c r="M223" i="3"/>
  <c r="U223" i="3" s="1"/>
  <c r="M216" i="3"/>
  <c r="U216" i="3" s="1"/>
  <c r="M197" i="3"/>
  <c r="U197" i="3" s="1"/>
  <c r="M247" i="3"/>
  <c r="M271" i="3"/>
  <c r="D34" i="4"/>
  <c r="F34" i="4"/>
  <c r="G34" i="4"/>
  <c r="M215" i="3"/>
  <c r="U215" i="3" s="1"/>
  <c r="O215" i="3"/>
  <c r="M239" i="3"/>
  <c r="G37" i="4"/>
  <c r="F37" i="4"/>
  <c r="M257" i="3"/>
  <c r="U257" i="3" s="1"/>
  <c r="M259" i="3"/>
  <c r="U259" i="3" s="1"/>
  <c r="D32" i="4"/>
  <c r="F31" i="4"/>
  <c r="D33" i="4"/>
  <c r="M233" i="3"/>
  <c r="U233" i="3" s="1"/>
  <c r="M235" i="3"/>
  <c r="U235" i="3" s="1"/>
  <c r="M278" i="3"/>
  <c r="U278" i="3" s="1"/>
  <c r="D30" i="4"/>
  <c r="G31" i="4"/>
  <c r="F35" i="4"/>
  <c r="D35" i="4"/>
  <c r="G35" i="4"/>
  <c r="D37" i="4"/>
  <c r="M209" i="3"/>
  <c r="U209" i="3" s="1"/>
  <c r="M254" i="3"/>
  <c r="U254" i="3" s="1"/>
  <c r="F33" i="4"/>
  <c r="U118" i="3" l="1"/>
  <c r="O118" i="3"/>
  <c r="O254" i="3"/>
  <c r="O259" i="3"/>
  <c r="M228" i="3"/>
  <c r="M198" i="3"/>
  <c r="M241" i="3"/>
  <c r="M225" i="3"/>
  <c r="M246" i="3"/>
  <c r="M160" i="3"/>
  <c r="M213" i="3"/>
  <c r="M205" i="3"/>
  <c r="M167" i="3"/>
  <c r="M264" i="3"/>
  <c r="M119" i="3"/>
  <c r="M96" i="3"/>
  <c r="M59" i="3"/>
  <c r="M48" i="3"/>
  <c r="M21" i="3"/>
  <c r="M25" i="3"/>
  <c r="O104" i="3"/>
  <c r="M49" i="3"/>
  <c r="M6" i="3"/>
  <c r="M248" i="3"/>
  <c r="M54" i="3"/>
  <c r="O32" i="3"/>
  <c r="U269" i="3"/>
  <c r="O269" i="3"/>
  <c r="U199" i="3"/>
  <c r="O199" i="3"/>
  <c r="U46" i="3"/>
  <c r="O46" i="3"/>
  <c r="U247" i="3"/>
  <c r="O247" i="3"/>
  <c r="O265" i="3"/>
  <c r="U176" i="3"/>
  <c r="O176" i="3"/>
  <c r="U125" i="3"/>
  <c r="O125" i="3"/>
  <c r="O180" i="3"/>
  <c r="O135" i="3"/>
  <c r="K18" i="1"/>
  <c r="K19" i="1"/>
  <c r="L15" i="1"/>
  <c r="O43" i="3"/>
  <c r="M86" i="3"/>
  <c r="M17" i="3"/>
  <c r="M175" i="3"/>
  <c r="M120" i="3"/>
  <c r="O110" i="3"/>
  <c r="O29" i="3"/>
  <c r="O233" i="3"/>
  <c r="M187" i="3"/>
  <c r="O216" i="3"/>
  <c r="M276" i="3"/>
  <c r="O240" i="3"/>
  <c r="M191" i="3"/>
  <c r="M94" i="3"/>
  <c r="M137" i="3"/>
  <c r="M58" i="3"/>
  <c r="O40" i="3"/>
  <c r="M14" i="3"/>
  <c r="M45" i="3"/>
  <c r="M88" i="3"/>
  <c r="M231" i="3"/>
  <c r="O209" i="3"/>
  <c r="M236" i="3"/>
  <c r="M261" i="3"/>
  <c r="M195" i="3"/>
  <c r="M178" i="3"/>
  <c r="M157" i="3"/>
  <c r="M145" i="3"/>
  <c r="M144" i="3"/>
  <c r="M143" i="3"/>
  <c r="M151" i="3"/>
  <c r="M190" i="3"/>
  <c r="M127" i="3"/>
  <c r="O92" i="3"/>
  <c r="M152" i="3"/>
  <c r="K25" i="1"/>
  <c r="L23" i="1"/>
  <c r="M84" i="3"/>
  <c r="M27" i="3"/>
  <c r="M16" i="3"/>
  <c r="M30" i="3"/>
  <c r="M55" i="3"/>
  <c r="M22" i="3"/>
  <c r="M68" i="3"/>
  <c r="M78" i="3"/>
  <c r="U271" i="3"/>
  <c r="O271" i="3"/>
  <c r="O114" i="3"/>
  <c r="U184" i="3"/>
  <c r="O184" i="3"/>
  <c r="O162" i="3"/>
  <c r="O111" i="3"/>
  <c r="U111" i="3"/>
  <c r="U75" i="3"/>
  <c r="O75" i="3"/>
  <c r="M279" i="3"/>
  <c r="M268" i="3"/>
  <c r="M260" i="3"/>
  <c r="M252" i="3"/>
  <c r="M274" i="3"/>
  <c r="M277" i="3"/>
  <c r="M234" i="3"/>
  <c r="M258" i="3"/>
  <c r="M238" i="3"/>
  <c r="M237" i="3"/>
  <c r="M251" i="3"/>
  <c r="M245" i="3"/>
  <c r="M188" i="3"/>
  <c r="M222" i="3"/>
  <c r="M181" i="3"/>
  <c r="M173" i="3"/>
  <c r="M266" i="3"/>
  <c r="M229" i="3"/>
  <c r="M210" i="3"/>
  <c r="M201" i="3"/>
  <c r="M158" i="3"/>
  <c r="M189" i="3"/>
  <c r="M174" i="3"/>
  <c r="M230" i="3"/>
  <c r="M226" i="3"/>
  <c r="M212" i="3"/>
  <c r="M193" i="3"/>
  <c r="M183" i="3"/>
  <c r="M172" i="3"/>
  <c r="M149" i="3"/>
  <c r="M139" i="3"/>
  <c r="M131" i="3"/>
  <c r="M200" i="3"/>
  <c r="M177" i="3"/>
  <c r="M141" i="3"/>
  <c r="M126" i="3"/>
  <c r="M116" i="3"/>
  <c r="M103" i="3"/>
  <c r="M95" i="3"/>
  <c r="M87" i="3"/>
  <c r="M79" i="3"/>
  <c r="M71" i="3"/>
  <c r="M63" i="3"/>
  <c r="M275" i="3"/>
  <c r="M242" i="3"/>
  <c r="M165" i="3"/>
  <c r="M115" i="3"/>
  <c r="M105" i="3"/>
  <c r="M97" i="3"/>
  <c r="M89" i="3"/>
  <c r="M134" i="3"/>
  <c r="M218" i="3"/>
  <c r="M106" i="3"/>
  <c r="M98" i="3"/>
  <c r="M90" i="3"/>
  <c r="M82" i="3"/>
  <c r="M250" i="3"/>
  <c r="M66" i="3"/>
  <c r="M117" i="3"/>
  <c r="M93" i="3"/>
  <c r="M85" i="3"/>
  <c r="M77" i="3"/>
  <c r="M267" i="3"/>
  <c r="M224" i="3"/>
  <c r="M81" i="3"/>
  <c r="M74" i="3"/>
  <c r="M182" i="3"/>
  <c r="M140" i="3"/>
  <c r="M123" i="3"/>
  <c r="M109" i="3"/>
  <c r="M164" i="3"/>
  <c r="M150" i="3"/>
  <c r="M132" i="3"/>
  <c r="M18" i="3"/>
  <c r="M15" i="3"/>
  <c r="M12" i="3"/>
  <c r="M5" i="3"/>
  <c r="M52" i="3"/>
  <c r="M28" i="3"/>
  <c r="M166" i="3"/>
  <c r="M113" i="3"/>
  <c r="M101" i="3"/>
  <c r="M142" i="3"/>
  <c r="M129" i="3"/>
  <c r="M107" i="3"/>
  <c r="M42" i="3"/>
  <c r="M44" i="3"/>
  <c r="M83" i="3"/>
  <c r="M67" i="3"/>
  <c r="M36" i="3"/>
  <c r="M23" i="3"/>
  <c r="M20" i="3"/>
  <c r="M50" i="3"/>
  <c r="B27" i="2"/>
  <c r="M47" i="3"/>
  <c r="M39" i="3"/>
  <c r="M26" i="3"/>
  <c r="M4" i="3"/>
  <c r="O257" i="3"/>
  <c r="M206" i="3"/>
  <c r="M194" i="3"/>
  <c r="M155" i="3"/>
  <c r="O202" i="3"/>
  <c r="O100" i="3"/>
  <c r="M192" i="3"/>
  <c r="M108" i="3"/>
  <c r="M35" i="3"/>
  <c r="M24" i="3"/>
  <c r="M33" i="3"/>
  <c r="M72" i="3"/>
  <c r="O235" i="3"/>
  <c r="M263" i="3"/>
  <c r="O223" i="3"/>
  <c r="M207" i="3"/>
  <c r="M244" i="3"/>
  <c r="M147" i="3"/>
  <c r="M185" i="3"/>
  <c r="M138" i="3"/>
  <c r="O219" i="3"/>
  <c r="M272" i="3"/>
  <c r="M168" i="3"/>
  <c r="M124" i="3"/>
  <c r="M128" i="3"/>
  <c r="M102" i="3"/>
  <c r="M214" i="3"/>
  <c r="O80" i="3"/>
  <c r="M19" i="3"/>
  <c r="M270" i="3"/>
  <c r="M76" i="3"/>
  <c r="M8" i="3"/>
  <c r="M122" i="3"/>
  <c r="M61" i="3"/>
  <c r="M37" i="3"/>
  <c r="M69" i="3"/>
  <c r="M70" i="3"/>
  <c r="M41" i="3"/>
  <c r="U239" i="3"/>
  <c r="O239" i="3"/>
  <c r="U253" i="3"/>
  <c r="O253" i="3"/>
  <c r="O163" i="3"/>
  <c r="U163" i="3"/>
  <c r="O51" i="3"/>
  <c r="U38" i="3"/>
  <c r="O38" i="3"/>
  <c r="O278" i="3"/>
  <c r="M243" i="3"/>
  <c r="M221" i="3"/>
  <c r="M249" i="3"/>
  <c r="O197" i="3"/>
  <c r="M220" i="3"/>
  <c r="M146" i="3"/>
  <c r="M179" i="3"/>
  <c r="M130" i="3"/>
  <c r="M217" i="3"/>
  <c r="M171" i="3"/>
  <c r="M112" i="3"/>
  <c r="M136" i="3"/>
  <c r="M170" i="3"/>
  <c r="M232" i="3"/>
  <c r="O153" i="3"/>
  <c r="M211" i="3"/>
  <c r="O65" i="3"/>
  <c r="M11" i="3"/>
  <c r="M159" i="3"/>
  <c r="M73" i="3"/>
  <c r="M13" i="3"/>
  <c r="M34" i="3"/>
  <c r="M91" i="3"/>
  <c r="M62" i="3"/>
  <c r="M10" i="3"/>
  <c r="M169" i="3"/>
  <c r="M7" i="3"/>
  <c r="M255" i="3"/>
  <c r="M273" i="3"/>
  <c r="M208" i="3"/>
  <c r="M196" i="3"/>
  <c r="M161" i="3"/>
  <c r="M262" i="3"/>
  <c r="M256" i="3"/>
  <c r="M133" i="3"/>
  <c r="M204" i="3"/>
  <c r="M227" i="3"/>
  <c r="M148" i="3"/>
  <c r="M186" i="3"/>
  <c r="M60" i="3"/>
  <c r="M121" i="3"/>
  <c r="M99" i="3"/>
  <c r="M64" i="3"/>
  <c r="M3" i="3"/>
  <c r="M154" i="3"/>
  <c r="M56" i="3"/>
  <c r="M9" i="3"/>
  <c r="M31" i="3"/>
  <c r="M57" i="3"/>
  <c r="H275" i="3"/>
  <c r="I275" i="3" s="1"/>
  <c r="J275" i="3" s="1"/>
  <c r="Q275" i="3" s="1"/>
  <c r="R275" i="3" s="1"/>
  <c r="S275" i="3" s="1"/>
  <c r="H267" i="3"/>
  <c r="I267" i="3" s="1"/>
  <c r="J267" i="3" s="1"/>
  <c r="Q267" i="3" s="1"/>
  <c r="R267" i="3" s="1"/>
  <c r="S267" i="3" s="1"/>
  <c r="H259" i="3"/>
  <c r="I259" i="3" s="1"/>
  <c r="J259" i="3" s="1"/>
  <c r="Q259" i="3" s="1"/>
  <c r="R259" i="3" s="1"/>
  <c r="S259" i="3" s="1"/>
  <c r="H251" i="3"/>
  <c r="I251" i="3" s="1"/>
  <c r="J251" i="3" s="1"/>
  <c r="Q251" i="3" s="1"/>
  <c r="R251" i="3" s="1"/>
  <c r="S251" i="3" s="1"/>
  <c r="H243" i="3"/>
  <c r="I243" i="3" s="1"/>
  <c r="J243" i="3" s="1"/>
  <c r="Q243" i="3" s="1"/>
  <c r="R243" i="3" s="1"/>
  <c r="S243" i="3" s="1"/>
  <c r="H235" i="3"/>
  <c r="I235" i="3" s="1"/>
  <c r="J235" i="3" s="1"/>
  <c r="Q235" i="3" s="1"/>
  <c r="R235" i="3" s="1"/>
  <c r="S235" i="3" s="1"/>
  <c r="H227" i="3"/>
  <c r="I227" i="3" s="1"/>
  <c r="J227" i="3" s="1"/>
  <c r="Q227" i="3" s="1"/>
  <c r="R227" i="3" s="1"/>
  <c r="S227" i="3" s="1"/>
  <c r="H219" i="3"/>
  <c r="I219" i="3" s="1"/>
  <c r="J219" i="3" s="1"/>
  <c r="Q219" i="3" s="1"/>
  <c r="R219" i="3" s="1"/>
  <c r="S219" i="3" s="1"/>
  <c r="H211" i="3"/>
  <c r="I211" i="3" s="1"/>
  <c r="J211" i="3" s="1"/>
  <c r="Q211" i="3" s="1"/>
  <c r="R211" i="3" s="1"/>
  <c r="S211" i="3" s="1"/>
  <c r="H272" i="3"/>
  <c r="I272" i="3" s="1"/>
  <c r="J272" i="3" s="1"/>
  <c r="Q272" i="3" s="1"/>
  <c r="R272" i="3" s="1"/>
  <c r="S272" i="3" s="1"/>
  <c r="H264" i="3"/>
  <c r="I264" i="3" s="1"/>
  <c r="J264" i="3" s="1"/>
  <c r="Q264" i="3" s="1"/>
  <c r="R264" i="3" s="1"/>
  <c r="S264" i="3" s="1"/>
  <c r="H256" i="3"/>
  <c r="I256" i="3" s="1"/>
  <c r="J256" i="3" s="1"/>
  <c r="Q256" i="3" s="1"/>
  <c r="R256" i="3" s="1"/>
  <c r="S256" i="3" s="1"/>
  <c r="H248" i="3"/>
  <c r="I248" i="3" s="1"/>
  <c r="J248" i="3" s="1"/>
  <c r="Q248" i="3" s="1"/>
  <c r="R248" i="3" s="1"/>
  <c r="S248" i="3" s="1"/>
  <c r="H240" i="3"/>
  <c r="I240" i="3" s="1"/>
  <c r="J240" i="3" s="1"/>
  <c r="Q240" i="3" s="1"/>
  <c r="R240" i="3" s="1"/>
  <c r="S240" i="3" s="1"/>
  <c r="H232" i="3"/>
  <c r="I232" i="3" s="1"/>
  <c r="J232" i="3" s="1"/>
  <c r="Q232" i="3" s="1"/>
  <c r="R232" i="3" s="1"/>
  <c r="S232" i="3" s="1"/>
  <c r="H224" i="3"/>
  <c r="I224" i="3" s="1"/>
  <c r="J224" i="3" s="1"/>
  <c r="Q224" i="3" s="1"/>
  <c r="R224" i="3" s="1"/>
  <c r="S224" i="3" s="1"/>
  <c r="H277" i="3"/>
  <c r="I277" i="3" s="1"/>
  <c r="J277" i="3" s="1"/>
  <c r="Q277" i="3" s="1"/>
  <c r="R277" i="3" s="1"/>
  <c r="S277" i="3" s="1"/>
  <c r="H269" i="3"/>
  <c r="I269" i="3" s="1"/>
  <c r="J269" i="3" s="1"/>
  <c r="Q269" i="3" s="1"/>
  <c r="R269" i="3" s="1"/>
  <c r="S269" i="3" s="1"/>
  <c r="H261" i="3"/>
  <c r="I261" i="3" s="1"/>
  <c r="J261" i="3" s="1"/>
  <c r="Q261" i="3" s="1"/>
  <c r="R261" i="3" s="1"/>
  <c r="S261" i="3" s="1"/>
  <c r="H253" i="3"/>
  <c r="I253" i="3" s="1"/>
  <c r="J253" i="3" s="1"/>
  <c r="Q253" i="3" s="1"/>
  <c r="R253" i="3" s="1"/>
  <c r="S253" i="3" s="1"/>
  <c r="H245" i="3"/>
  <c r="I245" i="3" s="1"/>
  <c r="J245" i="3" s="1"/>
  <c r="Q245" i="3" s="1"/>
  <c r="R245" i="3" s="1"/>
  <c r="S245" i="3" s="1"/>
  <c r="H237" i="3"/>
  <c r="I237" i="3" s="1"/>
  <c r="J237" i="3" s="1"/>
  <c r="Q237" i="3" s="1"/>
  <c r="R237" i="3" s="1"/>
  <c r="S237" i="3" s="1"/>
  <c r="H229" i="3"/>
  <c r="I229" i="3" s="1"/>
  <c r="J229" i="3" s="1"/>
  <c r="Q229" i="3" s="1"/>
  <c r="R229" i="3" s="1"/>
  <c r="S229" i="3" s="1"/>
  <c r="H278" i="3"/>
  <c r="I278" i="3" s="1"/>
  <c r="J278" i="3" s="1"/>
  <c r="Q278" i="3" s="1"/>
  <c r="R278" i="3" s="1"/>
  <c r="S278" i="3" s="1"/>
  <c r="H265" i="3"/>
  <c r="I265" i="3" s="1"/>
  <c r="J265" i="3" s="1"/>
  <c r="Q265" i="3" s="1"/>
  <c r="R265" i="3" s="1"/>
  <c r="S265" i="3" s="1"/>
  <c r="H247" i="3"/>
  <c r="I247" i="3" s="1"/>
  <c r="J247" i="3" s="1"/>
  <c r="Q247" i="3" s="1"/>
  <c r="R247" i="3" s="1"/>
  <c r="S247" i="3" s="1"/>
  <c r="H244" i="3"/>
  <c r="I244" i="3" s="1"/>
  <c r="J244" i="3" s="1"/>
  <c r="Q244" i="3" s="1"/>
  <c r="R244" i="3" s="1"/>
  <c r="S244" i="3" s="1"/>
  <c r="H226" i="3"/>
  <c r="I226" i="3" s="1"/>
  <c r="J226" i="3" s="1"/>
  <c r="Q226" i="3" s="1"/>
  <c r="R226" i="3" s="1"/>
  <c r="S226" i="3" s="1"/>
  <c r="H215" i="3"/>
  <c r="I215" i="3" s="1"/>
  <c r="J215" i="3" s="1"/>
  <c r="Q215" i="3" s="1"/>
  <c r="R215" i="3" s="1"/>
  <c r="S215" i="3" s="1"/>
  <c r="H202" i="3"/>
  <c r="I202" i="3" s="1"/>
  <c r="J202" i="3" s="1"/>
  <c r="Q202" i="3" s="1"/>
  <c r="R202" i="3" s="1"/>
  <c r="S202" i="3" s="1"/>
  <c r="H194" i="3"/>
  <c r="I194" i="3" s="1"/>
  <c r="J194" i="3" s="1"/>
  <c r="Q194" i="3" s="1"/>
  <c r="R194" i="3" s="1"/>
  <c r="S194" i="3" s="1"/>
  <c r="H271" i="3"/>
  <c r="I271" i="3" s="1"/>
  <c r="J271" i="3" s="1"/>
  <c r="Q271" i="3" s="1"/>
  <c r="R271" i="3" s="1"/>
  <c r="S271" i="3" s="1"/>
  <c r="H268" i="3"/>
  <c r="I268" i="3" s="1"/>
  <c r="J268" i="3" s="1"/>
  <c r="Q268" i="3" s="1"/>
  <c r="R268" i="3" s="1"/>
  <c r="S268" i="3" s="1"/>
  <c r="H250" i="3"/>
  <c r="I250" i="3" s="1"/>
  <c r="J250" i="3" s="1"/>
  <c r="Q250" i="3" s="1"/>
  <c r="R250" i="3" s="1"/>
  <c r="S250" i="3" s="1"/>
  <c r="H246" i="3"/>
  <c r="I246" i="3" s="1"/>
  <c r="J246" i="3" s="1"/>
  <c r="Q246" i="3" s="1"/>
  <c r="R246" i="3" s="1"/>
  <c r="S246" i="3" s="1"/>
  <c r="H225" i="3"/>
  <c r="I225" i="3" s="1"/>
  <c r="J225" i="3" s="1"/>
  <c r="Q225" i="3" s="1"/>
  <c r="R225" i="3" s="1"/>
  <c r="S225" i="3" s="1"/>
  <c r="H223" i="3"/>
  <c r="I223" i="3" s="1"/>
  <c r="J223" i="3" s="1"/>
  <c r="Q223" i="3" s="1"/>
  <c r="R223" i="3" s="1"/>
  <c r="S223" i="3" s="1"/>
  <c r="H207" i="3"/>
  <c r="I207" i="3" s="1"/>
  <c r="J207" i="3" s="1"/>
  <c r="Q207" i="3" s="1"/>
  <c r="R207" i="3" s="1"/>
  <c r="S207" i="3" s="1"/>
  <c r="H199" i="3"/>
  <c r="I199" i="3" s="1"/>
  <c r="J199" i="3" s="1"/>
  <c r="Q199" i="3" s="1"/>
  <c r="R199" i="3" s="1"/>
  <c r="S199" i="3" s="1"/>
  <c r="H191" i="3"/>
  <c r="I191" i="3" s="1"/>
  <c r="J191" i="3" s="1"/>
  <c r="Q191" i="3" s="1"/>
  <c r="R191" i="3" s="1"/>
  <c r="S191" i="3" s="1"/>
  <c r="H276" i="3"/>
  <c r="I276" i="3" s="1"/>
  <c r="J276" i="3" s="1"/>
  <c r="Q276" i="3" s="1"/>
  <c r="R276" i="3" s="1"/>
  <c r="S276" i="3" s="1"/>
  <c r="H270" i="3"/>
  <c r="I270" i="3" s="1"/>
  <c r="J270" i="3" s="1"/>
  <c r="Q270" i="3" s="1"/>
  <c r="R270" i="3" s="1"/>
  <c r="S270" i="3" s="1"/>
  <c r="H249" i="3"/>
  <c r="I249" i="3" s="1"/>
  <c r="J249" i="3" s="1"/>
  <c r="Q249" i="3" s="1"/>
  <c r="R249" i="3" s="1"/>
  <c r="S249" i="3" s="1"/>
  <c r="H231" i="3"/>
  <c r="I231" i="3" s="1"/>
  <c r="J231" i="3" s="1"/>
  <c r="Q231" i="3" s="1"/>
  <c r="R231" i="3" s="1"/>
  <c r="S231" i="3" s="1"/>
  <c r="H228" i="3"/>
  <c r="I228" i="3" s="1"/>
  <c r="J228" i="3" s="1"/>
  <c r="Q228" i="3" s="1"/>
  <c r="R228" i="3" s="1"/>
  <c r="S228" i="3" s="1"/>
  <c r="H255" i="3"/>
  <c r="I255" i="3" s="1"/>
  <c r="J255" i="3" s="1"/>
  <c r="Q255" i="3" s="1"/>
  <c r="R255" i="3" s="1"/>
  <c r="S255" i="3" s="1"/>
  <c r="H252" i="3"/>
  <c r="I252" i="3" s="1"/>
  <c r="J252" i="3" s="1"/>
  <c r="Q252" i="3" s="1"/>
  <c r="R252" i="3" s="1"/>
  <c r="S252" i="3" s="1"/>
  <c r="H234" i="3"/>
  <c r="I234" i="3" s="1"/>
  <c r="J234" i="3" s="1"/>
  <c r="Q234" i="3" s="1"/>
  <c r="R234" i="3" s="1"/>
  <c r="S234" i="3" s="1"/>
  <c r="H230" i="3"/>
  <c r="I230" i="3" s="1"/>
  <c r="J230" i="3" s="1"/>
  <c r="Q230" i="3" s="1"/>
  <c r="R230" i="3" s="1"/>
  <c r="S230" i="3" s="1"/>
  <c r="H222" i="3"/>
  <c r="I222" i="3" s="1"/>
  <c r="J222" i="3" s="1"/>
  <c r="Q222" i="3" s="1"/>
  <c r="R222" i="3" s="1"/>
  <c r="S222" i="3" s="1"/>
  <c r="H218" i="3"/>
  <c r="I218" i="3" s="1"/>
  <c r="J218" i="3" s="1"/>
  <c r="Q218" i="3" s="1"/>
  <c r="R218" i="3" s="1"/>
  <c r="S218" i="3" s="1"/>
  <c r="H213" i="3"/>
  <c r="I213" i="3" s="1"/>
  <c r="J213" i="3" s="1"/>
  <c r="Q213" i="3" s="1"/>
  <c r="R213" i="3" s="1"/>
  <c r="S213" i="3" s="1"/>
  <c r="H279" i="3"/>
  <c r="I279" i="3" s="1"/>
  <c r="J279" i="3" s="1"/>
  <c r="Q279" i="3" s="1"/>
  <c r="R279" i="3" s="1"/>
  <c r="S279" i="3" s="1"/>
  <c r="H262" i="3"/>
  <c r="I262" i="3" s="1"/>
  <c r="J262" i="3" s="1"/>
  <c r="Q262" i="3" s="1"/>
  <c r="R262" i="3" s="1"/>
  <c r="S262" i="3" s="1"/>
  <c r="H236" i="3"/>
  <c r="I236" i="3" s="1"/>
  <c r="J236" i="3" s="1"/>
  <c r="Q236" i="3" s="1"/>
  <c r="R236" i="3" s="1"/>
  <c r="S236" i="3" s="1"/>
  <c r="H214" i="3"/>
  <c r="I214" i="3" s="1"/>
  <c r="J214" i="3" s="1"/>
  <c r="Q214" i="3" s="1"/>
  <c r="R214" i="3" s="1"/>
  <c r="S214" i="3" s="1"/>
  <c r="H212" i="3"/>
  <c r="I212" i="3" s="1"/>
  <c r="J212" i="3" s="1"/>
  <c r="Q212" i="3" s="1"/>
  <c r="R212" i="3" s="1"/>
  <c r="S212" i="3" s="1"/>
  <c r="H203" i="3"/>
  <c r="I203" i="3" s="1"/>
  <c r="J203" i="3" s="1"/>
  <c r="Q203" i="3" s="1"/>
  <c r="R203" i="3" s="1"/>
  <c r="S203" i="3" s="1"/>
  <c r="H183" i="3"/>
  <c r="I183" i="3" s="1"/>
  <c r="J183" i="3" s="1"/>
  <c r="Q183" i="3" s="1"/>
  <c r="R183" i="3" s="1"/>
  <c r="S183" i="3" s="1"/>
  <c r="H175" i="3"/>
  <c r="I175" i="3" s="1"/>
  <c r="J175" i="3" s="1"/>
  <c r="Q175" i="3" s="1"/>
  <c r="R175" i="3" s="1"/>
  <c r="S175" i="3" s="1"/>
  <c r="H167" i="3"/>
  <c r="I167" i="3" s="1"/>
  <c r="J167" i="3" s="1"/>
  <c r="Q167" i="3" s="1"/>
  <c r="R167" i="3" s="1"/>
  <c r="S167" i="3" s="1"/>
  <c r="H159" i="3"/>
  <c r="I159" i="3" s="1"/>
  <c r="J159" i="3" s="1"/>
  <c r="Q159" i="3" s="1"/>
  <c r="R159" i="3" s="1"/>
  <c r="S159" i="3" s="1"/>
  <c r="H151" i="3"/>
  <c r="I151" i="3" s="1"/>
  <c r="J151" i="3" s="1"/>
  <c r="Q151" i="3" s="1"/>
  <c r="R151" i="3" s="1"/>
  <c r="S151" i="3" s="1"/>
  <c r="H143" i="3"/>
  <c r="I143" i="3" s="1"/>
  <c r="J143" i="3" s="1"/>
  <c r="Q143" i="3" s="1"/>
  <c r="R143" i="3" s="1"/>
  <c r="S143" i="3" s="1"/>
  <c r="H233" i="3"/>
  <c r="I233" i="3" s="1"/>
  <c r="J233" i="3" s="1"/>
  <c r="Q233" i="3" s="1"/>
  <c r="R233" i="3" s="1"/>
  <c r="S233" i="3" s="1"/>
  <c r="H201" i="3"/>
  <c r="I201" i="3" s="1"/>
  <c r="J201" i="3" s="1"/>
  <c r="Q201" i="3" s="1"/>
  <c r="R201" i="3" s="1"/>
  <c r="S201" i="3" s="1"/>
  <c r="H192" i="3"/>
  <c r="I192" i="3" s="1"/>
  <c r="J192" i="3" s="1"/>
  <c r="Q192" i="3" s="1"/>
  <c r="R192" i="3" s="1"/>
  <c r="S192" i="3" s="1"/>
  <c r="H180" i="3"/>
  <c r="I180" i="3" s="1"/>
  <c r="J180" i="3" s="1"/>
  <c r="Q180" i="3" s="1"/>
  <c r="R180" i="3" s="1"/>
  <c r="S180" i="3" s="1"/>
  <c r="H172" i="3"/>
  <c r="I172" i="3" s="1"/>
  <c r="J172" i="3" s="1"/>
  <c r="Q172" i="3" s="1"/>
  <c r="R172" i="3" s="1"/>
  <c r="S172" i="3" s="1"/>
  <c r="H164" i="3"/>
  <c r="I164" i="3" s="1"/>
  <c r="J164" i="3" s="1"/>
  <c r="Q164" i="3" s="1"/>
  <c r="R164" i="3" s="1"/>
  <c r="S164" i="3" s="1"/>
  <c r="H156" i="3"/>
  <c r="I156" i="3" s="1"/>
  <c r="J156" i="3" s="1"/>
  <c r="Q156" i="3" s="1"/>
  <c r="R156" i="3" s="1"/>
  <c r="S156" i="3" s="1"/>
  <c r="H148" i="3"/>
  <c r="I148" i="3" s="1"/>
  <c r="J148" i="3" s="1"/>
  <c r="Q148" i="3" s="1"/>
  <c r="R148" i="3" s="1"/>
  <c r="S148" i="3" s="1"/>
  <c r="H140" i="3"/>
  <c r="I140" i="3" s="1"/>
  <c r="J140" i="3" s="1"/>
  <c r="Q140" i="3" s="1"/>
  <c r="R140" i="3" s="1"/>
  <c r="S140" i="3" s="1"/>
  <c r="H273" i="3"/>
  <c r="I273" i="3" s="1"/>
  <c r="J273" i="3" s="1"/>
  <c r="Q273" i="3" s="1"/>
  <c r="R273" i="3" s="1"/>
  <c r="S273" i="3" s="1"/>
  <c r="H263" i="3"/>
  <c r="I263" i="3" s="1"/>
  <c r="J263" i="3" s="1"/>
  <c r="Q263" i="3" s="1"/>
  <c r="R263" i="3" s="1"/>
  <c r="S263" i="3" s="1"/>
  <c r="H260" i="3"/>
  <c r="I260" i="3" s="1"/>
  <c r="J260" i="3" s="1"/>
  <c r="Q260" i="3" s="1"/>
  <c r="R260" i="3" s="1"/>
  <c r="S260" i="3" s="1"/>
  <c r="H221" i="3"/>
  <c r="I221" i="3" s="1"/>
  <c r="J221" i="3" s="1"/>
  <c r="Q221" i="3" s="1"/>
  <c r="R221" i="3" s="1"/>
  <c r="S221" i="3" s="1"/>
  <c r="H220" i="3"/>
  <c r="I220" i="3" s="1"/>
  <c r="J220" i="3" s="1"/>
  <c r="Q220" i="3" s="1"/>
  <c r="R220" i="3" s="1"/>
  <c r="S220" i="3" s="1"/>
  <c r="H190" i="3"/>
  <c r="I190" i="3" s="1"/>
  <c r="J190" i="3" s="1"/>
  <c r="Q190" i="3" s="1"/>
  <c r="R190" i="3" s="1"/>
  <c r="S190" i="3" s="1"/>
  <c r="H188" i="3"/>
  <c r="I188" i="3" s="1"/>
  <c r="J188" i="3" s="1"/>
  <c r="Q188" i="3" s="1"/>
  <c r="R188" i="3" s="1"/>
  <c r="S188" i="3" s="1"/>
  <c r="H185" i="3"/>
  <c r="I185" i="3" s="1"/>
  <c r="J185" i="3" s="1"/>
  <c r="Q185" i="3" s="1"/>
  <c r="R185" i="3" s="1"/>
  <c r="S185" i="3" s="1"/>
  <c r="H177" i="3"/>
  <c r="I177" i="3" s="1"/>
  <c r="J177" i="3" s="1"/>
  <c r="Q177" i="3" s="1"/>
  <c r="R177" i="3" s="1"/>
  <c r="S177" i="3" s="1"/>
  <c r="H257" i="3"/>
  <c r="I257" i="3" s="1"/>
  <c r="J257" i="3" s="1"/>
  <c r="Q257" i="3" s="1"/>
  <c r="R257" i="3" s="1"/>
  <c r="S257" i="3" s="1"/>
  <c r="H254" i="3"/>
  <c r="I254" i="3" s="1"/>
  <c r="J254" i="3" s="1"/>
  <c r="Q254" i="3" s="1"/>
  <c r="R254" i="3" s="1"/>
  <c r="S254" i="3" s="1"/>
  <c r="H200" i="3"/>
  <c r="I200" i="3" s="1"/>
  <c r="J200" i="3" s="1"/>
  <c r="Q200" i="3" s="1"/>
  <c r="R200" i="3" s="1"/>
  <c r="S200" i="3" s="1"/>
  <c r="H189" i="3"/>
  <c r="I189" i="3" s="1"/>
  <c r="J189" i="3" s="1"/>
  <c r="Q189" i="3" s="1"/>
  <c r="R189" i="3" s="1"/>
  <c r="S189" i="3" s="1"/>
  <c r="H182" i="3"/>
  <c r="I182" i="3" s="1"/>
  <c r="J182" i="3" s="1"/>
  <c r="Q182" i="3" s="1"/>
  <c r="R182" i="3" s="1"/>
  <c r="S182" i="3" s="1"/>
  <c r="H174" i="3"/>
  <c r="I174" i="3" s="1"/>
  <c r="J174" i="3" s="1"/>
  <c r="Q174" i="3" s="1"/>
  <c r="R174" i="3" s="1"/>
  <c r="S174" i="3" s="1"/>
  <c r="H166" i="3"/>
  <c r="I166" i="3" s="1"/>
  <c r="J166" i="3" s="1"/>
  <c r="Q166" i="3" s="1"/>
  <c r="R166" i="3" s="1"/>
  <c r="S166" i="3" s="1"/>
  <c r="H158" i="3"/>
  <c r="I158" i="3" s="1"/>
  <c r="J158" i="3" s="1"/>
  <c r="Q158" i="3" s="1"/>
  <c r="R158" i="3" s="1"/>
  <c r="S158" i="3" s="1"/>
  <c r="H242" i="3"/>
  <c r="I242" i="3" s="1"/>
  <c r="J242" i="3" s="1"/>
  <c r="Q242" i="3" s="1"/>
  <c r="R242" i="3" s="1"/>
  <c r="S242" i="3" s="1"/>
  <c r="H181" i="3"/>
  <c r="I181" i="3" s="1"/>
  <c r="J181" i="3" s="1"/>
  <c r="Q181" i="3" s="1"/>
  <c r="R181" i="3" s="1"/>
  <c r="S181" i="3" s="1"/>
  <c r="H165" i="3"/>
  <c r="I165" i="3" s="1"/>
  <c r="J165" i="3" s="1"/>
  <c r="Q165" i="3" s="1"/>
  <c r="R165" i="3" s="1"/>
  <c r="S165" i="3" s="1"/>
  <c r="H152" i="3"/>
  <c r="I152" i="3" s="1"/>
  <c r="J152" i="3" s="1"/>
  <c r="Q152" i="3" s="1"/>
  <c r="R152" i="3" s="1"/>
  <c r="S152" i="3" s="1"/>
  <c r="H132" i="3"/>
  <c r="I132" i="3" s="1"/>
  <c r="J132" i="3" s="1"/>
  <c r="Q132" i="3" s="1"/>
  <c r="R132" i="3" s="1"/>
  <c r="S132" i="3" s="1"/>
  <c r="H124" i="3"/>
  <c r="I124" i="3" s="1"/>
  <c r="J124" i="3" s="1"/>
  <c r="Q124" i="3" s="1"/>
  <c r="R124" i="3" s="1"/>
  <c r="S124" i="3" s="1"/>
  <c r="H116" i="3"/>
  <c r="I116" i="3" s="1"/>
  <c r="J116" i="3" s="1"/>
  <c r="Q116" i="3" s="1"/>
  <c r="R116" i="3" s="1"/>
  <c r="S116" i="3" s="1"/>
  <c r="H274" i="3"/>
  <c r="I274" i="3" s="1"/>
  <c r="J274" i="3" s="1"/>
  <c r="Q274" i="3" s="1"/>
  <c r="R274" i="3" s="1"/>
  <c r="S274" i="3" s="1"/>
  <c r="H216" i="3"/>
  <c r="I216" i="3" s="1"/>
  <c r="J216" i="3" s="1"/>
  <c r="Q216" i="3" s="1"/>
  <c r="R216" i="3" s="1"/>
  <c r="S216" i="3" s="1"/>
  <c r="H205" i="3"/>
  <c r="I205" i="3" s="1"/>
  <c r="J205" i="3" s="1"/>
  <c r="Q205" i="3" s="1"/>
  <c r="R205" i="3" s="1"/>
  <c r="S205" i="3" s="1"/>
  <c r="H171" i="3"/>
  <c r="I171" i="3" s="1"/>
  <c r="J171" i="3" s="1"/>
  <c r="Q171" i="3" s="1"/>
  <c r="R171" i="3" s="1"/>
  <c r="S171" i="3" s="1"/>
  <c r="H170" i="3"/>
  <c r="I170" i="3" s="1"/>
  <c r="J170" i="3" s="1"/>
  <c r="Q170" i="3" s="1"/>
  <c r="R170" i="3" s="1"/>
  <c r="S170" i="3" s="1"/>
  <c r="H150" i="3"/>
  <c r="I150" i="3" s="1"/>
  <c r="J150" i="3" s="1"/>
  <c r="Q150" i="3" s="1"/>
  <c r="R150" i="3" s="1"/>
  <c r="S150" i="3" s="1"/>
  <c r="H141" i="3"/>
  <c r="I141" i="3" s="1"/>
  <c r="J141" i="3" s="1"/>
  <c r="Q141" i="3" s="1"/>
  <c r="R141" i="3" s="1"/>
  <c r="S141" i="3" s="1"/>
  <c r="H137" i="3"/>
  <c r="I137" i="3" s="1"/>
  <c r="J137" i="3" s="1"/>
  <c r="Q137" i="3" s="1"/>
  <c r="R137" i="3" s="1"/>
  <c r="S137" i="3" s="1"/>
  <c r="H129" i="3"/>
  <c r="I129" i="3" s="1"/>
  <c r="J129" i="3" s="1"/>
  <c r="Q129" i="3" s="1"/>
  <c r="R129" i="3" s="1"/>
  <c r="S129" i="3" s="1"/>
  <c r="H121" i="3"/>
  <c r="I121" i="3" s="1"/>
  <c r="J121" i="3" s="1"/>
  <c r="Q121" i="3" s="1"/>
  <c r="R121" i="3" s="1"/>
  <c r="S121" i="3" s="1"/>
  <c r="H266" i="3"/>
  <c r="I266" i="3" s="1"/>
  <c r="J266" i="3" s="1"/>
  <c r="Q266" i="3" s="1"/>
  <c r="R266" i="3" s="1"/>
  <c r="S266" i="3" s="1"/>
  <c r="H239" i="3"/>
  <c r="I239" i="3" s="1"/>
  <c r="J239" i="3" s="1"/>
  <c r="Q239" i="3" s="1"/>
  <c r="R239" i="3" s="1"/>
  <c r="S239" i="3" s="1"/>
  <c r="H210" i="3"/>
  <c r="I210" i="3" s="1"/>
  <c r="J210" i="3" s="1"/>
  <c r="Q210" i="3" s="1"/>
  <c r="R210" i="3" s="1"/>
  <c r="S210" i="3" s="1"/>
  <c r="H197" i="3"/>
  <c r="I197" i="3" s="1"/>
  <c r="J197" i="3" s="1"/>
  <c r="Q197" i="3" s="1"/>
  <c r="R197" i="3" s="1"/>
  <c r="S197" i="3" s="1"/>
  <c r="H193" i="3"/>
  <c r="I193" i="3" s="1"/>
  <c r="J193" i="3" s="1"/>
  <c r="Q193" i="3" s="1"/>
  <c r="R193" i="3" s="1"/>
  <c r="S193" i="3" s="1"/>
  <c r="H134" i="3"/>
  <c r="I134" i="3" s="1"/>
  <c r="J134" i="3" s="1"/>
  <c r="Q134" i="3" s="1"/>
  <c r="R134" i="3" s="1"/>
  <c r="S134" i="3" s="1"/>
  <c r="H126" i="3"/>
  <c r="I126" i="3" s="1"/>
  <c r="J126" i="3" s="1"/>
  <c r="Q126" i="3" s="1"/>
  <c r="R126" i="3" s="1"/>
  <c r="S126" i="3" s="1"/>
  <c r="H258" i="3"/>
  <c r="I258" i="3" s="1"/>
  <c r="J258" i="3" s="1"/>
  <c r="Q258" i="3" s="1"/>
  <c r="R258" i="3" s="1"/>
  <c r="S258" i="3" s="1"/>
  <c r="H206" i="3"/>
  <c r="I206" i="3" s="1"/>
  <c r="J206" i="3" s="1"/>
  <c r="Q206" i="3" s="1"/>
  <c r="R206" i="3" s="1"/>
  <c r="S206" i="3" s="1"/>
  <c r="H198" i="3"/>
  <c r="I198" i="3" s="1"/>
  <c r="J198" i="3" s="1"/>
  <c r="Q198" i="3" s="1"/>
  <c r="R198" i="3" s="1"/>
  <c r="S198" i="3" s="1"/>
  <c r="H184" i="3"/>
  <c r="I184" i="3" s="1"/>
  <c r="J184" i="3" s="1"/>
  <c r="Q184" i="3" s="1"/>
  <c r="R184" i="3" s="1"/>
  <c r="S184" i="3" s="1"/>
  <c r="H179" i="3"/>
  <c r="I179" i="3" s="1"/>
  <c r="J179" i="3" s="1"/>
  <c r="Q179" i="3" s="1"/>
  <c r="R179" i="3" s="1"/>
  <c r="S179" i="3" s="1"/>
  <c r="H178" i="3"/>
  <c r="I178" i="3" s="1"/>
  <c r="J178" i="3" s="1"/>
  <c r="Q178" i="3" s="1"/>
  <c r="R178" i="3" s="1"/>
  <c r="S178" i="3" s="1"/>
  <c r="H149" i="3"/>
  <c r="I149" i="3" s="1"/>
  <c r="J149" i="3" s="1"/>
  <c r="Q149" i="3" s="1"/>
  <c r="R149" i="3" s="1"/>
  <c r="S149" i="3" s="1"/>
  <c r="H139" i="3"/>
  <c r="I139" i="3" s="1"/>
  <c r="J139" i="3" s="1"/>
  <c r="Q139" i="3" s="1"/>
  <c r="R139" i="3" s="1"/>
  <c r="S139" i="3" s="1"/>
  <c r="H131" i="3"/>
  <c r="I131" i="3" s="1"/>
  <c r="J131" i="3" s="1"/>
  <c r="Q131" i="3" s="1"/>
  <c r="R131" i="3" s="1"/>
  <c r="S131" i="3" s="1"/>
  <c r="H238" i="3"/>
  <c r="I238" i="3" s="1"/>
  <c r="J238" i="3" s="1"/>
  <c r="Q238" i="3" s="1"/>
  <c r="R238" i="3" s="1"/>
  <c r="S238" i="3" s="1"/>
  <c r="H209" i="3"/>
  <c r="I209" i="3" s="1"/>
  <c r="J209" i="3" s="1"/>
  <c r="Q209" i="3" s="1"/>
  <c r="R209" i="3" s="1"/>
  <c r="S209" i="3" s="1"/>
  <c r="H196" i="3"/>
  <c r="I196" i="3" s="1"/>
  <c r="J196" i="3" s="1"/>
  <c r="Q196" i="3" s="1"/>
  <c r="R196" i="3" s="1"/>
  <c r="S196" i="3" s="1"/>
  <c r="H195" i="3"/>
  <c r="I195" i="3" s="1"/>
  <c r="J195" i="3" s="1"/>
  <c r="Q195" i="3" s="1"/>
  <c r="R195" i="3" s="1"/>
  <c r="S195" i="3" s="1"/>
  <c r="H187" i="3"/>
  <c r="I187" i="3" s="1"/>
  <c r="J187" i="3" s="1"/>
  <c r="Q187" i="3" s="1"/>
  <c r="R187" i="3" s="1"/>
  <c r="S187" i="3" s="1"/>
  <c r="H186" i="3"/>
  <c r="I186" i="3" s="1"/>
  <c r="J186" i="3" s="1"/>
  <c r="Q186" i="3" s="1"/>
  <c r="R186" i="3" s="1"/>
  <c r="S186" i="3" s="1"/>
  <c r="H176" i="3"/>
  <c r="I176" i="3" s="1"/>
  <c r="J176" i="3" s="1"/>
  <c r="Q176" i="3" s="1"/>
  <c r="R176" i="3" s="1"/>
  <c r="S176" i="3" s="1"/>
  <c r="H169" i="3"/>
  <c r="I169" i="3" s="1"/>
  <c r="J169" i="3" s="1"/>
  <c r="Q169" i="3" s="1"/>
  <c r="R169" i="3" s="1"/>
  <c r="S169" i="3" s="1"/>
  <c r="H168" i="3"/>
  <c r="I168" i="3" s="1"/>
  <c r="J168" i="3" s="1"/>
  <c r="Q168" i="3" s="1"/>
  <c r="R168" i="3" s="1"/>
  <c r="S168" i="3" s="1"/>
  <c r="H154" i="3"/>
  <c r="I154" i="3" s="1"/>
  <c r="J154" i="3" s="1"/>
  <c r="Q154" i="3" s="1"/>
  <c r="R154" i="3" s="1"/>
  <c r="S154" i="3" s="1"/>
  <c r="H142" i="3"/>
  <c r="I142" i="3" s="1"/>
  <c r="J142" i="3" s="1"/>
  <c r="Q142" i="3" s="1"/>
  <c r="R142" i="3" s="1"/>
  <c r="S142" i="3" s="1"/>
  <c r="H135" i="3"/>
  <c r="I135" i="3" s="1"/>
  <c r="J135" i="3" s="1"/>
  <c r="Q135" i="3" s="1"/>
  <c r="R135" i="3" s="1"/>
  <c r="S135" i="3" s="1"/>
  <c r="H173" i="3"/>
  <c r="I173" i="3" s="1"/>
  <c r="J173" i="3" s="1"/>
  <c r="Q173" i="3" s="1"/>
  <c r="R173" i="3" s="1"/>
  <c r="S173" i="3" s="1"/>
  <c r="H122" i="3"/>
  <c r="I122" i="3" s="1"/>
  <c r="J122" i="3" s="1"/>
  <c r="Q122" i="3" s="1"/>
  <c r="R122" i="3" s="1"/>
  <c r="S122" i="3" s="1"/>
  <c r="H119" i="3"/>
  <c r="I119" i="3" s="1"/>
  <c r="J119" i="3" s="1"/>
  <c r="Q119" i="3" s="1"/>
  <c r="R119" i="3" s="1"/>
  <c r="S119" i="3" s="1"/>
  <c r="H114" i="3"/>
  <c r="I114" i="3" s="1"/>
  <c r="J114" i="3" s="1"/>
  <c r="Q114" i="3" s="1"/>
  <c r="R114" i="3" s="1"/>
  <c r="S114" i="3" s="1"/>
  <c r="H107" i="3"/>
  <c r="I107" i="3" s="1"/>
  <c r="J107" i="3" s="1"/>
  <c r="Q107" i="3" s="1"/>
  <c r="R107" i="3" s="1"/>
  <c r="S107" i="3" s="1"/>
  <c r="H99" i="3"/>
  <c r="I99" i="3" s="1"/>
  <c r="J99" i="3" s="1"/>
  <c r="Q99" i="3" s="1"/>
  <c r="R99" i="3" s="1"/>
  <c r="S99" i="3" s="1"/>
  <c r="H91" i="3"/>
  <c r="I91" i="3" s="1"/>
  <c r="J91" i="3" s="1"/>
  <c r="Q91" i="3" s="1"/>
  <c r="R91" i="3" s="1"/>
  <c r="S91" i="3" s="1"/>
  <c r="H83" i="3"/>
  <c r="I83" i="3" s="1"/>
  <c r="J83" i="3" s="1"/>
  <c r="Q83" i="3" s="1"/>
  <c r="R83" i="3" s="1"/>
  <c r="S83" i="3" s="1"/>
  <c r="H75" i="3"/>
  <c r="I75" i="3" s="1"/>
  <c r="J75" i="3" s="1"/>
  <c r="Q75" i="3" s="1"/>
  <c r="R75" i="3" s="1"/>
  <c r="S75" i="3" s="1"/>
  <c r="H67" i="3"/>
  <c r="I67" i="3" s="1"/>
  <c r="J67" i="3" s="1"/>
  <c r="Q67" i="3" s="1"/>
  <c r="R67" i="3" s="1"/>
  <c r="S67" i="3" s="1"/>
  <c r="H162" i="3"/>
  <c r="I162" i="3" s="1"/>
  <c r="J162" i="3" s="1"/>
  <c r="Q162" i="3" s="1"/>
  <c r="R162" i="3" s="1"/>
  <c r="S162" i="3" s="1"/>
  <c r="H160" i="3"/>
  <c r="I160" i="3" s="1"/>
  <c r="J160" i="3" s="1"/>
  <c r="Q160" i="3" s="1"/>
  <c r="R160" i="3" s="1"/>
  <c r="S160" i="3" s="1"/>
  <c r="H157" i="3"/>
  <c r="I157" i="3" s="1"/>
  <c r="J157" i="3" s="1"/>
  <c r="Q157" i="3" s="1"/>
  <c r="R157" i="3" s="1"/>
  <c r="S157" i="3" s="1"/>
  <c r="H138" i="3"/>
  <c r="I138" i="3" s="1"/>
  <c r="J138" i="3" s="1"/>
  <c r="Q138" i="3" s="1"/>
  <c r="R138" i="3" s="1"/>
  <c r="S138" i="3" s="1"/>
  <c r="H125" i="3"/>
  <c r="I125" i="3" s="1"/>
  <c r="J125" i="3" s="1"/>
  <c r="Q125" i="3" s="1"/>
  <c r="R125" i="3" s="1"/>
  <c r="S125" i="3" s="1"/>
  <c r="H113" i="3"/>
  <c r="I113" i="3" s="1"/>
  <c r="J113" i="3" s="1"/>
  <c r="Q113" i="3" s="1"/>
  <c r="R113" i="3" s="1"/>
  <c r="S113" i="3" s="1"/>
  <c r="H104" i="3"/>
  <c r="I104" i="3" s="1"/>
  <c r="J104" i="3" s="1"/>
  <c r="Q104" i="3" s="1"/>
  <c r="R104" i="3" s="1"/>
  <c r="S104" i="3" s="1"/>
  <c r="H96" i="3"/>
  <c r="I96" i="3" s="1"/>
  <c r="J96" i="3" s="1"/>
  <c r="Q96" i="3" s="1"/>
  <c r="R96" i="3" s="1"/>
  <c r="S96" i="3" s="1"/>
  <c r="H88" i="3"/>
  <c r="I88" i="3" s="1"/>
  <c r="J88" i="3" s="1"/>
  <c r="Q88" i="3" s="1"/>
  <c r="R88" i="3" s="1"/>
  <c r="S88" i="3" s="1"/>
  <c r="H80" i="3"/>
  <c r="I80" i="3" s="1"/>
  <c r="J80" i="3" s="1"/>
  <c r="Q80" i="3" s="1"/>
  <c r="R80" i="3" s="1"/>
  <c r="S80" i="3" s="1"/>
  <c r="H72" i="3"/>
  <c r="I72" i="3" s="1"/>
  <c r="J72" i="3" s="1"/>
  <c r="Q72" i="3" s="1"/>
  <c r="R72" i="3" s="1"/>
  <c r="S72" i="3" s="1"/>
  <c r="H64" i="3"/>
  <c r="I64" i="3" s="1"/>
  <c r="J64" i="3" s="1"/>
  <c r="Q64" i="3" s="1"/>
  <c r="R64" i="3" s="1"/>
  <c r="S64" i="3" s="1"/>
  <c r="H136" i="3"/>
  <c r="I136" i="3" s="1"/>
  <c r="J136" i="3" s="1"/>
  <c r="Q136" i="3" s="1"/>
  <c r="R136" i="3" s="1"/>
  <c r="S136" i="3" s="1"/>
  <c r="H117" i="3"/>
  <c r="I117" i="3" s="1"/>
  <c r="J117" i="3" s="1"/>
  <c r="Q117" i="3" s="1"/>
  <c r="R117" i="3" s="1"/>
  <c r="S117" i="3" s="1"/>
  <c r="H109" i="3"/>
  <c r="I109" i="3" s="1"/>
  <c r="J109" i="3" s="1"/>
  <c r="Q109" i="3" s="1"/>
  <c r="R109" i="3" s="1"/>
  <c r="S109" i="3" s="1"/>
  <c r="H101" i="3"/>
  <c r="I101" i="3" s="1"/>
  <c r="J101" i="3" s="1"/>
  <c r="Q101" i="3" s="1"/>
  <c r="R101" i="3" s="1"/>
  <c r="S101" i="3" s="1"/>
  <c r="H93" i="3"/>
  <c r="I93" i="3" s="1"/>
  <c r="J93" i="3" s="1"/>
  <c r="Q93" i="3" s="1"/>
  <c r="R93" i="3" s="1"/>
  <c r="S93" i="3" s="1"/>
  <c r="H85" i="3"/>
  <c r="I85" i="3" s="1"/>
  <c r="J85" i="3" s="1"/>
  <c r="Q85" i="3" s="1"/>
  <c r="R85" i="3" s="1"/>
  <c r="S85" i="3" s="1"/>
  <c r="H146" i="3"/>
  <c r="I146" i="3" s="1"/>
  <c r="J146" i="3" s="1"/>
  <c r="Q146" i="3" s="1"/>
  <c r="R146" i="3" s="1"/>
  <c r="S146" i="3" s="1"/>
  <c r="H133" i="3"/>
  <c r="I133" i="3" s="1"/>
  <c r="J133" i="3" s="1"/>
  <c r="Q133" i="3" s="1"/>
  <c r="R133" i="3" s="1"/>
  <c r="S133" i="3" s="1"/>
  <c r="H112" i="3"/>
  <c r="I112" i="3" s="1"/>
  <c r="J112" i="3" s="1"/>
  <c r="Q112" i="3" s="1"/>
  <c r="R112" i="3" s="1"/>
  <c r="S112" i="3" s="1"/>
  <c r="H106" i="3"/>
  <c r="I106" i="3" s="1"/>
  <c r="J106" i="3" s="1"/>
  <c r="Q106" i="3" s="1"/>
  <c r="R106" i="3" s="1"/>
  <c r="S106" i="3" s="1"/>
  <c r="H98" i="3"/>
  <c r="I98" i="3" s="1"/>
  <c r="J98" i="3" s="1"/>
  <c r="Q98" i="3" s="1"/>
  <c r="R98" i="3" s="1"/>
  <c r="S98" i="3" s="1"/>
  <c r="H90" i="3"/>
  <c r="I90" i="3" s="1"/>
  <c r="J90" i="3" s="1"/>
  <c r="Q90" i="3" s="1"/>
  <c r="R90" i="3" s="1"/>
  <c r="S90" i="3" s="1"/>
  <c r="H82" i="3"/>
  <c r="I82" i="3" s="1"/>
  <c r="J82" i="3" s="1"/>
  <c r="Q82" i="3" s="1"/>
  <c r="R82" i="3" s="1"/>
  <c r="S82" i="3" s="1"/>
  <c r="H208" i="3"/>
  <c r="I208" i="3" s="1"/>
  <c r="J208" i="3" s="1"/>
  <c r="Q208" i="3" s="1"/>
  <c r="R208" i="3" s="1"/>
  <c r="S208" i="3" s="1"/>
  <c r="H145" i="3"/>
  <c r="I145" i="3" s="1"/>
  <c r="J145" i="3" s="1"/>
  <c r="Q145" i="3" s="1"/>
  <c r="R145" i="3" s="1"/>
  <c r="S145" i="3" s="1"/>
  <c r="H123" i="3"/>
  <c r="I123" i="3" s="1"/>
  <c r="J123" i="3" s="1"/>
  <c r="Q123" i="3" s="1"/>
  <c r="R123" i="3" s="1"/>
  <c r="S123" i="3" s="1"/>
  <c r="H120" i="3"/>
  <c r="I120" i="3" s="1"/>
  <c r="J120" i="3" s="1"/>
  <c r="Q120" i="3" s="1"/>
  <c r="R120" i="3" s="1"/>
  <c r="S120" i="3" s="1"/>
  <c r="H118" i="3"/>
  <c r="I118" i="3" s="1"/>
  <c r="J118" i="3" s="1"/>
  <c r="Q118" i="3" s="1"/>
  <c r="R118" i="3" s="1"/>
  <c r="S118" i="3" s="1"/>
  <c r="H110" i="3"/>
  <c r="I110" i="3" s="1"/>
  <c r="J110" i="3" s="1"/>
  <c r="Q110" i="3" s="1"/>
  <c r="R110" i="3" s="1"/>
  <c r="S110" i="3" s="1"/>
  <c r="H102" i="3"/>
  <c r="I102" i="3" s="1"/>
  <c r="J102" i="3" s="1"/>
  <c r="Q102" i="3" s="1"/>
  <c r="R102" i="3" s="1"/>
  <c r="S102" i="3" s="1"/>
  <c r="H94" i="3"/>
  <c r="I94" i="3" s="1"/>
  <c r="J94" i="3" s="1"/>
  <c r="Q94" i="3" s="1"/>
  <c r="R94" i="3" s="1"/>
  <c r="S94" i="3" s="1"/>
  <c r="H86" i="3"/>
  <c r="I86" i="3" s="1"/>
  <c r="J86" i="3" s="1"/>
  <c r="Q86" i="3" s="1"/>
  <c r="R86" i="3" s="1"/>
  <c r="S86" i="3" s="1"/>
  <c r="H78" i="3"/>
  <c r="I78" i="3" s="1"/>
  <c r="J78" i="3" s="1"/>
  <c r="Q78" i="3" s="1"/>
  <c r="R78" i="3" s="1"/>
  <c r="S78" i="3" s="1"/>
  <c r="H163" i="3"/>
  <c r="I163" i="3" s="1"/>
  <c r="J163" i="3" s="1"/>
  <c r="Q163" i="3" s="1"/>
  <c r="R163" i="3" s="1"/>
  <c r="S163" i="3" s="1"/>
  <c r="H95" i="3"/>
  <c r="I95" i="3" s="1"/>
  <c r="J95" i="3" s="1"/>
  <c r="Q95" i="3" s="1"/>
  <c r="R95" i="3" s="1"/>
  <c r="S95" i="3" s="1"/>
  <c r="H71" i="3"/>
  <c r="I71" i="3" s="1"/>
  <c r="J71" i="3" s="1"/>
  <c r="Q71" i="3" s="1"/>
  <c r="R71" i="3" s="1"/>
  <c r="S71" i="3" s="1"/>
  <c r="H69" i="3"/>
  <c r="I69" i="3" s="1"/>
  <c r="J69" i="3" s="1"/>
  <c r="Q69" i="3" s="1"/>
  <c r="R69" i="3" s="1"/>
  <c r="S69" i="3" s="1"/>
  <c r="H62" i="3"/>
  <c r="I62" i="3" s="1"/>
  <c r="J62" i="3" s="1"/>
  <c r="Q62" i="3" s="1"/>
  <c r="R62" i="3" s="1"/>
  <c r="S62" i="3" s="1"/>
  <c r="H53" i="3"/>
  <c r="I53" i="3" s="1"/>
  <c r="J53" i="3" s="1"/>
  <c r="Q53" i="3" s="1"/>
  <c r="R53" i="3" s="1"/>
  <c r="S53" i="3" s="1"/>
  <c r="H45" i="3"/>
  <c r="I45" i="3" s="1"/>
  <c r="J45" i="3" s="1"/>
  <c r="Q45" i="3" s="1"/>
  <c r="R45" i="3" s="1"/>
  <c r="S45" i="3" s="1"/>
  <c r="H37" i="3"/>
  <c r="I37" i="3" s="1"/>
  <c r="J37" i="3" s="1"/>
  <c r="Q37" i="3" s="1"/>
  <c r="R37" i="3" s="1"/>
  <c r="S37" i="3" s="1"/>
  <c r="H29" i="3"/>
  <c r="I29" i="3" s="1"/>
  <c r="J29" i="3" s="1"/>
  <c r="Q29" i="3" s="1"/>
  <c r="R29" i="3" s="1"/>
  <c r="S29" i="3" s="1"/>
  <c r="H21" i="3"/>
  <c r="I21" i="3" s="1"/>
  <c r="J21" i="3" s="1"/>
  <c r="Q21" i="3" s="1"/>
  <c r="R21" i="3" s="1"/>
  <c r="S21" i="3" s="1"/>
  <c r="H13" i="3"/>
  <c r="I13" i="3" s="1"/>
  <c r="J13" i="3" s="1"/>
  <c r="Q13" i="3" s="1"/>
  <c r="R13" i="3" s="1"/>
  <c r="S13" i="3" s="1"/>
  <c r="H5" i="3"/>
  <c r="I5" i="3" s="1"/>
  <c r="J5" i="3" s="1"/>
  <c r="Q5" i="3" s="1"/>
  <c r="R5" i="3" s="1"/>
  <c r="S5" i="3" s="1"/>
  <c r="H155" i="3"/>
  <c r="I155" i="3" s="1"/>
  <c r="J155" i="3" s="1"/>
  <c r="Q155" i="3" s="1"/>
  <c r="R155" i="3" s="1"/>
  <c r="S155" i="3" s="1"/>
  <c r="H144" i="3"/>
  <c r="I144" i="3" s="1"/>
  <c r="J144" i="3" s="1"/>
  <c r="Q144" i="3" s="1"/>
  <c r="R144" i="3" s="1"/>
  <c r="S144" i="3" s="1"/>
  <c r="H92" i="3"/>
  <c r="I92" i="3" s="1"/>
  <c r="J92" i="3" s="1"/>
  <c r="Q92" i="3" s="1"/>
  <c r="R92" i="3" s="1"/>
  <c r="S92" i="3" s="1"/>
  <c r="H70" i="3"/>
  <c r="I70" i="3" s="1"/>
  <c r="J70" i="3" s="1"/>
  <c r="Q70" i="3" s="1"/>
  <c r="R70" i="3" s="1"/>
  <c r="S70" i="3" s="1"/>
  <c r="H61" i="3"/>
  <c r="I61" i="3" s="1"/>
  <c r="J61" i="3" s="1"/>
  <c r="Q61" i="3" s="1"/>
  <c r="R61" i="3" s="1"/>
  <c r="S61" i="3" s="1"/>
  <c r="H58" i="3"/>
  <c r="I58" i="3" s="1"/>
  <c r="J58" i="3" s="1"/>
  <c r="Q58" i="3" s="1"/>
  <c r="R58" i="3" s="1"/>
  <c r="S58" i="3" s="1"/>
  <c r="H50" i="3"/>
  <c r="I50" i="3" s="1"/>
  <c r="J50" i="3" s="1"/>
  <c r="Q50" i="3" s="1"/>
  <c r="R50" i="3" s="1"/>
  <c r="S50" i="3" s="1"/>
  <c r="H42" i="3"/>
  <c r="I42" i="3" s="1"/>
  <c r="J42" i="3" s="1"/>
  <c r="Q42" i="3" s="1"/>
  <c r="R42" i="3" s="1"/>
  <c r="S42" i="3" s="1"/>
  <c r="H34" i="3"/>
  <c r="I34" i="3" s="1"/>
  <c r="J34" i="3" s="1"/>
  <c r="Q34" i="3" s="1"/>
  <c r="R34" i="3" s="1"/>
  <c r="S34" i="3" s="1"/>
  <c r="H26" i="3"/>
  <c r="I26" i="3" s="1"/>
  <c r="J26" i="3" s="1"/>
  <c r="Q26" i="3" s="1"/>
  <c r="R26" i="3" s="1"/>
  <c r="S26" i="3" s="1"/>
  <c r="H18" i="3"/>
  <c r="I18" i="3" s="1"/>
  <c r="J18" i="3" s="1"/>
  <c r="Q18" i="3" s="1"/>
  <c r="R18" i="3" s="1"/>
  <c r="S18" i="3" s="1"/>
  <c r="H10" i="3"/>
  <c r="I10" i="3" s="1"/>
  <c r="J10" i="3" s="1"/>
  <c r="Q10" i="3" s="1"/>
  <c r="R10" i="3" s="1"/>
  <c r="S10" i="3" s="1"/>
  <c r="H57" i="3"/>
  <c r="I57" i="3" s="1"/>
  <c r="J57" i="3" s="1"/>
  <c r="Q57" i="3" s="1"/>
  <c r="R57" i="3" s="1"/>
  <c r="S57" i="3" s="1"/>
  <c r="H41" i="3"/>
  <c r="I41" i="3" s="1"/>
  <c r="J41" i="3" s="1"/>
  <c r="Q41" i="3" s="1"/>
  <c r="R41" i="3" s="1"/>
  <c r="S41" i="3" s="1"/>
  <c r="H9" i="3"/>
  <c r="I9" i="3" s="1"/>
  <c r="J9" i="3" s="1"/>
  <c r="Q9" i="3" s="1"/>
  <c r="R9" i="3" s="1"/>
  <c r="S9" i="3" s="1"/>
  <c r="H128" i="3"/>
  <c r="I128" i="3" s="1"/>
  <c r="J128" i="3" s="1"/>
  <c r="Q128" i="3" s="1"/>
  <c r="R128" i="3" s="1"/>
  <c r="S128" i="3" s="1"/>
  <c r="H89" i="3"/>
  <c r="I89" i="3" s="1"/>
  <c r="J89" i="3" s="1"/>
  <c r="Q89" i="3" s="1"/>
  <c r="R89" i="3" s="1"/>
  <c r="S89" i="3" s="1"/>
  <c r="H79" i="3"/>
  <c r="I79" i="3" s="1"/>
  <c r="J79" i="3" s="1"/>
  <c r="Q79" i="3" s="1"/>
  <c r="R79" i="3" s="1"/>
  <c r="S79" i="3" s="1"/>
  <c r="H68" i="3"/>
  <c r="I68" i="3" s="1"/>
  <c r="J68" i="3" s="1"/>
  <c r="Q68" i="3" s="1"/>
  <c r="R68" i="3" s="1"/>
  <c r="S68" i="3" s="1"/>
  <c r="H55" i="3"/>
  <c r="I55" i="3" s="1"/>
  <c r="J55" i="3" s="1"/>
  <c r="Q55" i="3" s="1"/>
  <c r="R55" i="3" s="1"/>
  <c r="S55" i="3" s="1"/>
  <c r="H47" i="3"/>
  <c r="I47" i="3" s="1"/>
  <c r="J47" i="3" s="1"/>
  <c r="Q47" i="3" s="1"/>
  <c r="R47" i="3" s="1"/>
  <c r="S47" i="3" s="1"/>
  <c r="H39" i="3"/>
  <c r="I39" i="3" s="1"/>
  <c r="J39" i="3" s="1"/>
  <c r="Q39" i="3" s="1"/>
  <c r="R39" i="3" s="1"/>
  <c r="S39" i="3" s="1"/>
  <c r="H31" i="3"/>
  <c r="I31" i="3" s="1"/>
  <c r="J31" i="3" s="1"/>
  <c r="Q31" i="3" s="1"/>
  <c r="R31" i="3" s="1"/>
  <c r="S31" i="3" s="1"/>
  <c r="H23" i="3"/>
  <c r="I23" i="3" s="1"/>
  <c r="J23" i="3" s="1"/>
  <c r="Q23" i="3" s="1"/>
  <c r="R23" i="3" s="1"/>
  <c r="S23" i="3" s="1"/>
  <c r="H15" i="3"/>
  <c r="I15" i="3" s="1"/>
  <c r="J15" i="3" s="1"/>
  <c r="Q15" i="3" s="1"/>
  <c r="R15" i="3" s="1"/>
  <c r="S15" i="3" s="1"/>
  <c r="H7" i="3"/>
  <c r="I7" i="3" s="1"/>
  <c r="J7" i="3" s="1"/>
  <c r="Q7" i="3" s="1"/>
  <c r="R7" i="3" s="1"/>
  <c r="S7" i="3" s="1"/>
  <c r="H105" i="3"/>
  <c r="I105" i="3" s="1"/>
  <c r="J105" i="3" s="1"/>
  <c r="Q105" i="3" s="1"/>
  <c r="R105" i="3" s="1"/>
  <c r="S105" i="3" s="1"/>
  <c r="H49" i="3"/>
  <c r="I49" i="3" s="1"/>
  <c r="J49" i="3" s="1"/>
  <c r="Q49" i="3" s="1"/>
  <c r="R49" i="3" s="1"/>
  <c r="S49" i="3" s="1"/>
  <c r="H25" i="3"/>
  <c r="I25" i="3" s="1"/>
  <c r="J25" i="3" s="1"/>
  <c r="Q25" i="3" s="1"/>
  <c r="R25" i="3" s="1"/>
  <c r="S25" i="3" s="1"/>
  <c r="H217" i="3"/>
  <c r="I217" i="3" s="1"/>
  <c r="J217" i="3" s="1"/>
  <c r="Q217" i="3" s="1"/>
  <c r="R217" i="3" s="1"/>
  <c r="S217" i="3" s="1"/>
  <c r="H204" i="3"/>
  <c r="I204" i="3" s="1"/>
  <c r="J204" i="3" s="1"/>
  <c r="Q204" i="3" s="1"/>
  <c r="R204" i="3" s="1"/>
  <c r="S204" i="3" s="1"/>
  <c r="H111" i="3"/>
  <c r="I111" i="3" s="1"/>
  <c r="J111" i="3" s="1"/>
  <c r="Q111" i="3" s="1"/>
  <c r="R111" i="3" s="1"/>
  <c r="S111" i="3" s="1"/>
  <c r="H108" i="3"/>
  <c r="I108" i="3" s="1"/>
  <c r="J108" i="3" s="1"/>
  <c r="Q108" i="3" s="1"/>
  <c r="R108" i="3" s="1"/>
  <c r="S108" i="3" s="1"/>
  <c r="H87" i="3"/>
  <c r="I87" i="3" s="1"/>
  <c r="J87" i="3" s="1"/>
  <c r="Q87" i="3" s="1"/>
  <c r="R87" i="3" s="1"/>
  <c r="S87" i="3" s="1"/>
  <c r="H66" i="3"/>
  <c r="I66" i="3" s="1"/>
  <c r="J66" i="3" s="1"/>
  <c r="Q66" i="3" s="1"/>
  <c r="R66" i="3" s="1"/>
  <c r="S66" i="3" s="1"/>
  <c r="H60" i="3"/>
  <c r="I60" i="3" s="1"/>
  <c r="J60" i="3" s="1"/>
  <c r="Q60" i="3" s="1"/>
  <c r="R60" i="3" s="1"/>
  <c r="S60" i="3" s="1"/>
  <c r="H52" i="3"/>
  <c r="I52" i="3" s="1"/>
  <c r="J52" i="3" s="1"/>
  <c r="Q52" i="3" s="1"/>
  <c r="R52" i="3" s="1"/>
  <c r="S52" i="3" s="1"/>
  <c r="H44" i="3"/>
  <c r="I44" i="3" s="1"/>
  <c r="J44" i="3" s="1"/>
  <c r="Q44" i="3" s="1"/>
  <c r="R44" i="3" s="1"/>
  <c r="S44" i="3" s="1"/>
  <c r="H36" i="3"/>
  <c r="I36" i="3" s="1"/>
  <c r="J36" i="3" s="1"/>
  <c r="Q36" i="3" s="1"/>
  <c r="R36" i="3" s="1"/>
  <c r="S36" i="3" s="1"/>
  <c r="H28" i="3"/>
  <c r="I28" i="3" s="1"/>
  <c r="J28" i="3" s="1"/>
  <c r="Q28" i="3" s="1"/>
  <c r="R28" i="3" s="1"/>
  <c r="S28" i="3" s="1"/>
  <c r="H20" i="3"/>
  <c r="I20" i="3" s="1"/>
  <c r="J20" i="3" s="1"/>
  <c r="Q20" i="3" s="1"/>
  <c r="R20" i="3" s="1"/>
  <c r="S20" i="3" s="1"/>
  <c r="H12" i="3"/>
  <c r="I12" i="3" s="1"/>
  <c r="J12" i="3" s="1"/>
  <c r="Q12" i="3" s="1"/>
  <c r="R12" i="3" s="1"/>
  <c r="S12" i="3" s="1"/>
  <c r="H4" i="3"/>
  <c r="I4" i="3" s="1"/>
  <c r="J4" i="3" s="1"/>
  <c r="Q4" i="3" s="1"/>
  <c r="R4" i="3" s="1"/>
  <c r="S4" i="3" s="1"/>
  <c r="H84" i="3"/>
  <c r="I84" i="3" s="1"/>
  <c r="J84" i="3" s="1"/>
  <c r="Q84" i="3" s="1"/>
  <c r="R84" i="3" s="1"/>
  <c r="S84" i="3" s="1"/>
  <c r="H17" i="3"/>
  <c r="I17" i="3" s="1"/>
  <c r="J17" i="3" s="1"/>
  <c r="Q17" i="3" s="1"/>
  <c r="R17" i="3" s="1"/>
  <c r="S17" i="3" s="1"/>
  <c r="H130" i="3"/>
  <c r="I130" i="3" s="1"/>
  <c r="J130" i="3" s="1"/>
  <c r="Q130" i="3" s="1"/>
  <c r="R130" i="3" s="1"/>
  <c r="S130" i="3" s="1"/>
  <c r="H33" i="3"/>
  <c r="I33" i="3" s="1"/>
  <c r="J33" i="3" s="1"/>
  <c r="Q33" i="3" s="1"/>
  <c r="R33" i="3" s="1"/>
  <c r="S33" i="3" s="1"/>
  <c r="H100" i="3"/>
  <c r="I100" i="3" s="1"/>
  <c r="J100" i="3" s="1"/>
  <c r="Q100" i="3" s="1"/>
  <c r="R100" i="3" s="1"/>
  <c r="S100" i="3" s="1"/>
  <c r="H73" i="3"/>
  <c r="I73" i="3" s="1"/>
  <c r="J73" i="3" s="1"/>
  <c r="Q73" i="3" s="1"/>
  <c r="R73" i="3" s="1"/>
  <c r="S73" i="3" s="1"/>
  <c r="H65" i="3"/>
  <c r="I65" i="3" s="1"/>
  <c r="J65" i="3" s="1"/>
  <c r="Q65" i="3" s="1"/>
  <c r="R65" i="3" s="1"/>
  <c r="S65" i="3" s="1"/>
  <c r="H54" i="3"/>
  <c r="I54" i="3" s="1"/>
  <c r="J54" i="3" s="1"/>
  <c r="Q54" i="3" s="1"/>
  <c r="R54" i="3" s="1"/>
  <c r="S54" i="3" s="1"/>
  <c r="H32" i="3"/>
  <c r="I32" i="3" s="1"/>
  <c r="J32" i="3" s="1"/>
  <c r="Q32" i="3" s="1"/>
  <c r="R32" i="3" s="1"/>
  <c r="S32" i="3" s="1"/>
  <c r="H11" i="3"/>
  <c r="I11" i="3" s="1"/>
  <c r="J11" i="3" s="1"/>
  <c r="Q11" i="3" s="1"/>
  <c r="R11" i="3" s="1"/>
  <c r="S11" i="3" s="1"/>
  <c r="H77" i="3"/>
  <c r="I77" i="3" s="1"/>
  <c r="J77" i="3" s="1"/>
  <c r="Q77" i="3" s="1"/>
  <c r="R77" i="3" s="1"/>
  <c r="S77" i="3" s="1"/>
  <c r="H63" i="3"/>
  <c r="I63" i="3" s="1"/>
  <c r="J63" i="3" s="1"/>
  <c r="Q63" i="3" s="1"/>
  <c r="R63" i="3" s="1"/>
  <c r="S63" i="3" s="1"/>
  <c r="H74" i="3"/>
  <c r="I74" i="3" s="1"/>
  <c r="J74" i="3" s="1"/>
  <c r="Q74" i="3" s="1"/>
  <c r="R74" i="3" s="1"/>
  <c r="S74" i="3" s="1"/>
  <c r="H51" i="3"/>
  <c r="I51" i="3" s="1"/>
  <c r="J51" i="3" s="1"/>
  <c r="Q51" i="3" s="1"/>
  <c r="R51" i="3" s="1"/>
  <c r="S51" i="3" s="1"/>
  <c r="H30" i="3"/>
  <c r="I30" i="3" s="1"/>
  <c r="J30" i="3" s="1"/>
  <c r="Q30" i="3" s="1"/>
  <c r="R30" i="3" s="1"/>
  <c r="S30" i="3" s="1"/>
  <c r="H8" i="3"/>
  <c r="I8" i="3" s="1"/>
  <c r="J8" i="3" s="1"/>
  <c r="Q8" i="3" s="1"/>
  <c r="R8" i="3" s="1"/>
  <c r="S8" i="3" s="1"/>
  <c r="H3" i="3"/>
  <c r="I3" i="3" s="1"/>
  <c r="J3" i="3" s="1"/>
  <c r="Q3" i="3" s="1"/>
  <c r="R3" i="3" s="1"/>
  <c r="S3" i="3" s="1"/>
  <c r="H27" i="3"/>
  <c r="I27" i="3" s="1"/>
  <c r="J27" i="3" s="1"/>
  <c r="Q27" i="3" s="1"/>
  <c r="R27" i="3" s="1"/>
  <c r="S27" i="3" s="1"/>
  <c r="H24" i="3"/>
  <c r="I24" i="3" s="1"/>
  <c r="J24" i="3" s="1"/>
  <c r="Q24" i="3" s="1"/>
  <c r="R24" i="3" s="1"/>
  <c r="S24" i="3" s="1"/>
  <c r="H147" i="3"/>
  <c r="I147" i="3" s="1"/>
  <c r="J147" i="3" s="1"/>
  <c r="Q147" i="3" s="1"/>
  <c r="R147" i="3" s="1"/>
  <c r="S147" i="3" s="1"/>
  <c r="H48" i="3"/>
  <c r="I48" i="3" s="1"/>
  <c r="J48" i="3" s="1"/>
  <c r="Q48" i="3" s="1"/>
  <c r="R48" i="3" s="1"/>
  <c r="S48" i="3" s="1"/>
  <c r="H97" i="3"/>
  <c r="I97" i="3" s="1"/>
  <c r="J97" i="3" s="1"/>
  <c r="Q97" i="3" s="1"/>
  <c r="R97" i="3" s="1"/>
  <c r="S97" i="3" s="1"/>
  <c r="H46" i="3"/>
  <c r="I46" i="3" s="1"/>
  <c r="J46" i="3" s="1"/>
  <c r="Q46" i="3" s="1"/>
  <c r="R46" i="3" s="1"/>
  <c r="S46" i="3" s="1"/>
  <c r="H127" i="3"/>
  <c r="I127" i="3" s="1"/>
  <c r="J127" i="3" s="1"/>
  <c r="Q127" i="3" s="1"/>
  <c r="R127" i="3" s="1"/>
  <c r="S127" i="3" s="1"/>
  <c r="H81" i="3"/>
  <c r="I81" i="3" s="1"/>
  <c r="J81" i="3" s="1"/>
  <c r="Q81" i="3" s="1"/>
  <c r="R81" i="3" s="1"/>
  <c r="S81" i="3" s="1"/>
  <c r="H59" i="3"/>
  <c r="I59" i="3" s="1"/>
  <c r="J59" i="3" s="1"/>
  <c r="Q59" i="3" s="1"/>
  <c r="R59" i="3" s="1"/>
  <c r="S59" i="3" s="1"/>
  <c r="H38" i="3"/>
  <c r="I38" i="3" s="1"/>
  <c r="J38" i="3" s="1"/>
  <c r="Q38" i="3" s="1"/>
  <c r="R38" i="3" s="1"/>
  <c r="S38" i="3" s="1"/>
  <c r="H16" i="3"/>
  <c r="I16" i="3" s="1"/>
  <c r="J16" i="3" s="1"/>
  <c r="Q16" i="3" s="1"/>
  <c r="R16" i="3" s="1"/>
  <c r="S16" i="3" s="1"/>
  <c r="H241" i="3"/>
  <c r="I241" i="3" s="1"/>
  <c r="J241" i="3" s="1"/>
  <c r="Q241" i="3" s="1"/>
  <c r="R241" i="3" s="1"/>
  <c r="S241" i="3" s="1"/>
  <c r="H161" i="3"/>
  <c r="I161" i="3" s="1"/>
  <c r="J161" i="3" s="1"/>
  <c r="Q161" i="3" s="1"/>
  <c r="R161" i="3" s="1"/>
  <c r="S161" i="3" s="1"/>
  <c r="H115" i="3"/>
  <c r="I115" i="3" s="1"/>
  <c r="J115" i="3" s="1"/>
  <c r="Q115" i="3" s="1"/>
  <c r="R115" i="3" s="1"/>
  <c r="S115" i="3" s="1"/>
  <c r="H76" i="3"/>
  <c r="I76" i="3" s="1"/>
  <c r="J76" i="3" s="1"/>
  <c r="Q76" i="3" s="1"/>
  <c r="R76" i="3" s="1"/>
  <c r="S76" i="3" s="1"/>
  <c r="H56" i="3"/>
  <c r="I56" i="3" s="1"/>
  <c r="J56" i="3" s="1"/>
  <c r="Q56" i="3" s="1"/>
  <c r="R56" i="3" s="1"/>
  <c r="S56" i="3" s="1"/>
  <c r="H19" i="3"/>
  <c r="I19" i="3" s="1"/>
  <c r="J19" i="3" s="1"/>
  <c r="Q19" i="3" s="1"/>
  <c r="R19" i="3" s="1"/>
  <c r="S19" i="3" s="1"/>
  <c r="H14" i="3"/>
  <c r="I14" i="3" s="1"/>
  <c r="J14" i="3" s="1"/>
  <c r="Q14" i="3" s="1"/>
  <c r="R14" i="3" s="1"/>
  <c r="S14" i="3" s="1"/>
  <c r="H6" i="3"/>
  <c r="I6" i="3" s="1"/>
  <c r="J6" i="3" s="1"/>
  <c r="Q6" i="3" s="1"/>
  <c r="R6" i="3" s="1"/>
  <c r="S6" i="3" s="1"/>
  <c r="H153" i="3"/>
  <c r="I153" i="3" s="1"/>
  <c r="J153" i="3" s="1"/>
  <c r="Q153" i="3" s="1"/>
  <c r="R153" i="3" s="1"/>
  <c r="S153" i="3" s="1"/>
  <c r="H40" i="3"/>
  <c r="I40" i="3" s="1"/>
  <c r="J40" i="3" s="1"/>
  <c r="Q40" i="3" s="1"/>
  <c r="R40" i="3" s="1"/>
  <c r="S40" i="3" s="1"/>
  <c r="H35" i="3"/>
  <c r="I35" i="3" s="1"/>
  <c r="J35" i="3" s="1"/>
  <c r="Q35" i="3" s="1"/>
  <c r="R35" i="3" s="1"/>
  <c r="S35" i="3" s="1"/>
  <c r="H22" i="3"/>
  <c r="I22" i="3" s="1"/>
  <c r="J22" i="3" s="1"/>
  <c r="Q22" i="3" s="1"/>
  <c r="R22" i="3" s="1"/>
  <c r="S22" i="3" s="1"/>
  <c r="H103" i="3"/>
  <c r="I103" i="3" s="1"/>
  <c r="J103" i="3" s="1"/>
  <c r="Q103" i="3" s="1"/>
  <c r="R103" i="3" s="1"/>
  <c r="S103" i="3" s="1"/>
  <c r="H43" i="3"/>
  <c r="I43" i="3" s="1"/>
  <c r="J43" i="3" s="1"/>
  <c r="Q43" i="3" s="1"/>
  <c r="R43" i="3" s="1"/>
  <c r="S43" i="3" s="1"/>
  <c r="M53" i="3"/>
  <c r="U168" i="3" l="1"/>
  <c r="O168" i="3"/>
  <c r="U192" i="3"/>
  <c r="O192" i="3"/>
  <c r="U26" i="3"/>
  <c r="O26" i="3"/>
  <c r="U67" i="3"/>
  <c r="O67" i="3"/>
  <c r="U113" i="3"/>
  <c r="O113" i="3"/>
  <c r="U132" i="3"/>
  <c r="O132" i="3"/>
  <c r="U81" i="3"/>
  <c r="O81" i="3"/>
  <c r="U250" i="3"/>
  <c r="O250" i="3"/>
  <c r="U97" i="3"/>
  <c r="O97" i="3"/>
  <c r="U79" i="3"/>
  <c r="O79" i="3"/>
  <c r="U200" i="3"/>
  <c r="O200" i="3"/>
  <c r="U226" i="3"/>
  <c r="O226" i="3"/>
  <c r="U266" i="3"/>
  <c r="O266" i="3"/>
  <c r="U238" i="3"/>
  <c r="O238" i="3"/>
  <c r="U279" i="3"/>
  <c r="O279" i="3"/>
  <c r="U16" i="3"/>
  <c r="O16" i="3"/>
  <c r="U190" i="3"/>
  <c r="O190" i="3"/>
  <c r="U261" i="3"/>
  <c r="O261" i="3"/>
  <c r="U58" i="3"/>
  <c r="O58" i="3"/>
  <c r="L19" i="1"/>
  <c r="M15" i="1"/>
  <c r="L18" i="1"/>
  <c r="U25" i="3"/>
  <c r="O25" i="3"/>
  <c r="U205" i="3"/>
  <c r="O205" i="3"/>
  <c r="U3" i="3"/>
  <c r="O3" i="3"/>
  <c r="U136" i="3"/>
  <c r="O136" i="3"/>
  <c r="U70" i="3"/>
  <c r="O70" i="3"/>
  <c r="U28" i="3"/>
  <c r="O28" i="3"/>
  <c r="U90" i="3"/>
  <c r="O90" i="3"/>
  <c r="U139" i="3"/>
  <c r="O139" i="3"/>
  <c r="U234" i="3"/>
  <c r="O234" i="3"/>
  <c r="U84" i="3"/>
  <c r="O84" i="3"/>
  <c r="U94" i="3"/>
  <c r="O94" i="3"/>
  <c r="U64" i="3"/>
  <c r="O64" i="3"/>
  <c r="U7" i="3"/>
  <c r="O7" i="3"/>
  <c r="U138" i="3"/>
  <c r="O138" i="3"/>
  <c r="E31" i="4"/>
  <c r="H31" i="4" s="1"/>
  <c r="E32" i="4"/>
  <c r="H32" i="4" s="1"/>
  <c r="H27" i="2"/>
  <c r="G27" i="2"/>
  <c r="F27" i="2"/>
  <c r="E27" i="2"/>
  <c r="D27" i="2"/>
  <c r="I27" i="2"/>
  <c r="C27" i="2"/>
  <c r="E37" i="4"/>
  <c r="H37" i="4" s="1"/>
  <c r="E33" i="4"/>
  <c r="H33" i="4" s="1"/>
  <c r="E30" i="4"/>
  <c r="H30" i="4" s="1"/>
  <c r="L30" i="4" s="1"/>
  <c r="E36" i="4"/>
  <c r="H36" i="4" s="1"/>
  <c r="E34" i="4"/>
  <c r="H34" i="4" s="1"/>
  <c r="E35" i="4"/>
  <c r="H35" i="4" s="1"/>
  <c r="U109" i="3"/>
  <c r="O109" i="3"/>
  <c r="U165" i="3"/>
  <c r="O165" i="3"/>
  <c r="U149" i="3"/>
  <c r="O149" i="3"/>
  <c r="U277" i="3"/>
  <c r="O277" i="3"/>
  <c r="U78" i="3"/>
  <c r="O78" i="3"/>
  <c r="U231" i="3"/>
  <c r="O231" i="3"/>
  <c r="U120" i="3"/>
  <c r="O120" i="3"/>
  <c r="U59" i="3"/>
  <c r="O59" i="3"/>
  <c r="U56" i="3"/>
  <c r="O56" i="3"/>
  <c r="U148" i="3"/>
  <c r="O148" i="3"/>
  <c r="U208" i="3"/>
  <c r="O208" i="3"/>
  <c r="U34" i="3"/>
  <c r="O34" i="3"/>
  <c r="U232" i="3"/>
  <c r="O232" i="3"/>
  <c r="U146" i="3"/>
  <c r="O146" i="3"/>
  <c r="U76" i="3"/>
  <c r="O76" i="3"/>
  <c r="U154" i="3"/>
  <c r="O154" i="3"/>
  <c r="U227" i="3"/>
  <c r="O227" i="3"/>
  <c r="U273" i="3"/>
  <c r="O273" i="3"/>
  <c r="U13" i="3"/>
  <c r="O13" i="3"/>
  <c r="U170" i="3"/>
  <c r="O170" i="3"/>
  <c r="U220" i="3"/>
  <c r="O220" i="3"/>
  <c r="U41" i="3"/>
  <c r="O41" i="3"/>
  <c r="U270" i="3"/>
  <c r="O270" i="3"/>
  <c r="U272" i="3"/>
  <c r="O272" i="3"/>
  <c r="U263" i="3"/>
  <c r="O263" i="3"/>
  <c r="U39" i="3"/>
  <c r="O39" i="3"/>
  <c r="U83" i="3"/>
  <c r="O83" i="3"/>
  <c r="U166" i="3"/>
  <c r="O166" i="3"/>
  <c r="U150" i="3"/>
  <c r="O150" i="3"/>
  <c r="U224" i="3"/>
  <c r="O224" i="3"/>
  <c r="U82" i="3"/>
  <c r="O82" i="3"/>
  <c r="U105" i="3"/>
  <c r="O105" i="3"/>
  <c r="U87" i="3"/>
  <c r="O87" i="3"/>
  <c r="U131" i="3"/>
  <c r="O131" i="3"/>
  <c r="U230" i="3"/>
  <c r="O230" i="3"/>
  <c r="U173" i="3"/>
  <c r="O173" i="3"/>
  <c r="U258" i="3"/>
  <c r="O258" i="3"/>
  <c r="U27" i="3"/>
  <c r="O27" i="3"/>
  <c r="U151" i="3"/>
  <c r="O151" i="3"/>
  <c r="O236" i="3"/>
  <c r="U236" i="3"/>
  <c r="U137" i="3"/>
  <c r="O137" i="3"/>
  <c r="U21" i="3"/>
  <c r="O21" i="3"/>
  <c r="U213" i="3"/>
  <c r="O213" i="3"/>
  <c r="U255" i="3"/>
  <c r="O255" i="3"/>
  <c r="U19" i="3"/>
  <c r="O19" i="3"/>
  <c r="U44" i="3"/>
  <c r="O44" i="3"/>
  <c r="O115" i="3"/>
  <c r="U115" i="3"/>
  <c r="U160" i="3"/>
  <c r="O160" i="3"/>
  <c r="U112" i="3"/>
  <c r="O112" i="3"/>
  <c r="U42" i="3"/>
  <c r="O42" i="3"/>
  <c r="U54" i="3"/>
  <c r="O54" i="3"/>
  <c r="U99" i="3"/>
  <c r="O99" i="3"/>
  <c r="U256" i="3"/>
  <c r="O256" i="3"/>
  <c r="U169" i="3"/>
  <c r="O169" i="3"/>
  <c r="U11" i="3"/>
  <c r="O11" i="3"/>
  <c r="U171" i="3"/>
  <c r="O171" i="3"/>
  <c r="U221" i="3"/>
  <c r="O221" i="3"/>
  <c r="U37" i="3"/>
  <c r="O37" i="3"/>
  <c r="U214" i="3"/>
  <c r="O214" i="3"/>
  <c r="U185" i="3"/>
  <c r="O185" i="3"/>
  <c r="U33" i="3"/>
  <c r="O33" i="3"/>
  <c r="U194" i="3"/>
  <c r="O194" i="3"/>
  <c r="U50" i="3"/>
  <c r="O50" i="3"/>
  <c r="U107" i="3"/>
  <c r="O107" i="3"/>
  <c r="U5" i="3"/>
  <c r="O5" i="3"/>
  <c r="U123" i="3"/>
  <c r="O123" i="3"/>
  <c r="U85" i="3"/>
  <c r="O85" i="3"/>
  <c r="U106" i="3"/>
  <c r="O106" i="3"/>
  <c r="U242" i="3"/>
  <c r="O242" i="3"/>
  <c r="U116" i="3"/>
  <c r="O116" i="3"/>
  <c r="U172" i="3"/>
  <c r="O172" i="3"/>
  <c r="U158" i="3"/>
  <c r="O158" i="3"/>
  <c r="U188" i="3"/>
  <c r="O188" i="3"/>
  <c r="U274" i="3"/>
  <c r="O274" i="3"/>
  <c r="U68" i="3"/>
  <c r="O68" i="3"/>
  <c r="U145" i="3"/>
  <c r="O145" i="3"/>
  <c r="U88" i="3"/>
  <c r="O88" i="3"/>
  <c r="U175" i="3"/>
  <c r="O175" i="3"/>
  <c r="U248" i="3"/>
  <c r="O248" i="3"/>
  <c r="U96" i="3"/>
  <c r="O96" i="3"/>
  <c r="U225" i="3"/>
  <c r="O225" i="3"/>
  <c r="U204" i="3"/>
  <c r="O204" i="3"/>
  <c r="U164" i="3"/>
  <c r="O164" i="3"/>
  <c r="U174" i="3"/>
  <c r="O174" i="3"/>
  <c r="U143" i="3"/>
  <c r="O143" i="3"/>
  <c r="O159" i="3"/>
  <c r="U159" i="3"/>
  <c r="U69" i="3"/>
  <c r="O69" i="3"/>
  <c r="O155" i="3"/>
  <c r="U155" i="3"/>
  <c r="U77" i="3"/>
  <c r="O77" i="3"/>
  <c r="U189" i="3"/>
  <c r="O189" i="3"/>
  <c r="L25" i="1"/>
  <c r="M23" i="1"/>
  <c r="U262" i="3"/>
  <c r="O262" i="3"/>
  <c r="U243" i="3"/>
  <c r="O243" i="3"/>
  <c r="U61" i="3"/>
  <c r="O61" i="3"/>
  <c r="U147" i="3"/>
  <c r="O147" i="3"/>
  <c r="O206" i="3"/>
  <c r="U206" i="3"/>
  <c r="U129" i="3"/>
  <c r="O129" i="3"/>
  <c r="U140" i="3"/>
  <c r="O140" i="3"/>
  <c r="U218" i="3"/>
  <c r="O218" i="3"/>
  <c r="U183" i="3"/>
  <c r="O183" i="3"/>
  <c r="U245" i="3"/>
  <c r="O245" i="3"/>
  <c r="U22" i="3"/>
  <c r="O22" i="3"/>
  <c r="U241" i="3"/>
  <c r="O241" i="3"/>
  <c r="U31" i="3"/>
  <c r="O31" i="3"/>
  <c r="U60" i="3"/>
  <c r="O60" i="3"/>
  <c r="U161" i="3"/>
  <c r="O161" i="3"/>
  <c r="U62" i="3"/>
  <c r="O62" i="3"/>
  <c r="U211" i="3"/>
  <c r="O211" i="3"/>
  <c r="U130" i="3"/>
  <c r="O130" i="3"/>
  <c r="U122" i="3"/>
  <c r="O122" i="3"/>
  <c r="U128" i="3"/>
  <c r="O128" i="3"/>
  <c r="O244" i="3"/>
  <c r="U244" i="3"/>
  <c r="U35" i="3"/>
  <c r="O35" i="3"/>
  <c r="U23" i="3"/>
  <c r="O23" i="3"/>
  <c r="U142" i="3"/>
  <c r="O142" i="3"/>
  <c r="U15" i="3"/>
  <c r="O15" i="3"/>
  <c r="U182" i="3"/>
  <c r="O182" i="3"/>
  <c r="U117" i="3"/>
  <c r="O117" i="3"/>
  <c r="U134" i="3"/>
  <c r="O134" i="3"/>
  <c r="O63" i="3"/>
  <c r="U63" i="3"/>
  <c r="U141" i="3"/>
  <c r="O141" i="3"/>
  <c r="U193" i="3"/>
  <c r="O193" i="3"/>
  <c r="U210" i="3"/>
  <c r="O210" i="3"/>
  <c r="U251" i="3"/>
  <c r="O251" i="3"/>
  <c r="O260" i="3"/>
  <c r="U260" i="3"/>
  <c r="U55" i="3"/>
  <c r="O55" i="3"/>
  <c r="U178" i="3"/>
  <c r="O178" i="3"/>
  <c r="U14" i="3"/>
  <c r="O14" i="3"/>
  <c r="U86" i="3"/>
  <c r="O86" i="3"/>
  <c r="U49" i="3"/>
  <c r="O49" i="3"/>
  <c r="U264" i="3"/>
  <c r="O264" i="3"/>
  <c r="U198" i="3"/>
  <c r="O198" i="3"/>
  <c r="U73" i="3"/>
  <c r="O73" i="3"/>
  <c r="U47" i="3"/>
  <c r="O47" i="3"/>
  <c r="U267" i="3"/>
  <c r="O267" i="3"/>
  <c r="U95" i="3"/>
  <c r="O95" i="3"/>
  <c r="U181" i="3"/>
  <c r="O181" i="3"/>
  <c r="U48" i="3"/>
  <c r="O48" i="3"/>
  <c r="U133" i="3"/>
  <c r="O133" i="3"/>
  <c r="U249" i="3"/>
  <c r="O249" i="3"/>
  <c r="U72" i="3"/>
  <c r="O72" i="3"/>
  <c r="U52" i="3"/>
  <c r="O52" i="3"/>
  <c r="U98" i="3"/>
  <c r="O98" i="3"/>
  <c r="U103" i="3"/>
  <c r="O103" i="3"/>
  <c r="U222" i="3"/>
  <c r="O222" i="3"/>
  <c r="U144" i="3"/>
  <c r="O144" i="3"/>
  <c r="U191" i="3"/>
  <c r="O191" i="3"/>
  <c r="U246" i="3"/>
  <c r="O246" i="3"/>
  <c r="U57" i="3"/>
  <c r="O57" i="3"/>
  <c r="U121" i="3"/>
  <c r="O121" i="3"/>
  <c r="U10" i="3"/>
  <c r="O10" i="3"/>
  <c r="U217" i="3"/>
  <c r="O217" i="3"/>
  <c r="U102" i="3"/>
  <c r="O102" i="3"/>
  <c r="U24" i="3"/>
  <c r="O24" i="3"/>
  <c r="U20" i="3"/>
  <c r="O20" i="3"/>
  <c r="U12" i="3"/>
  <c r="O12" i="3"/>
  <c r="U93" i="3"/>
  <c r="O93" i="3"/>
  <c r="U275" i="3"/>
  <c r="O275" i="3"/>
  <c r="U126" i="3"/>
  <c r="O126" i="3"/>
  <c r="U201" i="3"/>
  <c r="O201" i="3"/>
  <c r="U252" i="3"/>
  <c r="O252" i="3"/>
  <c r="U152" i="3"/>
  <c r="O152" i="3"/>
  <c r="U157" i="3"/>
  <c r="O157" i="3"/>
  <c r="U45" i="3"/>
  <c r="O45" i="3"/>
  <c r="O276" i="3"/>
  <c r="U276" i="3"/>
  <c r="U17" i="3"/>
  <c r="O17" i="3"/>
  <c r="U6" i="3"/>
  <c r="O6" i="3"/>
  <c r="U119" i="3"/>
  <c r="O119" i="3"/>
  <c r="U53" i="3"/>
  <c r="O53" i="3"/>
  <c r="U9" i="3"/>
  <c r="O9" i="3"/>
  <c r="U186" i="3"/>
  <c r="O186" i="3"/>
  <c r="U196" i="3"/>
  <c r="O196" i="3"/>
  <c r="U91" i="3"/>
  <c r="O91" i="3"/>
  <c r="U179" i="3"/>
  <c r="O179" i="3"/>
  <c r="U8" i="3"/>
  <c r="O8" i="3"/>
  <c r="U124" i="3"/>
  <c r="O124" i="3"/>
  <c r="U207" i="3"/>
  <c r="O207" i="3"/>
  <c r="U108" i="3"/>
  <c r="O108" i="3"/>
  <c r="U4" i="3"/>
  <c r="O4" i="3"/>
  <c r="U36" i="3"/>
  <c r="O36" i="3"/>
  <c r="U101" i="3"/>
  <c r="O101" i="3"/>
  <c r="U18" i="3"/>
  <c r="O18" i="3"/>
  <c r="U74" i="3"/>
  <c r="O74" i="3"/>
  <c r="U66" i="3"/>
  <c r="O66" i="3"/>
  <c r="U89" i="3"/>
  <c r="O89" i="3"/>
  <c r="O71" i="3"/>
  <c r="U71" i="3"/>
  <c r="U177" i="3"/>
  <c r="O177" i="3"/>
  <c r="U212" i="3"/>
  <c r="O212" i="3"/>
  <c r="U229" i="3"/>
  <c r="O229" i="3"/>
  <c r="U237" i="3"/>
  <c r="O237" i="3"/>
  <c r="U268" i="3"/>
  <c r="O268" i="3"/>
  <c r="U30" i="3"/>
  <c r="O30" i="3"/>
  <c r="U127" i="3"/>
  <c r="O127" i="3"/>
  <c r="U195" i="3"/>
  <c r="O195" i="3"/>
  <c r="U187" i="3"/>
  <c r="O187" i="3"/>
  <c r="U167" i="3"/>
  <c r="O167" i="3"/>
  <c r="U228" i="3"/>
  <c r="O228" i="3"/>
  <c r="M19" i="1" l="1"/>
  <c r="N15" i="1"/>
  <c r="M18" i="1"/>
  <c r="N23" i="1"/>
  <c r="M25" i="1"/>
  <c r="O23" i="1" l="1"/>
  <c r="O25" i="1" s="1"/>
  <c r="N25" i="1"/>
  <c r="O15" i="1"/>
  <c r="N19" i="1"/>
  <c r="N18" i="1"/>
  <c r="O18" i="1" l="1"/>
  <c r="O19" i="1"/>
</calcChain>
</file>

<file path=xl/comments1.xml><?xml version="1.0" encoding="utf-8"?>
<comments xmlns="http://schemas.openxmlformats.org/spreadsheetml/2006/main">
  <authors>
    <author>Ankit, Aayush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Ankit, Aayush:</t>
        </r>
        <r>
          <rPr>
            <sz val="9"/>
            <color indexed="81"/>
            <rFont val="Tahoma"/>
            <family val="2"/>
          </rPr>
          <t xml:space="preserve">
The number of ADCs that can be accomodated within 5% area overhead of the GPU RF.
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Ankit, Aayush:</t>
        </r>
        <r>
          <rPr>
            <sz val="9"/>
            <color indexed="81"/>
            <rFont val="Tahoma"/>
            <family val="2"/>
          </rPr>
          <t xml:space="preserve">
A wave does doT-product width of columns for one wave (32 wide), on 16-bit ops. 
num_time_steps (1-bit dac) * num_cols
num_cols = wave-size*Bw (16-bit wt and input here)
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Ankit, Aayush:</t>
        </r>
        <r>
          <rPr>
            <sz val="9"/>
            <color indexed="81"/>
            <rFont val="Tahoma"/>
            <family val="2"/>
          </rPr>
          <t xml:space="preserve">
cycle latency = 1 pass of input from DAC.
Latency = number of conversions * conversion time/#ADCs
</t>
        </r>
      </text>
    </comment>
  </commentList>
</comments>
</file>

<file path=xl/comments2.xml><?xml version="1.0" encoding="utf-8"?>
<comments xmlns="http://schemas.openxmlformats.org/spreadsheetml/2006/main">
  <authors>
    <author>Ankit, Aayush</author>
  </authors>
  <commentList>
    <comment ref="C29" authorId="0" shapeId="0">
      <text>
        <r>
          <rPr>
            <b/>
            <sz val="9"/>
            <color indexed="81"/>
            <rFont val="Tahoma"/>
            <family val="2"/>
          </rPr>
          <t>Ankit, Aayush:</t>
        </r>
        <r>
          <rPr>
            <sz val="9"/>
            <color indexed="81"/>
            <rFont val="Tahoma"/>
            <family val="2"/>
          </rPr>
          <t xml:space="preserve">
dot-product width
</t>
        </r>
      </text>
    </comment>
    <comment ref="D29" authorId="0" shapeId="0">
      <text>
        <r>
          <rPr>
            <b/>
            <sz val="9"/>
            <color indexed="81"/>
            <rFont val="Tahoma"/>
            <charset val="1"/>
          </rPr>
          <t>Ankit, Aayush:</t>
        </r>
        <r>
          <rPr>
            <sz val="9"/>
            <color indexed="81"/>
            <rFont val="Tahoma"/>
            <charset val="1"/>
          </rPr>
          <t xml:space="preserve">
Assuming a DAC for driving 64-cols
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Ankit, Aayush:</t>
        </r>
        <r>
          <rPr>
            <sz val="9"/>
            <color indexed="81"/>
            <rFont val="Tahoma"/>
            <family val="2"/>
          </rPr>
          <t xml:space="preserve">
dot-product width
</t>
        </r>
      </text>
    </comment>
    <comment ref="C47" authorId="0" shapeId="0">
      <text>
        <r>
          <rPr>
            <b/>
            <sz val="9"/>
            <color indexed="81"/>
            <rFont val="Tahoma"/>
            <charset val="1"/>
          </rPr>
          <t>Ankit, Aayush:</t>
        </r>
        <r>
          <rPr>
            <sz val="9"/>
            <color indexed="81"/>
            <rFont val="Tahoma"/>
            <charset val="1"/>
          </rPr>
          <t xml:space="preserve">
Assuming a DAC for driving 64-cols
</t>
        </r>
      </text>
    </comment>
    <comment ref="I47" authorId="0" shapeId="0">
      <text>
        <r>
          <rPr>
            <b/>
            <sz val="9"/>
            <color indexed="81"/>
            <rFont val="Tahoma"/>
            <family val="2"/>
          </rPr>
          <t>Ankit, Aayush:</t>
        </r>
        <r>
          <rPr>
            <sz val="9"/>
            <color indexed="81"/>
            <rFont val="Tahoma"/>
            <family val="2"/>
          </rPr>
          <t xml:space="preserve">
Lesser number of columns to do ADC conversion for, faster will be ADC step for the wave
</t>
        </r>
      </text>
    </comment>
  </commentList>
</comments>
</file>

<file path=xl/sharedStrings.xml><?xml version="1.0" encoding="utf-8"?>
<sst xmlns="http://schemas.openxmlformats.org/spreadsheetml/2006/main" count="163" uniqueCount="116">
  <si>
    <t>1-bitcell current (uA)</t>
  </si>
  <si>
    <t>Worst case</t>
  </si>
  <si>
    <t>Rows</t>
  </si>
  <si>
    <t>ADC Resolution</t>
  </si>
  <si>
    <t>Frequency</t>
  </si>
  <si>
    <t>Total Current (uA)</t>
  </si>
  <si>
    <t xml:space="preserve">Tech Node </t>
  </si>
  <si>
    <t>ADC energy</t>
  </si>
  <si>
    <t>Row Decoder</t>
  </si>
  <si>
    <t>Leakage scaling</t>
  </si>
  <si>
    <t>Digital SnA</t>
  </si>
  <si>
    <t>MVM energy (pJ)/per Col</t>
  </si>
  <si>
    <t>Net MVM Energy</t>
  </si>
  <si>
    <t>ADC Energy (pJ)</t>
  </si>
  <si>
    <t>Row-Decoder Energy (pJ)</t>
  </si>
  <si>
    <t>Analog SRAM</t>
  </si>
  <si>
    <t>Digital</t>
  </si>
  <si>
    <t>32-bit FxP MAC (pJ)</t>
  </si>
  <si>
    <t>32-bit Memory Access (pJ)</t>
  </si>
  <si>
    <t xml:space="preserve">Fused MAC GPU </t>
  </si>
  <si>
    <t>Tensor Core Access</t>
  </si>
  <si>
    <t>ALU</t>
  </si>
  <si>
    <t>Access (FMA)</t>
  </si>
  <si>
    <t>Access (Tensor)</t>
  </si>
  <si>
    <t>Total (FMA)</t>
  </si>
  <si>
    <t>Total (Tensor)</t>
  </si>
  <si>
    <t>Net VecAdd Energy</t>
  </si>
  <si>
    <t>Number of Rows</t>
  </si>
  <si>
    <t>Vec Add ALU</t>
  </si>
  <si>
    <t>Voltage (V)</t>
  </si>
  <si>
    <t>Comment</t>
  </si>
  <si>
    <t>Leakage scaling factor</t>
  </si>
  <si>
    <t>Num rows active</t>
  </si>
  <si>
    <t>Frequency (Hz)</t>
  </si>
  <si>
    <t>1-bitcell current (A)</t>
  </si>
  <si>
    <t>Assumed 20% of energy going to static energy</t>
  </si>
  <si>
    <t>SRAM operation frequency</t>
  </si>
  <si>
    <t>Tech Node (nm)</t>
  </si>
  <si>
    <t>Analog SRAM-Technology constants</t>
  </si>
  <si>
    <t>Digital-Technology constants</t>
  </si>
  <si>
    <t>Num DAC bits</t>
  </si>
  <si>
    <t>MVM energy per Col (pJ)</t>
  </si>
  <si>
    <t>DAC energy per conversion (pJ)</t>
  </si>
  <si>
    <t>Fused MAC GPU (#operand access)</t>
  </si>
  <si>
    <t>Tensor Core Access (#operand access)</t>
  </si>
  <si>
    <t>8T SRAM cell area (um2)</t>
  </si>
  <si>
    <t>185F^2 per cell</t>
  </si>
  <si>
    <t>10% area overhead cap (um2)</t>
  </si>
  <si>
    <t>5% area overhead cap (um2)</t>
  </si>
  <si>
    <t>bits</t>
  </si>
  <si>
    <t>area</t>
  </si>
  <si>
    <t>energy</t>
  </si>
  <si>
    <t>freq</t>
  </si>
  <si>
    <t>shId</t>
  </si>
  <si>
    <t>rowId</t>
  </si>
  <si>
    <t>20% area overhead (um2)</t>
  </si>
  <si>
    <t>Total RF Area - 128KB (um2)</t>
  </si>
  <si>
    <t>GPU RF Bank Area - 32KB (um2)</t>
  </si>
  <si>
    <t xml:space="preserve"> Ref: https://homes.cs.washington.edu/~wysem/publications/quals-gpgpu-vrf.pdf</t>
  </si>
  <si>
    <t>AMD Navi has 16KB per bank</t>
  </si>
  <si>
    <t>num_adc_over0.05</t>
  </si>
  <si>
    <t>num_adc_over0.10</t>
  </si>
  <si>
    <t>num_adc_over0.20</t>
  </si>
  <si>
    <t>Mmeory array efficiency</t>
  </si>
  <si>
    <t>Number of ADCS</t>
  </si>
  <si>
    <t>dot-product width</t>
  </si>
  <si>
    <t>mvm energy per wave (pJ)</t>
  </si>
  <si>
    <t>adc energy per wave (pJ)</t>
  </si>
  <si>
    <t>Energy computation - 16 bit ops</t>
  </si>
  <si>
    <t>energy/row (pJ)</t>
  </si>
  <si>
    <t>cycle latency (ns)</t>
  </si>
  <si>
    <t>mvm latency (ns)</t>
  </si>
  <si>
    <t>latency/row (ns)</t>
  </si>
  <si>
    <t>Raw data extracted</t>
  </si>
  <si>
    <t>Latency computation - 16 bit ops (20% overhead)</t>
  </si>
  <si>
    <t>row-energy</t>
  </si>
  <si>
    <t>row-delay</t>
  </si>
  <si>
    <t>row-edp</t>
  </si>
  <si>
    <t>Variation in MVMU efficiency (E, E, EDP) with varying ADC resolution</t>
  </si>
  <si>
    <t>mvm-energy-fraction</t>
  </si>
  <si>
    <t>mvm energy percent</t>
  </si>
  <si>
    <t>DAC-bits</t>
  </si>
  <si>
    <t>mvm-energy</t>
  </si>
  <si>
    <t>dac-energy</t>
  </si>
  <si>
    <t>adc-energy</t>
  </si>
  <si>
    <t>sna-energy</t>
  </si>
  <si>
    <t>mvm-latency</t>
  </si>
  <si>
    <t>row-latency</t>
  </si>
  <si>
    <t>ADC-bits</t>
  </si>
  <si>
    <t>SnA energy (pJ) (similar to 32-bit int add)</t>
  </si>
  <si>
    <t>Ref: Input-Splitting of Large Neural Networks for Power-Efficient Accelerator with Resistive Crossbar Memory Array</t>
  </si>
  <si>
    <t>Fig. 11 and Tab. 1</t>
  </si>
  <si>
    <t>Num Wt bits</t>
  </si>
  <si>
    <t>Array energy per Cell (pJ)</t>
  </si>
  <si>
    <t>Individual componnets scaling with bit-resolution (DAC, Array, ADC)</t>
  </si>
  <si>
    <t>Num ADC bits</t>
  </si>
  <si>
    <t>ADC energy per conversion (pJ)</t>
  </si>
  <si>
    <t>Data from the best MVMU configs (1-b wt and 1-b DAC)</t>
  </si>
  <si>
    <t>num-steps</t>
  </si>
  <si>
    <t>dp width</t>
  </si>
  <si>
    <t>Num-DACs per wave</t>
  </si>
  <si>
    <t>Num-cols-per-wave</t>
  </si>
  <si>
    <t>(assumes 1-bt per cell)</t>
  </si>
  <si>
    <t>Variation in MVMU efficiency (E, E, EDP) with varying Wt-bits per cell for best MVMU config from above</t>
  </si>
  <si>
    <t>Variation in MVMU efficiency (E, E, EDP) with varying DAC bits (In-bits) for best MVMU config from above</t>
  </si>
  <si>
    <t>Wt-bits</t>
  </si>
  <si>
    <t>latency</t>
  </si>
  <si>
    <t>bankman-scaling (partial sum chunking)</t>
  </si>
  <si>
    <t>dp-width</t>
  </si>
  <si>
    <t>digital-fma</t>
  </si>
  <si>
    <t>digital-tensorcore</t>
  </si>
  <si>
    <t>Energy</t>
  </si>
  <si>
    <t>analog</t>
  </si>
  <si>
    <t>digital-tensor</t>
  </si>
  <si>
    <t>Latency</t>
  </si>
  <si>
    <t>Normalized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</si>
</sst>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5B89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11" fontId="0" fillId="2" borderId="0" xfId="0" applyNumberFormat="1" applyFill="1"/>
    <xf numFmtId="0" fontId="0" fillId="2" borderId="1" xfId="0" applyFill="1" applyBorder="1"/>
    <xf numFmtId="0" fontId="0" fillId="2" borderId="0" xfId="0" applyFill="1" applyBorder="1"/>
    <xf numFmtId="0" fontId="0" fillId="0" borderId="0" xfId="0" applyFill="1"/>
    <xf numFmtId="11" fontId="0" fillId="0" borderId="0" xfId="0" applyNumberFormat="1" applyFill="1"/>
    <xf numFmtId="0" fontId="0" fillId="3" borderId="0" xfId="0" applyFill="1" applyBorder="1"/>
    <xf numFmtId="0" fontId="0" fillId="3" borderId="2" xfId="0" applyFill="1" applyBorder="1"/>
    <xf numFmtId="11" fontId="0" fillId="3" borderId="2" xfId="0" applyNumberFormat="1" applyFill="1" applyBorder="1"/>
    <xf numFmtId="0" fontId="1" fillId="0" borderId="0" xfId="0" applyFont="1" applyFill="1" applyBorder="1" applyAlignment="1"/>
    <xf numFmtId="0" fontId="1" fillId="3" borderId="0" xfId="0" applyFont="1" applyFill="1" applyBorder="1"/>
    <xf numFmtId="0" fontId="0" fillId="0" borderId="0" xfId="0" applyAlignment="1">
      <alignment horizontal="center"/>
    </xf>
    <xf numFmtId="11" fontId="0" fillId="3" borderId="0" xfId="0" applyNumberFormat="1" applyFill="1" applyBorder="1"/>
    <xf numFmtId="0" fontId="0" fillId="3" borderId="0" xfId="0" applyFill="1"/>
    <xf numFmtId="0" fontId="1" fillId="0" borderId="0" xfId="0" applyFont="1"/>
    <xf numFmtId="2" fontId="0" fillId="3" borderId="0" xfId="0" applyNumberFormat="1" applyFill="1"/>
    <xf numFmtId="0" fontId="1" fillId="3" borderId="0" xfId="0" applyFont="1" applyFill="1"/>
    <xf numFmtId="0" fontId="1" fillId="3" borderId="2" xfId="0" applyFont="1" applyFill="1" applyBorder="1"/>
    <xf numFmtId="164" fontId="0" fillId="0" borderId="0" xfId="0" applyNumberFormat="1"/>
    <xf numFmtId="0" fontId="1" fillId="4" borderId="0" xfId="0" applyFont="1" applyFill="1"/>
    <xf numFmtId="0" fontId="0" fillId="4" borderId="0" xfId="0" applyFill="1"/>
    <xf numFmtId="11" fontId="1" fillId="0" borderId="0" xfId="0" applyNumberFormat="1" applyFont="1"/>
    <xf numFmtId="0" fontId="1" fillId="5" borderId="0" xfId="0" applyFont="1" applyFill="1"/>
    <xf numFmtId="0" fontId="0" fillId="5" borderId="0" xfId="0" applyFill="1"/>
    <xf numFmtId="11" fontId="1" fillId="6" borderId="0" xfId="0" applyNumberFormat="1" applyFont="1" applyFill="1"/>
    <xf numFmtId="11" fontId="0" fillId="6" borderId="0" xfId="0" applyNumberFormat="1" applyFill="1"/>
    <xf numFmtId="0" fontId="0" fillId="3" borderId="3" xfId="0" applyFill="1" applyBorder="1"/>
    <xf numFmtId="0" fontId="0" fillId="4" borderId="3" xfId="0" applyFill="1" applyBorder="1"/>
    <xf numFmtId="0" fontId="0" fillId="6" borderId="3" xfId="0" applyFill="1" applyBorder="1"/>
    <xf numFmtId="0" fontId="1" fillId="3" borderId="3" xfId="0" applyFont="1" applyFill="1" applyBorder="1"/>
    <xf numFmtId="164" fontId="0" fillId="3" borderId="3" xfId="0" applyNumberFormat="1" applyFill="1" applyBorder="1"/>
    <xf numFmtId="0" fontId="1" fillId="4" borderId="3" xfId="0" applyFont="1" applyFill="1" applyBorder="1"/>
    <xf numFmtId="11" fontId="0" fillId="4" borderId="3" xfId="0" applyNumberFormat="1" applyFill="1" applyBorder="1"/>
    <xf numFmtId="0" fontId="1" fillId="6" borderId="3" xfId="0" applyFont="1" applyFill="1" applyBorder="1"/>
    <xf numFmtId="11" fontId="0" fillId="6" borderId="3" xfId="0" applyNumberFormat="1" applyFill="1" applyBorder="1"/>
    <xf numFmtId="0" fontId="1" fillId="7" borderId="0" xfId="0" applyFont="1" applyFill="1"/>
    <xf numFmtId="0" fontId="0" fillId="7" borderId="0" xfId="0" applyFill="1"/>
    <xf numFmtId="11" fontId="1" fillId="4" borderId="0" xfId="0" applyNumberFormat="1" applyFont="1" applyFill="1"/>
    <xf numFmtId="11" fontId="0" fillId="4" borderId="0" xfId="0" applyNumberFormat="1" applyFill="1"/>
    <xf numFmtId="11" fontId="0" fillId="3" borderId="0" xfId="0" applyNumberFormat="1" applyFill="1"/>
    <xf numFmtId="0" fontId="0" fillId="8" borderId="0" xfId="0" applyFill="1"/>
    <xf numFmtId="11" fontId="0" fillId="8" borderId="0" xfId="0" applyNumberFormat="1" applyFill="1"/>
    <xf numFmtId="11" fontId="1" fillId="0" borderId="0" xfId="0" applyNumberFormat="1" applyFont="1" applyFill="1"/>
    <xf numFmtId="0" fontId="1" fillId="0" borderId="0" xfId="0" applyFont="1" applyFill="1"/>
    <xf numFmtId="1" fontId="1" fillId="3" borderId="0" xfId="0" applyNumberFormat="1" applyFont="1" applyFill="1"/>
    <xf numFmtId="0" fontId="1" fillId="9" borderId="0" xfId="0" applyFont="1" applyFill="1"/>
    <xf numFmtId="0" fontId="0" fillId="9" borderId="0" xfId="0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10" borderId="0" xfId="0" applyFont="1" applyFill="1"/>
    <xf numFmtId="0" fontId="0" fillId="10" borderId="0" xfId="0" applyFill="1"/>
    <xf numFmtId="0" fontId="1" fillId="2" borderId="0" xfId="0" applyFont="1" applyFill="1"/>
    <xf numFmtId="1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8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Analog SRAM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'preliminary-analysis'!$B$14:$G$14</c:f>
              <c:numCache>
                <c:formatCode>General</c:formatCode>
                <c:ptCount val="6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'preliminary-analysis'!$B$20:$G$20</c:f>
              <c:numCache>
                <c:formatCode>0.00</c:formatCode>
                <c:ptCount val="6"/>
                <c:pt idx="0">
                  <c:v>3603.2000000000003</c:v>
                </c:pt>
                <c:pt idx="1">
                  <c:v>905.6</c:v>
                </c:pt>
                <c:pt idx="2">
                  <c:v>231.20000000000002</c:v>
                </c:pt>
                <c:pt idx="3">
                  <c:v>62.6</c:v>
                </c:pt>
                <c:pt idx="4">
                  <c:v>20.45</c:v>
                </c:pt>
                <c:pt idx="5">
                  <c:v>9.9124999999999996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2-4E7D-9C8E-0246122BCEFD}"/>
            </c:ext>
          </c:extLst>
        </c:ser>
        <c:ser>
          <c:idx val="1"/>
          <c:order val="1"/>
          <c:tx>
            <c:v>Digital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'preliminary-analysis'!$B$14:$G$14</c:f>
              <c:numCache>
                <c:formatCode>General</c:formatCode>
                <c:ptCount val="6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'preliminary-analysis'!$B$21:$G$21</c:f>
              <c:numCache>
                <c:formatCode>General</c:formatCode>
                <c:ptCount val="6"/>
                <c:pt idx="0">
                  <c:v>2739.2</c:v>
                </c:pt>
                <c:pt idx="1">
                  <c:v>1164.8</c:v>
                </c:pt>
                <c:pt idx="2">
                  <c:v>531.20000000000005</c:v>
                </c:pt>
                <c:pt idx="3">
                  <c:v>252.8</c:v>
                </c:pt>
                <c:pt idx="4">
                  <c:v>123.2</c:v>
                </c:pt>
                <c:pt idx="5">
                  <c:v>60.8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2-4E7D-9C8E-0246122B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42016"/>
        <c:axId val="394537424"/>
      </c:scatterChart>
      <c:valAx>
        <c:axId val="3945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Bit-Precision of Operands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37424"/>
        <c:crosses val="autoZero"/>
        <c:crossBetween val="midCat"/>
        <c:majorUnit val="4"/>
      </c:valAx>
      <c:valAx>
        <c:axId val="394537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(pJ)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4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'mvmu-design-space-exploration'!$L$29</c:f>
              <c:strCache>
                <c:ptCount val="1"/>
                <c:pt idx="0">
                  <c:v>row-edp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'mvmu-design-space-exploration'!$A$30:$A$37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'mvmu-design-space-exploration'!$L$30:$L$37</c:f>
              <c:numCache>
                <c:formatCode>0.00E+00</c:formatCode>
                <c:ptCount val="8"/>
                <c:pt idx="0">
                  <c:v>38.875230782847964</c:v>
                </c:pt>
                <c:pt idx="1">
                  <c:v>117.36445457538639</c:v>
                </c:pt>
                <c:pt idx="2">
                  <c:v>249.8517620658744</c:v>
                </c:pt>
                <c:pt idx="3">
                  <c:v>431.49823503568859</c:v>
                </c:pt>
                <c:pt idx="4">
                  <c:v>1700.4507042453183</c:v>
                </c:pt>
                <c:pt idx="5">
                  <c:v>3796.9379332506355</c:v>
                </c:pt>
                <c:pt idx="6">
                  <c:v>15128.462310677496</c:v>
                </c:pt>
                <c:pt idx="7">
                  <c:v>26840.657777326804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7-4A44-AD45-B90F15E9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12416"/>
        <c:axId val="452412744"/>
      </c:scatterChart>
      <c:valAx>
        <c:axId val="4524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DAC 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12744"/>
        <c:crosses val="autoZero"/>
        <c:crossBetween val="midCat"/>
      </c:valAx>
      <c:valAx>
        <c:axId val="45241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1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Component-wise energy variation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'mvmu-design-space-exploration'!$C$47</c:f>
              <c:strCache>
                <c:ptCount val="1"/>
                <c:pt idx="0">
                  <c:v>dac-energy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'mvmu-design-space-exploration'!$A$48:$A$55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'mvmu-design-space-exploration'!$C$48:$C$55</c:f>
              <c:numCache>
                <c:formatCode>0.00E+00</c:formatCode>
                <c:ptCount val="8"/>
                <c:pt idx="0">
                  <c:v>131.072</c:v>
                </c:pt>
                <c:pt idx="1">
                  <c:v>131.072</c:v>
                </c:pt>
                <c:pt idx="2">
                  <c:v>131.072</c:v>
                </c:pt>
                <c:pt idx="3">
                  <c:v>131.072</c:v>
                </c:pt>
                <c:pt idx="4">
                  <c:v>131.072</c:v>
                </c:pt>
                <c:pt idx="5">
                  <c:v>131.072</c:v>
                </c:pt>
                <c:pt idx="6">
                  <c:v>131.072</c:v>
                </c:pt>
                <c:pt idx="7">
                  <c:v>131.072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1-4EE5-9F47-01DC5D35AD5A}"/>
            </c:ext>
          </c:extLst>
        </c:ser>
        <c:ser>
          <c:idx val="1"/>
          <c:order val="1"/>
          <c:tx>
            <c:strRef>
              <c:f>'mvmu-design-space-exploration'!$D$47</c:f>
              <c:strCache>
                <c:ptCount val="1"/>
                <c:pt idx="0">
                  <c:v>mvm-energy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'mvmu-design-space-exploration'!$A$48:$A$55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'mvmu-design-space-exploration'!$D$48:$D$55</c:f>
              <c:numCache>
                <c:formatCode>0.00E+00</c:formatCode>
                <c:ptCount val="8"/>
                <c:pt idx="0">
                  <c:v>4907.3356800000001</c:v>
                </c:pt>
                <c:pt idx="1">
                  <c:v>7361.0035200000002</c:v>
                </c:pt>
                <c:pt idx="2">
                  <c:v>11450.449919999999</c:v>
                </c:pt>
                <c:pt idx="3">
                  <c:v>18402.5088</c:v>
                </c:pt>
                <c:pt idx="4">
                  <c:v>30425.481216000004</c:v>
                </c:pt>
                <c:pt idx="5">
                  <c:v>51527.024639999996</c:v>
                </c:pt>
                <c:pt idx="6">
                  <c:v>89033.090194285702</c:v>
                </c:pt>
                <c:pt idx="7">
                  <c:v>156421.3248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1-4EE5-9F47-01DC5D35AD5A}"/>
            </c:ext>
          </c:extLst>
        </c:ser>
        <c:ser>
          <c:idx val="2"/>
          <c:order val="2"/>
          <c:tx>
            <c:strRef>
              <c:f>'mvmu-design-space-exploration'!$E$47</c:f>
              <c:strCache>
                <c:ptCount val="1"/>
                <c:pt idx="0">
                  <c:v>adc-energy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'mvmu-design-space-exploration'!$A$48:$A$55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'mvmu-design-space-exploration'!$E$48:$E$55</c:f>
              <c:numCache>
                <c:formatCode>0.00E+00</c:formatCode>
                <c:ptCount val="8"/>
                <c:pt idx="0">
                  <c:v>9505.8835253814887</c:v>
                </c:pt>
                <c:pt idx="1">
                  <c:v>19011.767050762977</c:v>
                </c:pt>
                <c:pt idx="2">
                  <c:v>25349.022734350634</c:v>
                </c:pt>
                <c:pt idx="3">
                  <c:v>38023.534101525955</c:v>
                </c:pt>
                <c:pt idx="4">
                  <c:v>60837.65456244153</c:v>
                </c:pt>
                <c:pt idx="5">
                  <c:v>101396.09093740254</c:v>
                </c:pt>
                <c:pt idx="6">
                  <c:v>173821.87017840435</c:v>
                </c:pt>
                <c:pt idx="7">
                  <c:v>304188.27281220764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1-4EE5-9F47-01DC5D35AD5A}"/>
            </c:ext>
          </c:extLst>
        </c:ser>
        <c:ser>
          <c:idx val="3"/>
          <c:order val="3"/>
          <c:tx>
            <c:strRef>
              <c:f>'mvmu-design-space-exploration'!$F$47</c:f>
              <c:strCache>
                <c:ptCount val="1"/>
                <c:pt idx="0">
                  <c:v>sna-energy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'mvmu-design-space-exploration'!$A$48:$A$55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'mvmu-design-space-exploration'!$F$48:$F$55</c:f>
              <c:numCache>
                <c:formatCode>0.00E+00</c:formatCode>
                <c:ptCount val="8"/>
                <c:pt idx="0">
                  <c:v>819.2</c:v>
                </c:pt>
                <c:pt idx="1">
                  <c:v>1638.4</c:v>
                </c:pt>
                <c:pt idx="2">
                  <c:v>2184.5333333333333</c:v>
                </c:pt>
                <c:pt idx="3">
                  <c:v>3276.8</c:v>
                </c:pt>
                <c:pt idx="4">
                  <c:v>5242.880000000001</c:v>
                </c:pt>
                <c:pt idx="5">
                  <c:v>8738.1333333333332</c:v>
                </c:pt>
                <c:pt idx="6">
                  <c:v>14979.657142857142</c:v>
                </c:pt>
                <c:pt idx="7">
                  <c:v>26214.400000000001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81-4EE5-9F47-01DC5D35A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48608"/>
        <c:axId val="516647952"/>
      </c:lineChart>
      <c:catAx>
        <c:axId val="51664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Wt-bits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47952"/>
        <c:crosses val="autoZero"/>
        <c:auto val="1"/>
        <c:lblAlgn val="ctr"/>
        <c:lblOffset val="100"/>
        <c:noMultiLvlLbl val="0"/>
      </c:catAx>
      <c:valAx>
        <c:axId val="516647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'mvmu-design-space-exploration'!$G$47</c:f>
              <c:strCache>
                <c:ptCount val="1"/>
                <c:pt idx="0">
                  <c:v>row-energy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'mvmu-design-space-exploration'!$A$48:$A$55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'mvmu-design-space-exploration'!$G$48:$G$55</c:f>
              <c:numCache>
                <c:formatCode>0.00E+00</c:formatCode>
                <c:ptCount val="8"/>
                <c:pt idx="0">
                  <c:v>60.013637521021444</c:v>
                </c:pt>
                <c:pt idx="1">
                  <c:v>109.93063504204289</c:v>
                </c:pt>
                <c:pt idx="2">
                  <c:v>152.79327338939049</c:v>
                </c:pt>
                <c:pt idx="3">
                  <c:v>233.72623008408578</c:v>
                </c:pt>
                <c:pt idx="4">
                  <c:v>377.48862413453725</c:v>
                </c:pt>
                <c:pt idx="5">
                  <c:v>632.00125355756199</c:v>
                </c:pt>
                <c:pt idx="6">
                  <c:v>1085.8034746701062</c:v>
                </c:pt>
                <c:pt idx="7">
                  <c:v>1902.1682406726861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8-42D1-A2EE-18938DDAF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01792"/>
        <c:axId val="446499824"/>
      </c:scatterChart>
      <c:valAx>
        <c:axId val="44650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99824"/>
        <c:crosses val="autoZero"/>
        <c:crossBetween val="midCat"/>
      </c:valAx>
      <c:valAx>
        <c:axId val="4464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0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'mvmu-design-space-exploration'!$J$47</c:f>
              <c:strCache>
                <c:ptCount val="1"/>
                <c:pt idx="0">
                  <c:v>row-latency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'mvmu-design-space-exploration'!$A$48:$A$55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'mvmu-design-space-exploration'!$J$48:$J$55</c:f>
              <c:numCache>
                <c:formatCode>0.00E+00</c:formatCode>
                <c:ptCount val="8"/>
                <c:pt idx="0">
                  <c:v>0.64777327935222784</c:v>
                </c:pt>
                <c:pt idx="1">
                  <c:v>1.2955465587044557</c:v>
                </c:pt>
                <c:pt idx="2">
                  <c:v>1.7273954116059409</c:v>
                </c:pt>
                <c:pt idx="3">
                  <c:v>2.5910931174089114</c:v>
                </c:pt>
                <c:pt idx="4">
                  <c:v>4.1457489878542582</c:v>
                </c:pt>
                <c:pt idx="5">
                  <c:v>6.9095816464237636</c:v>
                </c:pt>
                <c:pt idx="6">
                  <c:v>11.844997108155024</c:v>
                </c:pt>
                <c:pt idx="7">
                  <c:v>20.728744939271291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4-495A-BB2C-4D77CACC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52600"/>
        <c:axId val="514947680"/>
      </c:scatterChart>
      <c:valAx>
        <c:axId val="51495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47680"/>
        <c:crosses val="autoZero"/>
        <c:crossBetween val="midCat"/>
      </c:valAx>
      <c:valAx>
        <c:axId val="5149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5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'mvmu-design-space-exploration'!$K$47</c:f>
              <c:strCache>
                <c:ptCount val="1"/>
                <c:pt idx="0">
                  <c:v>row-edp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'mvmu-design-space-exploration'!$A$48:$A$55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'mvmu-design-space-exploration'!$K$48:$K$55</c:f>
              <c:numCache>
                <c:formatCode>0.00E+00</c:formatCode>
                <c:ptCount val="8"/>
                <c:pt idx="0">
                  <c:v>38.875230782847964</c:v>
                </c:pt>
                <c:pt idx="1">
                  <c:v>142.42025592491413</c:v>
                </c:pt>
                <c:pt idx="2">
                  <c:v>263.93439937708524</c:v>
                </c:pt>
                <c:pt idx="3">
                  <c:v>605.60642612880633</c:v>
                </c:pt>
                <c:pt idx="4">
                  <c:v>1564.9730814322543</c:v>
                </c:pt>
                <c:pt idx="5">
                  <c:v>4366.8642620981418</c:v>
                </c:pt>
                <c:pt idx="6">
                  <c:v>12861.339017492084</c:v>
                </c:pt>
                <c:pt idx="7">
                  <c:v>39429.560292486516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7-465B-AE6A-3DAE27B6D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91624"/>
        <c:axId val="446490968"/>
      </c:scatterChart>
      <c:valAx>
        <c:axId val="44649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90968"/>
        <c:crosses val="autoZero"/>
        <c:crossBetween val="midCat"/>
      </c:valAx>
      <c:valAx>
        <c:axId val="44649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9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vs Dot-product 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'mvmu-scaling-trends'!$B$23</c:f>
              <c:strCache>
                <c:ptCount val="1"/>
                <c:pt idx="0">
                  <c:v>analog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'mvmu-scaling-trends'!$A$24:$A$30</c:f>
              <c:numCache>
                <c:formatCode>General</c:formatCode>
                <c:ptCount val="7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'mvmu-scaling-trends'!$B$24:$B$30</c:f>
              <c:numCache>
                <c:formatCode>0.00E+00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9-457A-99E9-262FE3285891}"/>
            </c:ext>
          </c:extLst>
        </c:ser>
        <c:ser>
          <c:idx val="1"/>
          <c:order val="1"/>
          <c:tx>
            <c:strRef>
              <c:f>'mvmu-scaling-trends'!$C$23</c:f>
              <c:strCache>
                <c:ptCount val="1"/>
                <c:pt idx="0">
                  <c:v>digital-fma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'mvmu-scaling-trends'!$A$24:$A$30</c:f>
              <c:numCache>
                <c:formatCode>General</c:formatCode>
                <c:ptCount val="7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'mvmu-scaling-trends'!$C$24:$C$30</c:f>
              <c:numCache>
                <c:formatCode>0.00E+00</c:formatCode>
                <c:ptCount val="7"/>
                <c:pt idx="0">
                  <c:v>3.5192001139077984</c:v>
                </c:pt>
                <c:pt idx="1">
                  <c:v>2.3313654392917389</c:v>
                </c:pt>
                <c:pt idx="2">
                  <c:v>1.6426906354551154</c:v>
                </c:pt>
                <c:pt idx="3">
                  <c:v>1.2682296750333191</c:v>
                </c:pt>
                <c:pt idx="4">
                  <c:v>0.64363978918122611</c:v>
                </c:pt>
                <c:pt idx="5">
                  <c:v>0.43237909811835645</c:v>
                </c:pt>
                <c:pt idx="6">
                  <c:v>0.21703680988537496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9-457A-99E9-262FE3285891}"/>
            </c:ext>
          </c:extLst>
        </c:ser>
        <c:ser>
          <c:idx val="2"/>
          <c:order val="2"/>
          <c:tx>
            <c:strRef>
              <c:f>'mvmu-scaling-trends'!$D$23</c:f>
              <c:strCache>
                <c:ptCount val="1"/>
                <c:pt idx="0">
                  <c:v>digital-tensor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'mvmu-scaling-trends'!$A$24:$A$30</c:f>
              <c:numCache>
                <c:formatCode>General</c:formatCode>
                <c:ptCount val="7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'mvmu-scaling-trends'!$D$24:$D$30</c:f>
              <c:numCache>
                <c:formatCode>0.00E+00</c:formatCode>
                <c:ptCount val="7"/>
                <c:pt idx="0">
                  <c:v>2.1861697677306018</c:v>
                </c:pt>
                <c:pt idx="1">
                  <c:v>1.4482724698630498</c:v>
                </c:pt>
                <c:pt idx="2">
                  <c:v>1.0204593341463595</c:v>
                </c:pt>
                <c:pt idx="3">
                  <c:v>0.78783964661160721</c:v>
                </c:pt>
                <c:pt idx="4">
                  <c:v>0.39983683873379194</c:v>
                </c:pt>
                <c:pt idx="5">
                  <c:v>0.26859913670988811</c:v>
                </c:pt>
                <c:pt idx="6">
                  <c:v>0.13482589705000564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69-457A-99E9-262FE3285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327808"/>
        <c:axId val="453326496"/>
      </c:barChart>
      <c:catAx>
        <c:axId val="45332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Dot-product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26496"/>
        <c:crosses val="autoZero"/>
        <c:auto val="1"/>
        <c:lblAlgn val="ctr"/>
        <c:lblOffset val="100"/>
        <c:noMultiLvlLbl val="0"/>
      </c:catAx>
      <c:valAx>
        <c:axId val="4533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vs Dot-product width*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'mvmu-scaling-trends'!$F$22:$F$23</c:f>
              <c:strCache>
                <c:ptCount val="2"/>
                <c:pt idx="0">
                  <c:v>Latency</c:v>
                </c:pt>
                <c:pt idx="1">
                  <c:v>analog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'mvmu-scaling-trends'!$A$24:$A$30</c:f>
              <c:numCache>
                <c:formatCode>General</c:formatCode>
                <c:ptCount val="7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'mvmu-scaling-trends'!$F$24:$F$30</c:f>
              <c:numCache>
                <c:formatCode>0.00E+00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E-4F59-B5D6-007565E791A3}"/>
            </c:ext>
          </c:extLst>
        </c:ser>
        <c:ser>
          <c:idx val="1"/>
          <c:order val="1"/>
          <c:tx>
            <c:strRef>
              <c:f>'mvmu-scaling-trends'!$G$22:$G$23</c:f>
              <c:strCache>
                <c:ptCount val="2"/>
                <c:pt idx="0">
                  <c:v>Latency</c:v>
                </c:pt>
                <c:pt idx="1">
                  <c:v>digital-fma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'mvmu-scaling-trends'!$A$24:$A$30</c:f>
              <c:numCache>
                <c:formatCode>General</c:formatCode>
                <c:ptCount val="7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'mvmu-scaling-trends'!$G$24:$G$30</c:f>
              <c:numCache>
                <c:formatCode>0.00E+00</c:formatCode>
                <c:ptCount val="7"/>
                <c:pt idx="0">
                  <c:v>3.0874999999999946</c:v>
                </c:pt>
                <c:pt idx="1">
                  <c:v>1.5437499999999973</c:v>
                </c:pt>
                <c:pt idx="2">
                  <c:v>1.029166666666665</c:v>
                </c:pt>
                <c:pt idx="3">
                  <c:v>0.77187499999999865</c:v>
                </c:pt>
                <c:pt idx="4">
                  <c:v>0.38593749999999932</c:v>
                </c:pt>
                <c:pt idx="5">
                  <c:v>0.25729166666666625</c:v>
                </c:pt>
                <c:pt idx="6">
                  <c:v>0.12864583333333313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E-4F59-B5D6-007565E791A3}"/>
            </c:ext>
          </c:extLst>
        </c:ser>
        <c:ser>
          <c:idx val="2"/>
          <c:order val="2"/>
          <c:tx>
            <c:strRef>
              <c:f>'mvmu-scaling-trends'!$H$22:$H$23</c:f>
              <c:strCache>
                <c:ptCount val="2"/>
                <c:pt idx="0">
                  <c:v>Latency</c:v>
                </c:pt>
                <c:pt idx="1">
                  <c:v>digital-tensor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'mvmu-scaling-trends'!$A$24:$A$30</c:f>
              <c:numCache>
                <c:formatCode>General</c:formatCode>
                <c:ptCount val="7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'mvmu-scaling-trends'!$H$24:$H$30</c:f>
              <c:numCache>
                <c:formatCode>0.00E+00</c:formatCode>
                <c:ptCount val="7"/>
                <c:pt idx="0">
                  <c:v>2.3156249999999958</c:v>
                </c:pt>
                <c:pt idx="1">
                  <c:v>1.1578124999999979</c:v>
                </c:pt>
                <c:pt idx="2">
                  <c:v>0.77187499999999876</c:v>
                </c:pt>
                <c:pt idx="3">
                  <c:v>0.57890624999999896</c:v>
                </c:pt>
                <c:pt idx="4">
                  <c:v>0.28945312499999948</c:v>
                </c:pt>
                <c:pt idx="5">
                  <c:v>0.19296874999999969</c:v>
                </c:pt>
                <c:pt idx="6">
                  <c:v>9.6484374999999845E-2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E-4F59-B5D6-007565E79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5872"/>
        <c:axId val="535936200"/>
      </c:barChart>
      <c:catAx>
        <c:axId val="53593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Dot-product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36200"/>
        <c:crosses val="autoZero"/>
        <c:auto val="1"/>
        <c:lblAlgn val="ctr"/>
        <c:lblOffset val="100"/>
        <c:noMultiLvlLbl val="0"/>
      </c:catAx>
      <c:valAx>
        <c:axId val="53593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5176953471574947E-2"/>
          <c:y val="0.14856481481481482"/>
          <c:w val="0.96964587543803948"/>
          <c:h val="0.20526829979585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'mvmu-scaling-trends'!$F$11</c:f>
              <c:strCache>
                <c:ptCount val="1"/>
                <c:pt idx="0">
                  <c:v>analog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'mvmu-scaling-trends'!$A$12:$A$18</c:f>
              <c:numCache>
                <c:formatCode>General</c:formatCode>
                <c:ptCount val="7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'mvmu-scaling-trends'!$F$12:$F$18</c:f>
              <c:numCache>
                <c:formatCode>0.00E+00</c:formatCode>
                <c:ptCount val="7"/>
                <c:pt idx="0">
                  <c:v>41.457489878542582</c:v>
                </c:pt>
                <c:pt idx="1">
                  <c:v>41.457489878542582</c:v>
                </c:pt>
                <c:pt idx="2">
                  <c:v>31.093117408906934</c:v>
                </c:pt>
                <c:pt idx="3">
                  <c:v>20.728744939271291</c:v>
                </c:pt>
                <c:pt idx="4">
                  <c:v>20.728744939271291</c:v>
                </c:pt>
                <c:pt idx="5">
                  <c:v>15.546558704453467</c:v>
                </c:pt>
                <c:pt idx="6">
                  <c:v>15.546558704453467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A-4C78-B501-5CA973F06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026640"/>
        <c:axId val="530026312"/>
      </c:barChart>
      <c:catAx>
        <c:axId val="53002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Dot-product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26312"/>
        <c:crosses val="autoZero"/>
        <c:auto val="1"/>
        <c:lblAlgn val="ctr"/>
        <c:lblOffset val="100"/>
        <c:noMultiLvlLbl val="0"/>
      </c:catAx>
      <c:valAx>
        <c:axId val="53002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2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'mvmu-scaling-trends'!$B$11</c:f>
              <c:strCache>
                <c:ptCount val="1"/>
                <c:pt idx="0">
                  <c:v>analog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'mvmu-scaling-trends'!$A$12:$A$18</c:f>
              <c:numCache>
                <c:formatCode>General</c:formatCode>
                <c:ptCount val="7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'mvmu-scaling-trends'!$B$12:$B$18</c:f>
              <c:numCache>
                <c:formatCode>0.00E+00</c:formatCode>
                <c:ptCount val="7"/>
                <c:pt idx="0">
                  <c:v>3840.8728013453724</c:v>
                </c:pt>
                <c:pt idx="1">
                  <c:v>2898.902028012039</c:v>
                </c:pt>
                <c:pt idx="2">
                  <c:v>2057.1128410090291</c:v>
                </c:pt>
                <c:pt idx="3">
                  <c:v>1332.2508006726862</c:v>
                </c:pt>
                <c:pt idx="4">
                  <c:v>1312.5353873393528</c:v>
                </c:pt>
                <c:pt idx="5">
                  <c:v>976.92048907594312</c:v>
                </c:pt>
                <c:pt idx="6">
                  <c:v>973.10682050451442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9-475A-84A6-C14E2F693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228712"/>
        <c:axId val="533226416"/>
      </c:barChart>
      <c:catAx>
        <c:axId val="533228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Dot-product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6416"/>
        <c:crosses val="autoZero"/>
        <c:auto val="1"/>
        <c:lblAlgn val="ctr"/>
        <c:lblOffset val="100"/>
        <c:noMultiLvlLbl val="0"/>
      </c:catAx>
      <c:valAx>
        <c:axId val="5332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energy per Cell (pJ)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'analog-mvmu-specs'!$A$27</c:f>
              <c:strCache>
                <c:ptCount val="1"/>
                <c:pt idx="0">
                  <c:v>Array energy per Cell (pJ)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'analog-mvmu-specs'!$B$26:$I$26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'analog-mvmu-specs'!$B$27:$I$27</c:f>
              <c:numCache>
                <c:formatCode>0.00E+00</c:formatCode>
                <c:ptCount val="8"/>
                <c:pt idx="0">
                  <c:v>2.3400000000000001E-3</c:v>
                </c:pt>
                <c:pt idx="1">
                  <c:v>7.0200000000000002E-3</c:v>
                </c:pt>
                <c:pt idx="2">
                  <c:v>1.6379999999999999E-2</c:v>
                </c:pt>
                <c:pt idx="3">
                  <c:v>3.5099999999999999E-2</c:v>
                </c:pt>
                <c:pt idx="4">
                  <c:v>7.2540000000000007E-2</c:v>
                </c:pt>
                <c:pt idx="5">
                  <c:v>0.14742</c:v>
                </c:pt>
                <c:pt idx="6">
                  <c:v>0.29718</c:v>
                </c:pt>
                <c:pt idx="7">
                  <c:v>0.59670000000000001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A-43BD-A5B0-677028B4A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90832"/>
        <c:axId val="487591160"/>
      </c:lineChart>
      <c:catAx>
        <c:axId val="48759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Array-Cell resolution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91160"/>
        <c:crosses val="autoZero"/>
        <c:auto val="1"/>
        <c:lblAlgn val="ctr"/>
        <c:lblOffset val="100"/>
        <c:noMultiLvlLbl val="0"/>
      </c:catAx>
      <c:valAx>
        <c:axId val="48759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9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DAC energy per conversion (pJ)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'analog-mvmu-specs'!$A$21</c:f>
              <c:strCache>
                <c:ptCount val="1"/>
                <c:pt idx="0">
                  <c:v>DAC energy per conversion (pJ)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'analog-mvmu-specs'!$B$20:$I$20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'analog-mvmu-specs'!$B$21:$I$21</c:f>
              <c:numCache>
                <c:formatCode>0.00E+00</c:formatCode>
                <c:ptCount val="8"/>
                <c:pt idx="0">
                  <c:v>4.0000000000000001E-3</c:v>
                </c:pt>
                <c:pt idx="1">
                  <c:v>5.3333333333333332E-3</c:v>
                </c:pt>
                <c:pt idx="2">
                  <c:v>8.0000000000000002E-3</c:v>
                </c:pt>
                <c:pt idx="3">
                  <c:v>1.2800000000000001E-2</c:v>
                </c:pt>
                <c:pt idx="4">
                  <c:v>2.1333333333333336E-2</c:v>
                </c:pt>
                <c:pt idx="5">
                  <c:v>3.6571428571428574E-2</c:v>
                </c:pt>
                <c:pt idx="6">
                  <c:v>6.4000000000000015E-2</c:v>
                </c:pt>
                <c:pt idx="7">
                  <c:v>0.11377777777777781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0-4B02-AF75-F0D3D2928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758160"/>
        <c:axId val="497165424"/>
      </c:lineChart>
      <c:catAx>
        <c:axId val="48775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DAC resolution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65424"/>
        <c:crosses val="autoZero"/>
        <c:auto val="1"/>
        <c:lblAlgn val="ctr"/>
        <c:lblOffset val="100"/>
        <c:noMultiLvlLbl val="0"/>
      </c:catAx>
      <c:valAx>
        <c:axId val="4971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5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'mvmu-design-space-exploration'!$E$2</c:f>
              <c:strCache>
                <c:ptCount val="1"/>
                <c:pt idx="0">
                  <c:v>row-edp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'mvmu-design-space-exploration'!$B$3:$B$20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xVal>
          <c:yVal>
            <c:numRef>
              <c:f>'mvmu-design-space-exploration'!$E$3:$E$20</c:f>
              <c:numCache>
                <c:formatCode>0.00E+00</c:formatCode>
                <c:ptCount val="18"/>
                <c:pt idx="0">
                  <c:v>5825585800</c:v>
                </c:pt>
                <c:pt idx="1">
                  <c:v>3548.3811839999998</c:v>
                </c:pt>
                <c:pt idx="2">
                  <c:v>260.24861479999998</c:v>
                </c:pt>
                <c:pt idx="3">
                  <c:v>206.1131815</c:v>
                </c:pt>
                <c:pt idx="4">
                  <c:v>890.9141333</c:v>
                </c:pt>
                <c:pt idx="5">
                  <c:v>36.470696369999999</c:v>
                </c:pt>
                <c:pt idx="6">
                  <c:v>159.91808</c:v>
                </c:pt>
                <c:pt idx="7">
                  <c:v>48.441141190000003</c:v>
                </c:pt>
                <c:pt idx="8">
                  <c:v>48.112534109999999</c:v>
                </c:pt>
                <c:pt idx="9">
                  <c:v>9.0337107250000006</c:v>
                </c:pt>
                <c:pt idx="10">
                  <c:v>13.54232</c:v>
                </c:pt>
                <c:pt idx="11">
                  <c:v>3.3465175</c:v>
                </c:pt>
                <c:pt idx="12">
                  <c:v>10.40015942</c:v>
                </c:pt>
                <c:pt idx="13">
                  <c:v>1.429118125</c:v>
                </c:pt>
                <c:pt idx="14">
                  <c:v>3.1133565000000001</c:v>
                </c:pt>
                <c:pt idx="15">
                  <c:v>14.056846009999999</c:v>
                </c:pt>
                <c:pt idx="16">
                  <c:v>1066057.0379999999</c:v>
                </c:pt>
                <c:pt idx="17">
                  <c:v>7037.1391569999996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A-47A5-A5D4-B49D276E3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27280"/>
        <c:axId val="601827608"/>
      </c:scatterChart>
      <c:valAx>
        <c:axId val="6018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27608"/>
        <c:crosses val="autoZero"/>
        <c:crossBetween val="midCat"/>
      </c:valAx>
      <c:valAx>
        <c:axId val="601827608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19197168912099"/>
          <c:y val="1.8658050336579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53937007874015"/>
          <c:y val="0.18327837125504526"/>
          <c:w val="0.82123840769903766"/>
          <c:h val="0.70354023038039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'mvmu-design-space-exploration'!$C$2</c:f>
              <c:strCache>
                <c:ptCount val="1"/>
                <c:pt idx="0">
                  <c:v>row-energy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'mvmu-design-space-exploration'!$B$3:$B$20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xVal>
          <c:yVal>
            <c:numRef>
              <c:f>'mvmu-design-space-exploration'!$C$3:$C$20</c:f>
              <c:numCache>
                <c:formatCode>0.00E+00</c:formatCode>
                <c:ptCount val="18"/>
                <c:pt idx="0">
                  <c:v>682685.83589999995</c:v>
                </c:pt>
                <c:pt idx="1">
                  <c:v>277.21728000000002</c:v>
                </c:pt>
                <c:pt idx="2">
                  <c:v>99.626422860000005</c:v>
                </c:pt>
                <c:pt idx="3">
                  <c:v>223.28927999999999</c:v>
                </c:pt>
                <c:pt idx="4">
                  <c:v>33.409280000000003</c:v>
                </c:pt>
                <c:pt idx="5">
                  <c:v>56.30163752</c:v>
                </c:pt>
                <c:pt idx="6">
                  <c:v>59.969279999999998</c:v>
                </c:pt>
                <c:pt idx="7">
                  <c:v>27.98821491</c:v>
                </c:pt>
                <c:pt idx="8">
                  <c:v>138.9917652</c:v>
                </c:pt>
                <c:pt idx="9">
                  <c:v>41.75581846</c:v>
                </c:pt>
                <c:pt idx="10">
                  <c:v>54.169280000000001</c:v>
                </c:pt>
                <c:pt idx="11">
                  <c:v>53.544280000000001</c:v>
                </c:pt>
                <c:pt idx="12">
                  <c:v>25.884841219999998</c:v>
                </c:pt>
                <c:pt idx="13">
                  <c:v>45.731780000000001</c:v>
                </c:pt>
                <c:pt idx="14">
                  <c:v>27.67428</c:v>
                </c:pt>
                <c:pt idx="15">
                  <c:v>28.78842062</c:v>
                </c:pt>
                <c:pt idx="16">
                  <c:v>97.03488059</c:v>
                </c:pt>
                <c:pt idx="17">
                  <c:v>224.18761549999999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A-4988-9E30-2882BC3F3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75544"/>
        <c:axId val="519975872"/>
      </c:scatterChart>
      <c:valAx>
        <c:axId val="51997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75872"/>
        <c:crosses val="autoZero"/>
        <c:crossBetween val="midCat"/>
      </c:valAx>
      <c:valAx>
        <c:axId val="519975872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7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'mvmu-design-space-exploration'!$F$2</c:f>
              <c:strCache>
                <c:ptCount val="1"/>
                <c:pt idx="0">
                  <c:v>mvm-energy-fraction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'mvmu-design-space-exploration'!$B$3:$B$20</c15:sqref>
                  </c15:fullRef>
                </c:ext>
              </c:extLst>
              <c:f>('mvmu-design-space-exploration'!$B$3:$B$6,'mvmu-design-space-exploration'!$B$8:$B$9,'mvmu-design-space-exploration'!$B$12:$B$14,'mvmu-design-space-exploration'!$B$16:$B$18)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'mvmu-design-space-exploration'!$F$3:$F$20</c15:sqref>
                  </c15:fullRef>
                </c:ext>
              </c:extLst>
              <c:f>('mvmu-design-space-exploration'!$F$3:$F$6,'mvmu-design-space-exploration'!$F$8:$F$9,'mvmu-design-space-exploration'!$F$12:$F$14,'mvmu-design-space-exploration'!$F$16:$F$18)</c:f>
              <c:numCache>
                <c:formatCode>General</c:formatCode>
                <c:ptCount val="12"/>
                <c:pt idx="0">
                  <c:v>2.80792115357401E-3</c:v>
                </c:pt>
                <c:pt idx="1">
                  <c:v>6.9148936170212698</c:v>
                </c:pt>
                <c:pt idx="2">
                  <c:v>19.241160577939599</c:v>
                </c:pt>
                <c:pt idx="3">
                  <c:v>8.5849531155279806</c:v>
                </c:pt>
                <c:pt idx="4">
                  <c:v>34.047464414943001</c:v>
                </c:pt>
                <c:pt idx="5">
                  <c:v>31.9651661650765</c:v>
                </c:pt>
                <c:pt idx="6">
                  <c:v>45.9080451689791</c:v>
                </c:pt>
                <c:pt idx="7">
                  <c:v>35.387732678004902</c:v>
                </c:pt>
                <c:pt idx="8">
                  <c:v>35.800798890189498</c:v>
                </c:pt>
                <c:pt idx="9">
                  <c:v>41.916758980297701</c:v>
                </c:pt>
                <c:pt idx="10">
                  <c:v>69.267493138032904</c:v>
                </c:pt>
                <c:pt idx="11">
                  <c:v>66.586771986210806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5-400C-B6DE-830475CA1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570232"/>
        <c:axId val="587564984"/>
      </c:barChart>
      <c:catAx>
        <c:axId val="58757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64984"/>
        <c:crosses val="autoZero"/>
        <c:auto val="1"/>
        <c:lblAlgn val="ctr"/>
        <c:lblOffset val="100"/>
        <c:noMultiLvlLbl val="0"/>
      </c:catAx>
      <c:valAx>
        <c:axId val="5875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7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</a:t>
            </a:r>
            <a:r>
              <a:rPr lang="en-US" baseline="0"/>
              <a:t>-wise energy variation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'mvmu-design-space-exploration'!$D$29</c:f>
              <c:strCache>
                <c:ptCount val="1"/>
                <c:pt idx="0">
                  <c:v>dac-energy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'mvmu-design-space-exploration'!$A$30:$A$37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'mvmu-design-space-exploration'!$D$30:$D$37</c:f>
              <c:numCache>
                <c:formatCode>0.00E+00</c:formatCode>
                <c:ptCount val="8"/>
                <c:pt idx="0">
                  <c:v>131.072</c:v>
                </c:pt>
                <c:pt idx="1">
                  <c:v>87.38133333333333</c:v>
                </c:pt>
                <c:pt idx="2">
                  <c:v>98.304000000000002</c:v>
                </c:pt>
                <c:pt idx="3">
                  <c:v>104.85760000000001</c:v>
                </c:pt>
                <c:pt idx="4">
                  <c:v>174.76266666666666</c:v>
                </c:pt>
                <c:pt idx="5">
                  <c:v>224.69485714285713</c:v>
                </c:pt>
                <c:pt idx="6">
                  <c:v>393.21600000000001</c:v>
                </c:pt>
                <c:pt idx="7">
                  <c:v>466.03377777777774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5-4DDF-B37D-B43BBF9BADC9}"/>
            </c:ext>
          </c:extLst>
        </c:ser>
        <c:ser>
          <c:idx val="1"/>
          <c:order val="1"/>
          <c:tx>
            <c:strRef>
              <c:f>'mvmu-design-space-exploration'!$E$29</c:f>
              <c:strCache>
                <c:ptCount val="1"/>
                <c:pt idx="0">
                  <c:v>mvm-energy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'mvmu-design-space-exploration'!$A$30:$A$37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'mvmu-design-space-exploration'!$E$30:$E$37</c:f>
              <c:numCache>
                <c:formatCode>0.00E+00</c:formatCode>
                <c:ptCount val="8"/>
                <c:pt idx="0">
                  <c:v>4907.3356800000001</c:v>
                </c:pt>
                <c:pt idx="1">
                  <c:v>2453.6678400000001</c:v>
                </c:pt>
                <c:pt idx="2">
                  <c:v>1840.2508800000001</c:v>
                </c:pt>
                <c:pt idx="3">
                  <c:v>1226.83392</c:v>
                </c:pt>
                <c:pt idx="4">
                  <c:v>1226.83392</c:v>
                </c:pt>
                <c:pt idx="5">
                  <c:v>920.12544000000003</c:v>
                </c:pt>
                <c:pt idx="6">
                  <c:v>920.12544000000003</c:v>
                </c:pt>
                <c:pt idx="7">
                  <c:v>613.41696000000002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5-4DDF-B37D-B43BBF9BADC9}"/>
            </c:ext>
          </c:extLst>
        </c:ser>
        <c:ser>
          <c:idx val="2"/>
          <c:order val="2"/>
          <c:tx>
            <c:strRef>
              <c:f>'mvmu-design-space-exploration'!$F$29</c:f>
              <c:strCache>
                <c:ptCount val="1"/>
                <c:pt idx="0">
                  <c:v>adc-energy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'mvmu-design-space-exploration'!$A$30:$A$37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'mvmu-design-space-exploration'!$F$30:$F$37</c:f>
              <c:numCache>
                <c:formatCode>0.00E+00</c:formatCode>
                <c:ptCount val="8"/>
                <c:pt idx="0">
                  <c:v>9505.8835253814887</c:v>
                </c:pt>
                <c:pt idx="1">
                  <c:v>19011.767050762977</c:v>
                </c:pt>
                <c:pt idx="2">
                  <c:v>28517.650576144464</c:v>
                </c:pt>
                <c:pt idx="3">
                  <c:v>38023.534101525955</c:v>
                </c:pt>
                <c:pt idx="4">
                  <c:v>76047.068203051909</c:v>
                </c:pt>
                <c:pt idx="5">
                  <c:v>114070.60230457786</c:v>
                </c:pt>
                <c:pt idx="6">
                  <c:v>228141.20460915571</c:v>
                </c:pt>
                <c:pt idx="7">
                  <c:v>304188.27281220764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5-4DDF-B37D-B43BBF9BADC9}"/>
            </c:ext>
          </c:extLst>
        </c:ser>
        <c:ser>
          <c:idx val="3"/>
          <c:order val="3"/>
          <c:tx>
            <c:strRef>
              <c:f>'mvmu-design-space-exploration'!$G$29</c:f>
              <c:strCache>
                <c:ptCount val="1"/>
                <c:pt idx="0">
                  <c:v>sna-energy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'mvmu-design-space-exploration'!$A$30:$A$37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'mvmu-design-space-exploration'!$G$30:$G$37</c:f>
              <c:numCache>
                <c:formatCode>0.00E+00</c:formatCode>
                <c:ptCount val="8"/>
                <c:pt idx="0">
                  <c:v>819.2</c:v>
                </c:pt>
                <c:pt idx="1">
                  <c:v>1638.4</c:v>
                </c:pt>
                <c:pt idx="2">
                  <c:v>2457.6000000000004</c:v>
                </c:pt>
                <c:pt idx="3">
                  <c:v>3276.8</c:v>
                </c:pt>
                <c:pt idx="4">
                  <c:v>6553.6</c:v>
                </c:pt>
                <c:pt idx="5">
                  <c:v>9830.4000000000015</c:v>
                </c:pt>
                <c:pt idx="6">
                  <c:v>19660.800000000003</c:v>
                </c:pt>
                <c:pt idx="7">
                  <c:v>26214.400000000001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F5-4DDF-B37D-B43BBF9BA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228504"/>
        <c:axId val="316228832"/>
      </c:lineChart>
      <c:catAx>
        <c:axId val="31622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DAC 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28832"/>
        <c:crosses val="autoZero"/>
        <c:auto val="1"/>
        <c:lblAlgn val="ctr"/>
        <c:lblOffset val="100"/>
        <c:noMultiLvlLbl val="0"/>
      </c:catAx>
      <c:valAx>
        <c:axId val="316228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'mvmu-design-space-exploration'!$H$29</c:f>
              <c:strCache>
                <c:ptCount val="1"/>
                <c:pt idx="0">
                  <c:v>row-energy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'mvmu-design-space-exploration'!$A$30:$A$37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'mvmu-design-space-exploration'!$H$30:$H$37</c:f>
              <c:numCache>
                <c:formatCode>0.00E+00</c:formatCode>
                <c:ptCount val="8"/>
                <c:pt idx="0">
                  <c:v>60.013637521021444</c:v>
                </c:pt>
                <c:pt idx="1">
                  <c:v>90.590688375376217</c:v>
                </c:pt>
                <c:pt idx="2">
                  <c:v>128.56955256306432</c:v>
                </c:pt>
                <c:pt idx="3">
                  <c:v>166.53135008408577</c:v>
                </c:pt>
                <c:pt idx="4">
                  <c:v>328.13384683483821</c:v>
                </c:pt>
                <c:pt idx="5">
                  <c:v>488.46024453797156</c:v>
                </c:pt>
                <c:pt idx="6">
                  <c:v>973.10682050451442</c:v>
                </c:pt>
                <c:pt idx="7">
                  <c:v>1294.8520451171307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E-4EF4-8474-E88D840F0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34504"/>
        <c:axId val="448935816"/>
      </c:scatterChart>
      <c:valAx>
        <c:axId val="44893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DAC</a:t>
                </a:r>
                <a:r>
                  <a:rPr lang="en-US" baseline="0"/>
                  <a:t> bits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5816"/>
        <c:crosses val="autoZero"/>
        <c:crossBetween val="midCat"/>
      </c:valAx>
      <c:valAx>
        <c:axId val="44893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'mvmu-design-space-exploration'!$K$29</c:f>
              <c:strCache>
                <c:ptCount val="1"/>
                <c:pt idx="0">
                  <c:v>row-latency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'mvmu-design-space-exploration'!$A$30:$A$37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'mvmu-design-space-exploration'!$K$30:$K$37</c:f>
              <c:numCache>
                <c:formatCode>0.00E+00</c:formatCode>
                <c:ptCount val="8"/>
                <c:pt idx="0">
                  <c:v>0.64777327935222784</c:v>
                </c:pt>
                <c:pt idx="1">
                  <c:v>1.2955465587044557</c:v>
                </c:pt>
                <c:pt idx="2">
                  <c:v>1.9433198380566834</c:v>
                </c:pt>
                <c:pt idx="3">
                  <c:v>2.5910931174089114</c:v>
                </c:pt>
                <c:pt idx="4">
                  <c:v>5.1821862348178227</c:v>
                </c:pt>
                <c:pt idx="5">
                  <c:v>7.7732793522267336</c:v>
                </c:pt>
                <c:pt idx="6">
                  <c:v>15.546558704453467</c:v>
                </c:pt>
                <c:pt idx="7">
                  <c:v>20.728744939271291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B-4B31-A32A-EF1FA8C8A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05544"/>
        <c:axId val="321005872"/>
      </c:scatterChart>
      <c:valAx>
        <c:axId val="32100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DAC 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05872"/>
        <c:crosses val="autoZero"/>
        <c:crossBetween val="midCat"/>
      </c:valAx>
      <c:valAx>
        <c:axId val="3210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0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604387</xdr:colOff>
      <xdr:row>4</xdr:row>
      <xdr:rowOff>1460</xdr:rowOff>
    </xdr:from>
    <xdr:to>
      <xdr:col>27</xdr:col>
      <xdr:colOff>332213</xdr:colOff>
      <xdr:row>28</xdr:row>
      <xdr:rowOff>163385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0.21302</cdr:x>
      <cdr:y>0.42558</cdr:y>
    </cdr:from>
    <cdr:to>
      <cdr:x>0.21302</cdr:x>
      <cdr:y>0.57862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>
          <a:off x="1371600" y="1933576"/>
          <a:ext cx="0" cy="6953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0.1287</cdr:x>
      <cdr:y>0.46751</cdr:y>
    </cdr:from>
    <cdr:to>
      <cdr:x>0.27071</cdr:x>
      <cdr:y>0.66876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28675" y="21240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6.14x</a:t>
          </a:r>
        </a:p>
      </cdr:txBody>
    </cdr:sp>
  </cdr:relSizeAnchor>
  <cdr:relSizeAnchor xmlns:cdr="http://schemas.openxmlformats.org/drawingml/2006/chartDrawing">
    <cdr:from>
      <cdr:x>0.36445</cdr:x>
      <cdr:y>0.26181</cdr:y>
    </cdr:from>
    <cdr:to>
      <cdr:x>0.36445</cdr:x>
      <cdr:y>0.33651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2351423" y="1189531"/>
          <a:ext cx="0" cy="33939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0.36523</cdr:x>
      <cdr:y>0.25697</cdr:y>
    </cdr:from>
    <cdr:to>
      <cdr:x>0.50725</cdr:x>
      <cdr:y>0.32495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356506" y="1167524"/>
          <a:ext cx="916266" cy="3088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2.31x</a:t>
          </a:r>
        </a:p>
      </cdr:txBody>
    </cdr:sp>
  </cdr:relSizeAnchor>
  <cdr:relSizeAnchor xmlns:cdr="http://schemas.openxmlformats.org/drawingml/2006/chartDrawing">
    <cdr:from>
      <cdr:x>0.53355</cdr:x>
      <cdr:y>0.19781</cdr:y>
    </cdr:from>
    <cdr:to>
      <cdr:x>0.5342</cdr:x>
      <cdr:y>0.23242</cdr:y>
    </cdr:to>
    <cdr:cxnSp macro="">
      <cdr:nvCxnSpPr>
        <cdr:cNvPr id="8" name="Straight Arrow Connector 7"/>
        <cdr:cNvCxnSpPr/>
      </cdr:nvCxnSpPr>
      <cdr:spPr>
        <a:xfrm xmlns:a="http://schemas.openxmlformats.org/drawingml/2006/main" flipH="1">
          <a:off x="3442466" y="898745"/>
          <a:ext cx="4222" cy="15721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0.52203</cdr:x>
      <cdr:y>0.20637</cdr:y>
    </cdr:from>
    <cdr:to>
      <cdr:x>0.66404</cdr:x>
      <cdr:y>0.27434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368127" y="937610"/>
          <a:ext cx="916266" cy="3088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1.29x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32</xdr:row>
      <xdr:rowOff>179854</xdr:rowOff>
    </xdr:from>
    <xdr:to>
      <xdr:col>2</xdr:col>
      <xdr:colOff>695325</xdr:colOff>
      <xdr:row>47</xdr:row>
      <xdr:rowOff>65554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33</xdr:row>
      <xdr:rowOff>0</xdr:rowOff>
    </xdr:from>
    <xdr:to>
      <xdr:col>6</xdr:col>
      <xdr:colOff>561975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3537</xdr:colOff>
      <xdr:row>3</xdr:row>
      <xdr:rowOff>180975</xdr:rowOff>
    </xdr:from>
    <xdr:to>
      <xdr:col>12</xdr:col>
      <xdr:colOff>342901</xdr:colOff>
      <xdr:row>17</xdr:row>
      <xdr:rowOff>52021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41058</xdr:colOff>
      <xdr:row>3</xdr:row>
      <xdr:rowOff>180976</xdr:rowOff>
    </xdr:from>
    <xdr:to>
      <xdr:col>24</xdr:col>
      <xdr:colOff>403740</xdr:colOff>
      <xdr:row>17</xdr:row>
      <xdr:rowOff>9526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726072</xdr:colOff>
      <xdr:row>4</xdr:row>
      <xdr:rowOff>0</xdr:rowOff>
    </xdr:from>
    <xdr:to>
      <xdr:col>18</xdr:col>
      <xdr:colOff>9525</xdr:colOff>
      <xdr:row>17</xdr:row>
      <xdr:rowOff>0</xdr:rowOff>
    </xdr:to>
    <xdr:grpSp>
      <xdr:nvGrpSpPr>
        <xdr:cNvPr id="14" name="Group 13"/>
        <xdr:cNvGrpSpPr/>
      </xdr:nvGrpSpPr>
      <xdr:grpSpPr>
        <a:xfrm>
          <a:off x="10898772" y="762000"/>
          <a:ext cx="3474453" cy="2476500"/>
          <a:chOff x="11755163" y="595805"/>
          <a:chExt cx="3397250" cy="2038350"/>
        </a:xfrm>
      </xdr:grpSpPr>
      <xdr:graphicFrame macro="">
        <xdr:nvGraphicFramePr>
          <xdr:cNvPr id="12" name="Chart 11"/>
          <xdr:cNvGraphicFramePr/>
        </xdr:nvGraphicFramePr>
        <xdr:xfrm>
          <a:off x="11755163" y="595805"/>
          <a:ext cx="3397250" cy="2038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Rounded Rectangle 12"/>
          <xdr:cNvSpPr/>
        </xdr:nvSpPr>
        <xdr:spPr>
          <a:xfrm>
            <a:off x="12014638" y="1780190"/>
            <a:ext cx="1051034" cy="840827"/>
          </a:xfrm>
          <a:prstGeom prst="roundRect">
            <a:avLst>
              <a:gd name="adj" fmla="val 10245"/>
            </a:avLst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104775</xdr:colOff>
      <xdr:row>26</xdr:row>
      <xdr:rowOff>9525</xdr:rowOff>
    </xdr:from>
    <xdr:to>
      <xdr:col>22</xdr:col>
      <xdr:colOff>333375</xdr:colOff>
      <xdr:row>39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16529</xdr:colOff>
      <xdr:row>26</xdr:row>
      <xdr:rowOff>10085</xdr:rowOff>
    </xdr:from>
    <xdr:to>
      <xdr:col>28</xdr:col>
      <xdr:colOff>104775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4762</xdr:colOff>
      <xdr:row>26</xdr:row>
      <xdr:rowOff>9525</xdr:rowOff>
    </xdr:from>
    <xdr:to>
      <xdr:col>34</xdr:col>
      <xdr:colOff>57150</xdr:colOff>
      <xdr:row>38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4762</xdr:colOff>
      <xdr:row>26</xdr:row>
      <xdr:rowOff>9525</xdr:rowOff>
    </xdr:from>
    <xdr:to>
      <xdr:col>40</xdr:col>
      <xdr:colOff>9525</xdr:colOff>
      <xdr:row>38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52387</xdr:colOff>
      <xdr:row>45</xdr:row>
      <xdr:rowOff>0</xdr:rowOff>
    </xdr:from>
    <xdr:to>
      <xdr:col>19</xdr:col>
      <xdr:colOff>504825</xdr:colOff>
      <xdr:row>57</xdr:row>
      <xdr:rowOff>94298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300038</xdr:colOff>
      <xdr:row>45</xdr:row>
      <xdr:rowOff>0</xdr:rowOff>
    </xdr:from>
    <xdr:to>
      <xdr:col>25</xdr:col>
      <xdr:colOff>447676</xdr:colOff>
      <xdr:row>57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395287</xdr:colOff>
      <xdr:row>45</xdr:row>
      <xdr:rowOff>0</xdr:rowOff>
    </xdr:from>
    <xdr:to>
      <xdr:col>32</xdr:col>
      <xdr:colOff>47625</xdr:colOff>
      <xdr:row>57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14287</xdr:colOff>
      <xdr:row>45</xdr:row>
      <xdr:rowOff>0</xdr:rowOff>
    </xdr:from>
    <xdr:to>
      <xdr:col>38</xdr:col>
      <xdr:colOff>85725</xdr:colOff>
      <xdr:row>57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671512</xdr:colOff>
      <xdr:row>22</xdr:row>
      <xdr:rowOff>28575</xdr:rowOff>
    </xdr:from>
    <xdr:to>
      <xdr:col>16</xdr:col>
      <xdr:colOff>90487</xdr:colOff>
      <xdr:row>36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280987</xdr:colOff>
      <xdr:row>22</xdr:row>
      <xdr:rowOff>28575</xdr:rowOff>
    </xdr:from>
    <xdr:to>
      <xdr:col>23</xdr:col>
      <xdr:colOff>585787</xdr:colOff>
      <xdr:row>36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261936</xdr:colOff>
      <xdr:row>4</xdr:row>
      <xdr:rowOff>123825</xdr:rowOff>
    </xdr:from>
    <xdr:to>
      <xdr:col>24</xdr:col>
      <xdr:colOff>19050</xdr:colOff>
      <xdr:row>18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14288</xdr:colOff>
      <xdr:row>4</xdr:row>
      <xdr:rowOff>123825</xdr:rowOff>
    </xdr:from>
    <xdr:to>
      <xdr:col>16</xdr:col>
      <xdr:colOff>0</xdr:colOff>
      <xdr:row>18</xdr:row>
      <xdr:rowOff>8572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H1" zoomScaleNormal="100" workbookViewId="0">
      <selection activeCell="J25" sqref="J25"/>
    </sheetView>
  </sheetViews>
  <sheetFormatPr defaultRowHeight="15" x14ac:dyDescent="0.25"/>
  <cols>
    <col min="1" max="1" width="24" customWidth="1"/>
    <col min="5" max="5" width="27.7109375" customWidth="1"/>
    <col min="9" max="9" width="24.7109375" customWidth="1"/>
  </cols>
  <sheetData>
    <row r="1" spans="1:15" x14ac:dyDescent="0.25">
      <c r="A1" s="53" t="s">
        <v>15</v>
      </c>
      <c r="B1" s="53"/>
      <c r="C1" s="53"/>
      <c r="D1" s="53"/>
      <c r="I1" s="54" t="s">
        <v>16</v>
      </c>
      <c r="J1" s="55"/>
      <c r="K1" s="55"/>
      <c r="L1" s="55"/>
    </row>
    <row r="2" spans="1:15" x14ac:dyDescent="0.25">
      <c r="A2" s="6" t="s">
        <v>0</v>
      </c>
      <c r="B2" s="6">
        <f>45/15</f>
        <v>3</v>
      </c>
      <c r="C2" s="6" t="s">
        <v>1</v>
      </c>
      <c r="D2" s="6"/>
      <c r="I2" s="8" t="s">
        <v>17</v>
      </c>
      <c r="J2" s="9">
        <v>3.2</v>
      </c>
      <c r="K2" s="9"/>
      <c r="L2" s="9"/>
    </row>
    <row r="3" spans="1:15" x14ac:dyDescent="0.25">
      <c r="A3" s="6" t="s">
        <v>29</v>
      </c>
      <c r="B3" s="6">
        <v>0.65</v>
      </c>
      <c r="C3" s="6"/>
      <c r="D3" s="6"/>
      <c r="I3" s="8" t="s">
        <v>18</v>
      </c>
      <c r="J3" s="9">
        <v>5</v>
      </c>
      <c r="K3" s="9"/>
      <c r="L3" s="9"/>
    </row>
    <row r="4" spans="1:15" x14ac:dyDescent="0.25">
      <c r="A4" s="6" t="s">
        <v>2</v>
      </c>
      <c r="B4" s="6">
        <v>256</v>
      </c>
      <c r="C4" s="6"/>
      <c r="D4" s="6"/>
      <c r="I4" s="8" t="s">
        <v>19</v>
      </c>
      <c r="J4" s="9">
        <v>3</v>
      </c>
      <c r="K4" s="9"/>
      <c r="L4" s="9"/>
    </row>
    <row r="5" spans="1:15" x14ac:dyDescent="0.25">
      <c r="A5" s="6" t="s">
        <v>3</v>
      </c>
      <c r="B5" s="6">
        <v>8</v>
      </c>
      <c r="C5" s="6"/>
      <c r="D5" s="6"/>
      <c r="I5" s="8" t="s">
        <v>20</v>
      </c>
      <c r="J5" s="9">
        <v>1.5</v>
      </c>
      <c r="K5" s="9"/>
      <c r="L5" s="9"/>
    </row>
    <row r="6" spans="1:15" x14ac:dyDescent="0.25">
      <c r="A6" s="6" t="s">
        <v>4</v>
      </c>
      <c r="B6" s="7">
        <v>1000000000</v>
      </c>
      <c r="C6" s="6"/>
      <c r="D6" s="6"/>
      <c r="I6" s="3"/>
      <c r="J6" s="4"/>
      <c r="K6" s="4"/>
      <c r="L6" s="4"/>
    </row>
    <row r="7" spans="1:15" x14ac:dyDescent="0.25">
      <c r="A7" s="6" t="s">
        <v>5</v>
      </c>
      <c r="B7" s="6">
        <f>B4*B2</f>
        <v>768</v>
      </c>
      <c r="C7" s="6"/>
      <c r="D7" s="6"/>
      <c r="I7" s="3"/>
      <c r="J7" s="4"/>
      <c r="K7" s="4"/>
      <c r="L7" s="4"/>
    </row>
    <row r="8" spans="1:15" x14ac:dyDescent="0.25">
      <c r="A8" s="6" t="s">
        <v>6</v>
      </c>
      <c r="B8" s="6">
        <v>45</v>
      </c>
      <c r="C8" s="6"/>
      <c r="D8" s="6"/>
      <c r="I8" s="3"/>
      <c r="J8" s="4"/>
      <c r="K8" s="4"/>
      <c r="L8" s="4"/>
    </row>
    <row r="9" spans="1:15" x14ac:dyDescent="0.25">
      <c r="A9" s="6" t="s">
        <v>9</v>
      </c>
      <c r="B9" s="6">
        <v>1.2</v>
      </c>
      <c r="C9" s="6"/>
      <c r="D9" s="6"/>
      <c r="I9" s="3"/>
      <c r="J9" s="4"/>
      <c r="K9" s="4"/>
      <c r="L9" s="4"/>
    </row>
    <row r="10" spans="1:15" x14ac:dyDescent="0.25">
      <c r="A10" s="6" t="s">
        <v>11</v>
      </c>
      <c r="B10" s="7">
        <v>0.6</v>
      </c>
      <c r="C10" s="7">
        <f>B7*B3*B9*B6/1000000000000</f>
        <v>0.59904000000000013</v>
      </c>
      <c r="D10" s="6"/>
      <c r="I10" s="3"/>
      <c r="J10" s="4"/>
      <c r="K10" s="4"/>
      <c r="L10" s="4"/>
    </row>
    <row r="11" spans="1:15" x14ac:dyDescent="0.25">
      <c r="A11" s="6" t="s">
        <v>13</v>
      </c>
      <c r="B11" s="7">
        <f>2*(45/32)</f>
        <v>2.8125</v>
      </c>
      <c r="C11" s="6"/>
      <c r="D11" s="6"/>
      <c r="I11" s="3"/>
      <c r="J11" s="4"/>
      <c r="K11" s="4"/>
      <c r="L11" s="4"/>
    </row>
    <row r="12" spans="1:15" x14ac:dyDescent="0.25">
      <c r="A12" s="6" t="s">
        <v>14</v>
      </c>
      <c r="B12" s="6">
        <v>0.2</v>
      </c>
      <c r="C12" s="6"/>
      <c r="D12" s="6"/>
      <c r="I12" s="3"/>
      <c r="J12" s="4"/>
      <c r="K12" s="4"/>
      <c r="L12" s="4"/>
    </row>
    <row r="13" spans="1:15" x14ac:dyDescent="0.25">
      <c r="I13" s="3"/>
      <c r="J13" s="4"/>
      <c r="K13" s="4"/>
      <c r="L13" s="4"/>
    </row>
    <row r="14" spans="1:15" x14ac:dyDescent="0.25">
      <c r="B14">
        <v>32</v>
      </c>
      <c r="C14">
        <v>16</v>
      </c>
      <c r="D14">
        <v>8</v>
      </c>
      <c r="E14">
        <v>4</v>
      </c>
      <c r="F14">
        <v>2</v>
      </c>
      <c r="G14">
        <v>1</v>
      </c>
      <c r="I14" s="3"/>
      <c r="J14" s="5">
        <v>32</v>
      </c>
      <c r="K14" s="5">
        <v>16</v>
      </c>
      <c r="L14" s="5">
        <v>8</v>
      </c>
      <c r="M14" s="5">
        <v>4</v>
      </c>
      <c r="N14" s="5">
        <v>2</v>
      </c>
      <c r="O14" s="5">
        <v>1</v>
      </c>
    </row>
    <row r="15" spans="1:15" x14ac:dyDescent="0.25">
      <c r="A15" t="s">
        <v>12</v>
      </c>
      <c r="B15" s="2">
        <f t="shared" ref="B15:G15" si="0">B14*$B$10*B14</f>
        <v>614.4</v>
      </c>
      <c r="C15" s="2">
        <f>C14*$B$10*C14</f>
        <v>153.6</v>
      </c>
      <c r="D15" s="2">
        <f t="shared" si="0"/>
        <v>38.4</v>
      </c>
      <c r="E15" s="2">
        <f t="shared" si="0"/>
        <v>9.6</v>
      </c>
      <c r="F15" s="2">
        <f t="shared" si="0"/>
        <v>2.4</v>
      </c>
      <c r="G15" s="2">
        <f t="shared" si="0"/>
        <v>0.6</v>
      </c>
      <c r="I15" s="3" t="s">
        <v>21</v>
      </c>
      <c r="J15" s="4">
        <f>B4*J2</f>
        <v>819.2</v>
      </c>
      <c r="K15" s="4">
        <f>J15/4</f>
        <v>204.8</v>
      </c>
      <c r="L15" s="4">
        <f>K15/4</f>
        <v>51.2</v>
      </c>
      <c r="M15" s="4">
        <f>L15/4</f>
        <v>12.8</v>
      </c>
      <c r="N15" s="4">
        <f>M15/4</f>
        <v>3.2</v>
      </c>
      <c r="O15" s="4">
        <f>N15/4</f>
        <v>0.8</v>
      </c>
    </row>
    <row r="16" spans="1:15" x14ac:dyDescent="0.25">
      <c r="A16" t="s">
        <v>7</v>
      </c>
      <c r="B16" s="2">
        <f t="shared" ref="B16:G16" si="1">B14*B14*$B$11</f>
        <v>2880</v>
      </c>
      <c r="C16" s="2">
        <f>C14*C14*$B$11</f>
        <v>720</v>
      </c>
      <c r="D16" s="2">
        <f t="shared" si="1"/>
        <v>180</v>
      </c>
      <c r="E16" s="2">
        <f t="shared" si="1"/>
        <v>45</v>
      </c>
      <c r="F16" s="2">
        <f t="shared" si="1"/>
        <v>11.25</v>
      </c>
      <c r="G16" s="2">
        <f t="shared" si="1"/>
        <v>2.8125</v>
      </c>
      <c r="I16" s="3" t="s">
        <v>22</v>
      </c>
      <c r="J16" s="4">
        <f>J3*J4*B4</f>
        <v>3840</v>
      </c>
      <c r="K16" s="4">
        <f t="shared" ref="K16:O17" si="2">J16/2</f>
        <v>1920</v>
      </c>
      <c r="L16" s="4">
        <f t="shared" si="2"/>
        <v>960</v>
      </c>
      <c r="M16">
        <f t="shared" si="2"/>
        <v>480</v>
      </c>
      <c r="N16">
        <f t="shared" si="2"/>
        <v>240</v>
      </c>
      <c r="O16">
        <f t="shared" si="2"/>
        <v>120</v>
      </c>
    </row>
    <row r="17" spans="1:15" x14ac:dyDescent="0.25">
      <c r="A17" t="s">
        <v>8</v>
      </c>
      <c r="B17" s="2">
        <f t="shared" ref="B17:G17" si="3">$B$12*32</f>
        <v>6.4</v>
      </c>
      <c r="C17" s="2">
        <f>$B$12*32</f>
        <v>6.4</v>
      </c>
      <c r="D17" s="2">
        <f t="shared" si="3"/>
        <v>6.4</v>
      </c>
      <c r="E17" s="2">
        <f t="shared" si="3"/>
        <v>6.4</v>
      </c>
      <c r="F17" s="2">
        <f t="shared" si="3"/>
        <v>6.4</v>
      </c>
      <c r="G17" s="2">
        <f t="shared" si="3"/>
        <v>6.4</v>
      </c>
      <c r="I17" s="3" t="s">
        <v>23</v>
      </c>
      <c r="J17" s="4">
        <f>J3*J5*B4</f>
        <v>1920</v>
      </c>
      <c r="K17" s="4">
        <f t="shared" si="2"/>
        <v>960</v>
      </c>
      <c r="L17" s="4">
        <f t="shared" si="2"/>
        <v>480</v>
      </c>
      <c r="M17" s="4">
        <f t="shared" si="2"/>
        <v>240</v>
      </c>
      <c r="N17" s="4">
        <f t="shared" si="2"/>
        <v>120</v>
      </c>
      <c r="O17" s="4">
        <f t="shared" si="2"/>
        <v>60</v>
      </c>
    </row>
    <row r="18" spans="1:15" x14ac:dyDescent="0.25">
      <c r="A18" t="s">
        <v>10</v>
      </c>
      <c r="B18" s="2">
        <f t="shared" ref="B18:G18" si="4">B14*B14*0.1</f>
        <v>102.4</v>
      </c>
      <c r="C18" s="2">
        <f t="shared" si="4"/>
        <v>25.6</v>
      </c>
      <c r="D18" s="2">
        <f t="shared" si="4"/>
        <v>6.4</v>
      </c>
      <c r="E18" s="2">
        <f t="shared" si="4"/>
        <v>1.6</v>
      </c>
      <c r="F18" s="2">
        <f t="shared" si="4"/>
        <v>0.4</v>
      </c>
      <c r="G18" s="2">
        <f t="shared" si="4"/>
        <v>0.1</v>
      </c>
      <c r="I18" s="3" t="s">
        <v>24</v>
      </c>
      <c r="J18" s="4">
        <f>J16+J15</f>
        <v>4659.2</v>
      </c>
      <c r="K18" s="4">
        <f>SUM(K15:K16)</f>
        <v>2124.8000000000002</v>
      </c>
      <c r="L18" s="4">
        <f>SUM(L15:L16)</f>
        <v>1011.2</v>
      </c>
      <c r="M18" s="4">
        <f>SUM(M15:M16)</f>
        <v>492.8</v>
      </c>
      <c r="N18" s="4">
        <f>SUM(N15:N16)</f>
        <v>243.2</v>
      </c>
      <c r="O18" s="4">
        <f>SUM(O15:O16)</f>
        <v>120.8</v>
      </c>
    </row>
    <row r="19" spans="1:15" x14ac:dyDescent="0.25">
      <c r="I19" s="3" t="s">
        <v>25</v>
      </c>
      <c r="J19" s="4">
        <f t="shared" ref="J19:O19" si="5">SUM(J15,J17)</f>
        <v>2739.2</v>
      </c>
      <c r="K19" s="4">
        <f>SUM(K15,K17)</f>
        <v>1164.8</v>
      </c>
      <c r="L19" s="4">
        <f t="shared" si="5"/>
        <v>531.20000000000005</v>
      </c>
      <c r="M19" s="4">
        <f t="shared" si="5"/>
        <v>252.8</v>
      </c>
      <c r="N19" s="4">
        <f t="shared" si="5"/>
        <v>123.2</v>
      </c>
      <c r="O19" s="4">
        <f t="shared" si="5"/>
        <v>60.8</v>
      </c>
    </row>
    <row r="20" spans="1:15" x14ac:dyDescent="0.25">
      <c r="B20" s="2">
        <f t="shared" ref="B20:G20" si="6">SUM(B15:B18)</f>
        <v>3603.2000000000003</v>
      </c>
      <c r="C20" s="2">
        <f>SUM(C15:C18)</f>
        <v>905.6</v>
      </c>
      <c r="D20" s="2">
        <f t="shared" si="6"/>
        <v>231.20000000000002</v>
      </c>
      <c r="E20" s="2">
        <f t="shared" si="6"/>
        <v>62.6</v>
      </c>
      <c r="F20" s="2">
        <f t="shared" si="6"/>
        <v>20.45</v>
      </c>
      <c r="G20" s="2">
        <f t="shared" si="6"/>
        <v>9.9124999999999996</v>
      </c>
      <c r="I20" s="3"/>
      <c r="J20" s="4"/>
      <c r="K20" s="4"/>
      <c r="L20" s="4"/>
    </row>
    <row r="21" spans="1:15" x14ac:dyDescent="0.25">
      <c r="B21">
        <v>2739.2</v>
      </c>
      <c r="C21">
        <v>1164.8</v>
      </c>
      <c r="D21">
        <v>531.20000000000005</v>
      </c>
      <c r="E21">
        <v>252.8</v>
      </c>
      <c r="F21">
        <v>123.2</v>
      </c>
      <c r="G21">
        <v>60.8</v>
      </c>
      <c r="I21" t="s">
        <v>27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</row>
    <row r="22" spans="1:15" x14ac:dyDescent="0.25">
      <c r="I22" t="s">
        <v>28</v>
      </c>
      <c r="J22">
        <f t="shared" ref="J22:O22" si="7">$J$15/$B$4</f>
        <v>3.2</v>
      </c>
      <c r="K22">
        <f t="shared" si="7"/>
        <v>3.2</v>
      </c>
      <c r="L22">
        <f t="shared" si="7"/>
        <v>3.2</v>
      </c>
      <c r="M22">
        <f t="shared" si="7"/>
        <v>3.2</v>
      </c>
      <c r="N22">
        <f t="shared" si="7"/>
        <v>3.2</v>
      </c>
      <c r="O22">
        <f t="shared" si="7"/>
        <v>3.2</v>
      </c>
    </row>
    <row r="23" spans="1:15" x14ac:dyDescent="0.25">
      <c r="A23" t="s">
        <v>27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I23" s="3" t="s">
        <v>22</v>
      </c>
      <c r="J23">
        <f>J3*J21</f>
        <v>10</v>
      </c>
      <c r="K23">
        <f>J23/2</f>
        <v>5</v>
      </c>
      <c r="L23">
        <f>K23/2</f>
        <v>2.5</v>
      </c>
      <c r="M23">
        <f>L23/2</f>
        <v>1.25</v>
      </c>
      <c r="N23">
        <f>M23/2</f>
        <v>0.625</v>
      </c>
      <c r="O23">
        <f>N23/2</f>
        <v>0.3125</v>
      </c>
    </row>
    <row r="24" spans="1:15" x14ac:dyDescent="0.25">
      <c r="A24" t="s">
        <v>26</v>
      </c>
      <c r="B24" s="1">
        <f t="shared" ref="B24:G24" si="8">B14*B23*B14*$B$10/$B$4</f>
        <v>4.8</v>
      </c>
      <c r="C24" s="1">
        <f t="shared" si="8"/>
        <v>1.2</v>
      </c>
      <c r="D24" s="1">
        <f t="shared" si="8"/>
        <v>0.3</v>
      </c>
      <c r="E24" s="1">
        <f t="shared" si="8"/>
        <v>7.4999999999999997E-2</v>
      </c>
      <c r="F24" s="1">
        <f t="shared" si="8"/>
        <v>1.8749999999999999E-2</v>
      </c>
      <c r="G24" s="1">
        <f t="shared" si="8"/>
        <v>4.6874999999999998E-3</v>
      </c>
      <c r="I24" s="3" t="s">
        <v>23</v>
      </c>
    </row>
    <row r="25" spans="1:15" x14ac:dyDescent="0.25">
      <c r="A25" t="s">
        <v>7</v>
      </c>
      <c r="B25" s="1">
        <f>B14*2*$B$11/4</f>
        <v>45</v>
      </c>
      <c r="C25" s="1">
        <f>C14*C14*$B$11/15</f>
        <v>48</v>
      </c>
      <c r="D25" s="1">
        <f>D14*2*$B$11/10</f>
        <v>4.5</v>
      </c>
      <c r="E25" s="1">
        <f>E14*2*$B$11/12</f>
        <v>1.875</v>
      </c>
      <c r="F25" s="1">
        <f>F14*2*$B$11/14</f>
        <v>0.8035714285714286</v>
      </c>
      <c r="G25" s="1">
        <f>G14*2*$B$11/16</f>
        <v>0.3515625</v>
      </c>
      <c r="J25">
        <f t="shared" ref="J25:O25" si="9">J23+J22</f>
        <v>13.2</v>
      </c>
      <c r="K25">
        <f t="shared" si="9"/>
        <v>8.1999999999999993</v>
      </c>
      <c r="L25">
        <f t="shared" si="9"/>
        <v>5.7</v>
      </c>
      <c r="M25">
        <f t="shared" si="9"/>
        <v>4.45</v>
      </c>
      <c r="N25">
        <f t="shared" si="9"/>
        <v>3.8250000000000002</v>
      </c>
      <c r="O25">
        <f t="shared" si="9"/>
        <v>3.5125000000000002</v>
      </c>
    </row>
    <row r="26" spans="1:15" x14ac:dyDescent="0.25">
      <c r="A26" t="s">
        <v>8</v>
      </c>
      <c r="B26" s="2">
        <f t="shared" ref="B26:G26" si="10">$B$12*32</f>
        <v>6.4</v>
      </c>
      <c r="C26" s="2">
        <f t="shared" si="10"/>
        <v>6.4</v>
      </c>
      <c r="D26" s="2">
        <f t="shared" si="10"/>
        <v>6.4</v>
      </c>
      <c r="E26" s="2">
        <f t="shared" si="10"/>
        <v>6.4</v>
      </c>
      <c r="F26" s="2">
        <f t="shared" si="10"/>
        <v>6.4</v>
      </c>
      <c r="G26" s="2">
        <f t="shared" si="10"/>
        <v>6.4</v>
      </c>
    </row>
    <row r="27" spans="1:15" x14ac:dyDescent="0.25">
      <c r="A27" t="s">
        <v>10</v>
      </c>
      <c r="B27">
        <f t="shared" ref="B27:G27" si="11">B14*2*0.1</f>
        <v>6.4</v>
      </c>
      <c r="C27">
        <f t="shared" si="11"/>
        <v>3.2</v>
      </c>
      <c r="D27">
        <f t="shared" si="11"/>
        <v>1.6</v>
      </c>
      <c r="E27">
        <f t="shared" si="11"/>
        <v>0.8</v>
      </c>
      <c r="F27">
        <f t="shared" si="11"/>
        <v>0.4</v>
      </c>
      <c r="G27">
        <f t="shared" si="11"/>
        <v>0.2</v>
      </c>
    </row>
    <row r="29" spans="1:15" x14ac:dyDescent="0.25">
      <c r="B29" s="1">
        <f>SUM(B24:B27)</f>
        <v>62.599999999999994</v>
      </c>
      <c r="C29" s="1">
        <f>SUM(C24:C25)</f>
        <v>49.2</v>
      </c>
      <c r="D29" s="1">
        <f>SUM(D24:D27)</f>
        <v>12.799999999999999</v>
      </c>
      <c r="E29" s="1">
        <f>SUM(E24:E27)</f>
        <v>9.15</v>
      </c>
      <c r="F29" s="1">
        <f>SUM(F24:F27)</f>
        <v>7.6223214285714294</v>
      </c>
      <c r="G29" s="1">
        <f>SUM(G24:G27)</f>
        <v>6.9562500000000007</v>
      </c>
    </row>
  </sheetData>
  <mergeCells count="2">
    <mergeCell ref="A1:D1"/>
    <mergeCell ref="I1:L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79"/>
  <sheetViews>
    <sheetView topLeftCell="E1" zoomScale="85" zoomScaleNormal="85" workbookViewId="0">
      <selection activeCell="Q96" sqref="Q96"/>
    </sheetView>
  </sheetViews>
  <sheetFormatPr defaultRowHeight="15" x14ac:dyDescent="0.25"/>
  <cols>
    <col min="3" max="3" width="9.140625" style="29"/>
    <col min="8" max="8" width="18.5703125" customWidth="1"/>
    <col min="9" max="9" width="18.5703125" style="32" customWidth="1"/>
    <col min="10" max="10" width="18.5703125" customWidth="1"/>
    <col min="11" max="11" width="11.28515625" customWidth="1"/>
    <col min="12" max="12" width="17.140625" customWidth="1"/>
    <col min="13" max="13" width="24.28515625" customWidth="1"/>
    <col min="14" max="14" width="24" customWidth="1"/>
    <col min="15" max="15" width="15.42578125" style="33" customWidth="1"/>
    <col min="17" max="17" width="17.85546875" style="1" customWidth="1"/>
    <col min="18" max="18" width="16.42578125" style="1" customWidth="1"/>
    <col min="19" max="19" width="17.7109375" style="34" customWidth="1"/>
    <col min="21" max="21" width="20.28515625" customWidth="1"/>
  </cols>
  <sheetData>
    <row r="1" spans="1:21" x14ac:dyDescent="0.25">
      <c r="A1" s="28" t="s">
        <v>73</v>
      </c>
      <c r="B1" s="29"/>
      <c r="D1" s="29"/>
      <c r="E1" s="29"/>
      <c r="F1" s="29"/>
      <c r="H1" s="22" t="s">
        <v>64</v>
      </c>
      <c r="J1" s="19"/>
      <c r="L1" s="25" t="s">
        <v>68</v>
      </c>
      <c r="M1" s="26"/>
      <c r="N1" s="26"/>
      <c r="Q1" s="30" t="s">
        <v>74</v>
      </c>
      <c r="R1" s="31"/>
      <c r="U1" s="20"/>
    </row>
    <row r="2" spans="1:21" x14ac:dyDescent="0.25">
      <c r="A2" s="20" t="s">
        <v>53</v>
      </c>
      <c r="B2" s="20" t="s">
        <v>54</v>
      </c>
      <c r="C2" s="28" t="s">
        <v>49</v>
      </c>
      <c r="D2" s="20" t="s">
        <v>50</v>
      </c>
      <c r="E2" s="20" t="s">
        <v>51</v>
      </c>
      <c r="F2" s="20" t="s">
        <v>52</v>
      </c>
      <c r="H2" s="20" t="s">
        <v>60</v>
      </c>
      <c r="I2" s="35" t="s">
        <v>61</v>
      </c>
      <c r="J2" s="20" t="s">
        <v>62</v>
      </c>
      <c r="L2" s="20" t="s">
        <v>65</v>
      </c>
      <c r="M2" s="20" t="s">
        <v>66</v>
      </c>
      <c r="N2" s="20" t="s">
        <v>67</v>
      </c>
      <c r="O2" s="37" t="s">
        <v>69</v>
      </c>
      <c r="Q2" s="27" t="s">
        <v>70</v>
      </c>
      <c r="R2" s="27" t="s">
        <v>71</v>
      </c>
      <c r="S2" s="39" t="s">
        <v>72</v>
      </c>
      <c r="U2" s="20" t="s">
        <v>80</v>
      </c>
    </row>
    <row r="3" spans="1:21" x14ac:dyDescent="0.25">
      <c r="A3">
        <v>0</v>
      </c>
      <c r="B3">
        <v>225</v>
      </c>
      <c r="C3" s="29">
        <v>1</v>
      </c>
      <c r="D3">
        <v>0.49</v>
      </c>
      <c r="E3">
        <v>166.666666666666</v>
      </c>
      <c r="F3">
        <v>120000000</v>
      </c>
      <c r="H3" s="24">
        <f>_xlfn.CEILING.MATH(('analog-mvmu-specs'!B$14)/(D3*10^6))</f>
        <v>1</v>
      </c>
      <c r="I3" s="36">
        <f>2*H3</f>
        <v>2</v>
      </c>
      <c r="J3" s="24">
        <f>2*I3</f>
        <v>4</v>
      </c>
      <c r="L3">
        <f>2^C3</f>
        <v>2</v>
      </c>
      <c r="M3" s="1">
        <f>(32*16*16)*L3*'analog-mvmu-specs'!J$24</f>
        <v>38.338560000000001</v>
      </c>
      <c r="N3" s="1">
        <f>(32*16)*16*E3</f>
        <v>1365333.3333333279</v>
      </c>
      <c r="O3" s="38">
        <f>SUM(M3:N3)/L3</f>
        <v>682685.83594666398</v>
      </c>
      <c r="Q3" s="1">
        <f>32*16*(10^9/F3)/J3</f>
        <v>1066.6666666666667</v>
      </c>
      <c r="R3" s="1">
        <f>16*Q3</f>
        <v>17066.666666666668</v>
      </c>
      <c r="S3" s="40">
        <f>R3/L3</f>
        <v>8533.3333333333339</v>
      </c>
      <c r="U3" s="1">
        <f>M3/(M3+N3)*100</f>
        <v>2.8079211535740186E-3</v>
      </c>
    </row>
    <row r="4" spans="1:21" x14ac:dyDescent="0.25">
      <c r="A4">
        <v>0</v>
      </c>
      <c r="B4">
        <v>140</v>
      </c>
      <c r="C4" s="29">
        <v>4</v>
      </c>
      <c r="D4">
        <v>8.2500000000000004E-3</v>
      </c>
      <c r="E4">
        <v>0.504</v>
      </c>
      <c r="F4">
        <v>2500000000</v>
      </c>
      <c r="H4" s="24">
        <f>_xlfn.CEILING.MATH(('analog-mvmu-specs'!B$14)/(D4*10^6))</f>
        <v>4</v>
      </c>
      <c r="I4" s="36">
        <f t="shared" ref="I4:J67" si="0">2*H4</f>
        <v>8</v>
      </c>
      <c r="J4" s="24">
        <f t="shared" si="0"/>
        <v>16</v>
      </c>
      <c r="L4">
        <f t="shared" ref="L4:L67" si="1">2^C4</f>
        <v>16</v>
      </c>
      <c r="M4" s="1">
        <f>(32*16*16)*L4*'analog-mvmu-specs'!J$24</f>
        <v>306.70848000000001</v>
      </c>
      <c r="N4" s="1">
        <f t="shared" ref="N4:N67" si="2">(32*16)*16*E4</f>
        <v>4128.768</v>
      </c>
      <c r="O4" s="38">
        <f t="shared" ref="O4:O67" si="3">SUM(M4:N4)/L4</f>
        <v>277.21728000000002</v>
      </c>
      <c r="Q4" s="1">
        <f t="shared" ref="Q4:Q67" si="4">32*16*(10^9/F4)/J4</f>
        <v>12.8</v>
      </c>
      <c r="R4" s="1">
        <f t="shared" ref="R4:R67" si="5">16*Q4</f>
        <v>204.8</v>
      </c>
      <c r="S4" s="40">
        <f t="shared" ref="S4:S67" si="6">R4/L4</f>
        <v>12.8</v>
      </c>
      <c r="U4" s="1">
        <f t="shared" ref="U4:U67" si="7">M4/(M4+N4)*100</f>
        <v>6.9148936170212769</v>
      </c>
    </row>
    <row r="5" spans="1:21" x14ac:dyDescent="0.25">
      <c r="A5">
        <v>0</v>
      </c>
      <c r="B5">
        <v>142</v>
      </c>
      <c r="C5" s="29">
        <v>4</v>
      </c>
      <c r="D5">
        <v>5.5E-2</v>
      </c>
      <c r="E5">
        <v>1.39062499999999</v>
      </c>
      <c r="F5">
        <v>16000000000</v>
      </c>
      <c r="H5" s="24">
        <f>_xlfn.CEILING.MATH(('analog-mvmu-specs'!B$14)/(D5*10^6))</f>
        <v>1</v>
      </c>
      <c r="I5" s="36">
        <f t="shared" si="0"/>
        <v>2</v>
      </c>
      <c r="J5" s="24">
        <f t="shared" si="0"/>
        <v>4</v>
      </c>
      <c r="L5">
        <f t="shared" si="1"/>
        <v>16</v>
      </c>
      <c r="M5" s="1">
        <f>(32*16*16)*L5*'analog-mvmu-specs'!J$24</f>
        <v>306.70848000000001</v>
      </c>
      <c r="N5" s="1">
        <f t="shared" si="2"/>
        <v>11391.999999999918</v>
      </c>
      <c r="O5" s="38">
        <f t="shared" si="3"/>
        <v>731.16927999999484</v>
      </c>
      <c r="Q5" s="1">
        <f t="shared" si="4"/>
        <v>8</v>
      </c>
      <c r="R5" s="1">
        <f t="shared" si="5"/>
        <v>128</v>
      </c>
      <c r="S5" s="40">
        <f t="shared" si="6"/>
        <v>8</v>
      </c>
      <c r="U5" s="1">
        <f t="shared" si="7"/>
        <v>2.6217294030734082</v>
      </c>
    </row>
    <row r="6" spans="1:21" x14ac:dyDescent="0.25">
      <c r="A6">
        <v>0</v>
      </c>
      <c r="B6">
        <v>337</v>
      </c>
      <c r="C6" s="29">
        <v>4</v>
      </c>
      <c r="D6">
        <v>0.21954719387755001</v>
      </c>
      <c r="E6">
        <v>754.20918367346906</v>
      </c>
      <c r="F6">
        <v>62222222.222222202</v>
      </c>
      <c r="H6" s="24">
        <f>_xlfn.CEILING.MATH(('analog-mvmu-specs'!B$14)/(D6*10^6))</f>
        <v>1</v>
      </c>
      <c r="I6" s="36">
        <f t="shared" si="0"/>
        <v>2</v>
      </c>
      <c r="J6" s="24">
        <f t="shared" si="0"/>
        <v>4</v>
      </c>
      <c r="L6">
        <f t="shared" si="1"/>
        <v>16</v>
      </c>
      <c r="M6" s="1">
        <f>(32*16*16)*L6*'analog-mvmu-specs'!J$24</f>
        <v>306.70848000000001</v>
      </c>
      <c r="N6" s="1">
        <f t="shared" si="2"/>
        <v>6178481.6326530585</v>
      </c>
      <c r="O6" s="38">
        <f t="shared" si="3"/>
        <v>386174.27132081613</v>
      </c>
      <c r="Q6" s="1">
        <f t="shared" si="4"/>
        <v>2057.1428571428578</v>
      </c>
      <c r="R6" s="1">
        <f t="shared" si="5"/>
        <v>32914.285714285725</v>
      </c>
      <c r="S6" s="40">
        <f t="shared" si="6"/>
        <v>2057.1428571428578</v>
      </c>
      <c r="U6" s="1">
        <f t="shared" si="7"/>
        <v>4.963893615811352E-3</v>
      </c>
    </row>
    <row r="7" spans="1:21" x14ac:dyDescent="0.25">
      <c r="A7">
        <v>1</v>
      </c>
      <c r="B7">
        <v>33</v>
      </c>
      <c r="C7" s="29">
        <v>4</v>
      </c>
      <c r="D7">
        <v>0.18</v>
      </c>
      <c r="E7">
        <v>8.125</v>
      </c>
      <c r="F7">
        <v>24000000000</v>
      </c>
      <c r="H7" s="24">
        <f>_xlfn.CEILING.MATH(('analog-mvmu-specs'!B$14)/(D7*10^6))</f>
        <v>1</v>
      </c>
      <c r="I7" s="36">
        <f t="shared" si="0"/>
        <v>2</v>
      </c>
      <c r="J7" s="24">
        <f t="shared" si="0"/>
        <v>4</v>
      </c>
      <c r="L7">
        <f t="shared" si="1"/>
        <v>16</v>
      </c>
      <c r="M7" s="1">
        <f>(32*16*16)*L7*'analog-mvmu-specs'!J$24</f>
        <v>306.70848000000001</v>
      </c>
      <c r="N7" s="1">
        <f t="shared" si="2"/>
        <v>66560</v>
      </c>
      <c r="O7" s="38">
        <f t="shared" si="3"/>
        <v>4179.1692800000001</v>
      </c>
      <c r="Q7" s="1">
        <f t="shared" si="4"/>
        <v>5.333333333333333</v>
      </c>
      <c r="R7" s="1">
        <f t="shared" si="5"/>
        <v>85.333333333333329</v>
      </c>
      <c r="S7" s="40">
        <f t="shared" si="6"/>
        <v>5.333333333333333</v>
      </c>
      <c r="U7" s="1">
        <f t="shared" si="7"/>
        <v>0.45868637319232974</v>
      </c>
    </row>
    <row r="8" spans="1:21" x14ac:dyDescent="0.25">
      <c r="A8">
        <v>0</v>
      </c>
      <c r="B8">
        <v>143</v>
      </c>
      <c r="C8" s="29">
        <v>5</v>
      </c>
      <c r="D8">
        <v>0.28757396449704098</v>
      </c>
      <c r="E8">
        <v>16.339429800968201</v>
      </c>
      <c r="F8">
        <v>63555555555.555496</v>
      </c>
      <c r="H8" s="24">
        <f>_xlfn.CEILING.MATH(('analog-mvmu-specs'!B$14)/(D8*10^6))</f>
        <v>1</v>
      </c>
      <c r="I8" s="36">
        <f t="shared" si="0"/>
        <v>2</v>
      </c>
      <c r="J8" s="24">
        <f t="shared" si="0"/>
        <v>4</v>
      </c>
      <c r="L8">
        <f t="shared" si="1"/>
        <v>32</v>
      </c>
      <c r="M8" s="1">
        <f>(32*16*16)*L8*'analog-mvmu-specs'!J$24</f>
        <v>613.41696000000002</v>
      </c>
      <c r="N8" s="1">
        <f t="shared" si="2"/>
        <v>133852.6089295315</v>
      </c>
      <c r="O8" s="38">
        <f t="shared" si="3"/>
        <v>4202.0633090478595</v>
      </c>
      <c r="Q8" s="1">
        <f t="shared" si="4"/>
        <v>2.013986013986016</v>
      </c>
      <c r="R8" s="1">
        <f t="shared" si="5"/>
        <v>32.223776223776255</v>
      </c>
      <c r="S8" s="40">
        <f t="shared" si="6"/>
        <v>1.006993006993008</v>
      </c>
      <c r="U8" s="1">
        <f t="shared" si="7"/>
        <v>0.45618732013686736</v>
      </c>
    </row>
    <row r="9" spans="1:21" x14ac:dyDescent="0.25">
      <c r="A9">
        <v>0</v>
      </c>
      <c r="B9">
        <v>160</v>
      </c>
      <c r="C9" s="29">
        <v>5</v>
      </c>
      <c r="D9">
        <v>1.4378698224852</v>
      </c>
      <c r="E9">
        <v>2.3005917159763301</v>
      </c>
      <c r="F9">
        <v>361111111.11111099</v>
      </c>
      <c r="H9" s="24">
        <f>_xlfn.CEILING.MATH(('analog-mvmu-specs'!B$14)/(D9*10^6))</f>
        <v>1</v>
      </c>
      <c r="I9" s="36">
        <f t="shared" si="0"/>
        <v>2</v>
      </c>
      <c r="J9" s="24">
        <f t="shared" si="0"/>
        <v>4</v>
      </c>
      <c r="L9">
        <f t="shared" si="1"/>
        <v>32</v>
      </c>
      <c r="M9" s="1">
        <f>(32*16*16)*L9*'analog-mvmu-specs'!J$24</f>
        <v>613.41696000000002</v>
      </c>
      <c r="N9" s="1">
        <f t="shared" si="2"/>
        <v>18846.447337278096</v>
      </c>
      <c r="O9" s="38">
        <f t="shared" si="3"/>
        <v>608.12075928994045</v>
      </c>
      <c r="Q9" s="1">
        <f t="shared" si="4"/>
        <v>354.46153846153857</v>
      </c>
      <c r="R9" s="1">
        <f t="shared" si="5"/>
        <v>5671.3846153846171</v>
      </c>
      <c r="S9" s="40">
        <f t="shared" si="6"/>
        <v>177.23076923076928</v>
      </c>
      <c r="U9" s="1">
        <f t="shared" si="7"/>
        <v>3.1522160207756453</v>
      </c>
    </row>
    <row r="10" spans="1:21" x14ac:dyDescent="0.25">
      <c r="A10">
        <v>0</v>
      </c>
      <c r="B10">
        <v>166</v>
      </c>
      <c r="C10" s="29">
        <v>5</v>
      </c>
      <c r="D10">
        <v>4.1250000000000002E-3</v>
      </c>
      <c r="E10">
        <v>0.314285714285714</v>
      </c>
      <c r="F10">
        <v>3500000000</v>
      </c>
      <c r="H10" s="24">
        <f>_xlfn.CEILING.MATH(('analog-mvmu-specs'!B$14)/(D10*10^6))</f>
        <v>7</v>
      </c>
      <c r="I10" s="36">
        <f t="shared" si="0"/>
        <v>14</v>
      </c>
      <c r="J10" s="24">
        <f t="shared" si="0"/>
        <v>28</v>
      </c>
      <c r="L10">
        <f t="shared" si="1"/>
        <v>32</v>
      </c>
      <c r="M10" s="1">
        <f>(32*16*16)*L10*'analog-mvmu-specs'!J$24</f>
        <v>613.41696000000002</v>
      </c>
      <c r="N10" s="1">
        <f t="shared" si="2"/>
        <v>2574.6285714285691</v>
      </c>
      <c r="O10" s="38">
        <f t="shared" si="3"/>
        <v>99.626422857142785</v>
      </c>
      <c r="Q10" s="1">
        <f t="shared" si="4"/>
        <v>5.2244897959183669</v>
      </c>
      <c r="R10" s="1">
        <f t="shared" si="5"/>
        <v>83.591836734693871</v>
      </c>
      <c r="S10" s="40">
        <f t="shared" si="6"/>
        <v>2.6122448979591835</v>
      </c>
      <c r="U10" s="1">
        <f t="shared" si="7"/>
        <v>19.241160577939638</v>
      </c>
    </row>
    <row r="11" spans="1:21" x14ac:dyDescent="0.25">
      <c r="A11">
        <v>0</v>
      </c>
      <c r="B11">
        <v>182</v>
      </c>
      <c r="C11" s="29">
        <v>5</v>
      </c>
      <c r="D11">
        <v>8.6272189349112405E-2</v>
      </c>
      <c r="E11">
        <v>1.1802514792899399</v>
      </c>
      <c r="F11">
        <v>1155555555.5555501</v>
      </c>
      <c r="H11" s="24">
        <f>_xlfn.CEILING.MATH(('analog-mvmu-specs'!B$14)/(D11*10^6))</f>
        <v>1</v>
      </c>
      <c r="I11" s="36">
        <f t="shared" si="0"/>
        <v>2</v>
      </c>
      <c r="J11" s="24">
        <f t="shared" si="0"/>
        <v>4</v>
      </c>
      <c r="L11">
        <f t="shared" si="1"/>
        <v>32</v>
      </c>
      <c r="M11" s="1">
        <f>(32*16*16)*L11*'analog-mvmu-specs'!J$24</f>
        <v>613.41696000000002</v>
      </c>
      <c r="N11" s="1">
        <f t="shared" si="2"/>
        <v>9668.6201183431876</v>
      </c>
      <c r="O11" s="38">
        <f t="shared" si="3"/>
        <v>321.31365869822463</v>
      </c>
      <c r="Q11" s="1">
        <f t="shared" si="4"/>
        <v>110.7692307692313</v>
      </c>
      <c r="R11" s="1">
        <f t="shared" si="5"/>
        <v>1772.3076923077008</v>
      </c>
      <c r="S11" s="40">
        <f t="shared" si="6"/>
        <v>55.38461538461565</v>
      </c>
      <c r="U11" s="1">
        <f t="shared" si="7"/>
        <v>5.9659088498331299</v>
      </c>
    </row>
    <row r="12" spans="1:21" x14ac:dyDescent="0.25">
      <c r="A12">
        <v>1</v>
      </c>
      <c r="B12">
        <v>43</v>
      </c>
      <c r="C12" s="29">
        <v>5</v>
      </c>
      <c r="D12">
        <v>1.0927810650887499</v>
      </c>
      <c r="E12">
        <v>5.7514792899408196</v>
      </c>
      <c r="F12">
        <v>722222222.22222197</v>
      </c>
      <c r="H12" s="24">
        <f>_xlfn.CEILING.MATH(('analog-mvmu-specs'!B$14)/(D12*10^6))</f>
        <v>1</v>
      </c>
      <c r="I12" s="36">
        <f t="shared" si="0"/>
        <v>2</v>
      </c>
      <c r="J12" s="24">
        <f t="shared" si="0"/>
        <v>4</v>
      </c>
      <c r="L12">
        <f t="shared" si="1"/>
        <v>32</v>
      </c>
      <c r="M12" s="1">
        <f>(32*16*16)*L12*'analog-mvmu-specs'!J$24</f>
        <v>613.41696000000002</v>
      </c>
      <c r="N12" s="1">
        <f t="shared" si="2"/>
        <v>47116.118343195194</v>
      </c>
      <c r="O12" s="38">
        <f t="shared" si="3"/>
        <v>1491.5479782248499</v>
      </c>
      <c r="Q12" s="1">
        <f t="shared" si="4"/>
        <v>177.23076923076928</v>
      </c>
      <c r="R12" s="1">
        <f t="shared" si="5"/>
        <v>2835.6923076923085</v>
      </c>
      <c r="S12" s="40">
        <f t="shared" si="6"/>
        <v>88.615384615384642</v>
      </c>
      <c r="U12" s="1">
        <f t="shared" si="7"/>
        <v>1.2851936565134243</v>
      </c>
    </row>
    <row r="13" spans="1:21" x14ac:dyDescent="0.25">
      <c r="A13">
        <v>1</v>
      </c>
      <c r="B13">
        <v>63</v>
      </c>
      <c r="C13" s="29">
        <v>5</v>
      </c>
      <c r="D13">
        <v>7.7000000000000002E-3</v>
      </c>
      <c r="E13">
        <v>1.0857142857142801</v>
      </c>
      <c r="F13">
        <v>3500000000</v>
      </c>
      <c r="H13" s="24">
        <f>_xlfn.CEILING.MATH(('analog-mvmu-specs'!B$14)/(D13*10^6))</f>
        <v>4</v>
      </c>
      <c r="I13" s="36">
        <f t="shared" si="0"/>
        <v>8</v>
      </c>
      <c r="J13" s="24">
        <f t="shared" si="0"/>
        <v>16</v>
      </c>
      <c r="L13">
        <f t="shared" si="1"/>
        <v>32</v>
      </c>
      <c r="M13" s="1">
        <f>(32*16*16)*L13*'analog-mvmu-specs'!J$24</f>
        <v>613.41696000000002</v>
      </c>
      <c r="N13" s="1">
        <f t="shared" si="2"/>
        <v>8894.1714285713824</v>
      </c>
      <c r="O13" s="38">
        <f t="shared" si="3"/>
        <v>297.11213714285572</v>
      </c>
      <c r="Q13" s="1">
        <f t="shared" si="4"/>
        <v>9.1428571428571423</v>
      </c>
      <c r="R13" s="1">
        <f t="shared" si="5"/>
        <v>146.28571428571428</v>
      </c>
      <c r="S13" s="40">
        <f t="shared" si="6"/>
        <v>4.5714285714285712</v>
      </c>
      <c r="U13" s="1">
        <f t="shared" si="7"/>
        <v>6.4518670237907987</v>
      </c>
    </row>
    <row r="14" spans="1:21" x14ac:dyDescent="0.25">
      <c r="A14">
        <v>1</v>
      </c>
      <c r="B14">
        <v>92</v>
      </c>
      <c r="C14" s="29">
        <v>5</v>
      </c>
      <c r="D14">
        <v>0.210887573964497</v>
      </c>
      <c r="E14">
        <v>3.23520710059171</v>
      </c>
      <c r="F14">
        <v>17333333333.333302</v>
      </c>
      <c r="H14" s="24">
        <f>_xlfn.CEILING.MATH(('analog-mvmu-specs'!B$14)/(D14*10^6))</f>
        <v>1</v>
      </c>
      <c r="I14" s="36">
        <f t="shared" si="0"/>
        <v>2</v>
      </c>
      <c r="J14" s="24">
        <f t="shared" si="0"/>
        <v>4</v>
      </c>
      <c r="L14">
        <f t="shared" si="1"/>
        <v>32</v>
      </c>
      <c r="M14" s="1">
        <f>(32*16*16)*L14*'analog-mvmu-specs'!J$24</f>
        <v>613.41696000000002</v>
      </c>
      <c r="N14" s="1">
        <f t="shared" si="2"/>
        <v>26502.816568047288</v>
      </c>
      <c r="O14" s="38">
        <f t="shared" si="3"/>
        <v>847.38229775147772</v>
      </c>
      <c r="Q14" s="1">
        <f t="shared" si="4"/>
        <v>7.3846153846153983</v>
      </c>
      <c r="R14" s="1">
        <f t="shared" si="5"/>
        <v>118.15384615384637</v>
      </c>
      <c r="S14" s="40">
        <f t="shared" si="6"/>
        <v>3.6923076923076992</v>
      </c>
      <c r="U14" s="1">
        <f t="shared" si="7"/>
        <v>2.2621761217888943</v>
      </c>
    </row>
    <row r="15" spans="1:21" x14ac:dyDescent="0.25">
      <c r="A15">
        <v>0</v>
      </c>
      <c r="B15">
        <v>20</v>
      </c>
      <c r="C15" s="29">
        <v>6</v>
      </c>
      <c r="D15">
        <v>1.2397959183673399E-2</v>
      </c>
      <c r="E15">
        <v>10.6268221574344</v>
      </c>
      <c r="F15">
        <v>2722222222.2222199</v>
      </c>
      <c r="H15" s="24">
        <f>_xlfn.CEILING.MATH(('analog-mvmu-specs'!B$14)/(D15*10^6))</f>
        <v>3</v>
      </c>
      <c r="I15" s="36">
        <f t="shared" si="0"/>
        <v>6</v>
      </c>
      <c r="J15" s="24">
        <f t="shared" si="0"/>
        <v>12</v>
      </c>
      <c r="L15">
        <f t="shared" si="1"/>
        <v>64</v>
      </c>
      <c r="M15" s="1">
        <f>(32*16*16)*L15*'analog-mvmu-specs'!J$24</f>
        <v>1226.83392</v>
      </c>
      <c r="N15" s="1">
        <f t="shared" si="2"/>
        <v>87054.927113702608</v>
      </c>
      <c r="O15" s="38">
        <f t="shared" si="3"/>
        <v>1379.4025161516033</v>
      </c>
      <c r="Q15" s="1">
        <f t="shared" si="4"/>
        <v>15.673469387755114</v>
      </c>
      <c r="R15" s="1">
        <f t="shared" si="5"/>
        <v>250.77551020408183</v>
      </c>
      <c r="S15" s="40">
        <f t="shared" si="6"/>
        <v>3.9183673469387785</v>
      </c>
      <c r="U15" s="1">
        <f t="shared" si="7"/>
        <v>1.3896799357362635</v>
      </c>
    </row>
    <row r="16" spans="1:21" x14ac:dyDescent="0.25">
      <c r="A16">
        <v>0</v>
      </c>
      <c r="B16">
        <v>21</v>
      </c>
      <c r="C16" s="29">
        <v>6</v>
      </c>
      <c r="D16">
        <v>4.8599999999999997E-3</v>
      </c>
      <c r="E16">
        <v>4.05</v>
      </c>
      <c r="F16">
        <v>4444444444.4444399</v>
      </c>
      <c r="H16" s="24">
        <f>_xlfn.CEILING.MATH(('analog-mvmu-specs'!B$14)/(D16*10^6))</f>
        <v>6</v>
      </c>
      <c r="I16" s="36">
        <f t="shared" si="0"/>
        <v>12</v>
      </c>
      <c r="J16" s="24">
        <f t="shared" si="0"/>
        <v>24</v>
      </c>
      <c r="L16">
        <f t="shared" si="1"/>
        <v>64</v>
      </c>
      <c r="M16" s="1">
        <f>(32*16*16)*L16*'analog-mvmu-specs'!J$24</f>
        <v>1226.83392</v>
      </c>
      <c r="N16" s="1">
        <f t="shared" si="2"/>
        <v>33177.599999999999</v>
      </c>
      <c r="O16" s="38">
        <f t="shared" si="3"/>
        <v>537.56927999999994</v>
      </c>
      <c r="Q16" s="1">
        <f t="shared" si="4"/>
        <v>4.8000000000000052</v>
      </c>
      <c r="R16" s="1">
        <f t="shared" si="5"/>
        <v>76.800000000000082</v>
      </c>
      <c r="S16" s="40">
        <f t="shared" si="6"/>
        <v>1.2000000000000013</v>
      </c>
      <c r="U16" s="1">
        <f t="shared" si="7"/>
        <v>3.565918052460141</v>
      </c>
    </row>
    <row r="17" spans="1:21" x14ac:dyDescent="0.25">
      <c r="A17">
        <v>0</v>
      </c>
      <c r="B17">
        <v>31</v>
      </c>
      <c r="C17" s="29">
        <v>6</v>
      </c>
      <c r="D17">
        <v>3.0374999999999899E-2</v>
      </c>
      <c r="E17">
        <v>10.124999999999901</v>
      </c>
      <c r="F17">
        <v>4444444444.4444399</v>
      </c>
      <c r="H17" s="24">
        <f>_xlfn.CEILING.MATH(('analog-mvmu-specs'!B$14)/(D17*10^6))</f>
        <v>1</v>
      </c>
      <c r="I17" s="36">
        <f t="shared" si="0"/>
        <v>2</v>
      </c>
      <c r="J17" s="24">
        <f t="shared" si="0"/>
        <v>4</v>
      </c>
      <c r="L17">
        <f t="shared" si="1"/>
        <v>64</v>
      </c>
      <c r="M17" s="1">
        <f>(32*16*16)*L17*'analog-mvmu-specs'!J$24</f>
        <v>1226.83392</v>
      </c>
      <c r="N17" s="1">
        <f t="shared" si="2"/>
        <v>82943.999999999185</v>
      </c>
      <c r="O17" s="38">
        <f t="shared" si="3"/>
        <v>1315.1692799999873</v>
      </c>
      <c r="Q17" s="1">
        <f t="shared" si="4"/>
        <v>28.800000000000029</v>
      </c>
      <c r="R17" s="1">
        <f t="shared" si="5"/>
        <v>460.80000000000047</v>
      </c>
      <c r="S17" s="40">
        <f t="shared" si="6"/>
        <v>7.2000000000000073</v>
      </c>
      <c r="U17" s="1">
        <f t="shared" si="7"/>
        <v>1.4575522931922638</v>
      </c>
    </row>
    <row r="18" spans="1:21" x14ac:dyDescent="0.25">
      <c r="A18">
        <v>0</v>
      </c>
      <c r="B18">
        <v>32</v>
      </c>
      <c r="C18" s="29">
        <v>6</v>
      </c>
      <c r="D18">
        <v>2.9531249999999998E-2</v>
      </c>
      <c r="E18">
        <v>3.7124999999999999</v>
      </c>
      <c r="F18">
        <v>6666666666.6666603</v>
      </c>
      <c r="H18" s="24">
        <f>_xlfn.CEILING.MATH(('analog-mvmu-specs'!B$14)/(D18*10^6))</f>
        <v>1</v>
      </c>
      <c r="I18" s="36">
        <f t="shared" si="0"/>
        <v>2</v>
      </c>
      <c r="J18" s="24">
        <f t="shared" si="0"/>
        <v>4</v>
      </c>
      <c r="L18">
        <f t="shared" si="1"/>
        <v>64</v>
      </c>
      <c r="M18" s="1">
        <f>(32*16*16)*L18*'analog-mvmu-specs'!J$24</f>
        <v>1226.83392</v>
      </c>
      <c r="N18" s="1">
        <f t="shared" si="2"/>
        <v>30412.799999999999</v>
      </c>
      <c r="O18" s="38">
        <f t="shared" si="3"/>
        <v>494.36928</v>
      </c>
      <c r="Q18" s="1">
        <f t="shared" si="4"/>
        <v>19.200000000000017</v>
      </c>
      <c r="R18" s="1">
        <f t="shared" si="5"/>
        <v>307.20000000000027</v>
      </c>
      <c r="S18" s="40">
        <f t="shared" si="6"/>
        <v>4.8000000000000043</v>
      </c>
      <c r="U18" s="1">
        <f t="shared" si="7"/>
        <v>3.8775224868341334</v>
      </c>
    </row>
    <row r="19" spans="1:21" x14ac:dyDescent="0.25">
      <c r="A19">
        <v>0</v>
      </c>
      <c r="B19">
        <v>46</v>
      </c>
      <c r="C19" s="29">
        <v>6</v>
      </c>
      <c r="D19">
        <v>1.3224489795918301E-2</v>
      </c>
      <c r="E19">
        <v>6.9301412872841404</v>
      </c>
      <c r="F19">
        <v>10111111111.111099</v>
      </c>
      <c r="H19" s="24">
        <f>_xlfn.CEILING.MATH(('analog-mvmu-specs'!B$14)/(D19*10^6))</f>
        <v>3</v>
      </c>
      <c r="I19" s="36">
        <f t="shared" si="0"/>
        <v>6</v>
      </c>
      <c r="J19" s="24">
        <f t="shared" si="0"/>
        <v>12</v>
      </c>
      <c r="L19">
        <f t="shared" si="1"/>
        <v>64</v>
      </c>
      <c r="M19" s="1">
        <f>(32*16*16)*L19*'analog-mvmu-specs'!J$24</f>
        <v>1226.83392</v>
      </c>
      <c r="N19" s="1">
        <f t="shared" si="2"/>
        <v>56771.717425431678</v>
      </c>
      <c r="O19" s="38">
        <f t="shared" si="3"/>
        <v>906.22736477236992</v>
      </c>
      <c r="Q19" s="1">
        <f t="shared" si="4"/>
        <v>4.2197802197802252</v>
      </c>
      <c r="R19" s="1">
        <f t="shared" si="5"/>
        <v>67.516483516483603</v>
      </c>
      <c r="S19" s="40">
        <f t="shared" si="6"/>
        <v>1.0549450549450563</v>
      </c>
      <c r="U19" s="1">
        <f t="shared" si="7"/>
        <v>2.1152837295765203</v>
      </c>
    </row>
    <row r="20" spans="1:21" x14ac:dyDescent="0.25">
      <c r="A20">
        <v>0</v>
      </c>
      <c r="B20">
        <v>47</v>
      </c>
      <c r="C20" s="29">
        <v>6</v>
      </c>
      <c r="D20">
        <v>5.7857142857142803E-3</v>
      </c>
      <c r="E20">
        <v>4.50834879406308</v>
      </c>
      <c r="F20">
        <v>8555555555.5555496</v>
      </c>
      <c r="H20" s="24">
        <f>_xlfn.CEILING.MATH(('analog-mvmu-specs'!B$14)/(D20*10^6))</f>
        <v>5</v>
      </c>
      <c r="I20" s="36">
        <f t="shared" si="0"/>
        <v>10</v>
      </c>
      <c r="J20" s="24">
        <f t="shared" si="0"/>
        <v>20</v>
      </c>
      <c r="L20">
        <f t="shared" si="1"/>
        <v>64</v>
      </c>
      <c r="M20" s="1">
        <f>(32*16*16)*L20*'analog-mvmu-specs'!J$24</f>
        <v>1226.83392</v>
      </c>
      <c r="N20" s="1">
        <f t="shared" si="2"/>
        <v>36932.393320964751</v>
      </c>
      <c r="O20" s="38">
        <f t="shared" si="3"/>
        <v>596.2379256400742</v>
      </c>
      <c r="Q20" s="1">
        <f t="shared" si="4"/>
        <v>2.9922077922077941</v>
      </c>
      <c r="R20" s="1">
        <f t="shared" si="5"/>
        <v>47.875324675324705</v>
      </c>
      <c r="S20" s="40">
        <f t="shared" si="6"/>
        <v>0.74805194805194852</v>
      </c>
      <c r="U20" s="1">
        <f t="shared" si="7"/>
        <v>3.2150386910429032</v>
      </c>
    </row>
    <row r="21" spans="1:21" x14ac:dyDescent="0.25">
      <c r="A21">
        <v>0</v>
      </c>
      <c r="B21">
        <v>53</v>
      </c>
      <c r="C21" s="29">
        <v>6</v>
      </c>
      <c r="D21">
        <v>7.4999999999999997E-3</v>
      </c>
      <c r="E21">
        <v>16.098484848484802</v>
      </c>
      <c r="F21">
        <v>5280000000</v>
      </c>
      <c r="H21" s="24">
        <f>_xlfn.CEILING.MATH(('analog-mvmu-specs'!B$14)/(D21*10^6))</f>
        <v>4</v>
      </c>
      <c r="I21" s="36">
        <f t="shared" si="0"/>
        <v>8</v>
      </c>
      <c r="J21" s="24">
        <f t="shared" si="0"/>
        <v>16</v>
      </c>
      <c r="L21">
        <f t="shared" si="1"/>
        <v>64</v>
      </c>
      <c r="M21" s="1">
        <f>(32*16*16)*L21*'analog-mvmu-specs'!J$24</f>
        <v>1226.83392</v>
      </c>
      <c r="N21" s="1">
        <f t="shared" si="2"/>
        <v>131878.78787878749</v>
      </c>
      <c r="O21" s="38">
        <f t="shared" si="3"/>
        <v>2079.7753406060547</v>
      </c>
      <c r="Q21" s="1">
        <f t="shared" si="4"/>
        <v>6.0606060606060606</v>
      </c>
      <c r="R21" s="1">
        <f t="shared" si="5"/>
        <v>96.969696969696969</v>
      </c>
      <c r="S21" s="40">
        <f t="shared" si="6"/>
        <v>1.5151515151515151</v>
      </c>
      <c r="U21" s="1">
        <f t="shared" si="7"/>
        <v>0.92169955214556964</v>
      </c>
    </row>
    <row r="22" spans="1:21" x14ac:dyDescent="0.25">
      <c r="A22">
        <v>0</v>
      </c>
      <c r="B22">
        <v>79</v>
      </c>
      <c r="C22" s="29">
        <v>6</v>
      </c>
      <c r="D22">
        <v>3.125E-2</v>
      </c>
      <c r="E22">
        <v>9.6875</v>
      </c>
      <c r="F22">
        <v>8000000000</v>
      </c>
      <c r="H22" s="24">
        <f>_xlfn.CEILING.MATH(('analog-mvmu-specs'!B$14)/(D22*10^6))</f>
        <v>1</v>
      </c>
      <c r="I22" s="36">
        <f t="shared" si="0"/>
        <v>2</v>
      </c>
      <c r="J22" s="24">
        <f t="shared" si="0"/>
        <v>4</v>
      </c>
      <c r="L22">
        <f t="shared" si="1"/>
        <v>64</v>
      </c>
      <c r="M22" s="1">
        <f>(32*16*16)*L22*'analog-mvmu-specs'!J$24</f>
        <v>1226.83392</v>
      </c>
      <c r="N22" s="1">
        <f t="shared" si="2"/>
        <v>79360</v>
      </c>
      <c r="O22" s="38">
        <f t="shared" si="3"/>
        <v>1259.1692800000001</v>
      </c>
      <c r="Q22" s="1">
        <f t="shared" si="4"/>
        <v>16</v>
      </c>
      <c r="R22" s="1">
        <f t="shared" si="5"/>
        <v>256</v>
      </c>
      <c r="S22" s="40">
        <f t="shared" si="6"/>
        <v>4</v>
      </c>
      <c r="U22" s="1">
        <f t="shared" si="7"/>
        <v>1.5223751329130266</v>
      </c>
    </row>
    <row r="23" spans="1:21" x14ac:dyDescent="0.25">
      <c r="A23">
        <v>0</v>
      </c>
      <c r="B23">
        <v>141</v>
      </c>
      <c r="C23" s="29">
        <v>6</v>
      </c>
      <c r="D23">
        <v>3.2500000000000001E-2</v>
      </c>
      <c r="E23">
        <v>13.75</v>
      </c>
      <c r="F23">
        <v>2000000000</v>
      </c>
      <c r="H23" s="24">
        <f>_xlfn.CEILING.MATH(('analog-mvmu-specs'!B$14)/(D23*10^6))</f>
        <v>1</v>
      </c>
      <c r="I23" s="36">
        <f t="shared" si="0"/>
        <v>2</v>
      </c>
      <c r="J23" s="24">
        <f t="shared" si="0"/>
        <v>4</v>
      </c>
      <c r="L23">
        <f t="shared" si="1"/>
        <v>64</v>
      </c>
      <c r="M23" s="1">
        <f>(32*16*16)*L23*'analog-mvmu-specs'!J$24</f>
        <v>1226.83392</v>
      </c>
      <c r="N23" s="1">
        <f t="shared" si="2"/>
        <v>112640</v>
      </c>
      <c r="O23" s="38">
        <f t="shared" si="3"/>
        <v>1779.1692800000001</v>
      </c>
      <c r="Q23" s="1">
        <f t="shared" si="4"/>
        <v>64</v>
      </c>
      <c r="R23" s="1">
        <f t="shared" si="5"/>
        <v>1024</v>
      </c>
      <c r="S23" s="40">
        <f t="shared" si="6"/>
        <v>16</v>
      </c>
      <c r="U23" s="1">
        <f t="shared" si="7"/>
        <v>1.0774286750274824</v>
      </c>
    </row>
    <row r="24" spans="1:21" x14ac:dyDescent="0.25">
      <c r="A24">
        <v>0</v>
      </c>
      <c r="B24">
        <v>144</v>
      </c>
      <c r="C24" s="29">
        <v>6</v>
      </c>
      <c r="D24">
        <v>1.4378698224852E-2</v>
      </c>
      <c r="E24">
        <v>1.0584319526627199</v>
      </c>
      <c r="F24">
        <v>1733333333.3333299</v>
      </c>
      <c r="H24" s="24">
        <f>_xlfn.CEILING.MATH(('analog-mvmu-specs'!B$14)/(D24*10^6))</f>
        <v>2</v>
      </c>
      <c r="I24" s="36">
        <f t="shared" si="0"/>
        <v>4</v>
      </c>
      <c r="J24" s="24">
        <f t="shared" si="0"/>
        <v>8</v>
      </c>
      <c r="L24">
        <f t="shared" si="1"/>
        <v>64</v>
      </c>
      <c r="M24" s="1">
        <f>(32*16*16)*L24*'analog-mvmu-specs'!J$24</f>
        <v>1226.83392</v>
      </c>
      <c r="N24" s="1">
        <f t="shared" si="2"/>
        <v>8670.6745562130018</v>
      </c>
      <c r="O24" s="38">
        <f t="shared" si="3"/>
        <v>154.64856994082817</v>
      </c>
      <c r="Q24" s="1">
        <f t="shared" si="4"/>
        <v>36.923076923076998</v>
      </c>
      <c r="R24" s="1">
        <f t="shared" si="5"/>
        <v>590.76923076923197</v>
      </c>
      <c r="S24" s="40">
        <f t="shared" si="6"/>
        <v>9.2307692307692495</v>
      </c>
      <c r="U24" s="1">
        <f t="shared" si="7"/>
        <v>12.395381352271524</v>
      </c>
    </row>
    <row r="25" spans="1:21" x14ac:dyDescent="0.25">
      <c r="A25">
        <v>0</v>
      </c>
      <c r="B25">
        <v>175</v>
      </c>
      <c r="C25" s="29">
        <v>6</v>
      </c>
      <c r="D25">
        <v>1.0784023668639E-2</v>
      </c>
      <c r="E25">
        <v>3.0674556213017699</v>
      </c>
      <c r="F25">
        <v>3611111111.1111102</v>
      </c>
      <c r="H25" s="24">
        <f>_xlfn.CEILING.MATH(('analog-mvmu-specs'!B$14)/(D25*10^6))</f>
        <v>3</v>
      </c>
      <c r="I25" s="36">
        <f t="shared" si="0"/>
        <v>6</v>
      </c>
      <c r="J25" s="24">
        <f t="shared" si="0"/>
        <v>12</v>
      </c>
      <c r="L25">
        <f t="shared" si="1"/>
        <v>64</v>
      </c>
      <c r="M25" s="1">
        <f>(32*16*16)*L25*'analog-mvmu-specs'!J$24</f>
        <v>1226.83392</v>
      </c>
      <c r="N25" s="1">
        <f t="shared" si="2"/>
        <v>25128.596449704099</v>
      </c>
      <c r="O25" s="38">
        <f t="shared" si="3"/>
        <v>411.80359952662656</v>
      </c>
      <c r="Q25" s="1">
        <f t="shared" si="4"/>
        <v>11.815384615384618</v>
      </c>
      <c r="R25" s="1">
        <f t="shared" si="5"/>
        <v>189.04615384615389</v>
      </c>
      <c r="S25" s="40">
        <f t="shared" si="6"/>
        <v>2.9538461538461545</v>
      </c>
      <c r="U25" s="1">
        <f t="shared" si="7"/>
        <v>4.6549568828527317</v>
      </c>
    </row>
    <row r="26" spans="1:21" x14ac:dyDescent="0.25">
      <c r="A26">
        <v>0</v>
      </c>
      <c r="B26">
        <v>176</v>
      </c>
      <c r="C26" s="29">
        <v>6</v>
      </c>
      <c r="D26">
        <v>4</v>
      </c>
      <c r="E26">
        <v>12.499999999999901</v>
      </c>
      <c r="F26">
        <v>48000000000</v>
      </c>
      <c r="H26" s="24">
        <f>_xlfn.CEILING.MATH(('analog-mvmu-specs'!B$14)/(D26*10^6))</f>
        <v>1</v>
      </c>
      <c r="I26" s="36">
        <f t="shared" si="0"/>
        <v>2</v>
      </c>
      <c r="J26" s="24">
        <f t="shared" si="0"/>
        <v>4</v>
      </c>
      <c r="L26">
        <f t="shared" si="1"/>
        <v>64</v>
      </c>
      <c r="M26" s="1">
        <f>(32*16*16)*L26*'analog-mvmu-specs'!J$24</f>
        <v>1226.83392</v>
      </c>
      <c r="N26" s="1">
        <f t="shared" si="2"/>
        <v>102399.99999999919</v>
      </c>
      <c r="O26" s="38">
        <f t="shared" si="3"/>
        <v>1619.1692799999873</v>
      </c>
      <c r="Q26" s="1">
        <f t="shared" si="4"/>
        <v>2.6666666666666665</v>
      </c>
      <c r="R26" s="1">
        <f t="shared" si="5"/>
        <v>42.666666666666664</v>
      </c>
      <c r="S26" s="40">
        <f t="shared" si="6"/>
        <v>0.66666666666666663</v>
      </c>
      <c r="U26" s="1">
        <f t="shared" si="7"/>
        <v>1.1838959790541572</v>
      </c>
    </row>
    <row r="27" spans="1:21" x14ac:dyDescent="0.25">
      <c r="A27">
        <v>0</v>
      </c>
      <c r="B27">
        <v>179</v>
      </c>
      <c r="C27" s="29">
        <v>6</v>
      </c>
      <c r="D27">
        <v>0.125</v>
      </c>
      <c r="E27">
        <v>0.25937499999999902</v>
      </c>
      <c r="F27">
        <v>1600000</v>
      </c>
      <c r="H27" s="24">
        <f>_xlfn.CEILING.MATH(('analog-mvmu-specs'!B$14)/(D27*10^6))</f>
        <v>1</v>
      </c>
      <c r="I27" s="36">
        <f t="shared" si="0"/>
        <v>2</v>
      </c>
      <c r="J27" s="24">
        <f t="shared" si="0"/>
        <v>4</v>
      </c>
      <c r="L27">
        <f t="shared" si="1"/>
        <v>64</v>
      </c>
      <c r="M27" s="1">
        <f>(32*16*16)*L27*'analog-mvmu-specs'!J$24</f>
        <v>1226.83392</v>
      </c>
      <c r="N27" s="1">
        <f t="shared" si="2"/>
        <v>2124.799999999992</v>
      </c>
      <c r="O27" s="38">
        <f t="shared" si="3"/>
        <v>52.369279999999875</v>
      </c>
      <c r="Q27" s="1">
        <f t="shared" si="4"/>
        <v>80000</v>
      </c>
      <c r="R27" s="1">
        <f t="shared" si="5"/>
        <v>1280000</v>
      </c>
      <c r="S27" s="40">
        <f t="shared" si="6"/>
        <v>20000</v>
      </c>
      <c r="U27" s="1">
        <f t="shared" si="7"/>
        <v>36.604054896305712</v>
      </c>
    </row>
    <row r="28" spans="1:21" x14ac:dyDescent="0.25">
      <c r="A28">
        <v>0</v>
      </c>
      <c r="B28">
        <v>197</v>
      </c>
      <c r="C28" s="29">
        <v>6</v>
      </c>
      <c r="D28">
        <v>3.7968749999999898E-2</v>
      </c>
      <c r="E28">
        <v>1.49573863636363</v>
      </c>
      <c r="F28">
        <v>1955555555.5555501</v>
      </c>
      <c r="H28" s="24">
        <f>_xlfn.CEILING.MATH(('analog-mvmu-specs'!B$14)/(D28*10^6))</f>
        <v>1</v>
      </c>
      <c r="I28" s="36">
        <f t="shared" si="0"/>
        <v>2</v>
      </c>
      <c r="J28" s="24">
        <f t="shared" si="0"/>
        <v>4</v>
      </c>
      <c r="L28">
        <f t="shared" si="1"/>
        <v>64</v>
      </c>
      <c r="M28" s="1">
        <f>(32*16*16)*L28*'analog-mvmu-specs'!J$24</f>
        <v>1226.83392</v>
      </c>
      <c r="N28" s="1">
        <f t="shared" si="2"/>
        <v>12253.090909090857</v>
      </c>
      <c r="O28" s="38">
        <f t="shared" si="3"/>
        <v>210.62382545454466</v>
      </c>
      <c r="Q28" s="1">
        <f t="shared" si="4"/>
        <v>65.454545454545638</v>
      </c>
      <c r="R28" s="1">
        <f t="shared" si="5"/>
        <v>1047.2727272727302</v>
      </c>
      <c r="S28" s="40">
        <f t="shared" si="6"/>
        <v>16.363636363636409</v>
      </c>
      <c r="U28" s="1">
        <f t="shared" si="7"/>
        <v>9.1011925923532235</v>
      </c>
    </row>
    <row r="29" spans="1:21" x14ac:dyDescent="0.25">
      <c r="A29">
        <v>0</v>
      </c>
      <c r="B29">
        <v>207</v>
      </c>
      <c r="C29" s="29">
        <v>6</v>
      </c>
      <c r="D29">
        <v>7.66863905325443</v>
      </c>
      <c r="E29">
        <v>17.973372781064999</v>
      </c>
      <c r="F29">
        <v>57777777777.777702</v>
      </c>
      <c r="H29" s="24">
        <f>_xlfn.CEILING.MATH(('analog-mvmu-specs'!B$14)/(D29*10^6))</f>
        <v>1</v>
      </c>
      <c r="I29" s="36">
        <f t="shared" si="0"/>
        <v>2</v>
      </c>
      <c r="J29" s="24">
        <f t="shared" si="0"/>
        <v>4</v>
      </c>
      <c r="L29">
        <f t="shared" si="1"/>
        <v>64</v>
      </c>
      <c r="M29" s="1">
        <f>(32*16*16)*L29*'analog-mvmu-specs'!J$24</f>
        <v>1226.83392</v>
      </c>
      <c r="N29" s="1">
        <f t="shared" si="2"/>
        <v>147237.86982248447</v>
      </c>
      <c r="O29" s="38">
        <f t="shared" si="3"/>
        <v>2319.7609959763199</v>
      </c>
      <c r="Q29" s="1">
        <f t="shared" si="4"/>
        <v>2.2153846153846182</v>
      </c>
      <c r="R29" s="1">
        <f t="shared" si="5"/>
        <v>35.446153846153891</v>
      </c>
      <c r="S29" s="40">
        <f t="shared" si="6"/>
        <v>0.55384615384615454</v>
      </c>
      <c r="U29" s="1">
        <f t="shared" si="7"/>
        <v>0.82634719840748971</v>
      </c>
    </row>
    <row r="30" spans="1:21" x14ac:dyDescent="0.25">
      <c r="A30">
        <v>0</v>
      </c>
      <c r="B30">
        <v>243</v>
      </c>
      <c r="C30" s="29">
        <v>6</v>
      </c>
      <c r="D30">
        <v>0.34171875000000002</v>
      </c>
      <c r="E30">
        <v>30.374999999999901</v>
      </c>
      <c r="F30">
        <v>8888888888.8888893</v>
      </c>
      <c r="H30" s="24">
        <f>_xlfn.CEILING.MATH(('analog-mvmu-specs'!B$14)/(D30*10^6))</f>
        <v>1</v>
      </c>
      <c r="I30" s="36">
        <f t="shared" si="0"/>
        <v>2</v>
      </c>
      <c r="J30" s="24">
        <f t="shared" si="0"/>
        <v>4</v>
      </c>
      <c r="L30">
        <f t="shared" si="1"/>
        <v>64</v>
      </c>
      <c r="M30" s="1">
        <f>(32*16*16)*L30*'analog-mvmu-specs'!J$24</f>
        <v>1226.83392</v>
      </c>
      <c r="N30" s="1">
        <f t="shared" si="2"/>
        <v>248831.99999999919</v>
      </c>
      <c r="O30" s="38">
        <f t="shared" si="3"/>
        <v>3907.1692799999873</v>
      </c>
      <c r="Q30" s="1">
        <f t="shared" si="4"/>
        <v>14.399999999999999</v>
      </c>
      <c r="R30" s="1">
        <f t="shared" si="5"/>
        <v>230.39999999999998</v>
      </c>
      <c r="S30" s="40">
        <f t="shared" si="6"/>
        <v>3.5999999999999996</v>
      </c>
      <c r="U30" s="1">
        <f t="shared" si="7"/>
        <v>0.49061810805392247</v>
      </c>
    </row>
    <row r="31" spans="1:21" x14ac:dyDescent="0.25">
      <c r="A31">
        <v>0</v>
      </c>
      <c r="B31">
        <v>256</v>
      </c>
      <c r="C31" s="29">
        <v>6</v>
      </c>
      <c r="D31">
        <v>0.494384765625</v>
      </c>
      <c r="E31">
        <v>6.8719482421875</v>
      </c>
      <c r="F31">
        <v>14222222222.2222</v>
      </c>
      <c r="H31" s="24">
        <f>_xlfn.CEILING.MATH(('analog-mvmu-specs'!B$14)/(D31*10^6))</f>
        <v>1</v>
      </c>
      <c r="I31" s="36">
        <f t="shared" si="0"/>
        <v>2</v>
      </c>
      <c r="J31" s="24">
        <f t="shared" si="0"/>
        <v>4</v>
      </c>
      <c r="L31">
        <f t="shared" si="1"/>
        <v>64</v>
      </c>
      <c r="M31" s="1">
        <f>(32*16*16)*L31*'analog-mvmu-specs'!J$24</f>
        <v>1226.83392</v>
      </c>
      <c r="N31" s="1">
        <f t="shared" si="2"/>
        <v>56295</v>
      </c>
      <c r="O31" s="38">
        <f t="shared" si="3"/>
        <v>898.77865499999996</v>
      </c>
      <c r="Q31" s="1">
        <f t="shared" si="4"/>
        <v>9.0000000000000142</v>
      </c>
      <c r="R31" s="1">
        <f t="shared" si="5"/>
        <v>144.00000000000023</v>
      </c>
      <c r="S31" s="40">
        <f t="shared" si="6"/>
        <v>2.2500000000000036</v>
      </c>
      <c r="U31" s="1">
        <f t="shared" si="7"/>
        <v>2.1328143356942539</v>
      </c>
    </row>
    <row r="32" spans="1:21" x14ac:dyDescent="0.25">
      <c r="A32">
        <v>0</v>
      </c>
      <c r="B32">
        <v>257</v>
      </c>
      <c r="C32" s="29">
        <v>6</v>
      </c>
      <c r="D32">
        <v>2.3246173469387701E-2</v>
      </c>
      <c r="E32">
        <v>8.2653061224489708</v>
      </c>
      <c r="F32">
        <v>6222222222.2222204</v>
      </c>
      <c r="H32" s="24">
        <f>_xlfn.CEILING.MATH(('analog-mvmu-specs'!B$14)/(D32*10^6))</f>
        <v>2</v>
      </c>
      <c r="I32" s="36">
        <f t="shared" si="0"/>
        <v>4</v>
      </c>
      <c r="J32" s="24">
        <f t="shared" si="0"/>
        <v>8</v>
      </c>
      <c r="L32">
        <f t="shared" si="1"/>
        <v>64</v>
      </c>
      <c r="M32" s="1">
        <f>(32*16*16)*L32*'analog-mvmu-specs'!J$24</f>
        <v>1226.83392</v>
      </c>
      <c r="N32" s="1">
        <f t="shared" si="2"/>
        <v>67709.387755101969</v>
      </c>
      <c r="O32" s="38">
        <f t="shared" si="3"/>
        <v>1077.1284636734683</v>
      </c>
      <c r="Q32" s="1">
        <f t="shared" si="4"/>
        <v>10.285714285714288</v>
      </c>
      <c r="R32" s="1">
        <f t="shared" si="5"/>
        <v>164.57142857142861</v>
      </c>
      <c r="S32" s="40">
        <f t="shared" si="6"/>
        <v>2.5714285714285721</v>
      </c>
      <c r="U32" s="1">
        <f t="shared" si="7"/>
        <v>1.7796651603305111</v>
      </c>
    </row>
    <row r="33" spans="1:21" x14ac:dyDescent="0.25">
      <c r="A33">
        <v>0</v>
      </c>
      <c r="B33">
        <v>277</v>
      </c>
      <c r="C33" s="29">
        <v>6</v>
      </c>
      <c r="D33">
        <v>4.3136094674556202E-2</v>
      </c>
      <c r="E33">
        <v>0.52721893491124205</v>
      </c>
      <c r="F33">
        <v>7222222222.2222204</v>
      </c>
      <c r="H33" s="24">
        <f>_xlfn.CEILING.MATH(('analog-mvmu-specs'!B$14)/(D33*10^6))</f>
        <v>1</v>
      </c>
      <c r="I33" s="36">
        <f t="shared" si="0"/>
        <v>2</v>
      </c>
      <c r="J33" s="24">
        <f t="shared" si="0"/>
        <v>4</v>
      </c>
      <c r="L33">
        <f t="shared" si="1"/>
        <v>64</v>
      </c>
      <c r="M33" s="1">
        <f>(32*16*16)*L33*'analog-mvmu-specs'!J$24</f>
        <v>1226.83392</v>
      </c>
      <c r="N33" s="1">
        <f t="shared" si="2"/>
        <v>4318.9775147928949</v>
      </c>
      <c r="O33" s="38">
        <f t="shared" si="3"/>
        <v>86.653303668638983</v>
      </c>
      <c r="Q33" s="1">
        <f t="shared" si="4"/>
        <v>17.723076923076928</v>
      </c>
      <c r="R33" s="1">
        <f t="shared" si="5"/>
        <v>283.56923076923084</v>
      </c>
      <c r="S33" s="40">
        <f t="shared" si="6"/>
        <v>4.4307692307692319</v>
      </c>
      <c r="U33" s="1">
        <f t="shared" si="7"/>
        <v>22.121810927489918</v>
      </c>
    </row>
    <row r="34" spans="1:21" x14ac:dyDescent="0.25">
      <c r="A34">
        <v>0</v>
      </c>
      <c r="B34">
        <v>290</v>
      </c>
      <c r="C34" s="29">
        <v>6</v>
      </c>
      <c r="D34">
        <v>7.3406250000000001E-4</v>
      </c>
      <c r="E34">
        <v>1.5946875</v>
      </c>
      <c r="F34">
        <v>888888888.888888</v>
      </c>
      <c r="H34" s="24">
        <f>_xlfn.CEILING.MATH(('analog-mvmu-specs'!B$14)/(D34*10^6))</f>
        <v>39</v>
      </c>
      <c r="I34" s="36">
        <f t="shared" si="0"/>
        <v>78</v>
      </c>
      <c r="J34" s="24">
        <f t="shared" si="0"/>
        <v>156</v>
      </c>
      <c r="L34">
        <f t="shared" si="1"/>
        <v>64</v>
      </c>
      <c r="M34" s="1">
        <f>(32*16*16)*L34*'analog-mvmu-specs'!J$24</f>
        <v>1226.83392</v>
      </c>
      <c r="N34" s="1">
        <f t="shared" si="2"/>
        <v>13063.68</v>
      </c>
      <c r="O34" s="38">
        <f t="shared" si="3"/>
        <v>223.28928000000002</v>
      </c>
      <c r="Q34" s="1">
        <f t="shared" si="4"/>
        <v>3.6923076923076961</v>
      </c>
      <c r="R34" s="1">
        <f t="shared" si="5"/>
        <v>59.076923076923137</v>
      </c>
      <c r="S34" s="40">
        <f t="shared" si="6"/>
        <v>0.92307692307692402</v>
      </c>
      <c r="U34" s="1">
        <f t="shared" si="7"/>
        <v>8.5849531155279823</v>
      </c>
    </row>
    <row r="35" spans="1:21" x14ac:dyDescent="0.25">
      <c r="A35">
        <v>0</v>
      </c>
      <c r="B35">
        <v>305</v>
      </c>
      <c r="C35" s="29">
        <v>6</v>
      </c>
      <c r="D35">
        <v>2.0369822485207099E-2</v>
      </c>
      <c r="E35">
        <v>45.532544378698198</v>
      </c>
      <c r="F35">
        <v>86666666.666666597</v>
      </c>
      <c r="H35" s="24">
        <f>_xlfn.CEILING.MATH(('analog-mvmu-specs'!B$14)/(D35*10^6))</f>
        <v>2</v>
      </c>
      <c r="I35" s="36">
        <f t="shared" si="0"/>
        <v>4</v>
      </c>
      <c r="J35" s="24">
        <f t="shared" si="0"/>
        <v>8</v>
      </c>
      <c r="L35">
        <f t="shared" si="1"/>
        <v>64</v>
      </c>
      <c r="M35" s="1">
        <f>(32*16*16)*L35*'analog-mvmu-specs'!J$24</f>
        <v>1226.83392</v>
      </c>
      <c r="N35" s="1">
        <f t="shared" si="2"/>
        <v>373002.60355029564</v>
      </c>
      <c r="O35" s="38">
        <f t="shared" si="3"/>
        <v>5847.3349604733694</v>
      </c>
      <c r="Q35" s="1">
        <f t="shared" si="4"/>
        <v>738.46153846153902</v>
      </c>
      <c r="R35" s="1">
        <f t="shared" si="5"/>
        <v>11815.384615384624</v>
      </c>
      <c r="S35" s="40">
        <f t="shared" si="6"/>
        <v>184.61538461538476</v>
      </c>
      <c r="U35" s="1">
        <f t="shared" si="7"/>
        <v>0.32782934669520214</v>
      </c>
    </row>
    <row r="36" spans="1:21" x14ac:dyDescent="0.25">
      <c r="A36">
        <v>0</v>
      </c>
      <c r="B36">
        <v>338</v>
      </c>
      <c r="C36" s="29">
        <v>6</v>
      </c>
      <c r="D36">
        <v>0.15497448979591799</v>
      </c>
      <c r="E36">
        <v>118.329480229591</v>
      </c>
      <c r="F36">
        <v>99555555.555555493</v>
      </c>
      <c r="H36" s="24">
        <f>_xlfn.CEILING.MATH(('analog-mvmu-specs'!B$14)/(D36*10^6))</f>
        <v>1</v>
      </c>
      <c r="I36" s="36">
        <f t="shared" si="0"/>
        <v>2</v>
      </c>
      <c r="J36" s="24">
        <f t="shared" si="0"/>
        <v>4</v>
      </c>
      <c r="L36">
        <f t="shared" si="1"/>
        <v>64</v>
      </c>
      <c r="M36" s="1">
        <f>(32*16*16)*L36*'analog-mvmu-specs'!J$24</f>
        <v>1226.83392</v>
      </c>
      <c r="N36" s="1">
        <f t="shared" si="2"/>
        <v>969355.10204080946</v>
      </c>
      <c r="O36" s="38">
        <f t="shared" si="3"/>
        <v>15165.342749387648</v>
      </c>
      <c r="Q36" s="1">
        <f t="shared" si="4"/>
        <v>1285.7142857142865</v>
      </c>
      <c r="R36" s="1">
        <f t="shared" si="5"/>
        <v>20571.428571428583</v>
      </c>
      <c r="S36" s="40">
        <f t="shared" si="6"/>
        <v>321.42857142857162</v>
      </c>
      <c r="U36" s="1">
        <f t="shared" si="7"/>
        <v>0.12640189092181264</v>
      </c>
    </row>
    <row r="37" spans="1:21" x14ac:dyDescent="0.25">
      <c r="A37">
        <v>1</v>
      </c>
      <c r="B37">
        <v>7</v>
      </c>
      <c r="C37" s="29">
        <v>6</v>
      </c>
      <c r="D37">
        <v>7.9346938775510203E-2</v>
      </c>
      <c r="E37">
        <v>6.6122448979591804</v>
      </c>
      <c r="F37">
        <v>388888888.888888</v>
      </c>
      <c r="H37" s="24">
        <f>_xlfn.CEILING.MATH(('analog-mvmu-specs'!B$14)/(D37*10^6))</f>
        <v>1</v>
      </c>
      <c r="I37" s="36">
        <f t="shared" si="0"/>
        <v>2</v>
      </c>
      <c r="J37" s="24">
        <f t="shared" si="0"/>
        <v>4</v>
      </c>
      <c r="L37">
        <f t="shared" si="1"/>
        <v>64</v>
      </c>
      <c r="M37" s="1">
        <f>(32*16*16)*L37*'analog-mvmu-specs'!J$24</f>
        <v>1226.83392</v>
      </c>
      <c r="N37" s="1">
        <f t="shared" si="2"/>
        <v>54167.510204081605</v>
      </c>
      <c r="O37" s="38">
        <f t="shared" si="3"/>
        <v>865.53662693877504</v>
      </c>
      <c r="Q37" s="1">
        <f t="shared" si="4"/>
        <v>329.14285714285791</v>
      </c>
      <c r="R37" s="1">
        <f t="shared" si="5"/>
        <v>5266.2857142857265</v>
      </c>
      <c r="S37" s="40">
        <f t="shared" si="6"/>
        <v>82.285714285714477</v>
      </c>
      <c r="U37" s="1">
        <f t="shared" si="7"/>
        <v>2.2147277658021012</v>
      </c>
    </row>
    <row r="38" spans="1:21" x14ac:dyDescent="0.25">
      <c r="A38">
        <v>1</v>
      </c>
      <c r="B38">
        <v>14</v>
      </c>
      <c r="C38" s="29">
        <v>6</v>
      </c>
      <c r="D38">
        <v>1.6799999999999999E-2</v>
      </c>
      <c r="E38">
        <v>10.9375</v>
      </c>
      <c r="F38">
        <v>1600000000</v>
      </c>
      <c r="H38" s="24">
        <f>_xlfn.CEILING.MATH(('analog-mvmu-specs'!B$14)/(D38*10^6))</f>
        <v>2</v>
      </c>
      <c r="I38" s="36">
        <f t="shared" si="0"/>
        <v>4</v>
      </c>
      <c r="J38" s="24">
        <f t="shared" si="0"/>
        <v>8</v>
      </c>
      <c r="L38">
        <f t="shared" si="1"/>
        <v>64</v>
      </c>
      <c r="M38" s="1">
        <f>(32*16*16)*L38*'analog-mvmu-specs'!J$24</f>
        <v>1226.83392</v>
      </c>
      <c r="N38" s="1">
        <f t="shared" si="2"/>
        <v>89600</v>
      </c>
      <c r="O38" s="38">
        <f t="shared" si="3"/>
        <v>1419.1692800000001</v>
      </c>
      <c r="Q38" s="1">
        <f t="shared" si="4"/>
        <v>40</v>
      </c>
      <c r="R38" s="1">
        <f t="shared" si="5"/>
        <v>640</v>
      </c>
      <c r="S38" s="40">
        <f t="shared" si="6"/>
        <v>10</v>
      </c>
      <c r="U38" s="1">
        <f t="shared" si="7"/>
        <v>1.3507394974051299</v>
      </c>
    </row>
    <row r="39" spans="1:21" x14ac:dyDescent="0.25">
      <c r="A39">
        <v>1</v>
      </c>
      <c r="B39">
        <v>26</v>
      </c>
      <c r="C39" s="29">
        <v>6</v>
      </c>
      <c r="D39">
        <v>5.9911242603550199E-2</v>
      </c>
      <c r="E39">
        <v>29.656065088757298</v>
      </c>
      <c r="F39">
        <v>11555555555.5555</v>
      </c>
      <c r="H39" s="24">
        <f>_xlfn.CEILING.MATH(('analog-mvmu-specs'!B$14)/(D39*10^6))</f>
        <v>1</v>
      </c>
      <c r="I39" s="36">
        <f t="shared" si="0"/>
        <v>2</v>
      </c>
      <c r="J39" s="24">
        <f t="shared" si="0"/>
        <v>4</v>
      </c>
      <c r="L39">
        <f t="shared" si="1"/>
        <v>64</v>
      </c>
      <c r="M39" s="1">
        <f>(32*16*16)*L39*'analog-mvmu-specs'!J$24</f>
        <v>1226.83392</v>
      </c>
      <c r="N39" s="1">
        <f t="shared" si="2"/>
        <v>242942.48520709979</v>
      </c>
      <c r="O39" s="38">
        <f t="shared" si="3"/>
        <v>3815.1456113609343</v>
      </c>
      <c r="Q39" s="1">
        <f t="shared" si="4"/>
        <v>11.07692307692313</v>
      </c>
      <c r="R39" s="1">
        <f t="shared" si="5"/>
        <v>177.23076923077008</v>
      </c>
      <c r="S39" s="40">
        <f t="shared" si="6"/>
        <v>2.7692307692307825</v>
      </c>
      <c r="U39" s="1">
        <f t="shared" si="7"/>
        <v>0.50245211985924587</v>
      </c>
    </row>
    <row r="40" spans="1:21" x14ac:dyDescent="0.25">
      <c r="A40">
        <v>1</v>
      </c>
      <c r="B40">
        <v>39</v>
      </c>
      <c r="C40" s="29">
        <v>6</v>
      </c>
      <c r="D40">
        <v>3.125E-2</v>
      </c>
      <c r="E40">
        <v>8.203125</v>
      </c>
      <c r="F40">
        <v>3200000000</v>
      </c>
      <c r="H40" s="24">
        <f>_xlfn.CEILING.MATH(('analog-mvmu-specs'!B$14)/(D40*10^6))</f>
        <v>1</v>
      </c>
      <c r="I40" s="36">
        <f t="shared" si="0"/>
        <v>2</v>
      </c>
      <c r="J40" s="24">
        <f t="shared" si="0"/>
        <v>4</v>
      </c>
      <c r="L40">
        <f t="shared" si="1"/>
        <v>64</v>
      </c>
      <c r="M40" s="1">
        <f>(32*16*16)*L40*'analog-mvmu-specs'!J$24</f>
        <v>1226.83392</v>
      </c>
      <c r="N40" s="1">
        <f t="shared" si="2"/>
        <v>67200</v>
      </c>
      <c r="O40" s="38">
        <f t="shared" si="3"/>
        <v>1069.1692800000001</v>
      </c>
      <c r="Q40" s="1">
        <f t="shared" si="4"/>
        <v>40</v>
      </c>
      <c r="R40" s="1">
        <f t="shared" si="5"/>
        <v>640</v>
      </c>
      <c r="S40" s="40">
        <f t="shared" si="6"/>
        <v>10</v>
      </c>
      <c r="U40" s="1">
        <f t="shared" si="7"/>
        <v>1.7929134664250734</v>
      </c>
    </row>
    <row r="41" spans="1:21" x14ac:dyDescent="0.25">
      <c r="A41">
        <v>1</v>
      </c>
      <c r="B41">
        <v>49</v>
      </c>
      <c r="C41" s="29">
        <v>6</v>
      </c>
      <c r="D41">
        <v>3.7124999999999998E-2</v>
      </c>
      <c r="E41">
        <v>7</v>
      </c>
      <c r="F41">
        <v>7000000000</v>
      </c>
      <c r="H41" s="24">
        <f>_xlfn.CEILING.MATH(('analog-mvmu-specs'!B$14)/(D41*10^6))</f>
        <v>1</v>
      </c>
      <c r="I41" s="36">
        <f t="shared" si="0"/>
        <v>2</v>
      </c>
      <c r="J41" s="24">
        <f t="shared" si="0"/>
        <v>4</v>
      </c>
      <c r="L41">
        <f t="shared" si="1"/>
        <v>64</v>
      </c>
      <c r="M41" s="1">
        <f>(32*16*16)*L41*'analog-mvmu-specs'!J$24</f>
        <v>1226.83392</v>
      </c>
      <c r="N41" s="1">
        <f t="shared" si="2"/>
        <v>57344</v>
      </c>
      <c r="O41" s="38">
        <f t="shared" si="3"/>
        <v>915.16927999999996</v>
      </c>
      <c r="Q41" s="1">
        <f t="shared" si="4"/>
        <v>18.285714285714285</v>
      </c>
      <c r="R41" s="1">
        <f t="shared" si="5"/>
        <v>292.57142857142856</v>
      </c>
      <c r="S41" s="40">
        <f t="shared" si="6"/>
        <v>4.5714285714285712</v>
      </c>
      <c r="U41" s="1">
        <f t="shared" si="7"/>
        <v>2.0946157633263218</v>
      </c>
    </row>
    <row r="42" spans="1:21" x14ac:dyDescent="0.25">
      <c r="A42">
        <v>1</v>
      </c>
      <c r="B42">
        <v>62</v>
      </c>
      <c r="C42" s="29">
        <v>6</v>
      </c>
      <c r="D42">
        <v>6.23076923076923E-2</v>
      </c>
      <c r="E42">
        <v>7.1893491124260303</v>
      </c>
      <c r="F42">
        <v>1155555555.5555501</v>
      </c>
      <c r="H42" s="24">
        <f>_xlfn.CEILING.MATH(('analog-mvmu-specs'!B$14)/(D42*10^6))</f>
        <v>1</v>
      </c>
      <c r="I42" s="36">
        <f t="shared" si="0"/>
        <v>2</v>
      </c>
      <c r="J42" s="24">
        <f t="shared" si="0"/>
        <v>4</v>
      </c>
      <c r="L42">
        <f t="shared" si="1"/>
        <v>64</v>
      </c>
      <c r="M42" s="1">
        <f>(32*16*16)*L42*'analog-mvmu-specs'!J$24</f>
        <v>1226.83392</v>
      </c>
      <c r="N42" s="1">
        <f t="shared" si="2"/>
        <v>58895.14792899404</v>
      </c>
      <c r="O42" s="38">
        <f t="shared" si="3"/>
        <v>939.40596639053183</v>
      </c>
      <c r="Q42" s="1">
        <f t="shared" si="4"/>
        <v>110.7692307692313</v>
      </c>
      <c r="R42" s="1">
        <f t="shared" si="5"/>
        <v>1772.3076923077008</v>
      </c>
      <c r="S42" s="40">
        <f t="shared" si="6"/>
        <v>27.692307692307825</v>
      </c>
      <c r="U42" s="1">
        <f t="shared" si="7"/>
        <v>2.0405746488553711</v>
      </c>
    </row>
    <row r="43" spans="1:21" x14ac:dyDescent="0.25">
      <c r="A43">
        <v>1</v>
      </c>
      <c r="B43">
        <v>64</v>
      </c>
      <c r="C43" s="29">
        <v>6</v>
      </c>
      <c r="D43">
        <v>0.14378698224851999</v>
      </c>
      <c r="E43">
        <v>30.674556213017699</v>
      </c>
      <c r="F43">
        <v>7222222222.2222204</v>
      </c>
      <c r="H43" s="24">
        <f>_xlfn.CEILING.MATH(('analog-mvmu-specs'!B$14)/(D43*10^6))</f>
        <v>1</v>
      </c>
      <c r="I43" s="36">
        <f t="shared" si="0"/>
        <v>2</v>
      </c>
      <c r="J43" s="24">
        <f t="shared" si="0"/>
        <v>4</v>
      </c>
      <c r="L43">
        <f t="shared" si="1"/>
        <v>64</v>
      </c>
      <c r="M43" s="1">
        <f>(32*16*16)*L43*'analog-mvmu-specs'!J$24</f>
        <v>1226.83392</v>
      </c>
      <c r="N43" s="1">
        <f t="shared" si="2"/>
        <v>251285.96449704099</v>
      </c>
      <c r="O43" s="38">
        <f t="shared" si="3"/>
        <v>3945.5124752662655</v>
      </c>
      <c r="Q43" s="1">
        <f t="shared" si="4"/>
        <v>17.723076923076928</v>
      </c>
      <c r="R43" s="1">
        <f t="shared" si="5"/>
        <v>283.56923076923084</v>
      </c>
      <c r="S43" s="40">
        <f t="shared" si="6"/>
        <v>4.4307692307692319</v>
      </c>
      <c r="U43" s="1">
        <f t="shared" si="7"/>
        <v>0.48585019361030779</v>
      </c>
    </row>
    <row r="44" spans="1:21" x14ac:dyDescent="0.25">
      <c r="A44">
        <v>1</v>
      </c>
      <c r="B44">
        <v>79</v>
      </c>
      <c r="C44" s="29">
        <v>6</v>
      </c>
      <c r="D44">
        <v>1.3749999999999999E-3</v>
      </c>
      <c r="E44">
        <v>1.2</v>
      </c>
      <c r="F44">
        <v>100000000</v>
      </c>
      <c r="H44" s="24">
        <f>_xlfn.CEILING.MATH(('analog-mvmu-specs'!B$14)/(D44*10^6))</f>
        <v>21</v>
      </c>
      <c r="I44" s="36">
        <f t="shared" si="0"/>
        <v>42</v>
      </c>
      <c r="J44" s="24">
        <f t="shared" si="0"/>
        <v>84</v>
      </c>
      <c r="L44">
        <f t="shared" si="1"/>
        <v>64</v>
      </c>
      <c r="M44" s="1">
        <f>(32*16*16)*L44*'analog-mvmu-specs'!J$24</f>
        <v>1226.83392</v>
      </c>
      <c r="N44" s="1">
        <f t="shared" si="2"/>
        <v>9830.4</v>
      </c>
      <c r="O44" s="38">
        <f t="shared" si="3"/>
        <v>172.76927999999998</v>
      </c>
      <c r="Q44" s="1">
        <f t="shared" si="4"/>
        <v>60.952380952380949</v>
      </c>
      <c r="R44" s="1">
        <f t="shared" si="5"/>
        <v>975.23809523809518</v>
      </c>
      <c r="S44" s="40">
        <f t="shared" si="6"/>
        <v>15.238095238095237</v>
      </c>
      <c r="U44" s="1">
        <f t="shared" si="7"/>
        <v>11.09530583214794</v>
      </c>
    </row>
    <row r="45" spans="1:21" x14ac:dyDescent="0.25">
      <c r="A45">
        <v>1</v>
      </c>
      <c r="B45">
        <v>82</v>
      </c>
      <c r="C45" s="29">
        <v>6</v>
      </c>
      <c r="D45">
        <v>1.8749999999999999E-2</v>
      </c>
      <c r="E45">
        <v>4.6296296296296298</v>
      </c>
      <c r="F45">
        <v>5400000000</v>
      </c>
      <c r="H45" s="24">
        <f>_xlfn.CEILING.MATH(('analog-mvmu-specs'!B$14)/(D45*10^6))</f>
        <v>2</v>
      </c>
      <c r="I45" s="36">
        <f t="shared" si="0"/>
        <v>4</v>
      </c>
      <c r="J45" s="24">
        <f t="shared" si="0"/>
        <v>8</v>
      </c>
      <c r="L45">
        <f t="shared" si="1"/>
        <v>64</v>
      </c>
      <c r="M45" s="1">
        <f>(32*16*16)*L45*'analog-mvmu-specs'!J$24</f>
        <v>1226.83392</v>
      </c>
      <c r="N45" s="1">
        <f t="shared" si="2"/>
        <v>37925.925925925927</v>
      </c>
      <c r="O45" s="38">
        <f t="shared" si="3"/>
        <v>611.76187259259257</v>
      </c>
      <c r="Q45" s="1">
        <f t="shared" si="4"/>
        <v>11.851851851851851</v>
      </c>
      <c r="R45" s="1">
        <f t="shared" si="5"/>
        <v>189.62962962962962</v>
      </c>
      <c r="S45" s="40">
        <f t="shared" si="6"/>
        <v>2.9629629629629628</v>
      </c>
      <c r="U45" s="1">
        <f t="shared" si="7"/>
        <v>3.1334545120901849</v>
      </c>
    </row>
    <row r="46" spans="1:21" x14ac:dyDescent="0.25">
      <c r="A46">
        <v>1</v>
      </c>
      <c r="B46">
        <v>93</v>
      </c>
      <c r="C46" s="29">
        <v>6</v>
      </c>
      <c r="D46">
        <v>0.70426863905325399</v>
      </c>
      <c r="E46">
        <v>13.030695266272099</v>
      </c>
      <c r="F46">
        <v>23111111111.111099</v>
      </c>
      <c r="H46" s="24">
        <f>_xlfn.CEILING.MATH(('analog-mvmu-specs'!B$14)/(D46*10^6))</f>
        <v>1</v>
      </c>
      <c r="I46" s="36">
        <f t="shared" si="0"/>
        <v>2</v>
      </c>
      <c r="J46" s="24">
        <f t="shared" si="0"/>
        <v>4</v>
      </c>
      <c r="L46">
        <f t="shared" si="1"/>
        <v>64</v>
      </c>
      <c r="M46" s="1">
        <f>(32*16*16)*L46*'analog-mvmu-specs'!J$24</f>
        <v>1226.83392</v>
      </c>
      <c r="N46" s="1">
        <f t="shared" si="2"/>
        <v>106747.45562130104</v>
      </c>
      <c r="O46" s="38">
        <f t="shared" si="3"/>
        <v>1687.0982740828288</v>
      </c>
      <c r="Q46" s="1">
        <f t="shared" si="4"/>
        <v>5.538461538461541</v>
      </c>
      <c r="R46" s="1">
        <f t="shared" si="5"/>
        <v>88.615384615384656</v>
      </c>
      <c r="S46" s="40">
        <f t="shared" si="6"/>
        <v>1.3846153846153852</v>
      </c>
      <c r="U46" s="1">
        <f t="shared" si="7"/>
        <v>1.1362278235048966</v>
      </c>
    </row>
    <row r="47" spans="1:21" x14ac:dyDescent="0.25">
      <c r="A47">
        <v>1</v>
      </c>
      <c r="B47">
        <v>115</v>
      </c>
      <c r="C47" s="29">
        <v>6</v>
      </c>
      <c r="D47">
        <v>2.6578125000000001E-2</v>
      </c>
      <c r="E47">
        <v>4.6406249999999902</v>
      </c>
      <c r="F47">
        <v>2666666666.6666598</v>
      </c>
      <c r="H47" s="24">
        <f>_xlfn.CEILING.MATH(('analog-mvmu-specs'!B$14)/(D47*10^6))</f>
        <v>2</v>
      </c>
      <c r="I47" s="36">
        <f t="shared" si="0"/>
        <v>4</v>
      </c>
      <c r="J47" s="24">
        <f t="shared" si="0"/>
        <v>8</v>
      </c>
      <c r="L47">
        <f t="shared" si="1"/>
        <v>64</v>
      </c>
      <c r="M47" s="1">
        <f>(32*16*16)*L47*'analog-mvmu-specs'!J$24</f>
        <v>1226.83392</v>
      </c>
      <c r="N47" s="1">
        <f t="shared" si="2"/>
        <v>38015.99999999992</v>
      </c>
      <c r="O47" s="38">
        <f t="shared" si="3"/>
        <v>613.16927999999871</v>
      </c>
      <c r="Q47" s="1">
        <f t="shared" si="4"/>
        <v>24.00000000000006</v>
      </c>
      <c r="R47" s="1">
        <f t="shared" si="5"/>
        <v>384.00000000000097</v>
      </c>
      <c r="S47" s="40">
        <f t="shared" si="6"/>
        <v>6.0000000000000151</v>
      </c>
      <c r="U47" s="1">
        <f t="shared" si="7"/>
        <v>3.1262622941579923</v>
      </c>
    </row>
    <row r="48" spans="1:21" x14ac:dyDescent="0.25">
      <c r="A48">
        <v>1</v>
      </c>
      <c r="B48">
        <v>139</v>
      </c>
      <c r="C48" s="29">
        <v>6</v>
      </c>
      <c r="D48">
        <v>3.955078125E-2</v>
      </c>
      <c r="E48">
        <v>3.36181640625</v>
      </c>
      <c r="F48">
        <v>3555555555.5555501</v>
      </c>
      <c r="H48" s="24">
        <f>_xlfn.CEILING.MATH(('analog-mvmu-specs'!B$14)/(D48*10^6))</f>
        <v>1</v>
      </c>
      <c r="I48" s="36">
        <f t="shared" si="0"/>
        <v>2</v>
      </c>
      <c r="J48" s="24">
        <f t="shared" si="0"/>
        <v>4</v>
      </c>
      <c r="L48">
        <f t="shared" si="1"/>
        <v>64</v>
      </c>
      <c r="M48" s="1">
        <f>(32*16*16)*L48*'analog-mvmu-specs'!J$24</f>
        <v>1226.83392</v>
      </c>
      <c r="N48" s="1">
        <f t="shared" si="2"/>
        <v>27540</v>
      </c>
      <c r="O48" s="38">
        <f t="shared" si="3"/>
        <v>449.48178000000001</v>
      </c>
      <c r="Q48" s="1">
        <f t="shared" si="4"/>
        <v>36.000000000000057</v>
      </c>
      <c r="R48" s="1">
        <f t="shared" si="5"/>
        <v>576.00000000000091</v>
      </c>
      <c r="S48" s="40">
        <f t="shared" si="6"/>
        <v>9.0000000000000142</v>
      </c>
      <c r="U48" s="1">
        <f t="shared" si="7"/>
        <v>4.2647512875827802</v>
      </c>
    </row>
    <row r="49" spans="1:21" x14ac:dyDescent="0.25">
      <c r="A49">
        <v>1</v>
      </c>
      <c r="B49">
        <v>142</v>
      </c>
      <c r="C49" s="29">
        <v>6</v>
      </c>
      <c r="D49">
        <v>0.15816568047337201</v>
      </c>
      <c r="E49">
        <v>3.8007692307692298</v>
      </c>
      <c r="F49">
        <v>14444444444.444401</v>
      </c>
      <c r="H49" s="24">
        <f>_xlfn.CEILING.MATH(('analog-mvmu-specs'!B$14)/(D49*10^6))</f>
        <v>1</v>
      </c>
      <c r="I49" s="36">
        <f t="shared" si="0"/>
        <v>2</v>
      </c>
      <c r="J49" s="24">
        <f t="shared" si="0"/>
        <v>4</v>
      </c>
      <c r="L49">
        <f t="shared" si="1"/>
        <v>64</v>
      </c>
      <c r="M49" s="1">
        <f>(32*16*16)*L49*'analog-mvmu-specs'!J$24</f>
        <v>1226.83392</v>
      </c>
      <c r="N49" s="1">
        <f t="shared" si="2"/>
        <v>31135.90153846153</v>
      </c>
      <c r="O49" s="38">
        <f t="shared" si="3"/>
        <v>505.66774153846143</v>
      </c>
      <c r="Q49" s="1">
        <f t="shared" si="4"/>
        <v>8.8615384615384887</v>
      </c>
      <c r="R49" s="1">
        <f t="shared" si="5"/>
        <v>141.78461538461582</v>
      </c>
      <c r="S49" s="40">
        <f t="shared" si="6"/>
        <v>2.2153846153846222</v>
      </c>
      <c r="U49" s="1">
        <f t="shared" si="7"/>
        <v>3.7908844929832193</v>
      </c>
    </row>
    <row r="50" spans="1:21" x14ac:dyDescent="0.25">
      <c r="A50">
        <v>1</v>
      </c>
      <c r="B50">
        <v>159</v>
      </c>
      <c r="C50" s="29">
        <v>6</v>
      </c>
      <c r="D50">
        <v>0.115029585798816</v>
      </c>
      <c r="E50">
        <v>1.68710059171597</v>
      </c>
      <c r="F50">
        <v>36111111111.111099</v>
      </c>
      <c r="H50" s="24">
        <f>_xlfn.CEILING.MATH(('analog-mvmu-specs'!B$14)/(D50*10^6))</f>
        <v>1</v>
      </c>
      <c r="I50" s="36">
        <f t="shared" si="0"/>
        <v>2</v>
      </c>
      <c r="J50" s="24">
        <f t="shared" si="0"/>
        <v>4</v>
      </c>
      <c r="L50">
        <f t="shared" si="1"/>
        <v>64</v>
      </c>
      <c r="M50" s="1">
        <f>(32*16*16)*L50*'analog-mvmu-specs'!J$24</f>
        <v>1226.83392</v>
      </c>
      <c r="N50" s="1">
        <f t="shared" si="2"/>
        <v>13820.728047337227</v>
      </c>
      <c r="O50" s="38">
        <f t="shared" si="3"/>
        <v>235.11815573964418</v>
      </c>
      <c r="Q50" s="1">
        <f t="shared" si="4"/>
        <v>3.5446153846153856</v>
      </c>
      <c r="R50" s="1">
        <f t="shared" si="5"/>
        <v>56.71384615384617</v>
      </c>
      <c r="S50" s="40">
        <f t="shared" si="6"/>
        <v>0.8861538461538464</v>
      </c>
      <c r="U50" s="1">
        <f t="shared" si="7"/>
        <v>8.1530411548595669</v>
      </c>
    </row>
    <row r="51" spans="1:21" x14ac:dyDescent="0.25">
      <c r="A51">
        <v>1</v>
      </c>
      <c r="B51">
        <v>161</v>
      </c>
      <c r="C51" s="29">
        <v>6</v>
      </c>
      <c r="D51">
        <v>0.36160714285714202</v>
      </c>
      <c r="E51">
        <v>21.393217613132201</v>
      </c>
      <c r="F51">
        <v>28622222222.222198</v>
      </c>
      <c r="H51" s="24">
        <f>_xlfn.CEILING.MATH(('analog-mvmu-specs'!B$14)/(D51*10^6))</f>
        <v>1</v>
      </c>
      <c r="I51" s="36">
        <f t="shared" si="0"/>
        <v>2</v>
      </c>
      <c r="J51" s="24">
        <f t="shared" si="0"/>
        <v>4</v>
      </c>
      <c r="L51">
        <f t="shared" si="1"/>
        <v>64</v>
      </c>
      <c r="M51" s="1">
        <f>(32*16*16)*L51*'analog-mvmu-specs'!J$24</f>
        <v>1226.83392</v>
      </c>
      <c r="N51" s="1">
        <f t="shared" si="2"/>
        <v>175253.23868677899</v>
      </c>
      <c r="O51" s="38">
        <f t="shared" si="3"/>
        <v>2757.5011344809218</v>
      </c>
      <c r="Q51" s="1">
        <f t="shared" si="4"/>
        <v>4.4720496894409978</v>
      </c>
      <c r="R51" s="1">
        <f t="shared" si="5"/>
        <v>71.552795031055965</v>
      </c>
      <c r="S51" s="40">
        <f t="shared" si="6"/>
        <v>1.1180124223602494</v>
      </c>
      <c r="U51" s="1">
        <f t="shared" si="7"/>
        <v>0.69516852632622639</v>
      </c>
    </row>
    <row r="52" spans="1:21" x14ac:dyDescent="0.25">
      <c r="A52">
        <v>1</v>
      </c>
      <c r="B52">
        <v>182</v>
      </c>
      <c r="C52" s="29">
        <v>6</v>
      </c>
      <c r="D52">
        <v>7.7487244897959107E-2</v>
      </c>
      <c r="E52">
        <v>2.4752869897959102</v>
      </c>
      <c r="F52">
        <v>14933333333.3333</v>
      </c>
      <c r="H52" s="24">
        <f>_xlfn.CEILING.MATH(('analog-mvmu-specs'!B$14)/(D52*10^6))</f>
        <v>1</v>
      </c>
      <c r="I52" s="36">
        <f t="shared" si="0"/>
        <v>2</v>
      </c>
      <c r="J52" s="24">
        <f t="shared" si="0"/>
        <v>4</v>
      </c>
      <c r="L52">
        <f t="shared" si="1"/>
        <v>64</v>
      </c>
      <c r="M52" s="1">
        <f>(32*16*16)*L52*'analog-mvmu-specs'!J$24</f>
        <v>1226.83392</v>
      </c>
      <c r="N52" s="1">
        <f t="shared" si="2"/>
        <v>20277.551020408097</v>
      </c>
      <c r="O52" s="38">
        <f t="shared" si="3"/>
        <v>336.00601469387652</v>
      </c>
      <c r="Q52" s="1">
        <f t="shared" si="4"/>
        <v>8.5714285714285907</v>
      </c>
      <c r="R52" s="1">
        <f t="shared" si="5"/>
        <v>137.14285714285745</v>
      </c>
      <c r="S52" s="40">
        <f t="shared" si="6"/>
        <v>2.1428571428571477</v>
      </c>
      <c r="U52" s="1">
        <f t="shared" si="7"/>
        <v>5.7050407319239413</v>
      </c>
    </row>
    <row r="53" spans="1:21" x14ac:dyDescent="0.25">
      <c r="A53">
        <v>0</v>
      </c>
      <c r="B53">
        <v>54</v>
      </c>
      <c r="C53" s="29">
        <v>7</v>
      </c>
      <c r="D53">
        <v>1.8749999999999999E-2</v>
      </c>
      <c r="E53">
        <v>6.9444444444444402</v>
      </c>
      <c r="F53">
        <v>1800000000</v>
      </c>
      <c r="H53" s="24">
        <f>_xlfn.CEILING.MATH(('analog-mvmu-specs'!B$14)/(D53*10^6))</f>
        <v>2</v>
      </c>
      <c r="I53" s="36">
        <f t="shared" si="0"/>
        <v>4</v>
      </c>
      <c r="J53" s="24">
        <f t="shared" si="0"/>
        <v>8</v>
      </c>
      <c r="L53">
        <f t="shared" si="1"/>
        <v>128</v>
      </c>
      <c r="M53" s="1">
        <f>(32*16*16)*L53*'analog-mvmu-specs'!J$24</f>
        <v>2453.6678400000001</v>
      </c>
      <c r="N53" s="1">
        <f t="shared" si="2"/>
        <v>56888.888888888854</v>
      </c>
      <c r="O53" s="38">
        <f t="shared" si="3"/>
        <v>463.61372444444419</v>
      </c>
      <c r="Q53" s="1">
        <f t="shared" si="4"/>
        <v>35.555555555555557</v>
      </c>
      <c r="R53" s="1">
        <f t="shared" si="5"/>
        <v>568.88888888888891</v>
      </c>
      <c r="S53" s="40">
        <f t="shared" si="6"/>
        <v>4.4444444444444446</v>
      </c>
      <c r="U53" s="1">
        <f t="shared" si="7"/>
        <v>4.1347524866678311</v>
      </c>
    </row>
    <row r="54" spans="1:21" x14ac:dyDescent="0.25">
      <c r="A54">
        <v>0</v>
      </c>
      <c r="B54">
        <v>161</v>
      </c>
      <c r="C54" s="29">
        <v>7</v>
      </c>
      <c r="D54">
        <v>1.5625E-2</v>
      </c>
      <c r="E54">
        <v>0.222499999999999</v>
      </c>
      <c r="F54">
        <v>300000000</v>
      </c>
      <c r="H54" s="24">
        <f>_xlfn.CEILING.MATH(('analog-mvmu-specs'!B$14)/(D54*10^6))</f>
        <v>2</v>
      </c>
      <c r="I54" s="36">
        <f t="shared" si="0"/>
        <v>4</v>
      </c>
      <c r="J54" s="24">
        <f t="shared" si="0"/>
        <v>8</v>
      </c>
      <c r="L54">
        <f t="shared" si="1"/>
        <v>128</v>
      </c>
      <c r="M54" s="1">
        <f>(32*16*16)*L54*'analog-mvmu-specs'!J$24</f>
        <v>2453.6678400000001</v>
      </c>
      <c r="N54" s="1">
        <f t="shared" si="2"/>
        <v>1822.7199999999918</v>
      </c>
      <c r="O54" s="38">
        <f t="shared" si="3"/>
        <v>33.409279999999939</v>
      </c>
      <c r="Q54" s="1">
        <f t="shared" si="4"/>
        <v>213.33333333333334</v>
      </c>
      <c r="R54" s="1">
        <f t="shared" si="5"/>
        <v>3413.3333333333335</v>
      </c>
      <c r="S54" s="40">
        <f t="shared" si="6"/>
        <v>26.666666666666668</v>
      </c>
      <c r="U54" s="1">
        <f t="shared" si="7"/>
        <v>57.377111988046551</v>
      </c>
    </row>
    <row r="55" spans="1:21" x14ac:dyDescent="0.25">
      <c r="A55">
        <v>0</v>
      </c>
      <c r="B55">
        <v>180</v>
      </c>
      <c r="C55" s="29">
        <v>7</v>
      </c>
      <c r="D55">
        <v>1</v>
      </c>
      <c r="E55">
        <v>22.727272727272702</v>
      </c>
      <c r="F55">
        <v>2200000000</v>
      </c>
      <c r="H55" s="24">
        <f>_xlfn.CEILING.MATH(('analog-mvmu-specs'!B$14)/(D55*10^6))</f>
        <v>1</v>
      </c>
      <c r="I55" s="36">
        <f t="shared" si="0"/>
        <v>2</v>
      </c>
      <c r="J55" s="24">
        <f t="shared" si="0"/>
        <v>4</v>
      </c>
      <c r="L55">
        <f t="shared" si="1"/>
        <v>128</v>
      </c>
      <c r="M55" s="1">
        <f>(32*16*16)*L55*'analog-mvmu-specs'!J$24</f>
        <v>2453.6678400000001</v>
      </c>
      <c r="N55" s="1">
        <f t="shared" si="2"/>
        <v>186181.81818181797</v>
      </c>
      <c r="O55" s="38">
        <f t="shared" si="3"/>
        <v>1473.714734545453</v>
      </c>
      <c r="Q55" s="1">
        <f t="shared" si="4"/>
        <v>58.18181818181818</v>
      </c>
      <c r="R55" s="1">
        <f t="shared" si="5"/>
        <v>930.90909090909088</v>
      </c>
      <c r="S55" s="40">
        <f t="shared" si="6"/>
        <v>7.2727272727272725</v>
      </c>
      <c r="U55" s="1">
        <f t="shared" si="7"/>
        <v>1.3007456294390991</v>
      </c>
    </row>
    <row r="56" spans="1:21" x14ac:dyDescent="0.25">
      <c r="A56">
        <v>0</v>
      </c>
      <c r="B56">
        <v>260</v>
      </c>
      <c r="C56" s="29">
        <v>7</v>
      </c>
      <c r="D56">
        <v>6.5812499999999996E-2</v>
      </c>
      <c r="E56">
        <v>15.762784090908999</v>
      </c>
      <c r="F56">
        <v>1955555555.5555501</v>
      </c>
      <c r="H56" s="24">
        <f>_xlfn.CEILING.MATH(('analog-mvmu-specs'!B$14)/(D56*10^6))</f>
        <v>1</v>
      </c>
      <c r="I56" s="36">
        <f t="shared" si="0"/>
        <v>2</v>
      </c>
      <c r="J56" s="24">
        <f t="shared" si="0"/>
        <v>4</v>
      </c>
      <c r="L56">
        <f t="shared" si="1"/>
        <v>128</v>
      </c>
      <c r="M56" s="1">
        <f>(32*16*16)*L56*'analog-mvmu-specs'!J$24</f>
        <v>2453.6678400000001</v>
      </c>
      <c r="N56" s="1">
        <f t="shared" si="2"/>
        <v>129128.72727272652</v>
      </c>
      <c r="O56" s="38">
        <f t="shared" si="3"/>
        <v>1027.9874618181759</v>
      </c>
      <c r="Q56" s="1">
        <f t="shared" si="4"/>
        <v>65.454545454545638</v>
      </c>
      <c r="R56" s="1">
        <f t="shared" si="5"/>
        <v>1047.2727272727302</v>
      </c>
      <c r="S56" s="40">
        <f t="shared" si="6"/>
        <v>8.1818181818182047</v>
      </c>
      <c r="U56" s="1">
        <f t="shared" si="7"/>
        <v>1.8647386969191018</v>
      </c>
    </row>
    <row r="57" spans="1:21" x14ac:dyDescent="0.25">
      <c r="A57">
        <v>0</v>
      </c>
      <c r="B57">
        <v>299</v>
      </c>
      <c r="C57" s="29">
        <v>7</v>
      </c>
      <c r="D57">
        <v>1.11065051020408E-2</v>
      </c>
      <c r="E57">
        <v>5.3810586734693802</v>
      </c>
      <c r="F57">
        <v>1493333333.3333299</v>
      </c>
      <c r="H57" s="24">
        <f>_xlfn.CEILING.MATH(('analog-mvmu-specs'!B$14)/(D57*10^6))</f>
        <v>3</v>
      </c>
      <c r="I57" s="36">
        <f t="shared" si="0"/>
        <v>6</v>
      </c>
      <c r="J57" s="24">
        <f t="shared" si="0"/>
        <v>12</v>
      </c>
      <c r="L57">
        <f t="shared" si="1"/>
        <v>128</v>
      </c>
      <c r="M57" s="1">
        <f>(32*16*16)*L57*'analog-mvmu-specs'!J$24</f>
        <v>2453.6678400000001</v>
      </c>
      <c r="N57" s="1">
        <f t="shared" si="2"/>
        <v>44081.632653061162</v>
      </c>
      <c r="O57" s="38">
        <f t="shared" si="3"/>
        <v>363.55703510204035</v>
      </c>
      <c r="Q57" s="1">
        <f t="shared" si="4"/>
        <v>28.571428571428637</v>
      </c>
      <c r="R57" s="1">
        <f t="shared" si="5"/>
        <v>457.14285714285819</v>
      </c>
      <c r="S57" s="40">
        <f t="shared" si="6"/>
        <v>3.5714285714285796</v>
      </c>
      <c r="U57" s="1">
        <f t="shared" si="7"/>
        <v>5.2727022582907024</v>
      </c>
    </row>
    <row r="58" spans="1:21" x14ac:dyDescent="0.25">
      <c r="A58">
        <v>0</v>
      </c>
      <c r="B58">
        <v>336</v>
      </c>
      <c r="C58" s="29">
        <v>7</v>
      </c>
      <c r="D58">
        <v>2.3142857142857101</v>
      </c>
      <c r="E58">
        <v>3140.8163265306098</v>
      </c>
      <c r="F58">
        <v>7777777.7777777696</v>
      </c>
      <c r="H58" s="24">
        <f>_xlfn.CEILING.MATH(('analog-mvmu-specs'!B$14)/(D58*10^6))</f>
        <v>1</v>
      </c>
      <c r="I58" s="36">
        <f t="shared" si="0"/>
        <v>2</v>
      </c>
      <c r="J58" s="24">
        <f t="shared" si="0"/>
        <v>4</v>
      </c>
      <c r="L58">
        <f t="shared" si="1"/>
        <v>128</v>
      </c>
      <c r="M58" s="1">
        <f>(32*16*16)*L58*'analog-mvmu-specs'!J$24</f>
        <v>2453.6678400000001</v>
      </c>
      <c r="N58" s="1">
        <f t="shared" si="2"/>
        <v>25729567.346938755</v>
      </c>
      <c r="O58" s="38">
        <f t="shared" si="3"/>
        <v>201031.41417795903</v>
      </c>
      <c r="Q58" s="1">
        <f t="shared" si="4"/>
        <v>16457.142857142873</v>
      </c>
      <c r="R58" s="1">
        <f t="shared" si="5"/>
        <v>263314.28571428597</v>
      </c>
      <c r="S58" s="40">
        <f t="shared" si="6"/>
        <v>2057.1428571428592</v>
      </c>
      <c r="U58" s="1">
        <f t="shared" si="7"/>
        <v>9.5354649313817083E-3</v>
      </c>
    </row>
    <row r="59" spans="1:21" x14ac:dyDescent="0.25">
      <c r="A59">
        <v>1</v>
      </c>
      <c r="B59">
        <v>42</v>
      </c>
      <c r="C59" s="29">
        <v>7</v>
      </c>
      <c r="D59">
        <v>0.08</v>
      </c>
      <c r="E59">
        <v>37.5</v>
      </c>
      <c r="F59">
        <v>1600000000</v>
      </c>
      <c r="H59" s="24">
        <f>_xlfn.CEILING.MATH(('analog-mvmu-specs'!B$14)/(D59*10^6))</f>
        <v>1</v>
      </c>
      <c r="I59" s="36">
        <f t="shared" si="0"/>
        <v>2</v>
      </c>
      <c r="J59" s="24">
        <f t="shared" si="0"/>
        <v>4</v>
      </c>
      <c r="L59">
        <f t="shared" si="1"/>
        <v>128</v>
      </c>
      <c r="M59" s="1">
        <f>(32*16*16)*L59*'analog-mvmu-specs'!J$24</f>
        <v>2453.6678400000001</v>
      </c>
      <c r="N59" s="1">
        <f t="shared" si="2"/>
        <v>307200</v>
      </c>
      <c r="O59" s="38">
        <f t="shared" si="3"/>
        <v>2419.1692800000001</v>
      </c>
      <c r="Q59" s="1">
        <f t="shared" si="4"/>
        <v>80</v>
      </c>
      <c r="R59" s="1">
        <f t="shared" si="5"/>
        <v>1280</v>
      </c>
      <c r="S59" s="40">
        <f t="shared" si="6"/>
        <v>10</v>
      </c>
      <c r="U59" s="1">
        <f t="shared" si="7"/>
        <v>0.7923910144890729</v>
      </c>
    </row>
    <row r="60" spans="1:21" x14ac:dyDescent="0.25">
      <c r="A60">
        <v>1</v>
      </c>
      <c r="B60">
        <v>50</v>
      </c>
      <c r="C60" s="29">
        <v>7</v>
      </c>
      <c r="D60">
        <v>4.7500000000000001E-2</v>
      </c>
      <c r="E60">
        <v>10.4545454545454</v>
      </c>
      <c r="F60">
        <v>2200000000</v>
      </c>
      <c r="H60" s="24">
        <f>_xlfn.CEILING.MATH(('analog-mvmu-specs'!B$14)/(D60*10^6))</f>
        <v>1</v>
      </c>
      <c r="I60" s="36">
        <f t="shared" si="0"/>
        <v>2</v>
      </c>
      <c r="J60" s="24">
        <f t="shared" si="0"/>
        <v>4</v>
      </c>
      <c r="L60">
        <f t="shared" si="1"/>
        <v>128</v>
      </c>
      <c r="M60" s="1">
        <f>(32*16*16)*L60*'analog-mvmu-specs'!J$24</f>
        <v>2453.6678400000001</v>
      </c>
      <c r="N60" s="1">
        <f t="shared" si="2"/>
        <v>85643.636363635916</v>
      </c>
      <c r="O60" s="38">
        <f t="shared" si="3"/>
        <v>688.26018909090556</v>
      </c>
      <c r="Q60" s="1">
        <f t="shared" si="4"/>
        <v>58.18181818181818</v>
      </c>
      <c r="R60" s="1">
        <f t="shared" si="5"/>
        <v>930.90909090909088</v>
      </c>
      <c r="S60" s="40">
        <f t="shared" si="6"/>
        <v>7.2727272727272725</v>
      </c>
      <c r="U60" s="1">
        <f t="shared" si="7"/>
        <v>2.7851792539853149</v>
      </c>
    </row>
    <row r="61" spans="1:21" x14ac:dyDescent="0.25">
      <c r="A61">
        <v>1</v>
      </c>
      <c r="B61">
        <v>105</v>
      </c>
      <c r="C61" s="29">
        <v>7</v>
      </c>
      <c r="D61">
        <v>2.3E-2</v>
      </c>
      <c r="E61">
        <v>16.923076923076898</v>
      </c>
      <c r="F61">
        <v>1300000000</v>
      </c>
      <c r="H61" s="24">
        <f>_xlfn.CEILING.MATH(('analog-mvmu-specs'!B$14)/(D61*10^6))</f>
        <v>2</v>
      </c>
      <c r="I61" s="36">
        <f t="shared" si="0"/>
        <v>4</v>
      </c>
      <c r="J61" s="24">
        <f t="shared" si="0"/>
        <v>8</v>
      </c>
      <c r="L61">
        <f t="shared" si="1"/>
        <v>128</v>
      </c>
      <c r="M61" s="1">
        <f>(32*16*16)*L61*'analog-mvmu-specs'!J$24</f>
        <v>2453.6678400000001</v>
      </c>
      <c r="N61" s="1">
        <f t="shared" si="2"/>
        <v>138633.84615384595</v>
      </c>
      <c r="O61" s="38">
        <f t="shared" si="3"/>
        <v>1102.2462030769216</v>
      </c>
      <c r="Q61" s="1">
        <f t="shared" si="4"/>
        <v>49.230769230769234</v>
      </c>
      <c r="R61" s="1">
        <f t="shared" si="5"/>
        <v>787.69230769230774</v>
      </c>
      <c r="S61" s="40">
        <f t="shared" si="6"/>
        <v>6.1538461538461542</v>
      </c>
      <c r="U61" s="1">
        <f t="shared" si="7"/>
        <v>1.7391105495749439</v>
      </c>
    </row>
    <row r="62" spans="1:21" x14ac:dyDescent="0.25">
      <c r="A62">
        <v>1</v>
      </c>
      <c r="B62">
        <v>113</v>
      </c>
      <c r="C62" s="29">
        <v>7</v>
      </c>
      <c r="D62">
        <v>6.5902366863905298E-2</v>
      </c>
      <c r="E62">
        <v>3.1752958579881598</v>
      </c>
      <c r="F62">
        <v>2888888888.8888798</v>
      </c>
      <c r="H62" s="24">
        <f>_xlfn.CEILING.MATH(('analog-mvmu-specs'!B$14)/(D62*10^6))</f>
        <v>1</v>
      </c>
      <c r="I62" s="36">
        <f t="shared" si="0"/>
        <v>2</v>
      </c>
      <c r="J62" s="24">
        <f t="shared" si="0"/>
        <v>4</v>
      </c>
      <c r="L62">
        <f t="shared" si="1"/>
        <v>128</v>
      </c>
      <c r="M62" s="1">
        <f>(32*16*16)*L62*'analog-mvmu-specs'!J$24</f>
        <v>2453.6678400000001</v>
      </c>
      <c r="N62" s="1">
        <f t="shared" si="2"/>
        <v>26012.023668639005</v>
      </c>
      <c r="O62" s="38">
        <f t="shared" si="3"/>
        <v>222.38821491124224</v>
      </c>
      <c r="Q62" s="1">
        <f t="shared" si="4"/>
        <v>44.307692307692449</v>
      </c>
      <c r="R62" s="1">
        <f t="shared" si="5"/>
        <v>708.92307692307918</v>
      </c>
      <c r="S62" s="40">
        <f t="shared" si="6"/>
        <v>5.5384615384615561</v>
      </c>
      <c r="U62" s="1">
        <f t="shared" si="7"/>
        <v>8.619737339791449</v>
      </c>
    </row>
    <row r="63" spans="1:21" x14ac:dyDescent="0.25">
      <c r="A63">
        <v>1</v>
      </c>
      <c r="B63">
        <v>146</v>
      </c>
      <c r="C63" s="29">
        <v>7</v>
      </c>
      <c r="D63">
        <v>4.1698224852070899E-2</v>
      </c>
      <c r="E63">
        <v>2.4899696925963299</v>
      </c>
      <c r="F63">
        <v>1184444444.4444399</v>
      </c>
      <c r="H63" s="24">
        <f>_xlfn.CEILING.MATH(('analog-mvmu-specs'!B$14)/(D63*10^6))</f>
        <v>1</v>
      </c>
      <c r="I63" s="36">
        <f t="shared" si="0"/>
        <v>2</v>
      </c>
      <c r="J63" s="24">
        <f t="shared" si="0"/>
        <v>4</v>
      </c>
      <c r="L63">
        <f t="shared" si="1"/>
        <v>128</v>
      </c>
      <c r="M63" s="1">
        <f>(32*16*16)*L63*'analog-mvmu-specs'!J$24</f>
        <v>2453.6678400000001</v>
      </c>
      <c r="N63" s="1">
        <f t="shared" si="2"/>
        <v>20397.831721749135</v>
      </c>
      <c r="O63" s="38">
        <f t="shared" si="3"/>
        <v>178.52734032616513</v>
      </c>
      <c r="Q63" s="1">
        <f t="shared" si="4"/>
        <v>108.0675422138841</v>
      </c>
      <c r="R63" s="1">
        <f t="shared" si="5"/>
        <v>1729.0806754221455</v>
      </c>
      <c r="S63" s="40">
        <f t="shared" si="6"/>
        <v>13.508442776735512</v>
      </c>
      <c r="U63" s="1">
        <f t="shared" si="7"/>
        <v>10.737447813303099</v>
      </c>
    </row>
    <row r="64" spans="1:21" x14ac:dyDescent="0.25">
      <c r="A64">
        <v>0</v>
      </c>
      <c r="B64">
        <v>19</v>
      </c>
      <c r="C64" s="29">
        <v>8</v>
      </c>
      <c r="D64">
        <v>4.4549999999999999E-2</v>
      </c>
      <c r="E64">
        <v>7.56</v>
      </c>
      <c r="F64">
        <v>833333333.33333302</v>
      </c>
      <c r="H64" s="24">
        <f>_xlfn.CEILING.MATH(('analog-mvmu-specs'!B$14)/(D64*10^6))</f>
        <v>1</v>
      </c>
      <c r="I64" s="36">
        <f t="shared" si="0"/>
        <v>2</v>
      </c>
      <c r="J64" s="24">
        <f t="shared" si="0"/>
        <v>4</v>
      </c>
      <c r="L64">
        <f t="shared" si="1"/>
        <v>256</v>
      </c>
      <c r="M64" s="1">
        <f>(32*16*16)*L64*'analog-mvmu-specs'!J$24</f>
        <v>4907.3356800000001</v>
      </c>
      <c r="N64" s="1">
        <f t="shared" si="2"/>
        <v>61931.519999999997</v>
      </c>
      <c r="O64" s="38">
        <f t="shared" si="3"/>
        <v>261.08927999999997</v>
      </c>
      <c r="Q64" s="1">
        <f t="shared" si="4"/>
        <v>153.60000000000005</v>
      </c>
      <c r="R64" s="1">
        <f t="shared" si="5"/>
        <v>2457.6000000000008</v>
      </c>
      <c r="S64" s="40">
        <f t="shared" si="6"/>
        <v>9.6000000000000032</v>
      </c>
      <c r="U64" s="1">
        <f t="shared" si="7"/>
        <v>7.3420402400282399</v>
      </c>
    </row>
    <row r="65" spans="1:21" x14ac:dyDescent="0.25">
      <c r="A65">
        <v>0</v>
      </c>
      <c r="B65">
        <v>37</v>
      </c>
      <c r="C65" s="29">
        <v>8</v>
      </c>
      <c r="D65">
        <v>8.3430000000000004E-2</v>
      </c>
      <c r="E65">
        <v>25.3125</v>
      </c>
      <c r="F65">
        <v>888888888.888888</v>
      </c>
      <c r="H65" s="24">
        <f>_xlfn.CEILING.MATH(('analog-mvmu-specs'!B$14)/(D65*10^6))</f>
        <v>1</v>
      </c>
      <c r="I65" s="36">
        <f t="shared" si="0"/>
        <v>2</v>
      </c>
      <c r="J65" s="24">
        <f t="shared" si="0"/>
        <v>4</v>
      </c>
      <c r="L65">
        <f t="shared" si="1"/>
        <v>256</v>
      </c>
      <c r="M65" s="1">
        <f>(32*16*16)*L65*'analog-mvmu-specs'!J$24</f>
        <v>4907.3356800000001</v>
      </c>
      <c r="N65" s="1">
        <f t="shared" si="2"/>
        <v>207360</v>
      </c>
      <c r="O65" s="38">
        <f t="shared" si="3"/>
        <v>829.16927999999996</v>
      </c>
      <c r="Q65" s="1">
        <f t="shared" si="4"/>
        <v>144.00000000000014</v>
      </c>
      <c r="R65" s="1">
        <f t="shared" si="5"/>
        <v>2304.0000000000023</v>
      </c>
      <c r="S65" s="40">
        <f t="shared" si="6"/>
        <v>9.0000000000000089</v>
      </c>
      <c r="U65" s="1">
        <f t="shared" si="7"/>
        <v>2.3118656783811384</v>
      </c>
    </row>
    <row r="66" spans="1:21" x14ac:dyDescent="0.25">
      <c r="A66">
        <v>0</v>
      </c>
      <c r="B66">
        <v>52</v>
      </c>
      <c r="C66" s="29">
        <v>8</v>
      </c>
      <c r="D66">
        <v>0.47683542857142802</v>
      </c>
      <c r="E66">
        <v>19.010204081632601</v>
      </c>
      <c r="F66">
        <v>31111111111.111099</v>
      </c>
      <c r="H66" s="24">
        <f>_xlfn.CEILING.MATH(('analog-mvmu-specs'!B$14)/(D66*10^6))</f>
        <v>1</v>
      </c>
      <c r="I66" s="36">
        <f t="shared" si="0"/>
        <v>2</v>
      </c>
      <c r="J66" s="24">
        <f t="shared" si="0"/>
        <v>4</v>
      </c>
      <c r="L66">
        <f t="shared" si="1"/>
        <v>256</v>
      </c>
      <c r="M66" s="1">
        <f>(32*16*16)*L66*'analog-mvmu-specs'!J$24</f>
        <v>4907.3356800000001</v>
      </c>
      <c r="N66" s="1">
        <f t="shared" si="2"/>
        <v>155731.59183673427</v>
      </c>
      <c r="O66" s="38">
        <f t="shared" si="3"/>
        <v>627.49581061224319</v>
      </c>
      <c r="Q66" s="1">
        <f t="shared" si="4"/>
        <v>4.1142857142857157</v>
      </c>
      <c r="R66" s="1">
        <f t="shared" si="5"/>
        <v>65.82857142857145</v>
      </c>
      <c r="S66" s="40">
        <f t="shared" si="6"/>
        <v>0.25714285714285723</v>
      </c>
      <c r="U66" s="1">
        <f t="shared" si="7"/>
        <v>3.0548857340253268</v>
      </c>
    </row>
    <row r="67" spans="1:21" x14ac:dyDescent="0.25">
      <c r="A67">
        <v>0</v>
      </c>
      <c r="B67">
        <v>78</v>
      </c>
      <c r="C67" s="29">
        <v>8</v>
      </c>
      <c r="D67">
        <v>12.25</v>
      </c>
      <c r="E67">
        <v>31.25</v>
      </c>
      <c r="F67">
        <v>80000000000</v>
      </c>
      <c r="H67" s="24">
        <f>_xlfn.CEILING.MATH(('analog-mvmu-specs'!B$14)/(D67*10^6))</f>
        <v>1</v>
      </c>
      <c r="I67" s="36">
        <f t="shared" si="0"/>
        <v>2</v>
      </c>
      <c r="J67" s="24">
        <f t="shared" si="0"/>
        <v>4</v>
      </c>
      <c r="L67">
        <f t="shared" si="1"/>
        <v>256</v>
      </c>
      <c r="M67" s="1">
        <f>(32*16*16)*L67*'analog-mvmu-specs'!J$24</f>
        <v>4907.3356800000001</v>
      </c>
      <c r="N67" s="1">
        <f t="shared" si="2"/>
        <v>256000</v>
      </c>
      <c r="O67" s="38">
        <f t="shared" si="3"/>
        <v>1019.16928</v>
      </c>
      <c r="Q67" s="1">
        <f t="shared" si="4"/>
        <v>1.6</v>
      </c>
      <c r="R67" s="1">
        <f t="shared" si="5"/>
        <v>25.6</v>
      </c>
      <c r="S67" s="40">
        <f t="shared" si="6"/>
        <v>0.1</v>
      </c>
      <c r="U67" s="1">
        <f t="shared" si="7"/>
        <v>1.8808730184646067</v>
      </c>
    </row>
    <row r="68" spans="1:21" x14ac:dyDescent="0.25">
      <c r="A68">
        <v>0</v>
      </c>
      <c r="B68">
        <v>93</v>
      </c>
      <c r="C68" s="29">
        <v>8</v>
      </c>
      <c r="D68">
        <v>0.5</v>
      </c>
      <c r="E68">
        <v>49.5703125</v>
      </c>
      <c r="F68">
        <v>6400000000</v>
      </c>
      <c r="H68" s="24">
        <f>_xlfn.CEILING.MATH(('analog-mvmu-specs'!B$14)/(D68*10^6))</f>
        <v>1</v>
      </c>
      <c r="I68" s="36">
        <f t="shared" ref="I68:J131" si="8">2*H68</f>
        <v>2</v>
      </c>
      <c r="J68" s="24">
        <f t="shared" si="8"/>
        <v>4</v>
      </c>
      <c r="L68">
        <f t="shared" ref="L68:L131" si="9">2^C68</f>
        <v>256</v>
      </c>
      <c r="M68" s="1">
        <f>(32*16*16)*L68*'analog-mvmu-specs'!J$24</f>
        <v>4907.3356800000001</v>
      </c>
      <c r="N68" s="1">
        <f t="shared" ref="N68:N131" si="10">(32*16)*16*E68</f>
        <v>406080</v>
      </c>
      <c r="O68" s="38">
        <f t="shared" ref="O68:O131" si="11">SUM(M68:N68)/L68</f>
        <v>1605.4192800000001</v>
      </c>
      <c r="Q68" s="1">
        <f t="shared" ref="Q68:Q131" si="12">32*16*(10^9/F68)/J68</f>
        <v>20</v>
      </c>
      <c r="R68" s="1">
        <f t="shared" ref="R68:R131" si="13">16*Q68</f>
        <v>320</v>
      </c>
      <c r="S68" s="40">
        <f t="shared" ref="S68:S131" si="14">R68/L68</f>
        <v>1.25</v>
      </c>
      <c r="U68" s="1">
        <f t="shared" ref="U68:U131" si="15">M68/(M68+N68)*100</f>
        <v>1.1940357412426241</v>
      </c>
    </row>
    <row r="69" spans="1:21" x14ac:dyDescent="0.25">
      <c r="A69">
        <v>0</v>
      </c>
      <c r="B69">
        <v>94</v>
      </c>
      <c r="C69" s="29">
        <v>8</v>
      </c>
      <c r="D69">
        <v>1.2500000000000001E-2</v>
      </c>
      <c r="E69">
        <v>20.8333333333333</v>
      </c>
      <c r="F69">
        <v>2400000000</v>
      </c>
      <c r="H69" s="24">
        <f>_xlfn.CEILING.MATH(('analog-mvmu-specs'!B$14)/(D69*10^6))</f>
        <v>3</v>
      </c>
      <c r="I69" s="36">
        <f t="shared" si="8"/>
        <v>6</v>
      </c>
      <c r="J69" s="24">
        <f t="shared" si="8"/>
        <v>12</v>
      </c>
      <c r="L69">
        <f t="shared" si="9"/>
        <v>256</v>
      </c>
      <c r="M69" s="1">
        <f>(32*16*16)*L69*'analog-mvmu-specs'!J$24</f>
        <v>4907.3356800000001</v>
      </c>
      <c r="N69" s="1">
        <f t="shared" si="10"/>
        <v>170666.6666666664</v>
      </c>
      <c r="O69" s="38">
        <f t="shared" si="11"/>
        <v>685.83594666666556</v>
      </c>
      <c r="Q69" s="1">
        <f t="shared" si="12"/>
        <v>17.777777777777779</v>
      </c>
      <c r="R69" s="1">
        <f t="shared" si="13"/>
        <v>284.44444444444446</v>
      </c>
      <c r="S69" s="40">
        <f t="shared" si="14"/>
        <v>1.1111111111111112</v>
      </c>
      <c r="U69" s="1">
        <f t="shared" si="15"/>
        <v>2.7950241006129093</v>
      </c>
    </row>
    <row r="70" spans="1:21" x14ac:dyDescent="0.25">
      <c r="A70">
        <v>0</v>
      </c>
      <c r="B70">
        <v>96</v>
      </c>
      <c r="C70" s="29">
        <v>8</v>
      </c>
      <c r="D70">
        <v>0.1125</v>
      </c>
      <c r="E70">
        <v>29.5833333333333</v>
      </c>
      <c r="F70">
        <v>600000000</v>
      </c>
      <c r="H70" s="24">
        <f>_xlfn.CEILING.MATH(('analog-mvmu-specs'!B$14)/(D70*10^6))</f>
        <v>1</v>
      </c>
      <c r="I70" s="36">
        <f t="shared" si="8"/>
        <v>2</v>
      </c>
      <c r="J70" s="24">
        <f t="shared" si="8"/>
        <v>4</v>
      </c>
      <c r="L70">
        <f t="shared" si="9"/>
        <v>256</v>
      </c>
      <c r="M70" s="1">
        <f>(32*16*16)*L70*'analog-mvmu-specs'!J$24</f>
        <v>4907.3356800000001</v>
      </c>
      <c r="N70" s="1">
        <f t="shared" si="10"/>
        <v>242346.6666666664</v>
      </c>
      <c r="O70" s="38">
        <f t="shared" si="11"/>
        <v>965.83594666666556</v>
      </c>
      <c r="Q70" s="1">
        <f t="shared" si="12"/>
        <v>213.33333333333334</v>
      </c>
      <c r="R70" s="1">
        <f t="shared" si="13"/>
        <v>3413.3333333333335</v>
      </c>
      <c r="S70" s="40">
        <f t="shared" si="14"/>
        <v>13.333333333333334</v>
      </c>
      <c r="U70" s="1">
        <f t="shared" si="15"/>
        <v>1.9847345779744316</v>
      </c>
    </row>
    <row r="71" spans="1:21" x14ac:dyDescent="0.25">
      <c r="A71">
        <v>0</v>
      </c>
      <c r="B71">
        <v>97</v>
      </c>
      <c r="C71" s="29">
        <v>8</v>
      </c>
      <c r="D71">
        <v>1.0784023668639E-2</v>
      </c>
      <c r="E71">
        <v>20.130177514792901</v>
      </c>
      <c r="F71">
        <v>361111111.11111099</v>
      </c>
      <c r="H71" s="24">
        <f>_xlfn.CEILING.MATH(('analog-mvmu-specs'!B$14)/(D71*10^6))</f>
        <v>3</v>
      </c>
      <c r="I71" s="36">
        <f t="shared" si="8"/>
        <v>6</v>
      </c>
      <c r="J71" s="24">
        <f t="shared" si="8"/>
        <v>12</v>
      </c>
      <c r="L71">
        <f t="shared" si="9"/>
        <v>256</v>
      </c>
      <c r="M71" s="1">
        <f>(32*16*16)*L71*'analog-mvmu-specs'!J$24</f>
        <v>4907.3356800000001</v>
      </c>
      <c r="N71" s="1">
        <f t="shared" si="10"/>
        <v>164906.41420118345</v>
      </c>
      <c r="O71" s="38">
        <f t="shared" si="11"/>
        <v>663.3349604733728</v>
      </c>
      <c r="Q71" s="1">
        <f t="shared" si="12"/>
        <v>118.15384615384619</v>
      </c>
      <c r="R71" s="1">
        <f t="shared" si="13"/>
        <v>1890.461538461539</v>
      </c>
      <c r="S71" s="40">
        <f t="shared" si="14"/>
        <v>7.3846153846153868</v>
      </c>
      <c r="U71" s="1">
        <f t="shared" si="15"/>
        <v>2.8898341173394981</v>
      </c>
    </row>
    <row r="72" spans="1:21" x14ac:dyDescent="0.25">
      <c r="A72">
        <v>0</v>
      </c>
      <c r="B72">
        <v>117</v>
      </c>
      <c r="C72" s="29">
        <v>8</v>
      </c>
      <c r="D72">
        <v>9.3749999999999997E-3</v>
      </c>
      <c r="E72">
        <v>9.375</v>
      </c>
      <c r="F72">
        <v>800000000</v>
      </c>
      <c r="H72" s="24">
        <f>_xlfn.CEILING.MATH(('analog-mvmu-specs'!B$14)/(D72*10^6))</f>
        <v>3</v>
      </c>
      <c r="I72" s="36">
        <f t="shared" si="8"/>
        <v>6</v>
      </c>
      <c r="J72" s="24">
        <f t="shared" si="8"/>
        <v>12</v>
      </c>
      <c r="L72">
        <f t="shared" si="9"/>
        <v>256</v>
      </c>
      <c r="M72" s="1">
        <f>(32*16*16)*L72*'analog-mvmu-specs'!J$24</f>
        <v>4907.3356800000001</v>
      </c>
      <c r="N72" s="1">
        <f t="shared" si="10"/>
        <v>76800</v>
      </c>
      <c r="O72" s="38">
        <f t="shared" si="11"/>
        <v>319.16928000000001</v>
      </c>
      <c r="Q72" s="1">
        <f t="shared" si="12"/>
        <v>53.333333333333336</v>
      </c>
      <c r="R72" s="1">
        <f t="shared" si="13"/>
        <v>853.33333333333337</v>
      </c>
      <c r="S72" s="40">
        <f t="shared" si="14"/>
        <v>3.3333333333333335</v>
      </c>
      <c r="U72" s="1">
        <f t="shared" si="15"/>
        <v>6.0059915540743765</v>
      </c>
    </row>
    <row r="73" spans="1:21" x14ac:dyDescent="0.25">
      <c r="A73">
        <v>0</v>
      </c>
      <c r="B73">
        <v>156</v>
      </c>
      <c r="C73" s="29">
        <v>8</v>
      </c>
      <c r="D73">
        <v>3.1250000000000002E-3</v>
      </c>
      <c r="E73">
        <v>2.65625</v>
      </c>
      <c r="F73">
        <v>800000000</v>
      </c>
      <c r="H73" s="24">
        <f>_xlfn.CEILING.MATH(('analog-mvmu-specs'!B$14)/(D73*10^6))</f>
        <v>9</v>
      </c>
      <c r="I73" s="36">
        <f t="shared" si="8"/>
        <v>18</v>
      </c>
      <c r="J73" s="24">
        <f t="shared" si="8"/>
        <v>36</v>
      </c>
      <c r="L73">
        <f t="shared" si="9"/>
        <v>256</v>
      </c>
      <c r="M73" s="1">
        <f>(32*16*16)*L73*'analog-mvmu-specs'!J$24</f>
        <v>4907.3356800000001</v>
      </c>
      <c r="N73" s="1">
        <f t="shared" si="10"/>
        <v>21760</v>
      </c>
      <c r="O73" s="38">
        <f t="shared" si="11"/>
        <v>104.16928</v>
      </c>
      <c r="Q73" s="1">
        <f t="shared" si="12"/>
        <v>17.777777777777779</v>
      </c>
      <c r="R73" s="1">
        <f t="shared" si="13"/>
        <v>284.44444444444446</v>
      </c>
      <c r="S73" s="40">
        <f t="shared" si="14"/>
        <v>1.1111111111111112</v>
      </c>
      <c r="U73" s="1">
        <f t="shared" si="15"/>
        <v>18.402047129441616</v>
      </c>
    </row>
    <row r="74" spans="1:21" x14ac:dyDescent="0.25">
      <c r="A74">
        <v>0</v>
      </c>
      <c r="B74">
        <v>178</v>
      </c>
      <c r="C74" s="29">
        <v>8</v>
      </c>
      <c r="D74">
        <v>7.2499999999999995E-2</v>
      </c>
      <c r="E74">
        <v>28.3333333333333</v>
      </c>
      <c r="F74">
        <v>600000000</v>
      </c>
      <c r="H74" s="24">
        <f>_xlfn.CEILING.MATH(('analog-mvmu-specs'!B$14)/(D74*10^6))</f>
        <v>1</v>
      </c>
      <c r="I74" s="36">
        <f t="shared" si="8"/>
        <v>2</v>
      </c>
      <c r="J74" s="24">
        <f t="shared" si="8"/>
        <v>4</v>
      </c>
      <c r="L74">
        <f t="shared" si="9"/>
        <v>256</v>
      </c>
      <c r="M74" s="1">
        <f>(32*16*16)*L74*'analog-mvmu-specs'!J$24</f>
        <v>4907.3356800000001</v>
      </c>
      <c r="N74" s="1">
        <f t="shared" si="10"/>
        <v>232106.6666666664</v>
      </c>
      <c r="O74" s="38">
        <f t="shared" si="11"/>
        <v>925.83594666666556</v>
      </c>
      <c r="Q74" s="1">
        <f t="shared" si="12"/>
        <v>213.33333333333334</v>
      </c>
      <c r="R74" s="1">
        <f t="shared" si="13"/>
        <v>3413.3333333333335</v>
      </c>
      <c r="S74" s="40">
        <f t="shared" si="14"/>
        <v>13.333333333333334</v>
      </c>
      <c r="U74" s="1">
        <f t="shared" si="15"/>
        <v>2.0704834446119897</v>
      </c>
    </row>
    <row r="75" spans="1:21" x14ac:dyDescent="0.25">
      <c r="A75">
        <v>0</v>
      </c>
      <c r="B75">
        <v>206</v>
      </c>
      <c r="C75" s="29">
        <v>8</v>
      </c>
      <c r="D75">
        <v>1.7500000000000002E-2</v>
      </c>
      <c r="E75">
        <v>1.6845703125</v>
      </c>
      <c r="F75">
        <v>20480000</v>
      </c>
      <c r="H75" s="24">
        <f>_xlfn.CEILING.MATH(('analog-mvmu-specs'!B$14)/(D75*10^6))</f>
        <v>2</v>
      </c>
      <c r="I75" s="36">
        <f t="shared" si="8"/>
        <v>4</v>
      </c>
      <c r="J75" s="24">
        <f t="shared" si="8"/>
        <v>8</v>
      </c>
      <c r="L75">
        <f t="shared" si="9"/>
        <v>256</v>
      </c>
      <c r="M75" s="1">
        <f>(32*16*16)*L75*'analog-mvmu-specs'!J$24</f>
        <v>4907.3356800000001</v>
      </c>
      <c r="N75" s="1">
        <f t="shared" si="10"/>
        <v>13800</v>
      </c>
      <c r="O75" s="38">
        <f t="shared" si="11"/>
        <v>73.075530000000001</v>
      </c>
      <c r="Q75" s="1">
        <f t="shared" si="12"/>
        <v>3125</v>
      </c>
      <c r="R75" s="1">
        <f t="shared" si="13"/>
        <v>50000</v>
      </c>
      <c r="S75" s="40">
        <f t="shared" si="14"/>
        <v>195.3125</v>
      </c>
      <c r="U75" s="1">
        <f t="shared" si="15"/>
        <v>26.232146383337895</v>
      </c>
    </row>
    <row r="76" spans="1:21" x14ac:dyDescent="0.25">
      <c r="A76">
        <v>0</v>
      </c>
      <c r="B76">
        <v>212</v>
      </c>
      <c r="C76" s="29">
        <v>8</v>
      </c>
      <c r="D76">
        <v>1.15029585798816E-2</v>
      </c>
      <c r="E76">
        <v>4.7928994082840202</v>
      </c>
      <c r="F76">
        <v>577777777.77777696</v>
      </c>
      <c r="H76" s="24">
        <f>_xlfn.CEILING.MATH(('analog-mvmu-specs'!B$14)/(D76*10^6))</f>
        <v>3</v>
      </c>
      <c r="I76" s="36">
        <f t="shared" si="8"/>
        <v>6</v>
      </c>
      <c r="J76" s="24">
        <f t="shared" si="8"/>
        <v>12</v>
      </c>
      <c r="L76">
        <f t="shared" si="9"/>
        <v>256</v>
      </c>
      <c r="M76" s="1">
        <f>(32*16*16)*L76*'analog-mvmu-specs'!J$24</f>
        <v>4907.3356800000001</v>
      </c>
      <c r="N76" s="1">
        <f t="shared" si="10"/>
        <v>39263.431952662693</v>
      </c>
      <c r="O76" s="38">
        <f t="shared" si="11"/>
        <v>172.54206106508866</v>
      </c>
      <c r="Q76" s="1">
        <f t="shared" si="12"/>
        <v>73.846153846153953</v>
      </c>
      <c r="R76" s="1">
        <f t="shared" si="13"/>
        <v>1181.5384615384633</v>
      </c>
      <c r="S76" s="40">
        <f t="shared" si="14"/>
        <v>4.6153846153846221</v>
      </c>
      <c r="U76" s="1">
        <f t="shared" si="15"/>
        <v>11.109917130738751</v>
      </c>
    </row>
    <row r="77" spans="1:21" x14ac:dyDescent="0.25">
      <c r="A77">
        <v>0</v>
      </c>
      <c r="B77">
        <v>246</v>
      </c>
      <c r="C77" s="29">
        <v>8</v>
      </c>
      <c r="D77">
        <v>2.9663085937500001E-3</v>
      </c>
      <c r="E77">
        <v>5.042724609375</v>
      </c>
      <c r="F77">
        <v>853333333.33333302</v>
      </c>
      <c r="H77" s="24">
        <f>_xlfn.CEILING.MATH(('analog-mvmu-specs'!B$14)/(D77*10^6))</f>
        <v>10</v>
      </c>
      <c r="I77" s="36">
        <f t="shared" si="8"/>
        <v>20</v>
      </c>
      <c r="J77" s="24">
        <f t="shared" si="8"/>
        <v>40</v>
      </c>
      <c r="L77">
        <f t="shared" si="9"/>
        <v>256</v>
      </c>
      <c r="M77" s="1">
        <f>(32*16*16)*L77*'analog-mvmu-specs'!J$24</f>
        <v>4907.3356800000001</v>
      </c>
      <c r="N77" s="1">
        <f t="shared" si="10"/>
        <v>41310</v>
      </c>
      <c r="O77" s="38">
        <f t="shared" si="11"/>
        <v>180.53646750000001</v>
      </c>
      <c r="Q77" s="1">
        <f t="shared" si="12"/>
        <v>15.000000000000005</v>
      </c>
      <c r="R77" s="1">
        <f t="shared" si="13"/>
        <v>240.00000000000009</v>
      </c>
      <c r="S77" s="40">
        <f t="shared" si="14"/>
        <v>0.93750000000000033</v>
      </c>
      <c r="U77" s="1">
        <f t="shared" si="15"/>
        <v>10.617954513815885</v>
      </c>
    </row>
    <row r="78" spans="1:21" x14ac:dyDescent="0.25">
      <c r="A78">
        <v>0</v>
      </c>
      <c r="B78">
        <v>255</v>
      </c>
      <c r="C78" s="29">
        <v>8</v>
      </c>
      <c r="D78">
        <v>0.889892578125</v>
      </c>
      <c r="E78">
        <v>14.65576171875</v>
      </c>
      <c r="F78">
        <v>64000000000</v>
      </c>
      <c r="H78" s="24">
        <f>_xlfn.CEILING.MATH(('analog-mvmu-specs'!B$14)/(D78*10^6))</f>
        <v>1</v>
      </c>
      <c r="I78" s="36">
        <f t="shared" si="8"/>
        <v>2</v>
      </c>
      <c r="J78" s="24">
        <f t="shared" si="8"/>
        <v>4</v>
      </c>
      <c r="L78">
        <f t="shared" si="9"/>
        <v>256</v>
      </c>
      <c r="M78" s="1">
        <f>(32*16*16)*L78*'analog-mvmu-specs'!J$24</f>
        <v>4907.3356800000001</v>
      </c>
      <c r="N78" s="1">
        <f t="shared" si="10"/>
        <v>120060</v>
      </c>
      <c r="O78" s="38">
        <f t="shared" si="11"/>
        <v>488.15365500000001</v>
      </c>
      <c r="Q78" s="1">
        <f t="shared" si="12"/>
        <v>2</v>
      </c>
      <c r="R78" s="1">
        <f t="shared" si="13"/>
        <v>32</v>
      </c>
      <c r="S78" s="40">
        <f t="shared" si="14"/>
        <v>0.125</v>
      </c>
      <c r="U78" s="1">
        <f t="shared" si="15"/>
        <v>3.9268946987603726</v>
      </c>
    </row>
    <row r="79" spans="1:21" x14ac:dyDescent="0.25">
      <c r="A79">
        <v>0</v>
      </c>
      <c r="B79">
        <v>280</v>
      </c>
      <c r="C79" s="29">
        <v>8</v>
      </c>
      <c r="D79">
        <v>1.53252551020408</v>
      </c>
      <c r="E79">
        <v>51.658163265306101</v>
      </c>
      <c r="F79">
        <v>9955555555.5555496</v>
      </c>
      <c r="H79" s="24">
        <f>_xlfn.CEILING.MATH(('analog-mvmu-specs'!B$14)/(D79*10^6))</f>
        <v>1</v>
      </c>
      <c r="I79" s="36">
        <f t="shared" si="8"/>
        <v>2</v>
      </c>
      <c r="J79" s="24">
        <f t="shared" si="8"/>
        <v>4</v>
      </c>
      <c r="L79">
        <f t="shared" si="9"/>
        <v>256</v>
      </c>
      <c r="M79" s="1">
        <f>(32*16*16)*L79*'analog-mvmu-specs'!J$24</f>
        <v>4907.3356800000001</v>
      </c>
      <c r="N79" s="1">
        <f t="shared" si="10"/>
        <v>423183.67346938758</v>
      </c>
      <c r="O79" s="38">
        <f t="shared" si="11"/>
        <v>1672.2305044897953</v>
      </c>
      <c r="Q79" s="1">
        <f t="shared" si="12"/>
        <v>12.857142857142865</v>
      </c>
      <c r="R79" s="1">
        <f t="shared" si="13"/>
        <v>205.71428571428584</v>
      </c>
      <c r="S79" s="40">
        <f t="shared" si="14"/>
        <v>0.80357142857142905</v>
      </c>
      <c r="U79" s="1">
        <f t="shared" si="15"/>
        <v>1.1463300034613728</v>
      </c>
    </row>
    <row r="80" spans="1:21" x14ac:dyDescent="0.25">
      <c r="A80">
        <v>0</v>
      </c>
      <c r="B80">
        <v>322</v>
      </c>
      <c r="C80" s="29">
        <v>8</v>
      </c>
      <c r="D80">
        <v>1.5239158163265301</v>
      </c>
      <c r="E80">
        <v>33.721301020408099</v>
      </c>
      <c r="F80">
        <v>22400000000</v>
      </c>
      <c r="H80" s="24">
        <f>_xlfn.CEILING.MATH(('analog-mvmu-specs'!B$14)/(D80*10^6))</f>
        <v>1</v>
      </c>
      <c r="I80" s="36">
        <f t="shared" si="8"/>
        <v>2</v>
      </c>
      <c r="J80" s="24">
        <f t="shared" si="8"/>
        <v>4</v>
      </c>
      <c r="L80">
        <f t="shared" si="9"/>
        <v>256</v>
      </c>
      <c r="M80" s="1">
        <f>(32*16*16)*L80*'analog-mvmu-specs'!J$24</f>
        <v>4907.3356800000001</v>
      </c>
      <c r="N80" s="1">
        <f t="shared" si="10"/>
        <v>276244.89795918314</v>
      </c>
      <c r="O80" s="38">
        <f t="shared" si="11"/>
        <v>1098.2509126530592</v>
      </c>
      <c r="Q80" s="1">
        <f t="shared" si="12"/>
        <v>5.7142857142857144</v>
      </c>
      <c r="R80" s="1">
        <f t="shared" si="13"/>
        <v>91.428571428571431</v>
      </c>
      <c r="S80" s="40">
        <f t="shared" si="14"/>
        <v>0.35714285714285715</v>
      </c>
      <c r="U80" s="1">
        <f t="shared" si="15"/>
        <v>1.7454372019316167</v>
      </c>
    </row>
    <row r="81" spans="1:21" x14ac:dyDescent="0.25">
      <c r="A81">
        <v>1</v>
      </c>
      <c r="B81">
        <v>4</v>
      </c>
      <c r="C81" s="29">
        <v>8</v>
      </c>
      <c r="D81">
        <v>0.106919999999999</v>
      </c>
      <c r="E81">
        <v>58.32</v>
      </c>
      <c r="F81">
        <v>555555555.55555499</v>
      </c>
      <c r="H81" s="24">
        <f>_xlfn.CEILING.MATH(('analog-mvmu-specs'!B$14)/(D81*10^6))</f>
        <v>1</v>
      </c>
      <c r="I81" s="36">
        <f t="shared" si="8"/>
        <v>2</v>
      </c>
      <c r="J81" s="24">
        <f t="shared" si="8"/>
        <v>4</v>
      </c>
      <c r="L81">
        <f t="shared" si="9"/>
        <v>256</v>
      </c>
      <c r="M81" s="1">
        <f>(32*16*16)*L81*'analog-mvmu-specs'!J$24</f>
        <v>4907.3356800000001</v>
      </c>
      <c r="N81" s="1">
        <f t="shared" si="10"/>
        <v>477757.44</v>
      </c>
      <c r="O81" s="38">
        <f t="shared" si="11"/>
        <v>1885.4092800000001</v>
      </c>
      <c r="Q81" s="1">
        <f t="shared" si="12"/>
        <v>230.40000000000023</v>
      </c>
      <c r="R81" s="1">
        <f t="shared" si="13"/>
        <v>3686.4000000000037</v>
      </c>
      <c r="S81" s="40">
        <f t="shared" si="14"/>
        <v>14.400000000000015</v>
      </c>
      <c r="U81" s="1">
        <f t="shared" si="15"/>
        <v>1.0167171766546095</v>
      </c>
    </row>
    <row r="82" spans="1:21" x14ac:dyDescent="0.25">
      <c r="A82">
        <v>1</v>
      </c>
      <c r="B82">
        <v>8</v>
      </c>
      <c r="C82" s="29">
        <v>8</v>
      </c>
      <c r="D82">
        <v>1.36079999999999E-2</v>
      </c>
      <c r="E82">
        <v>13.364999999999901</v>
      </c>
      <c r="F82">
        <v>1111111111.11111</v>
      </c>
      <c r="H82" s="24">
        <f>_xlfn.CEILING.MATH(('analog-mvmu-specs'!B$14)/(D82*10^6))</f>
        <v>3</v>
      </c>
      <c r="I82" s="36">
        <f t="shared" si="8"/>
        <v>6</v>
      </c>
      <c r="J82" s="24">
        <f t="shared" si="8"/>
        <v>12</v>
      </c>
      <c r="L82">
        <f t="shared" si="9"/>
        <v>256</v>
      </c>
      <c r="M82" s="1">
        <f>(32*16*16)*L82*'analog-mvmu-specs'!J$24</f>
        <v>4907.3356800000001</v>
      </c>
      <c r="N82" s="1">
        <f t="shared" si="10"/>
        <v>109486.07999999919</v>
      </c>
      <c r="O82" s="38">
        <f t="shared" si="11"/>
        <v>446.84927999999684</v>
      </c>
      <c r="Q82" s="1">
        <f t="shared" si="12"/>
        <v>38.400000000000041</v>
      </c>
      <c r="R82" s="1">
        <f t="shared" si="13"/>
        <v>614.40000000000066</v>
      </c>
      <c r="S82" s="40">
        <f t="shared" si="14"/>
        <v>2.4000000000000026</v>
      </c>
      <c r="U82" s="1">
        <f t="shared" si="15"/>
        <v>4.2898759957720278</v>
      </c>
    </row>
    <row r="83" spans="1:21" x14ac:dyDescent="0.25">
      <c r="A83">
        <v>1</v>
      </c>
      <c r="B83">
        <v>11</v>
      </c>
      <c r="C83" s="29">
        <v>8</v>
      </c>
      <c r="D83">
        <v>1.3224489795918301E-2</v>
      </c>
      <c r="E83">
        <v>14.546938775510201</v>
      </c>
      <c r="F83">
        <v>972222222.22222197</v>
      </c>
      <c r="H83" s="24">
        <f>_xlfn.CEILING.MATH(('analog-mvmu-specs'!B$14)/(D83*10^6))</f>
        <v>3</v>
      </c>
      <c r="I83" s="36">
        <f t="shared" si="8"/>
        <v>6</v>
      </c>
      <c r="J83" s="24">
        <f t="shared" si="8"/>
        <v>12</v>
      </c>
      <c r="L83">
        <f t="shared" si="9"/>
        <v>256</v>
      </c>
      <c r="M83" s="1">
        <f>(32*16*16)*L83*'analog-mvmu-specs'!J$24</f>
        <v>4907.3356800000001</v>
      </c>
      <c r="N83" s="1">
        <f t="shared" si="10"/>
        <v>119168.52244897957</v>
      </c>
      <c r="O83" s="38">
        <f t="shared" si="11"/>
        <v>484.67132081632644</v>
      </c>
      <c r="Q83" s="1">
        <f t="shared" si="12"/>
        <v>43.8857142857143</v>
      </c>
      <c r="R83" s="1">
        <f t="shared" si="13"/>
        <v>702.17142857142881</v>
      </c>
      <c r="S83" s="40">
        <f t="shared" si="14"/>
        <v>2.7428571428571438</v>
      </c>
      <c r="U83" s="1">
        <f t="shared" si="15"/>
        <v>3.9551092001303889</v>
      </c>
    </row>
    <row r="84" spans="1:21" x14ac:dyDescent="0.25">
      <c r="A84">
        <v>1</v>
      </c>
      <c r="B84">
        <v>12</v>
      </c>
      <c r="C84" s="29">
        <v>8</v>
      </c>
      <c r="D84">
        <v>0.06</v>
      </c>
      <c r="E84">
        <v>37.5</v>
      </c>
      <c r="F84">
        <v>120000000</v>
      </c>
      <c r="H84" s="24">
        <f>_xlfn.CEILING.MATH(('analog-mvmu-specs'!B$14)/(D84*10^6))</f>
        <v>1</v>
      </c>
      <c r="I84" s="36">
        <f t="shared" si="8"/>
        <v>2</v>
      </c>
      <c r="J84" s="24">
        <f t="shared" si="8"/>
        <v>4</v>
      </c>
      <c r="L84">
        <f t="shared" si="9"/>
        <v>256</v>
      </c>
      <c r="M84" s="1">
        <f>(32*16*16)*L84*'analog-mvmu-specs'!J$24</f>
        <v>4907.3356800000001</v>
      </c>
      <c r="N84" s="1">
        <f t="shared" si="10"/>
        <v>307200</v>
      </c>
      <c r="O84" s="38">
        <f t="shared" si="11"/>
        <v>1219.1692800000001</v>
      </c>
      <c r="Q84" s="1">
        <f t="shared" si="12"/>
        <v>1066.6666666666667</v>
      </c>
      <c r="R84" s="1">
        <f t="shared" si="13"/>
        <v>17066.666666666668</v>
      </c>
      <c r="S84" s="40">
        <f t="shared" si="14"/>
        <v>66.666666666666671</v>
      </c>
      <c r="U84" s="1">
        <f t="shared" si="15"/>
        <v>1.5723230821564009</v>
      </c>
    </row>
    <row r="85" spans="1:21" x14ac:dyDescent="0.25">
      <c r="A85">
        <v>1</v>
      </c>
      <c r="B85">
        <v>27</v>
      </c>
      <c r="C85" s="29">
        <v>8</v>
      </c>
      <c r="D85">
        <v>3.125E-2</v>
      </c>
      <c r="E85">
        <v>21.5625</v>
      </c>
      <c r="F85">
        <v>2400000000</v>
      </c>
      <c r="H85" s="24">
        <f>_xlfn.CEILING.MATH(('analog-mvmu-specs'!B$14)/(D85*10^6))</f>
        <v>1</v>
      </c>
      <c r="I85" s="36">
        <f t="shared" si="8"/>
        <v>2</v>
      </c>
      <c r="J85" s="24">
        <f t="shared" si="8"/>
        <v>4</v>
      </c>
      <c r="L85">
        <f t="shared" si="9"/>
        <v>256</v>
      </c>
      <c r="M85" s="1">
        <f>(32*16*16)*L85*'analog-mvmu-specs'!J$24</f>
        <v>4907.3356800000001</v>
      </c>
      <c r="N85" s="1">
        <f t="shared" si="10"/>
        <v>176640</v>
      </c>
      <c r="O85" s="38">
        <f t="shared" si="11"/>
        <v>709.16927999999996</v>
      </c>
      <c r="Q85" s="1">
        <f t="shared" si="12"/>
        <v>53.333333333333336</v>
      </c>
      <c r="R85" s="1">
        <f t="shared" si="13"/>
        <v>853.33333333333337</v>
      </c>
      <c r="S85" s="40">
        <f t="shared" si="14"/>
        <v>3.3333333333333335</v>
      </c>
      <c r="U85" s="1">
        <f t="shared" si="15"/>
        <v>2.7030612493536101</v>
      </c>
    </row>
    <row r="86" spans="1:21" x14ac:dyDescent="0.25">
      <c r="A86">
        <v>1</v>
      </c>
      <c r="B86">
        <v>40</v>
      </c>
      <c r="C86" s="29">
        <v>8</v>
      </c>
      <c r="D86">
        <v>0.1275</v>
      </c>
      <c r="E86">
        <v>18.75</v>
      </c>
      <c r="F86">
        <v>400000000</v>
      </c>
      <c r="H86" s="24">
        <f>_xlfn.CEILING.MATH(('analog-mvmu-specs'!B$14)/(D86*10^6))</f>
        <v>1</v>
      </c>
      <c r="I86" s="36">
        <f t="shared" si="8"/>
        <v>2</v>
      </c>
      <c r="J86" s="24">
        <f t="shared" si="8"/>
        <v>4</v>
      </c>
      <c r="L86">
        <f t="shared" si="9"/>
        <v>256</v>
      </c>
      <c r="M86" s="1">
        <f>(32*16*16)*L86*'analog-mvmu-specs'!J$24</f>
        <v>4907.3356800000001</v>
      </c>
      <c r="N86" s="1">
        <f t="shared" si="10"/>
        <v>153600</v>
      </c>
      <c r="O86" s="38">
        <f t="shared" si="11"/>
        <v>619.16927999999996</v>
      </c>
      <c r="Q86" s="1">
        <f t="shared" si="12"/>
        <v>320</v>
      </c>
      <c r="R86" s="1">
        <f t="shared" si="13"/>
        <v>5120</v>
      </c>
      <c r="S86" s="40">
        <f t="shared" si="14"/>
        <v>20</v>
      </c>
      <c r="U86" s="1">
        <f t="shared" si="15"/>
        <v>3.0959675518785432</v>
      </c>
    </row>
    <row r="87" spans="1:21" x14ac:dyDescent="0.25">
      <c r="A87">
        <v>1</v>
      </c>
      <c r="B87">
        <v>41</v>
      </c>
      <c r="C87" s="29">
        <v>8</v>
      </c>
      <c r="D87">
        <v>0.1275</v>
      </c>
      <c r="E87">
        <v>46.875</v>
      </c>
      <c r="F87">
        <v>160000000</v>
      </c>
      <c r="H87" s="24">
        <f>_xlfn.CEILING.MATH(('analog-mvmu-specs'!B$14)/(D87*10^6))</f>
        <v>1</v>
      </c>
      <c r="I87" s="36">
        <f t="shared" si="8"/>
        <v>2</v>
      </c>
      <c r="J87" s="24">
        <f t="shared" si="8"/>
        <v>4</v>
      </c>
      <c r="L87">
        <f t="shared" si="9"/>
        <v>256</v>
      </c>
      <c r="M87" s="1">
        <f>(32*16*16)*L87*'analog-mvmu-specs'!J$24</f>
        <v>4907.3356800000001</v>
      </c>
      <c r="N87" s="1">
        <f t="shared" si="10"/>
        <v>384000</v>
      </c>
      <c r="O87" s="38">
        <f t="shared" si="11"/>
        <v>1519.1692800000001</v>
      </c>
      <c r="Q87" s="1">
        <f t="shared" si="12"/>
        <v>800</v>
      </c>
      <c r="R87" s="1">
        <f t="shared" si="13"/>
        <v>12800</v>
      </c>
      <c r="S87" s="40">
        <f t="shared" si="14"/>
        <v>50</v>
      </c>
      <c r="U87" s="1">
        <f t="shared" si="15"/>
        <v>1.261826463473511</v>
      </c>
    </row>
    <row r="88" spans="1:21" x14ac:dyDescent="0.25">
      <c r="A88">
        <v>1</v>
      </c>
      <c r="B88">
        <v>54</v>
      </c>
      <c r="C88" s="29">
        <v>8</v>
      </c>
      <c r="D88">
        <v>0.21249999999999999</v>
      </c>
      <c r="E88">
        <v>57.5</v>
      </c>
      <c r="F88">
        <v>20000000</v>
      </c>
      <c r="H88" s="24">
        <f>_xlfn.CEILING.MATH(('analog-mvmu-specs'!B$14)/(D88*10^6))</f>
        <v>1</v>
      </c>
      <c r="I88" s="36">
        <f t="shared" si="8"/>
        <v>2</v>
      </c>
      <c r="J88" s="24">
        <f t="shared" si="8"/>
        <v>4</v>
      </c>
      <c r="L88">
        <f t="shared" si="9"/>
        <v>256</v>
      </c>
      <c r="M88" s="1">
        <f>(32*16*16)*L88*'analog-mvmu-specs'!J$24</f>
        <v>4907.3356800000001</v>
      </c>
      <c r="N88" s="1">
        <f t="shared" si="10"/>
        <v>471040</v>
      </c>
      <c r="O88" s="38">
        <f t="shared" si="11"/>
        <v>1859.1692800000001</v>
      </c>
      <c r="Q88" s="1">
        <f t="shared" si="12"/>
        <v>6400</v>
      </c>
      <c r="R88" s="1">
        <f t="shared" si="13"/>
        <v>102400</v>
      </c>
      <c r="S88" s="40">
        <f t="shared" si="14"/>
        <v>400</v>
      </c>
      <c r="U88" s="1">
        <f t="shared" si="15"/>
        <v>1.0310669505038295</v>
      </c>
    </row>
    <row r="89" spans="1:21" x14ac:dyDescent="0.25">
      <c r="A89">
        <v>1</v>
      </c>
      <c r="B89">
        <v>60</v>
      </c>
      <c r="C89" s="29">
        <v>8</v>
      </c>
      <c r="D89">
        <v>5.7514792899408203E-2</v>
      </c>
      <c r="E89">
        <v>179.73372781065001</v>
      </c>
      <c r="F89">
        <v>1155555555.5555501</v>
      </c>
      <c r="H89" s="24">
        <f>_xlfn.CEILING.MATH(('analog-mvmu-specs'!B$14)/(D89*10^6))</f>
        <v>1</v>
      </c>
      <c r="I89" s="36">
        <f t="shared" si="8"/>
        <v>2</v>
      </c>
      <c r="J89" s="24">
        <f t="shared" si="8"/>
        <v>4</v>
      </c>
      <c r="L89">
        <f t="shared" si="9"/>
        <v>256</v>
      </c>
      <c r="M89" s="1">
        <f>(32*16*16)*L89*'analog-mvmu-specs'!J$24</f>
        <v>4907.3356800000001</v>
      </c>
      <c r="N89" s="1">
        <f t="shared" si="10"/>
        <v>1472378.6982248449</v>
      </c>
      <c r="O89" s="38">
        <f t="shared" si="11"/>
        <v>5770.6485699408004</v>
      </c>
      <c r="Q89" s="1">
        <f t="shared" si="12"/>
        <v>110.7692307692313</v>
      </c>
      <c r="R89" s="1">
        <f t="shared" si="13"/>
        <v>1772.3076923077008</v>
      </c>
      <c r="S89" s="40">
        <f t="shared" si="14"/>
        <v>6.9230769230769562</v>
      </c>
      <c r="U89" s="1">
        <f t="shared" si="15"/>
        <v>0.33218588461360166</v>
      </c>
    </row>
    <row r="90" spans="1:21" x14ac:dyDescent="0.25">
      <c r="A90">
        <v>1</v>
      </c>
      <c r="B90">
        <v>107</v>
      </c>
      <c r="C90" s="29">
        <v>8</v>
      </c>
      <c r="D90">
        <v>0.133884297520661</v>
      </c>
      <c r="E90">
        <v>10.7107438016528</v>
      </c>
      <c r="F90">
        <v>1222222222.2222199</v>
      </c>
      <c r="H90" s="24">
        <f>_xlfn.CEILING.MATH(('analog-mvmu-specs'!B$14)/(D90*10^6))</f>
        <v>1</v>
      </c>
      <c r="I90" s="36">
        <f t="shared" si="8"/>
        <v>2</v>
      </c>
      <c r="J90" s="24">
        <f t="shared" si="8"/>
        <v>4</v>
      </c>
      <c r="L90">
        <f t="shared" si="9"/>
        <v>256</v>
      </c>
      <c r="M90" s="1">
        <f>(32*16*16)*L90*'analog-mvmu-specs'!J$24</f>
        <v>4907.3356800000001</v>
      </c>
      <c r="N90" s="1">
        <f t="shared" si="10"/>
        <v>87742.413223139738</v>
      </c>
      <c r="O90" s="38">
        <f t="shared" si="11"/>
        <v>361.91308165288962</v>
      </c>
      <c r="Q90" s="1">
        <f t="shared" si="12"/>
        <v>104.72727272727292</v>
      </c>
      <c r="R90" s="1">
        <f t="shared" si="13"/>
        <v>1675.6363636363667</v>
      </c>
      <c r="S90" s="40">
        <f t="shared" si="14"/>
        <v>6.5454545454545574</v>
      </c>
      <c r="U90" s="1">
        <f t="shared" si="15"/>
        <v>5.2966529732642362</v>
      </c>
    </row>
    <row r="91" spans="1:21" x14ac:dyDescent="0.25">
      <c r="A91">
        <v>1</v>
      </c>
      <c r="B91">
        <v>120</v>
      </c>
      <c r="C91" s="29">
        <v>8</v>
      </c>
      <c r="D91">
        <v>6.2307692307692298E-3</v>
      </c>
      <c r="E91">
        <v>1.8213017751479199</v>
      </c>
      <c r="F91">
        <v>1444444444.4444399</v>
      </c>
      <c r="H91" s="24">
        <f>_xlfn.CEILING.MATH(('analog-mvmu-specs'!B$14)/(D91*10^6))</f>
        <v>5</v>
      </c>
      <c r="I91" s="36">
        <f t="shared" si="8"/>
        <v>10</v>
      </c>
      <c r="J91" s="24">
        <f t="shared" si="8"/>
        <v>20</v>
      </c>
      <c r="L91">
        <f t="shared" si="9"/>
        <v>256</v>
      </c>
      <c r="M91" s="1">
        <f>(32*16*16)*L91*'analog-mvmu-specs'!J$24</f>
        <v>4907.3356800000001</v>
      </c>
      <c r="N91" s="1">
        <f t="shared" si="10"/>
        <v>14920.10414201176</v>
      </c>
      <c r="O91" s="38">
        <f t="shared" si="11"/>
        <v>77.450936804733431</v>
      </c>
      <c r="Q91" s="1">
        <f t="shared" si="12"/>
        <v>17.723076923076981</v>
      </c>
      <c r="R91" s="1">
        <f t="shared" si="13"/>
        <v>283.56923076923169</v>
      </c>
      <c r="S91" s="40">
        <f t="shared" si="14"/>
        <v>1.1076923076923113</v>
      </c>
      <c r="U91" s="1">
        <f t="shared" si="15"/>
        <v>24.750223549043586</v>
      </c>
    </row>
    <row r="92" spans="1:21" x14ac:dyDescent="0.25">
      <c r="A92">
        <v>1</v>
      </c>
      <c r="B92">
        <v>121</v>
      </c>
      <c r="C92" s="29">
        <v>8</v>
      </c>
      <c r="D92">
        <v>1.0331632653061199E-2</v>
      </c>
      <c r="E92">
        <v>15.4974489795918</v>
      </c>
      <c r="F92">
        <v>466666666.66666597</v>
      </c>
      <c r="H92" s="24">
        <f>_xlfn.CEILING.MATH(('analog-mvmu-specs'!B$14)/(D92*10^6))</f>
        <v>3</v>
      </c>
      <c r="I92" s="36">
        <f t="shared" si="8"/>
        <v>6</v>
      </c>
      <c r="J92" s="24">
        <f t="shared" si="8"/>
        <v>12</v>
      </c>
      <c r="L92">
        <f t="shared" si="9"/>
        <v>256</v>
      </c>
      <c r="M92" s="1">
        <f>(32*16*16)*L92*'analog-mvmu-specs'!J$24</f>
        <v>4907.3356800000001</v>
      </c>
      <c r="N92" s="1">
        <f t="shared" si="10"/>
        <v>126955.10204081603</v>
      </c>
      <c r="O92" s="38">
        <f t="shared" si="11"/>
        <v>515.08764734693762</v>
      </c>
      <c r="Q92" s="1">
        <f t="shared" si="12"/>
        <v>91.428571428571558</v>
      </c>
      <c r="R92" s="1">
        <f t="shared" si="13"/>
        <v>1462.8571428571449</v>
      </c>
      <c r="S92" s="40">
        <f t="shared" si="14"/>
        <v>5.7142857142857224</v>
      </c>
      <c r="U92" s="1">
        <f t="shared" si="15"/>
        <v>3.7215569231246812</v>
      </c>
    </row>
    <row r="93" spans="1:21" x14ac:dyDescent="0.25">
      <c r="A93">
        <v>1</v>
      </c>
      <c r="B93">
        <v>155</v>
      </c>
      <c r="C93" s="29">
        <v>8</v>
      </c>
      <c r="D93">
        <v>7.4999999999999997E-3</v>
      </c>
      <c r="E93">
        <v>7.4999999999999997E-2</v>
      </c>
      <c r="F93">
        <v>400000</v>
      </c>
      <c r="H93" s="24">
        <f>_xlfn.CEILING.MATH(('analog-mvmu-specs'!B$14)/(D93*10^6))</f>
        <v>4</v>
      </c>
      <c r="I93" s="36">
        <f t="shared" si="8"/>
        <v>8</v>
      </c>
      <c r="J93" s="24">
        <f t="shared" si="8"/>
        <v>16</v>
      </c>
      <c r="L93">
        <f t="shared" si="9"/>
        <v>256</v>
      </c>
      <c r="M93" s="1">
        <f>(32*16*16)*L93*'analog-mvmu-specs'!J$24</f>
        <v>4907.3356800000001</v>
      </c>
      <c r="N93" s="1">
        <f t="shared" si="10"/>
        <v>614.4</v>
      </c>
      <c r="O93" s="38">
        <f t="shared" si="11"/>
        <v>21.569279999999999</v>
      </c>
      <c r="Q93" s="1">
        <f t="shared" si="12"/>
        <v>80000</v>
      </c>
      <c r="R93" s="1">
        <f t="shared" si="13"/>
        <v>1280000</v>
      </c>
      <c r="S93" s="40">
        <f t="shared" si="14"/>
        <v>5000</v>
      </c>
      <c r="U93" s="1">
        <f t="shared" si="15"/>
        <v>88.873063913120887</v>
      </c>
    </row>
    <row r="94" spans="1:21" x14ac:dyDescent="0.25">
      <c r="A94">
        <v>1</v>
      </c>
      <c r="B94">
        <v>185</v>
      </c>
      <c r="C94" s="29">
        <v>8</v>
      </c>
      <c r="D94">
        <v>0.25829081632653</v>
      </c>
      <c r="E94">
        <v>542.41071428571399</v>
      </c>
      <c r="F94">
        <v>12444444.444444399</v>
      </c>
      <c r="H94" s="24">
        <f>_xlfn.CEILING.MATH(('analog-mvmu-specs'!B$14)/(D94*10^6))</f>
        <v>1</v>
      </c>
      <c r="I94" s="36">
        <f t="shared" si="8"/>
        <v>2</v>
      </c>
      <c r="J94" s="24">
        <f t="shared" si="8"/>
        <v>4</v>
      </c>
      <c r="L94">
        <f t="shared" si="9"/>
        <v>256</v>
      </c>
      <c r="M94" s="1">
        <f>(32*16*16)*L94*'analog-mvmu-specs'!J$24</f>
        <v>4907.3356800000001</v>
      </c>
      <c r="N94" s="1">
        <f t="shared" si="10"/>
        <v>4443428.571428569</v>
      </c>
      <c r="O94" s="38">
        <f t="shared" si="11"/>
        <v>17376.312137142846</v>
      </c>
      <c r="Q94" s="1">
        <f t="shared" si="12"/>
        <v>10285.714285714323</v>
      </c>
      <c r="R94" s="1">
        <f t="shared" si="13"/>
        <v>164571.42857142916</v>
      </c>
      <c r="S94" s="40">
        <f t="shared" si="14"/>
        <v>642.85714285714516</v>
      </c>
      <c r="U94" s="1">
        <f t="shared" si="15"/>
        <v>0.1103184602619136</v>
      </c>
    </row>
    <row r="95" spans="1:21" x14ac:dyDescent="0.25">
      <c r="A95">
        <v>1</v>
      </c>
      <c r="B95">
        <v>201</v>
      </c>
      <c r="C95" s="29">
        <v>8</v>
      </c>
      <c r="D95">
        <v>3.8343195266272098E-2</v>
      </c>
      <c r="E95">
        <v>5.03254437869822</v>
      </c>
      <c r="F95">
        <v>2888888888.8888798</v>
      </c>
      <c r="H95" s="24">
        <f>_xlfn.CEILING.MATH(('analog-mvmu-specs'!B$14)/(D95*10^6))</f>
        <v>1</v>
      </c>
      <c r="I95" s="36">
        <f t="shared" si="8"/>
        <v>2</v>
      </c>
      <c r="J95" s="24">
        <f t="shared" si="8"/>
        <v>4</v>
      </c>
      <c r="L95">
        <f t="shared" si="9"/>
        <v>256</v>
      </c>
      <c r="M95" s="1">
        <f>(32*16*16)*L95*'analog-mvmu-specs'!J$24</f>
        <v>4907.3356800000001</v>
      </c>
      <c r="N95" s="1">
        <f t="shared" si="10"/>
        <v>41226.603550295818</v>
      </c>
      <c r="O95" s="38">
        <f t="shared" si="11"/>
        <v>180.21070011834303</v>
      </c>
      <c r="Q95" s="1">
        <f t="shared" si="12"/>
        <v>44.307692307692449</v>
      </c>
      <c r="R95" s="1">
        <f t="shared" si="13"/>
        <v>708.92307692307918</v>
      </c>
      <c r="S95" s="40">
        <f t="shared" si="14"/>
        <v>2.769230769230778</v>
      </c>
      <c r="U95" s="1">
        <f t="shared" si="15"/>
        <v>10.637148619594551</v>
      </c>
    </row>
    <row r="96" spans="1:21" x14ac:dyDescent="0.25">
      <c r="A96">
        <v>1</v>
      </c>
      <c r="B96">
        <v>204</v>
      </c>
      <c r="C96" s="29">
        <v>8</v>
      </c>
      <c r="D96">
        <v>3.3550295857988099E-3</v>
      </c>
      <c r="E96">
        <v>1.16038617253192</v>
      </c>
      <c r="F96">
        <v>1372222222.2222199</v>
      </c>
      <c r="H96" s="24">
        <f>_xlfn.CEILING.MATH(('analog-mvmu-specs'!B$14)/(D96*10^6))</f>
        <v>9</v>
      </c>
      <c r="I96" s="36">
        <f t="shared" si="8"/>
        <v>18</v>
      </c>
      <c r="J96" s="24">
        <f t="shared" si="8"/>
        <v>36</v>
      </c>
      <c r="L96">
        <f t="shared" si="9"/>
        <v>256</v>
      </c>
      <c r="M96" s="1">
        <f>(32*16*16)*L96*'analog-mvmu-specs'!J$24</f>
        <v>4907.3356800000001</v>
      </c>
      <c r="N96" s="1">
        <f t="shared" si="10"/>
        <v>9505.8835253814887</v>
      </c>
      <c r="O96" s="38">
        <f t="shared" si="11"/>
        <v>56.301637521021441</v>
      </c>
      <c r="Q96" s="1">
        <f t="shared" si="12"/>
        <v>10.364372469635645</v>
      </c>
      <c r="R96" s="1">
        <f t="shared" si="13"/>
        <v>165.82995951417033</v>
      </c>
      <c r="S96" s="40">
        <f t="shared" si="14"/>
        <v>0.64777327935222784</v>
      </c>
      <c r="U96" s="1">
        <f t="shared" si="15"/>
        <v>34.04746441494305</v>
      </c>
    </row>
    <row r="97" spans="1:21" x14ac:dyDescent="0.25">
      <c r="A97">
        <v>1</v>
      </c>
      <c r="B97">
        <v>205</v>
      </c>
      <c r="C97" s="29">
        <v>8</v>
      </c>
      <c r="D97">
        <v>2.0882812499999999E-3</v>
      </c>
      <c r="E97">
        <v>4.6022727272727204</v>
      </c>
      <c r="F97">
        <v>977777777.77777696</v>
      </c>
      <c r="H97" s="24">
        <f>_xlfn.CEILING.MATH(('analog-mvmu-specs'!B$14)/(D97*10^6))</f>
        <v>14</v>
      </c>
      <c r="I97" s="36">
        <f t="shared" si="8"/>
        <v>28</v>
      </c>
      <c r="J97" s="24">
        <f t="shared" si="8"/>
        <v>56</v>
      </c>
      <c r="L97">
        <f t="shared" si="9"/>
        <v>256</v>
      </c>
      <c r="M97" s="1">
        <f>(32*16*16)*L97*'analog-mvmu-specs'!J$24</f>
        <v>4907.3356800000001</v>
      </c>
      <c r="N97" s="1">
        <f t="shared" si="10"/>
        <v>37701.818181818126</v>
      </c>
      <c r="O97" s="38">
        <f t="shared" si="11"/>
        <v>166.44200727272704</v>
      </c>
      <c r="Q97" s="1">
        <f t="shared" si="12"/>
        <v>9.3506493506493591</v>
      </c>
      <c r="R97" s="1">
        <f t="shared" si="13"/>
        <v>149.61038961038975</v>
      </c>
      <c r="S97" s="40">
        <f t="shared" si="14"/>
        <v>0.58441558441558494</v>
      </c>
      <c r="U97" s="1">
        <f t="shared" si="15"/>
        <v>11.51709253817744</v>
      </c>
    </row>
    <row r="98" spans="1:21" x14ac:dyDescent="0.25">
      <c r="A98">
        <v>0</v>
      </c>
      <c r="B98">
        <v>150</v>
      </c>
      <c r="C98" s="29">
        <v>9</v>
      </c>
      <c r="D98">
        <v>0.02</v>
      </c>
      <c r="E98">
        <v>3.625</v>
      </c>
      <c r="F98">
        <v>40000000</v>
      </c>
      <c r="H98" s="24">
        <f>_xlfn.CEILING.MATH(('analog-mvmu-specs'!B$14)/(D98*10^6))</f>
        <v>2</v>
      </c>
      <c r="I98" s="36">
        <f t="shared" si="8"/>
        <v>4</v>
      </c>
      <c r="J98" s="24">
        <f t="shared" si="8"/>
        <v>8</v>
      </c>
      <c r="L98">
        <f t="shared" si="9"/>
        <v>512</v>
      </c>
      <c r="M98" s="1">
        <f>(32*16*16)*L98*'analog-mvmu-specs'!J$24</f>
        <v>9814.6713600000003</v>
      </c>
      <c r="N98" s="1">
        <f t="shared" si="10"/>
        <v>29696</v>
      </c>
      <c r="O98" s="38">
        <f t="shared" si="11"/>
        <v>77.169280000000001</v>
      </c>
      <c r="Q98" s="1">
        <f t="shared" si="12"/>
        <v>1600</v>
      </c>
      <c r="R98" s="1">
        <f t="shared" si="13"/>
        <v>25600</v>
      </c>
      <c r="S98" s="40">
        <f t="shared" si="14"/>
        <v>50</v>
      </c>
      <c r="U98" s="1">
        <f t="shared" si="15"/>
        <v>24.840558315433292</v>
      </c>
    </row>
    <row r="99" spans="1:21" x14ac:dyDescent="0.25">
      <c r="A99">
        <v>0</v>
      </c>
      <c r="B99">
        <v>159</v>
      </c>
      <c r="C99" s="29">
        <v>9</v>
      </c>
      <c r="D99">
        <v>2.2550000000000001E-2</v>
      </c>
      <c r="E99">
        <v>5.125</v>
      </c>
      <c r="F99">
        <v>80000000</v>
      </c>
      <c r="H99" s="24">
        <f>_xlfn.CEILING.MATH(('analog-mvmu-specs'!B$14)/(D99*10^6))</f>
        <v>2</v>
      </c>
      <c r="I99" s="36">
        <f t="shared" si="8"/>
        <v>4</v>
      </c>
      <c r="J99" s="24">
        <f t="shared" si="8"/>
        <v>8</v>
      </c>
      <c r="L99">
        <f t="shared" si="9"/>
        <v>512</v>
      </c>
      <c r="M99" s="1">
        <f>(32*16*16)*L99*'analog-mvmu-specs'!J$24</f>
        <v>9814.6713600000003</v>
      </c>
      <c r="N99" s="1">
        <f t="shared" si="10"/>
        <v>41984</v>
      </c>
      <c r="O99" s="38">
        <f t="shared" si="11"/>
        <v>101.16928</v>
      </c>
      <c r="Q99" s="1">
        <f t="shared" si="12"/>
        <v>800</v>
      </c>
      <c r="R99" s="1">
        <f t="shared" si="13"/>
        <v>12800</v>
      </c>
      <c r="S99" s="40">
        <f t="shared" si="14"/>
        <v>25</v>
      </c>
      <c r="U99" s="1">
        <f t="shared" si="15"/>
        <v>18.947728005971772</v>
      </c>
    </row>
    <row r="100" spans="1:21" x14ac:dyDescent="0.25">
      <c r="A100">
        <v>0</v>
      </c>
      <c r="B100">
        <v>189</v>
      </c>
      <c r="C100" s="29">
        <v>9</v>
      </c>
      <c r="D100">
        <v>1.4999999999999999E-2</v>
      </c>
      <c r="E100">
        <v>5.8333333333333304</v>
      </c>
      <c r="F100">
        <v>1200000</v>
      </c>
      <c r="H100" s="24">
        <f>_xlfn.CEILING.MATH(('analog-mvmu-specs'!B$14)/(D100*10^6))</f>
        <v>2</v>
      </c>
      <c r="I100" s="36">
        <f t="shared" si="8"/>
        <v>4</v>
      </c>
      <c r="J100" s="24">
        <f t="shared" si="8"/>
        <v>8</v>
      </c>
      <c r="L100">
        <f t="shared" si="9"/>
        <v>512</v>
      </c>
      <c r="M100" s="1">
        <f>(32*16*16)*L100*'analog-mvmu-specs'!J$24</f>
        <v>9814.6713600000003</v>
      </c>
      <c r="N100" s="1">
        <f t="shared" si="10"/>
        <v>47786.666666666642</v>
      </c>
      <c r="O100" s="38">
        <f t="shared" si="11"/>
        <v>112.50261333333329</v>
      </c>
      <c r="Q100" s="1">
        <f t="shared" si="12"/>
        <v>53333.333333333336</v>
      </c>
      <c r="R100" s="1">
        <f t="shared" si="13"/>
        <v>853333.33333333337</v>
      </c>
      <c r="S100" s="40">
        <f t="shared" si="14"/>
        <v>1666.6666666666667</v>
      </c>
      <c r="U100" s="1">
        <f t="shared" si="15"/>
        <v>17.038964191172575</v>
      </c>
    </row>
    <row r="101" spans="1:21" x14ac:dyDescent="0.25">
      <c r="A101">
        <v>0</v>
      </c>
      <c r="B101">
        <v>203</v>
      </c>
      <c r="C101" s="29">
        <v>9</v>
      </c>
      <c r="D101">
        <v>2.8038461538461502E-2</v>
      </c>
      <c r="E101">
        <v>14.4985207100591</v>
      </c>
      <c r="F101">
        <v>57777777.777777702</v>
      </c>
      <c r="H101" s="24">
        <f>_xlfn.CEILING.MATH(('analog-mvmu-specs'!B$14)/(D101*10^6))</f>
        <v>2</v>
      </c>
      <c r="I101" s="36">
        <f t="shared" si="8"/>
        <v>4</v>
      </c>
      <c r="J101" s="24">
        <f t="shared" si="8"/>
        <v>8</v>
      </c>
      <c r="L101">
        <f t="shared" si="9"/>
        <v>512</v>
      </c>
      <c r="M101" s="1">
        <f>(32*16*16)*L101*'analog-mvmu-specs'!J$24</f>
        <v>9814.6713600000003</v>
      </c>
      <c r="N101" s="1">
        <f t="shared" si="10"/>
        <v>118771.88165680415</v>
      </c>
      <c r="O101" s="38">
        <f t="shared" si="11"/>
        <v>251.14561136094562</v>
      </c>
      <c r="Q101" s="1">
        <f t="shared" si="12"/>
        <v>1107.6923076923092</v>
      </c>
      <c r="R101" s="1">
        <f t="shared" si="13"/>
        <v>17723.076923076947</v>
      </c>
      <c r="S101" s="40">
        <f t="shared" si="14"/>
        <v>34.615384615384663</v>
      </c>
      <c r="U101" s="1">
        <f t="shared" si="15"/>
        <v>7.6327354064132837</v>
      </c>
    </row>
    <row r="102" spans="1:21" x14ac:dyDescent="0.25">
      <c r="A102">
        <v>1</v>
      </c>
      <c r="B102">
        <v>70</v>
      </c>
      <c r="C102" s="29">
        <v>9</v>
      </c>
      <c r="D102">
        <v>3.075E-2</v>
      </c>
      <c r="E102">
        <v>7.2</v>
      </c>
      <c r="F102">
        <v>100000000</v>
      </c>
      <c r="H102" s="24">
        <f>_xlfn.CEILING.MATH(('analog-mvmu-specs'!B$14)/(D102*10^6))</f>
        <v>1</v>
      </c>
      <c r="I102" s="36">
        <f t="shared" si="8"/>
        <v>2</v>
      </c>
      <c r="J102" s="24">
        <f t="shared" si="8"/>
        <v>4</v>
      </c>
      <c r="L102">
        <f t="shared" si="9"/>
        <v>512</v>
      </c>
      <c r="M102" s="1">
        <f>(32*16*16)*L102*'analog-mvmu-specs'!J$24</f>
        <v>9814.6713600000003</v>
      </c>
      <c r="N102" s="1">
        <f t="shared" si="10"/>
        <v>58982.400000000001</v>
      </c>
      <c r="O102" s="38">
        <f t="shared" si="11"/>
        <v>134.36928</v>
      </c>
      <c r="Q102" s="1">
        <f t="shared" si="12"/>
        <v>1280</v>
      </c>
      <c r="R102" s="1">
        <f t="shared" si="13"/>
        <v>20480</v>
      </c>
      <c r="S102" s="40">
        <f t="shared" si="14"/>
        <v>40</v>
      </c>
      <c r="U102" s="1">
        <f t="shared" si="15"/>
        <v>14.266117969821673</v>
      </c>
    </row>
    <row r="103" spans="1:21" x14ac:dyDescent="0.25">
      <c r="A103">
        <v>1</v>
      </c>
      <c r="B103">
        <v>97</v>
      </c>
      <c r="C103" s="29">
        <v>9</v>
      </c>
      <c r="D103">
        <v>7.0000000000000001E-3</v>
      </c>
      <c r="E103">
        <v>2.5499999999999998</v>
      </c>
      <c r="F103">
        <v>300000000</v>
      </c>
      <c r="H103" s="24">
        <f>_xlfn.CEILING.MATH(('analog-mvmu-specs'!B$14)/(D103*10^6))</f>
        <v>5</v>
      </c>
      <c r="I103" s="36">
        <f t="shared" si="8"/>
        <v>10</v>
      </c>
      <c r="J103" s="24">
        <f t="shared" si="8"/>
        <v>20</v>
      </c>
      <c r="L103">
        <f t="shared" si="9"/>
        <v>512</v>
      </c>
      <c r="M103" s="1">
        <f>(32*16*16)*L103*'analog-mvmu-specs'!J$24</f>
        <v>9814.6713600000003</v>
      </c>
      <c r="N103" s="1">
        <f t="shared" si="10"/>
        <v>20889.599999999999</v>
      </c>
      <c r="O103" s="38">
        <f t="shared" si="11"/>
        <v>59.969279999999998</v>
      </c>
      <c r="Q103" s="1">
        <f t="shared" si="12"/>
        <v>85.333333333333343</v>
      </c>
      <c r="R103" s="1">
        <f t="shared" si="13"/>
        <v>1365.3333333333335</v>
      </c>
      <c r="S103" s="40">
        <f t="shared" si="14"/>
        <v>2.666666666666667</v>
      </c>
      <c r="U103" s="1">
        <f t="shared" si="15"/>
        <v>31.965166165076518</v>
      </c>
    </row>
    <row r="104" spans="1:21" x14ac:dyDescent="0.25">
      <c r="A104">
        <v>1</v>
      </c>
      <c r="B104">
        <v>98</v>
      </c>
      <c r="C104" s="29">
        <v>9</v>
      </c>
      <c r="D104">
        <v>8.1250000000000003E-2</v>
      </c>
      <c r="E104">
        <v>81.4453125</v>
      </c>
      <c r="F104">
        <v>42666666.666666597</v>
      </c>
      <c r="H104" s="24">
        <f>_xlfn.CEILING.MATH(('analog-mvmu-specs'!B$14)/(D104*10^6))</f>
        <v>1</v>
      </c>
      <c r="I104" s="36">
        <f t="shared" si="8"/>
        <v>2</v>
      </c>
      <c r="J104" s="24">
        <f t="shared" si="8"/>
        <v>4</v>
      </c>
      <c r="L104">
        <f t="shared" si="9"/>
        <v>512</v>
      </c>
      <c r="M104" s="1">
        <f>(32*16*16)*L104*'analog-mvmu-specs'!J$24</f>
        <v>9814.6713600000003</v>
      </c>
      <c r="N104" s="1">
        <f t="shared" si="10"/>
        <v>667200</v>
      </c>
      <c r="O104" s="38">
        <f t="shared" si="11"/>
        <v>1322.2942800000001</v>
      </c>
      <c r="Q104" s="1">
        <f t="shared" si="12"/>
        <v>3000.000000000005</v>
      </c>
      <c r="R104" s="1">
        <f t="shared" si="13"/>
        <v>48000.00000000008</v>
      </c>
      <c r="S104" s="40">
        <f t="shared" si="14"/>
        <v>93.750000000000156</v>
      </c>
      <c r="U104" s="1">
        <f t="shared" si="15"/>
        <v>1.4496984740794612</v>
      </c>
    </row>
    <row r="105" spans="1:21" x14ac:dyDescent="0.25">
      <c r="A105">
        <v>1</v>
      </c>
      <c r="B105">
        <v>99</v>
      </c>
      <c r="C105" s="29">
        <v>9</v>
      </c>
      <c r="D105">
        <v>0.257080078125</v>
      </c>
      <c r="E105">
        <v>1384.27734375</v>
      </c>
      <c r="F105">
        <v>28444444.444444399</v>
      </c>
      <c r="H105" s="24">
        <f>_xlfn.CEILING.MATH(('analog-mvmu-specs'!B$14)/(D105*10^6))</f>
        <v>1</v>
      </c>
      <c r="I105" s="36">
        <f t="shared" si="8"/>
        <v>2</v>
      </c>
      <c r="J105" s="24">
        <f t="shared" si="8"/>
        <v>4</v>
      </c>
      <c r="L105">
        <f t="shared" si="9"/>
        <v>512</v>
      </c>
      <c r="M105" s="1">
        <f>(32*16*16)*L105*'analog-mvmu-specs'!J$24</f>
        <v>9814.6713600000003</v>
      </c>
      <c r="N105" s="1">
        <f t="shared" si="10"/>
        <v>11340000</v>
      </c>
      <c r="O105" s="38">
        <f t="shared" si="11"/>
        <v>22167.606779999998</v>
      </c>
      <c r="Q105" s="1">
        <f t="shared" si="12"/>
        <v>4500.0000000000073</v>
      </c>
      <c r="R105" s="1">
        <f t="shared" si="13"/>
        <v>72000.000000000116</v>
      </c>
      <c r="S105" s="40">
        <f t="shared" si="14"/>
        <v>140.62500000000023</v>
      </c>
      <c r="U105" s="1">
        <f t="shared" si="15"/>
        <v>8.6474287415161388E-2</v>
      </c>
    </row>
    <row r="106" spans="1:21" x14ac:dyDescent="0.25">
      <c r="A106">
        <v>0</v>
      </c>
      <c r="B106">
        <v>3</v>
      </c>
      <c r="C106" s="29">
        <v>10</v>
      </c>
      <c r="D106">
        <v>8.0999999999999996E-3</v>
      </c>
      <c r="E106">
        <v>27.54</v>
      </c>
      <c r="F106">
        <v>555555555.55555499</v>
      </c>
      <c r="H106" s="24">
        <f>_xlfn.CEILING.MATH(('analog-mvmu-specs'!B$14)/(D106*10^6))</f>
        <v>4</v>
      </c>
      <c r="I106" s="36">
        <f t="shared" si="8"/>
        <v>8</v>
      </c>
      <c r="J106" s="24">
        <f t="shared" si="8"/>
        <v>16</v>
      </c>
      <c r="L106">
        <f t="shared" si="9"/>
        <v>1024</v>
      </c>
      <c r="M106" s="1">
        <f>(32*16*16)*L106*'analog-mvmu-specs'!J$24</f>
        <v>19629.342720000001</v>
      </c>
      <c r="N106" s="1">
        <f t="shared" si="10"/>
        <v>225607.67999999999</v>
      </c>
      <c r="O106" s="38">
        <f t="shared" si="11"/>
        <v>239.48928000000001</v>
      </c>
      <c r="Q106" s="1">
        <f t="shared" si="12"/>
        <v>57.600000000000058</v>
      </c>
      <c r="R106" s="1">
        <f t="shared" si="13"/>
        <v>921.60000000000093</v>
      </c>
      <c r="S106" s="40">
        <f t="shared" si="14"/>
        <v>0.90000000000000091</v>
      </c>
      <c r="U106" s="1">
        <f t="shared" si="15"/>
        <v>8.0042330078406838</v>
      </c>
    </row>
    <row r="107" spans="1:21" x14ac:dyDescent="0.25">
      <c r="A107">
        <v>0</v>
      </c>
      <c r="B107">
        <v>16</v>
      </c>
      <c r="C107" s="29">
        <v>10</v>
      </c>
      <c r="D107">
        <v>4.4549999999999999E-2</v>
      </c>
      <c r="E107">
        <v>28.603124999999999</v>
      </c>
      <c r="F107">
        <v>888888888.888888</v>
      </c>
      <c r="H107" s="24">
        <f>_xlfn.CEILING.MATH(('analog-mvmu-specs'!B$14)/(D107*10^6))</f>
        <v>1</v>
      </c>
      <c r="I107" s="36">
        <f t="shared" si="8"/>
        <v>2</v>
      </c>
      <c r="J107" s="24">
        <f t="shared" si="8"/>
        <v>4</v>
      </c>
      <c r="L107">
        <f t="shared" si="9"/>
        <v>1024</v>
      </c>
      <c r="M107" s="1">
        <f>(32*16*16)*L107*'analog-mvmu-specs'!J$24</f>
        <v>19629.342720000001</v>
      </c>
      <c r="N107" s="1">
        <f t="shared" si="10"/>
        <v>234316.79999999999</v>
      </c>
      <c r="O107" s="38">
        <f t="shared" si="11"/>
        <v>247.99428</v>
      </c>
      <c r="Q107" s="1">
        <f t="shared" si="12"/>
        <v>144.00000000000014</v>
      </c>
      <c r="R107" s="1">
        <f t="shared" si="13"/>
        <v>2304.0000000000023</v>
      </c>
      <c r="S107" s="40">
        <f t="shared" si="14"/>
        <v>2.2500000000000022</v>
      </c>
      <c r="U107" s="1">
        <f t="shared" si="15"/>
        <v>7.7297266695022158</v>
      </c>
    </row>
    <row r="108" spans="1:21" x14ac:dyDescent="0.25">
      <c r="A108">
        <v>0</v>
      </c>
      <c r="B108">
        <v>17</v>
      </c>
      <c r="C108" s="29">
        <v>10</v>
      </c>
      <c r="D108">
        <v>8.5050000000000001E-2</v>
      </c>
      <c r="E108">
        <v>32.90625</v>
      </c>
      <c r="F108">
        <v>888888888.888888</v>
      </c>
      <c r="H108" s="24">
        <f>_xlfn.CEILING.MATH(('analog-mvmu-specs'!B$14)/(D108*10^6))</f>
        <v>1</v>
      </c>
      <c r="I108" s="36">
        <f t="shared" si="8"/>
        <v>2</v>
      </c>
      <c r="J108" s="24">
        <f t="shared" si="8"/>
        <v>4</v>
      </c>
      <c r="L108">
        <f t="shared" si="9"/>
        <v>1024</v>
      </c>
      <c r="M108" s="1">
        <f>(32*16*16)*L108*'analog-mvmu-specs'!J$24</f>
        <v>19629.342720000001</v>
      </c>
      <c r="N108" s="1">
        <f t="shared" si="10"/>
        <v>269568</v>
      </c>
      <c r="O108" s="38">
        <f t="shared" si="11"/>
        <v>282.41928000000001</v>
      </c>
      <c r="Q108" s="1">
        <f t="shared" si="12"/>
        <v>144.00000000000014</v>
      </c>
      <c r="R108" s="1">
        <f t="shared" si="13"/>
        <v>2304.0000000000023</v>
      </c>
      <c r="S108" s="40">
        <f t="shared" si="14"/>
        <v>2.2500000000000022</v>
      </c>
      <c r="U108" s="1">
        <f t="shared" si="15"/>
        <v>6.7875252709375928</v>
      </c>
    </row>
    <row r="109" spans="1:21" x14ac:dyDescent="0.25">
      <c r="A109">
        <v>0</v>
      </c>
      <c r="B109">
        <v>28</v>
      </c>
      <c r="C109" s="29">
        <v>10</v>
      </c>
      <c r="D109">
        <v>1.3224489795918301E-2</v>
      </c>
      <c r="E109">
        <v>128.93877551020401</v>
      </c>
      <c r="F109">
        <v>194444444.444444</v>
      </c>
      <c r="H109" s="24">
        <f>_xlfn.CEILING.MATH(('analog-mvmu-specs'!B$14)/(D109*10^6))</f>
        <v>3</v>
      </c>
      <c r="I109" s="36">
        <f t="shared" si="8"/>
        <v>6</v>
      </c>
      <c r="J109" s="24">
        <f t="shared" si="8"/>
        <v>12</v>
      </c>
      <c r="L109">
        <f t="shared" si="9"/>
        <v>1024</v>
      </c>
      <c r="M109" s="1">
        <f>(32*16*16)*L109*'analog-mvmu-specs'!J$24</f>
        <v>19629.342720000001</v>
      </c>
      <c r="N109" s="1">
        <f t="shared" si="10"/>
        <v>1056266.4489795913</v>
      </c>
      <c r="O109" s="38">
        <f t="shared" si="11"/>
        <v>1050.6794840816322</v>
      </c>
      <c r="Q109" s="1">
        <f t="shared" si="12"/>
        <v>219.42857142857193</v>
      </c>
      <c r="R109" s="1">
        <f t="shared" si="13"/>
        <v>3510.8571428571508</v>
      </c>
      <c r="S109" s="40">
        <f t="shared" si="14"/>
        <v>3.4285714285714364</v>
      </c>
      <c r="U109" s="1">
        <f t="shared" si="15"/>
        <v>1.8244650524184645</v>
      </c>
    </row>
    <row r="110" spans="1:21" x14ac:dyDescent="0.25">
      <c r="A110">
        <v>0</v>
      </c>
      <c r="B110">
        <v>29</v>
      </c>
      <c r="C110" s="29">
        <v>10</v>
      </c>
      <c r="D110">
        <v>4.4999999999999997E-3</v>
      </c>
      <c r="E110">
        <v>9.140625</v>
      </c>
      <c r="F110">
        <v>533333333.33333302</v>
      </c>
      <c r="H110" s="24">
        <f>_xlfn.CEILING.MATH(('analog-mvmu-specs'!B$14)/(D110*10^6))</f>
        <v>7</v>
      </c>
      <c r="I110" s="36">
        <f t="shared" si="8"/>
        <v>14</v>
      </c>
      <c r="J110" s="24">
        <f t="shared" si="8"/>
        <v>28</v>
      </c>
      <c r="L110">
        <f t="shared" si="9"/>
        <v>1024</v>
      </c>
      <c r="M110" s="1">
        <f>(32*16*16)*L110*'analog-mvmu-specs'!J$24</f>
        <v>19629.342720000001</v>
      </c>
      <c r="N110" s="1">
        <f t="shared" si="10"/>
        <v>74880</v>
      </c>
      <c r="O110" s="38">
        <f t="shared" si="11"/>
        <v>92.294280000000001</v>
      </c>
      <c r="Q110" s="1">
        <f t="shared" si="12"/>
        <v>34.285714285714306</v>
      </c>
      <c r="R110" s="1">
        <f t="shared" si="13"/>
        <v>548.5714285714289</v>
      </c>
      <c r="S110" s="40">
        <f t="shared" si="14"/>
        <v>0.53571428571428603</v>
      </c>
      <c r="U110" s="1">
        <f t="shared" si="15"/>
        <v>20.769737842908576</v>
      </c>
    </row>
    <row r="111" spans="1:21" x14ac:dyDescent="0.25">
      <c r="A111">
        <v>0</v>
      </c>
      <c r="B111">
        <v>30</v>
      </c>
      <c r="C111" s="29">
        <v>10</v>
      </c>
      <c r="D111">
        <v>1.2959999999999999E-2</v>
      </c>
      <c r="E111">
        <v>30.374999999999901</v>
      </c>
      <c r="F111">
        <v>222222222.222222</v>
      </c>
      <c r="H111" s="24">
        <f>_xlfn.CEILING.MATH(('analog-mvmu-specs'!B$14)/(D111*10^6))</f>
        <v>3</v>
      </c>
      <c r="I111" s="36">
        <f t="shared" si="8"/>
        <v>6</v>
      </c>
      <c r="J111" s="24">
        <f t="shared" si="8"/>
        <v>12</v>
      </c>
      <c r="L111">
        <f t="shared" si="9"/>
        <v>1024</v>
      </c>
      <c r="M111" s="1">
        <f>(32*16*16)*L111*'analog-mvmu-specs'!J$24</f>
        <v>19629.342720000001</v>
      </c>
      <c r="N111" s="1">
        <f t="shared" si="10"/>
        <v>248831.99999999919</v>
      </c>
      <c r="O111" s="38">
        <f t="shared" si="11"/>
        <v>262.16927999999922</v>
      </c>
      <c r="Q111" s="1">
        <f t="shared" si="12"/>
        <v>192.0000000000002</v>
      </c>
      <c r="R111" s="1">
        <f t="shared" si="13"/>
        <v>3072.0000000000032</v>
      </c>
      <c r="S111" s="40">
        <f t="shared" si="14"/>
        <v>3.0000000000000031</v>
      </c>
      <c r="U111" s="1">
        <f t="shared" si="15"/>
        <v>7.3117948830618369</v>
      </c>
    </row>
    <row r="112" spans="1:21" x14ac:dyDescent="0.25">
      <c r="A112">
        <v>0</v>
      </c>
      <c r="B112">
        <v>48</v>
      </c>
      <c r="C112" s="29">
        <v>10</v>
      </c>
      <c r="D112">
        <v>0.15625</v>
      </c>
      <c r="E112">
        <v>112.5</v>
      </c>
      <c r="F112">
        <v>400000000</v>
      </c>
      <c r="H112" s="24">
        <f>_xlfn.CEILING.MATH(('analog-mvmu-specs'!B$14)/(D112*10^6))</f>
        <v>1</v>
      </c>
      <c r="I112" s="36">
        <f t="shared" si="8"/>
        <v>2</v>
      </c>
      <c r="J112" s="24">
        <f t="shared" si="8"/>
        <v>4</v>
      </c>
      <c r="L112">
        <f t="shared" si="9"/>
        <v>1024</v>
      </c>
      <c r="M112" s="1">
        <f>(32*16*16)*L112*'analog-mvmu-specs'!J$24</f>
        <v>19629.342720000001</v>
      </c>
      <c r="N112" s="1">
        <f t="shared" si="10"/>
        <v>921600</v>
      </c>
      <c r="O112" s="38">
        <f t="shared" si="11"/>
        <v>919.16927999999996</v>
      </c>
      <c r="Q112" s="1">
        <f t="shared" si="12"/>
        <v>320</v>
      </c>
      <c r="R112" s="1">
        <f t="shared" si="13"/>
        <v>5120</v>
      </c>
      <c r="S112" s="40">
        <f t="shared" si="14"/>
        <v>5</v>
      </c>
      <c r="U112" s="1">
        <f t="shared" si="15"/>
        <v>2.0855005075887658</v>
      </c>
    </row>
    <row r="113" spans="1:21" x14ac:dyDescent="0.25">
      <c r="A113">
        <v>0</v>
      </c>
      <c r="B113">
        <v>55</v>
      </c>
      <c r="C113" s="29">
        <v>10</v>
      </c>
      <c r="D113">
        <v>0.206632653061224</v>
      </c>
      <c r="E113">
        <v>32.234693877551003</v>
      </c>
      <c r="F113">
        <v>933333333.33333302</v>
      </c>
      <c r="H113" s="24">
        <f>_xlfn.CEILING.MATH(('analog-mvmu-specs'!B$14)/(D113*10^6))</f>
        <v>1</v>
      </c>
      <c r="I113" s="36">
        <f t="shared" si="8"/>
        <v>2</v>
      </c>
      <c r="J113" s="24">
        <f t="shared" si="8"/>
        <v>4</v>
      </c>
      <c r="L113">
        <f t="shared" si="9"/>
        <v>1024</v>
      </c>
      <c r="M113" s="1">
        <f>(32*16*16)*L113*'analog-mvmu-specs'!J$24</f>
        <v>19629.342720000001</v>
      </c>
      <c r="N113" s="1">
        <f t="shared" si="10"/>
        <v>264066.61224489781</v>
      </c>
      <c r="O113" s="38">
        <f t="shared" si="11"/>
        <v>277.04683102040804</v>
      </c>
      <c r="Q113" s="1">
        <f t="shared" si="12"/>
        <v>137.1428571428572</v>
      </c>
      <c r="R113" s="1">
        <f t="shared" si="13"/>
        <v>2194.2857142857151</v>
      </c>
      <c r="S113" s="40">
        <f t="shared" si="14"/>
        <v>2.1428571428571437</v>
      </c>
      <c r="U113" s="1">
        <f t="shared" si="15"/>
        <v>6.9191479034055217</v>
      </c>
    </row>
    <row r="114" spans="1:21" x14ac:dyDescent="0.25">
      <c r="A114">
        <v>0</v>
      </c>
      <c r="B114">
        <v>56</v>
      </c>
      <c r="C114" s="29">
        <v>10</v>
      </c>
      <c r="D114">
        <v>7.0199999999999999E-2</v>
      </c>
      <c r="E114">
        <v>12</v>
      </c>
      <c r="F114">
        <v>200000000</v>
      </c>
      <c r="H114" s="24">
        <f>_xlfn.CEILING.MATH(('analog-mvmu-specs'!B$14)/(D114*10^6))</f>
        <v>1</v>
      </c>
      <c r="I114" s="36">
        <f t="shared" si="8"/>
        <v>2</v>
      </c>
      <c r="J114" s="24">
        <f t="shared" si="8"/>
        <v>4</v>
      </c>
      <c r="L114">
        <f t="shared" si="9"/>
        <v>1024</v>
      </c>
      <c r="M114" s="1">
        <f>(32*16*16)*L114*'analog-mvmu-specs'!J$24</f>
        <v>19629.342720000001</v>
      </c>
      <c r="N114" s="1">
        <f t="shared" si="10"/>
        <v>98304</v>
      </c>
      <c r="O114" s="38">
        <f t="shared" si="11"/>
        <v>115.16928</v>
      </c>
      <c r="Q114" s="1">
        <f t="shared" si="12"/>
        <v>640</v>
      </c>
      <c r="R114" s="1">
        <f t="shared" si="13"/>
        <v>10240</v>
      </c>
      <c r="S114" s="40">
        <f t="shared" si="14"/>
        <v>10</v>
      </c>
      <c r="U114" s="1">
        <f t="shared" si="15"/>
        <v>16.64443851693785</v>
      </c>
    </row>
    <row r="115" spans="1:21" x14ac:dyDescent="0.25">
      <c r="A115">
        <v>0</v>
      </c>
      <c r="B115">
        <v>57</v>
      </c>
      <c r="C115" s="29">
        <v>10</v>
      </c>
      <c r="D115">
        <v>9.5857988165680402E-3</v>
      </c>
      <c r="E115">
        <v>71.893491124260294</v>
      </c>
      <c r="F115">
        <v>57777777.777777702</v>
      </c>
      <c r="H115" s="24">
        <f>_xlfn.CEILING.MATH(('analog-mvmu-specs'!B$14)/(D115*10^6))</f>
        <v>3</v>
      </c>
      <c r="I115" s="36">
        <f t="shared" si="8"/>
        <v>6</v>
      </c>
      <c r="J115" s="24">
        <f t="shared" si="8"/>
        <v>12</v>
      </c>
      <c r="L115">
        <f t="shared" si="9"/>
        <v>1024</v>
      </c>
      <c r="M115" s="1">
        <f>(32*16*16)*L115*'analog-mvmu-specs'!J$24</f>
        <v>19629.342720000001</v>
      </c>
      <c r="N115" s="1">
        <f t="shared" si="10"/>
        <v>588951.47928994033</v>
      </c>
      <c r="O115" s="38">
        <f t="shared" si="11"/>
        <v>594.31720899408231</v>
      </c>
      <c r="Q115" s="1">
        <f t="shared" si="12"/>
        <v>738.46153846153948</v>
      </c>
      <c r="R115" s="1">
        <f t="shared" si="13"/>
        <v>11815.384615384632</v>
      </c>
      <c r="S115" s="40">
        <f t="shared" si="14"/>
        <v>11.538461538461554</v>
      </c>
      <c r="U115" s="1">
        <f t="shared" si="15"/>
        <v>3.2254290654724875</v>
      </c>
    </row>
    <row r="116" spans="1:21" x14ac:dyDescent="0.25">
      <c r="A116">
        <v>0</v>
      </c>
      <c r="B116">
        <v>80</v>
      </c>
      <c r="C116" s="29">
        <v>10</v>
      </c>
      <c r="D116">
        <v>0.11562500000000001</v>
      </c>
      <c r="E116">
        <v>53.90625</v>
      </c>
      <c r="F116">
        <v>320000000</v>
      </c>
      <c r="H116" s="24">
        <f>_xlfn.CEILING.MATH(('analog-mvmu-specs'!B$14)/(D116*10^6))</f>
        <v>1</v>
      </c>
      <c r="I116" s="36">
        <f t="shared" si="8"/>
        <v>2</v>
      </c>
      <c r="J116" s="24">
        <f t="shared" si="8"/>
        <v>4</v>
      </c>
      <c r="L116">
        <f t="shared" si="9"/>
        <v>1024</v>
      </c>
      <c r="M116" s="1">
        <f>(32*16*16)*L116*'analog-mvmu-specs'!J$24</f>
        <v>19629.342720000001</v>
      </c>
      <c r="N116" s="1">
        <f t="shared" si="10"/>
        <v>441600</v>
      </c>
      <c r="O116" s="38">
        <f t="shared" si="11"/>
        <v>450.41928000000001</v>
      </c>
      <c r="Q116" s="1">
        <f t="shared" si="12"/>
        <v>400</v>
      </c>
      <c r="R116" s="1">
        <f t="shared" si="13"/>
        <v>6400</v>
      </c>
      <c r="S116" s="40">
        <f t="shared" si="14"/>
        <v>6.25</v>
      </c>
      <c r="U116" s="1">
        <f t="shared" si="15"/>
        <v>4.2558746597170529</v>
      </c>
    </row>
    <row r="117" spans="1:21" x14ac:dyDescent="0.25">
      <c r="A117">
        <v>0</v>
      </c>
      <c r="B117">
        <v>81</v>
      </c>
      <c r="C117" s="29">
        <v>10</v>
      </c>
      <c r="D117">
        <v>0.13750000000000001</v>
      </c>
      <c r="E117">
        <v>51.25</v>
      </c>
      <c r="F117">
        <v>600000000</v>
      </c>
      <c r="H117" s="24">
        <f>_xlfn.CEILING.MATH(('analog-mvmu-specs'!B$14)/(D117*10^6))</f>
        <v>1</v>
      </c>
      <c r="I117" s="36">
        <f t="shared" si="8"/>
        <v>2</v>
      </c>
      <c r="J117" s="24">
        <f t="shared" si="8"/>
        <v>4</v>
      </c>
      <c r="L117">
        <f t="shared" si="9"/>
        <v>1024</v>
      </c>
      <c r="M117" s="1">
        <f>(32*16*16)*L117*'analog-mvmu-specs'!J$24</f>
        <v>19629.342720000001</v>
      </c>
      <c r="N117" s="1">
        <f t="shared" si="10"/>
        <v>419840</v>
      </c>
      <c r="O117" s="38">
        <f t="shared" si="11"/>
        <v>429.16928000000001</v>
      </c>
      <c r="Q117" s="1">
        <f t="shared" si="12"/>
        <v>213.33333333333334</v>
      </c>
      <c r="R117" s="1">
        <f t="shared" si="13"/>
        <v>3413.3333333333335</v>
      </c>
      <c r="S117" s="40">
        <f t="shared" si="14"/>
        <v>3.3333333333333335</v>
      </c>
      <c r="U117" s="1">
        <f t="shared" si="15"/>
        <v>4.4666011509491081</v>
      </c>
    </row>
    <row r="118" spans="1:21" x14ac:dyDescent="0.25">
      <c r="A118">
        <v>0</v>
      </c>
      <c r="B118">
        <v>95</v>
      </c>
      <c r="C118" s="29">
        <v>10</v>
      </c>
      <c r="D118">
        <v>0.15576923076922999</v>
      </c>
      <c r="E118">
        <v>73.527434104357098</v>
      </c>
      <c r="F118">
        <v>635555555.55555499</v>
      </c>
      <c r="H118" s="24">
        <f>_xlfn.CEILING.MATH(('analog-mvmu-specs'!B$14)/(D118*10^6))</f>
        <v>1</v>
      </c>
      <c r="I118" s="36">
        <f t="shared" si="8"/>
        <v>2</v>
      </c>
      <c r="J118" s="24">
        <f t="shared" si="8"/>
        <v>4</v>
      </c>
      <c r="L118">
        <f t="shared" si="9"/>
        <v>1024</v>
      </c>
      <c r="M118" s="1">
        <f>(32*16*16)*L118*'analog-mvmu-specs'!J$24</f>
        <v>19629.342720000001</v>
      </c>
      <c r="N118" s="1">
        <f t="shared" si="10"/>
        <v>602336.74018289335</v>
      </c>
      <c r="O118" s="38">
        <f t="shared" si="11"/>
        <v>607.38875283485675</v>
      </c>
      <c r="Q118" s="1">
        <f t="shared" si="12"/>
        <v>201.39860139860158</v>
      </c>
      <c r="R118" s="1">
        <f t="shared" si="13"/>
        <v>3222.3776223776254</v>
      </c>
      <c r="S118" s="40">
        <f t="shared" si="14"/>
        <v>3.1468531468531498</v>
      </c>
      <c r="U118" s="1">
        <f t="shared" si="15"/>
        <v>3.1560149756694535</v>
      </c>
    </row>
    <row r="119" spans="1:21" x14ac:dyDescent="0.25">
      <c r="A119">
        <v>0</v>
      </c>
      <c r="B119">
        <v>105</v>
      </c>
      <c r="C119" s="29">
        <v>10</v>
      </c>
      <c r="D119">
        <v>3.5946745562130102E-2</v>
      </c>
      <c r="E119">
        <v>49.4267751479289</v>
      </c>
      <c r="F119">
        <v>231111111.11111099</v>
      </c>
      <c r="H119" s="24">
        <f>_xlfn.CEILING.MATH(('analog-mvmu-specs'!B$14)/(D119*10^6))</f>
        <v>1</v>
      </c>
      <c r="I119" s="36">
        <f t="shared" si="8"/>
        <v>2</v>
      </c>
      <c r="J119" s="24">
        <f t="shared" si="8"/>
        <v>4</v>
      </c>
      <c r="L119">
        <f t="shared" si="9"/>
        <v>1024</v>
      </c>
      <c r="M119" s="1">
        <f>(32*16*16)*L119*'analog-mvmu-specs'!J$24</f>
        <v>19629.342720000001</v>
      </c>
      <c r="N119" s="1">
        <f t="shared" si="10"/>
        <v>404904.14201183355</v>
      </c>
      <c r="O119" s="38">
        <f t="shared" si="11"/>
        <v>414.58348118343122</v>
      </c>
      <c r="Q119" s="1">
        <f t="shared" si="12"/>
        <v>553.84615384615415</v>
      </c>
      <c r="R119" s="1">
        <f t="shared" si="13"/>
        <v>8861.5384615384664</v>
      </c>
      <c r="S119" s="40">
        <f t="shared" si="14"/>
        <v>8.6538461538461586</v>
      </c>
      <c r="U119" s="1">
        <f t="shared" si="15"/>
        <v>4.6237442807130584</v>
      </c>
    </row>
    <row r="120" spans="1:21" x14ac:dyDescent="0.25">
      <c r="A120">
        <v>0</v>
      </c>
      <c r="B120">
        <v>114</v>
      </c>
      <c r="C120" s="29">
        <v>10</v>
      </c>
      <c r="D120">
        <v>7.4999999999999997E-2</v>
      </c>
      <c r="E120">
        <v>68.75</v>
      </c>
      <c r="F120">
        <v>24000000</v>
      </c>
      <c r="H120" s="24">
        <f>_xlfn.CEILING.MATH(('analog-mvmu-specs'!B$14)/(D120*10^6))</f>
        <v>1</v>
      </c>
      <c r="I120" s="36">
        <f t="shared" si="8"/>
        <v>2</v>
      </c>
      <c r="J120" s="24">
        <f t="shared" si="8"/>
        <v>4</v>
      </c>
      <c r="L120">
        <f t="shared" si="9"/>
        <v>1024</v>
      </c>
      <c r="M120" s="1">
        <f>(32*16*16)*L120*'analog-mvmu-specs'!J$24</f>
        <v>19629.342720000001</v>
      </c>
      <c r="N120" s="1">
        <f t="shared" si="10"/>
        <v>563200</v>
      </c>
      <c r="O120" s="38">
        <f t="shared" si="11"/>
        <v>569.16927999999996</v>
      </c>
      <c r="Q120" s="1">
        <f t="shared" si="12"/>
        <v>5333.333333333333</v>
      </c>
      <c r="R120" s="1">
        <f t="shared" si="13"/>
        <v>85333.333333333328</v>
      </c>
      <c r="S120" s="40">
        <f t="shared" si="14"/>
        <v>83.333333333333329</v>
      </c>
      <c r="U120" s="1">
        <f t="shared" si="15"/>
        <v>3.3679400265594102</v>
      </c>
    </row>
    <row r="121" spans="1:21" x14ac:dyDescent="0.25">
      <c r="A121">
        <v>0</v>
      </c>
      <c r="B121">
        <v>115</v>
      </c>
      <c r="C121" s="29">
        <v>10</v>
      </c>
      <c r="D121">
        <v>7.4999999999999997E-2</v>
      </c>
      <c r="E121">
        <v>43.75</v>
      </c>
      <c r="F121">
        <v>200000000</v>
      </c>
      <c r="H121" s="24">
        <f>_xlfn.CEILING.MATH(('analog-mvmu-specs'!B$14)/(D121*10^6))</f>
        <v>1</v>
      </c>
      <c r="I121" s="36">
        <f t="shared" si="8"/>
        <v>2</v>
      </c>
      <c r="J121" s="24">
        <f t="shared" si="8"/>
        <v>4</v>
      </c>
      <c r="L121">
        <f t="shared" si="9"/>
        <v>1024</v>
      </c>
      <c r="M121" s="1">
        <f>(32*16*16)*L121*'analog-mvmu-specs'!J$24</f>
        <v>19629.342720000001</v>
      </c>
      <c r="N121" s="1">
        <f t="shared" si="10"/>
        <v>358400</v>
      </c>
      <c r="O121" s="38">
        <f t="shared" si="11"/>
        <v>369.16928000000001</v>
      </c>
      <c r="Q121" s="1">
        <f t="shared" si="12"/>
        <v>640</v>
      </c>
      <c r="R121" s="1">
        <f t="shared" si="13"/>
        <v>10240</v>
      </c>
      <c r="S121" s="40">
        <f t="shared" si="14"/>
        <v>10</v>
      </c>
      <c r="U121" s="1">
        <f t="shared" si="15"/>
        <v>5.1925447317826663</v>
      </c>
    </row>
    <row r="122" spans="1:21" x14ac:dyDescent="0.25">
      <c r="A122">
        <v>0</v>
      </c>
      <c r="B122">
        <v>116</v>
      </c>
      <c r="C122" s="29">
        <v>10</v>
      </c>
      <c r="D122">
        <v>4.1250000000000002E-2</v>
      </c>
      <c r="E122">
        <v>20</v>
      </c>
      <c r="F122">
        <v>500000000</v>
      </c>
      <c r="H122" s="24">
        <f>_xlfn.CEILING.MATH(('analog-mvmu-specs'!B$14)/(D122*10^6))</f>
        <v>1</v>
      </c>
      <c r="I122" s="36">
        <f t="shared" si="8"/>
        <v>2</v>
      </c>
      <c r="J122" s="24">
        <f t="shared" si="8"/>
        <v>4</v>
      </c>
      <c r="L122">
        <f t="shared" si="9"/>
        <v>1024</v>
      </c>
      <c r="M122" s="1">
        <f>(32*16*16)*L122*'analog-mvmu-specs'!J$24</f>
        <v>19629.342720000001</v>
      </c>
      <c r="N122" s="1">
        <f t="shared" si="10"/>
        <v>163840</v>
      </c>
      <c r="O122" s="38">
        <f t="shared" si="11"/>
        <v>179.16928000000001</v>
      </c>
      <c r="Q122" s="1">
        <f t="shared" si="12"/>
        <v>256</v>
      </c>
      <c r="R122" s="1">
        <f t="shared" si="13"/>
        <v>4096</v>
      </c>
      <c r="S122" s="40">
        <f t="shared" si="14"/>
        <v>4</v>
      </c>
      <c r="U122" s="1">
        <f t="shared" si="15"/>
        <v>10.698976967480139</v>
      </c>
    </row>
    <row r="123" spans="1:21" x14ac:dyDescent="0.25">
      <c r="A123">
        <v>0</v>
      </c>
      <c r="B123">
        <v>132</v>
      </c>
      <c r="C123" s="29">
        <v>10</v>
      </c>
      <c r="D123">
        <v>7.4999999999999997E-2</v>
      </c>
      <c r="E123">
        <v>85.9375</v>
      </c>
      <c r="F123">
        <v>128000000</v>
      </c>
      <c r="H123" s="24">
        <f>_xlfn.CEILING.MATH(('analog-mvmu-specs'!B$14)/(D123*10^6))</f>
        <v>1</v>
      </c>
      <c r="I123" s="36">
        <f t="shared" si="8"/>
        <v>2</v>
      </c>
      <c r="J123" s="24">
        <f t="shared" si="8"/>
        <v>4</v>
      </c>
      <c r="L123">
        <f t="shared" si="9"/>
        <v>1024</v>
      </c>
      <c r="M123" s="1">
        <f>(32*16*16)*L123*'analog-mvmu-specs'!J$24</f>
        <v>19629.342720000001</v>
      </c>
      <c r="N123" s="1">
        <f t="shared" si="10"/>
        <v>704000</v>
      </c>
      <c r="O123" s="38">
        <f t="shared" si="11"/>
        <v>706.66927999999996</v>
      </c>
      <c r="Q123" s="1">
        <f t="shared" si="12"/>
        <v>1000</v>
      </c>
      <c r="R123" s="1">
        <f t="shared" si="13"/>
        <v>16000</v>
      </c>
      <c r="S123" s="40">
        <f t="shared" si="14"/>
        <v>15.625</v>
      </c>
      <c r="U123" s="1">
        <f t="shared" si="15"/>
        <v>2.7126239306737658</v>
      </c>
    </row>
    <row r="124" spans="1:21" x14ac:dyDescent="0.25">
      <c r="A124">
        <v>0</v>
      </c>
      <c r="B124">
        <v>133</v>
      </c>
      <c r="C124" s="29">
        <v>10</v>
      </c>
      <c r="D124">
        <v>8.9374999999999996E-2</v>
      </c>
      <c r="E124">
        <v>22.5</v>
      </c>
      <c r="F124">
        <v>200000000</v>
      </c>
      <c r="H124" s="24">
        <f>_xlfn.CEILING.MATH(('analog-mvmu-specs'!B$14)/(D124*10^6))</f>
        <v>1</v>
      </c>
      <c r="I124" s="36">
        <f t="shared" si="8"/>
        <v>2</v>
      </c>
      <c r="J124" s="24">
        <f t="shared" si="8"/>
        <v>4</v>
      </c>
      <c r="L124">
        <f t="shared" si="9"/>
        <v>1024</v>
      </c>
      <c r="M124" s="1">
        <f>(32*16*16)*L124*'analog-mvmu-specs'!J$24</f>
        <v>19629.342720000001</v>
      </c>
      <c r="N124" s="1">
        <f t="shared" si="10"/>
        <v>184320</v>
      </c>
      <c r="O124" s="38">
        <f t="shared" si="11"/>
        <v>199.16928000000001</v>
      </c>
      <c r="Q124" s="1">
        <f t="shared" si="12"/>
        <v>640</v>
      </c>
      <c r="R124" s="1">
        <f t="shared" si="13"/>
        <v>10240</v>
      </c>
      <c r="S124" s="40">
        <f t="shared" si="14"/>
        <v>10</v>
      </c>
      <c r="U124" s="1">
        <f t="shared" si="15"/>
        <v>9.6246168083752668</v>
      </c>
    </row>
    <row r="125" spans="1:21" x14ac:dyDescent="0.25">
      <c r="A125">
        <v>0</v>
      </c>
      <c r="B125">
        <v>138</v>
      </c>
      <c r="C125" s="29">
        <v>10</v>
      </c>
      <c r="D125">
        <v>2.3964497041420101E-2</v>
      </c>
      <c r="E125">
        <v>35.946745562130097</v>
      </c>
      <c r="F125">
        <v>144444444.444444</v>
      </c>
      <c r="H125" s="24">
        <f>_xlfn.CEILING.MATH(('analog-mvmu-specs'!B$14)/(D125*10^6))</f>
        <v>2</v>
      </c>
      <c r="I125" s="36">
        <f t="shared" si="8"/>
        <v>4</v>
      </c>
      <c r="J125" s="24">
        <f t="shared" si="8"/>
        <v>8</v>
      </c>
      <c r="L125">
        <f t="shared" si="9"/>
        <v>1024</v>
      </c>
      <c r="M125" s="1">
        <f>(32*16*16)*L125*'analog-mvmu-specs'!J$24</f>
        <v>19629.342720000001</v>
      </c>
      <c r="N125" s="1">
        <f t="shared" si="10"/>
        <v>294475.73964496976</v>
      </c>
      <c r="O125" s="38">
        <f t="shared" si="11"/>
        <v>306.74324449704079</v>
      </c>
      <c r="Q125" s="1">
        <f t="shared" si="12"/>
        <v>443.07692307692446</v>
      </c>
      <c r="R125" s="1">
        <f t="shared" si="13"/>
        <v>7089.2307692307913</v>
      </c>
      <c r="S125" s="40">
        <f t="shared" si="14"/>
        <v>6.9230769230769447</v>
      </c>
      <c r="U125" s="1">
        <f t="shared" si="15"/>
        <v>6.2492916613147873</v>
      </c>
    </row>
    <row r="126" spans="1:21" x14ac:dyDescent="0.25">
      <c r="A126">
        <v>0</v>
      </c>
      <c r="B126">
        <v>152</v>
      </c>
      <c r="C126" s="29">
        <v>10</v>
      </c>
      <c r="D126">
        <v>0.1593</v>
      </c>
      <c r="E126">
        <v>20.312499999999901</v>
      </c>
      <c r="F126">
        <v>160000000</v>
      </c>
      <c r="H126" s="24">
        <f>_xlfn.CEILING.MATH(('analog-mvmu-specs'!B$14)/(D126*10^6))</f>
        <v>1</v>
      </c>
      <c r="I126" s="36">
        <f t="shared" si="8"/>
        <v>2</v>
      </c>
      <c r="J126" s="24">
        <f t="shared" si="8"/>
        <v>4</v>
      </c>
      <c r="L126">
        <f t="shared" si="9"/>
        <v>1024</v>
      </c>
      <c r="M126" s="1">
        <f>(32*16*16)*L126*'analog-mvmu-specs'!J$24</f>
        <v>19629.342720000001</v>
      </c>
      <c r="N126" s="1">
        <f t="shared" si="10"/>
        <v>166399.99999999919</v>
      </c>
      <c r="O126" s="38">
        <f t="shared" si="11"/>
        <v>181.66927999999922</v>
      </c>
      <c r="Q126" s="1">
        <f t="shared" si="12"/>
        <v>800</v>
      </c>
      <c r="R126" s="1">
        <f t="shared" si="13"/>
        <v>12800</v>
      </c>
      <c r="S126" s="40">
        <f t="shared" si="14"/>
        <v>12.5</v>
      </c>
      <c r="U126" s="1">
        <f t="shared" si="15"/>
        <v>10.551745457459887</v>
      </c>
    </row>
    <row r="127" spans="1:21" x14ac:dyDescent="0.25">
      <c r="A127">
        <v>0</v>
      </c>
      <c r="B127">
        <v>153</v>
      </c>
      <c r="C127" s="29">
        <v>10</v>
      </c>
      <c r="D127">
        <v>0.105</v>
      </c>
      <c r="E127">
        <v>131.25</v>
      </c>
      <c r="F127">
        <v>320000000</v>
      </c>
      <c r="H127" s="24">
        <f>_xlfn.CEILING.MATH(('analog-mvmu-specs'!B$14)/(D127*10^6))</f>
        <v>1</v>
      </c>
      <c r="I127" s="36">
        <f t="shared" si="8"/>
        <v>2</v>
      </c>
      <c r="J127" s="24">
        <f t="shared" si="8"/>
        <v>4</v>
      </c>
      <c r="L127">
        <f t="shared" si="9"/>
        <v>1024</v>
      </c>
      <c r="M127" s="1">
        <f>(32*16*16)*L127*'analog-mvmu-specs'!J$24</f>
        <v>19629.342720000001</v>
      </c>
      <c r="N127" s="1">
        <f t="shared" si="10"/>
        <v>1075200</v>
      </c>
      <c r="O127" s="38">
        <f t="shared" si="11"/>
        <v>1069.1692800000001</v>
      </c>
      <c r="Q127" s="1">
        <f t="shared" si="12"/>
        <v>400</v>
      </c>
      <c r="R127" s="1">
        <f t="shared" si="13"/>
        <v>6400</v>
      </c>
      <c r="S127" s="40">
        <f t="shared" si="14"/>
        <v>6.25</v>
      </c>
      <c r="U127" s="1">
        <f t="shared" si="15"/>
        <v>1.7929134664250734</v>
      </c>
    </row>
    <row r="128" spans="1:21" x14ac:dyDescent="0.25">
      <c r="A128">
        <v>0</v>
      </c>
      <c r="B128">
        <v>154</v>
      </c>
      <c r="C128" s="29">
        <v>10</v>
      </c>
      <c r="D128">
        <v>0.08</v>
      </c>
      <c r="E128">
        <v>39.1666666666666</v>
      </c>
      <c r="F128">
        <v>60000000</v>
      </c>
      <c r="H128" s="24">
        <f>_xlfn.CEILING.MATH(('analog-mvmu-specs'!B$14)/(D128*10^6))</f>
        <v>1</v>
      </c>
      <c r="I128" s="36">
        <f t="shared" si="8"/>
        <v>2</v>
      </c>
      <c r="J128" s="24">
        <f t="shared" si="8"/>
        <v>4</v>
      </c>
      <c r="L128">
        <f t="shared" si="9"/>
        <v>1024</v>
      </c>
      <c r="M128" s="1">
        <f>(32*16*16)*L128*'analog-mvmu-specs'!J$24</f>
        <v>19629.342720000001</v>
      </c>
      <c r="N128" s="1">
        <f t="shared" si="10"/>
        <v>320853.33333333279</v>
      </c>
      <c r="O128" s="38">
        <f t="shared" si="11"/>
        <v>332.50261333333282</v>
      </c>
      <c r="Q128" s="1">
        <f t="shared" si="12"/>
        <v>2133.3333333333335</v>
      </c>
      <c r="R128" s="1">
        <f t="shared" si="13"/>
        <v>34133.333333333336</v>
      </c>
      <c r="S128" s="40">
        <f t="shared" si="14"/>
        <v>33.333333333333336</v>
      </c>
      <c r="U128" s="1">
        <f t="shared" si="15"/>
        <v>5.765151680411865</v>
      </c>
    </row>
    <row r="129" spans="1:21" x14ac:dyDescent="0.25">
      <c r="A129">
        <v>0</v>
      </c>
      <c r="B129">
        <v>155</v>
      </c>
      <c r="C129" s="29">
        <v>10</v>
      </c>
      <c r="D129">
        <v>0.25</v>
      </c>
      <c r="E129">
        <v>74.390243902438996</v>
      </c>
      <c r="F129">
        <v>410000000</v>
      </c>
      <c r="H129" s="24">
        <f>_xlfn.CEILING.MATH(('analog-mvmu-specs'!B$14)/(D129*10^6))</f>
        <v>1</v>
      </c>
      <c r="I129" s="36">
        <f t="shared" si="8"/>
        <v>2</v>
      </c>
      <c r="J129" s="24">
        <f t="shared" si="8"/>
        <v>4</v>
      </c>
      <c r="L129">
        <f t="shared" si="9"/>
        <v>1024</v>
      </c>
      <c r="M129" s="1">
        <f>(32*16*16)*L129*'analog-mvmu-specs'!J$24</f>
        <v>19629.342720000001</v>
      </c>
      <c r="N129" s="1">
        <f t="shared" si="10"/>
        <v>609404.87804878026</v>
      </c>
      <c r="O129" s="38">
        <f t="shared" si="11"/>
        <v>614.29123121951193</v>
      </c>
      <c r="Q129" s="1">
        <f t="shared" si="12"/>
        <v>312.19512195121951</v>
      </c>
      <c r="R129" s="1">
        <f t="shared" si="13"/>
        <v>4995.1219512195121</v>
      </c>
      <c r="S129" s="40">
        <f t="shared" si="14"/>
        <v>4.8780487804878048</v>
      </c>
      <c r="U129" s="1">
        <f t="shared" si="15"/>
        <v>3.1205524392631312</v>
      </c>
    </row>
    <row r="130" spans="1:21" x14ac:dyDescent="0.25">
      <c r="A130">
        <v>0</v>
      </c>
      <c r="B130">
        <v>157</v>
      </c>
      <c r="C130" s="29">
        <v>10</v>
      </c>
      <c r="D130">
        <v>6.23076923076923E-2</v>
      </c>
      <c r="E130">
        <v>54.066243325155099</v>
      </c>
      <c r="F130">
        <v>592222222.22222197</v>
      </c>
      <c r="H130" s="24">
        <f>_xlfn.CEILING.MATH(('analog-mvmu-specs'!B$14)/(D130*10^6))</f>
        <v>1</v>
      </c>
      <c r="I130" s="36">
        <f t="shared" si="8"/>
        <v>2</v>
      </c>
      <c r="J130" s="24">
        <f t="shared" si="8"/>
        <v>4</v>
      </c>
      <c r="L130">
        <f t="shared" si="9"/>
        <v>1024</v>
      </c>
      <c r="M130" s="1">
        <f>(32*16*16)*L130*'analog-mvmu-specs'!J$24</f>
        <v>19629.342720000001</v>
      </c>
      <c r="N130" s="1">
        <f t="shared" si="10"/>
        <v>442910.66531967057</v>
      </c>
      <c r="O130" s="38">
        <f t="shared" si="11"/>
        <v>451.69922660124081</v>
      </c>
      <c r="Q130" s="1">
        <f t="shared" si="12"/>
        <v>216.13508442776745</v>
      </c>
      <c r="R130" s="1">
        <f t="shared" si="13"/>
        <v>3458.1613508442792</v>
      </c>
      <c r="S130" s="40">
        <f t="shared" si="14"/>
        <v>3.3771106941838664</v>
      </c>
      <c r="U130" s="1">
        <f t="shared" si="15"/>
        <v>4.2438151033016052</v>
      </c>
    </row>
    <row r="131" spans="1:21" x14ac:dyDescent="0.25">
      <c r="A131">
        <v>0</v>
      </c>
      <c r="B131">
        <v>162</v>
      </c>
      <c r="C131" s="29">
        <v>10</v>
      </c>
      <c r="D131">
        <v>1.3180473372781E-2</v>
      </c>
      <c r="E131">
        <v>0.91065088757396395</v>
      </c>
      <c r="F131">
        <v>1444444.4444444401</v>
      </c>
      <c r="H131" s="24">
        <f>_xlfn.CEILING.MATH(('analog-mvmu-specs'!B$14)/(D131*10^6))</f>
        <v>3</v>
      </c>
      <c r="I131" s="36">
        <f t="shared" si="8"/>
        <v>6</v>
      </c>
      <c r="J131" s="24">
        <f t="shared" si="8"/>
        <v>12</v>
      </c>
      <c r="L131">
        <f t="shared" si="9"/>
        <v>1024</v>
      </c>
      <c r="M131" s="1">
        <f>(32*16*16)*L131*'analog-mvmu-specs'!J$24</f>
        <v>19629.342720000001</v>
      </c>
      <c r="N131" s="1">
        <f t="shared" si="10"/>
        <v>7460.0520710059127</v>
      </c>
      <c r="O131" s="38">
        <f t="shared" si="11"/>
        <v>26.454487100591713</v>
      </c>
      <c r="Q131" s="1">
        <f t="shared" si="12"/>
        <v>29538.46153846163</v>
      </c>
      <c r="R131" s="1">
        <f t="shared" si="13"/>
        <v>472615.38461538608</v>
      </c>
      <c r="S131" s="40">
        <f t="shared" si="14"/>
        <v>461.53846153846297</v>
      </c>
      <c r="U131" s="1">
        <f t="shared" si="15"/>
        <v>72.461355712964234</v>
      </c>
    </row>
    <row r="132" spans="1:21" x14ac:dyDescent="0.25">
      <c r="A132">
        <v>0</v>
      </c>
      <c r="B132">
        <v>165</v>
      </c>
      <c r="C132" s="29">
        <v>10</v>
      </c>
      <c r="D132">
        <v>3.3550295857988098E-2</v>
      </c>
      <c r="E132">
        <v>21.568047337278099</v>
      </c>
      <c r="F132">
        <v>144444444.444444</v>
      </c>
      <c r="H132" s="24">
        <f>_xlfn.CEILING.MATH(('analog-mvmu-specs'!B$14)/(D132*10^6))</f>
        <v>1</v>
      </c>
      <c r="I132" s="36">
        <f t="shared" ref="I132:J195" si="16">2*H132</f>
        <v>2</v>
      </c>
      <c r="J132" s="24">
        <f t="shared" si="16"/>
        <v>4</v>
      </c>
      <c r="L132">
        <f t="shared" ref="L132:L195" si="17">2^C132</f>
        <v>1024</v>
      </c>
      <c r="M132" s="1">
        <f>(32*16*16)*L132*'analog-mvmu-specs'!J$24</f>
        <v>19629.342720000001</v>
      </c>
      <c r="N132" s="1">
        <f t="shared" ref="N132:N195" si="18">(32*16)*16*E132</f>
        <v>176685.44378698218</v>
      </c>
      <c r="O132" s="38">
        <f t="shared" ref="O132:O195" si="19">SUM(M132:N132)/L132</f>
        <v>191.71365869822478</v>
      </c>
      <c r="Q132" s="1">
        <f t="shared" ref="Q132:Q195" si="20">32*16*(10^9/F132)/J132</f>
        <v>886.15384615384892</v>
      </c>
      <c r="R132" s="1">
        <f t="shared" ref="R132:R195" si="21">16*Q132</f>
        <v>14178.461538461583</v>
      </c>
      <c r="S132" s="40">
        <f t="shared" ref="S132:S195" si="22">R132/L132</f>
        <v>13.846153846153889</v>
      </c>
      <c r="U132" s="1">
        <f t="shared" ref="U132:U195" si="23">M132/(M132+N132)*100</f>
        <v>9.9989119868471334</v>
      </c>
    </row>
    <row r="133" spans="1:21" x14ac:dyDescent="0.25">
      <c r="A133">
        <v>0</v>
      </c>
      <c r="B133">
        <v>181</v>
      </c>
      <c r="C133" s="29">
        <v>10</v>
      </c>
      <c r="D133">
        <v>1.09375</v>
      </c>
      <c r="E133">
        <v>75.335998553548805</v>
      </c>
      <c r="F133">
        <v>3982160000</v>
      </c>
      <c r="H133" s="24">
        <f>_xlfn.CEILING.MATH(('analog-mvmu-specs'!B$14)/(D133*10^6))</f>
        <v>1</v>
      </c>
      <c r="I133" s="36">
        <f t="shared" si="16"/>
        <v>2</v>
      </c>
      <c r="J133" s="24">
        <f t="shared" si="16"/>
        <v>4</v>
      </c>
      <c r="L133">
        <f t="shared" si="17"/>
        <v>1024</v>
      </c>
      <c r="M133" s="1">
        <f>(32*16*16)*L133*'analog-mvmu-specs'!J$24</f>
        <v>19629.342720000001</v>
      </c>
      <c r="N133" s="1">
        <f t="shared" si="18"/>
        <v>617152.50015067181</v>
      </c>
      <c r="O133" s="38">
        <f t="shared" si="19"/>
        <v>621.8572684283904</v>
      </c>
      <c r="Q133" s="1">
        <f t="shared" si="20"/>
        <v>32.1433593828475</v>
      </c>
      <c r="R133" s="1">
        <f t="shared" si="21"/>
        <v>514.29375012556</v>
      </c>
      <c r="S133" s="40">
        <f t="shared" si="22"/>
        <v>0.50223999035699218</v>
      </c>
      <c r="U133" s="1">
        <f t="shared" si="23"/>
        <v>3.0825851804299411</v>
      </c>
    </row>
    <row r="134" spans="1:21" x14ac:dyDescent="0.25">
      <c r="A134">
        <v>0</v>
      </c>
      <c r="B134">
        <v>184</v>
      </c>
      <c r="C134" s="29">
        <v>10</v>
      </c>
      <c r="D134">
        <v>0.1225</v>
      </c>
      <c r="E134">
        <v>27.5</v>
      </c>
      <c r="F134">
        <v>1000000000</v>
      </c>
      <c r="H134" s="24">
        <f>_xlfn.CEILING.MATH(('analog-mvmu-specs'!B$14)/(D134*10^6))</f>
        <v>1</v>
      </c>
      <c r="I134" s="36">
        <f t="shared" si="16"/>
        <v>2</v>
      </c>
      <c r="J134" s="24">
        <f t="shared" si="16"/>
        <v>4</v>
      </c>
      <c r="L134">
        <f t="shared" si="17"/>
        <v>1024</v>
      </c>
      <c r="M134" s="1">
        <f>(32*16*16)*L134*'analog-mvmu-specs'!J$24</f>
        <v>19629.342720000001</v>
      </c>
      <c r="N134" s="1">
        <f t="shared" si="18"/>
        <v>225280</v>
      </c>
      <c r="O134" s="38">
        <f t="shared" si="19"/>
        <v>239.16928000000001</v>
      </c>
      <c r="Q134" s="1">
        <f t="shared" si="20"/>
        <v>128</v>
      </c>
      <c r="R134" s="1">
        <f t="shared" si="21"/>
        <v>2048</v>
      </c>
      <c r="S134" s="40">
        <f t="shared" si="22"/>
        <v>2</v>
      </c>
      <c r="U134" s="1">
        <f t="shared" si="23"/>
        <v>8.0149423872497341</v>
      </c>
    </row>
    <row r="135" spans="1:21" x14ac:dyDescent="0.25">
      <c r="A135">
        <v>0</v>
      </c>
      <c r="B135">
        <v>199</v>
      </c>
      <c r="C135" s="29">
        <v>10</v>
      </c>
      <c r="D135">
        <v>1.43E-2</v>
      </c>
      <c r="E135">
        <v>11.25</v>
      </c>
      <c r="F135">
        <v>200000000</v>
      </c>
      <c r="H135" s="24">
        <f>_xlfn.CEILING.MATH(('analog-mvmu-specs'!B$14)/(D135*10^6))</f>
        <v>2</v>
      </c>
      <c r="I135" s="36">
        <f t="shared" si="16"/>
        <v>4</v>
      </c>
      <c r="J135" s="24">
        <f t="shared" si="16"/>
        <v>8</v>
      </c>
      <c r="L135">
        <f t="shared" si="17"/>
        <v>1024</v>
      </c>
      <c r="M135" s="1">
        <f>(32*16*16)*L135*'analog-mvmu-specs'!J$24</f>
        <v>19629.342720000001</v>
      </c>
      <c r="N135" s="1">
        <f t="shared" si="18"/>
        <v>92160</v>
      </c>
      <c r="O135" s="38">
        <f t="shared" si="19"/>
        <v>109.16928</v>
      </c>
      <c r="Q135" s="1">
        <f t="shared" si="20"/>
        <v>320</v>
      </c>
      <c r="R135" s="1">
        <f t="shared" si="21"/>
        <v>5120</v>
      </c>
      <c r="S135" s="40">
        <f t="shared" si="22"/>
        <v>5</v>
      </c>
      <c r="U135" s="1">
        <f t="shared" si="23"/>
        <v>17.559225452434969</v>
      </c>
    </row>
    <row r="136" spans="1:21" x14ac:dyDescent="0.25">
      <c r="A136">
        <v>0</v>
      </c>
      <c r="B136">
        <v>204</v>
      </c>
      <c r="C136" s="29">
        <v>10</v>
      </c>
      <c r="D136">
        <v>1.8692307692307598E-2</v>
      </c>
      <c r="E136">
        <v>7.86035502958579</v>
      </c>
      <c r="F136">
        <v>72222222.222222194</v>
      </c>
      <c r="H136" s="24">
        <f>_xlfn.CEILING.MATH(('analog-mvmu-specs'!B$14)/(D136*10^6))</f>
        <v>2</v>
      </c>
      <c r="I136" s="36">
        <f t="shared" si="16"/>
        <v>4</v>
      </c>
      <c r="J136" s="24">
        <f t="shared" si="16"/>
        <v>8</v>
      </c>
      <c r="L136">
        <f t="shared" si="17"/>
        <v>1024</v>
      </c>
      <c r="M136" s="1">
        <f>(32*16*16)*L136*'analog-mvmu-specs'!J$24</f>
        <v>19629.342720000001</v>
      </c>
      <c r="N136" s="1">
        <f t="shared" si="18"/>
        <v>64392.028402366792</v>
      </c>
      <c r="O136" s="38">
        <f t="shared" si="19"/>
        <v>82.052120236686321</v>
      </c>
      <c r="Q136" s="1">
        <f t="shared" si="20"/>
        <v>886.15384615384653</v>
      </c>
      <c r="R136" s="1">
        <f t="shared" si="21"/>
        <v>14178.461538461544</v>
      </c>
      <c r="S136" s="40">
        <f t="shared" si="22"/>
        <v>13.846153846153852</v>
      </c>
      <c r="U136" s="1">
        <f t="shared" si="23"/>
        <v>23.362321344901975</v>
      </c>
    </row>
    <row r="137" spans="1:21" x14ac:dyDescent="0.25">
      <c r="A137">
        <v>0</v>
      </c>
      <c r="B137">
        <v>205</v>
      </c>
      <c r="C137" s="29">
        <v>10</v>
      </c>
      <c r="D137">
        <v>1.22698224852071E-2</v>
      </c>
      <c r="E137">
        <v>5.4159763313609401</v>
      </c>
      <c r="F137">
        <v>144444444.444444</v>
      </c>
      <c r="H137" s="24">
        <f>_xlfn.CEILING.MATH(('analog-mvmu-specs'!B$14)/(D137*10^6))</f>
        <v>3</v>
      </c>
      <c r="I137" s="36">
        <f t="shared" si="16"/>
        <v>6</v>
      </c>
      <c r="J137" s="24">
        <f t="shared" si="16"/>
        <v>12</v>
      </c>
      <c r="L137">
        <f t="shared" si="17"/>
        <v>1024</v>
      </c>
      <c r="M137" s="1">
        <f>(32*16*16)*L137*'analog-mvmu-specs'!J$24</f>
        <v>19629.342720000001</v>
      </c>
      <c r="N137" s="1">
        <f t="shared" si="18"/>
        <v>44367.678106508822</v>
      </c>
      <c r="O137" s="38">
        <f t="shared" si="19"/>
        <v>62.497090650887522</v>
      </c>
      <c r="Q137" s="1">
        <f t="shared" si="20"/>
        <v>295.38461538461632</v>
      </c>
      <c r="R137" s="1">
        <f t="shared" si="21"/>
        <v>4726.1538461538612</v>
      </c>
      <c r="S137" s="40">
        <f t="shared" si="22"/>
        <v>4.6153846153846301</v>
      </c>
      <c r="U137" s="1">
        <f t="shared" si="23"/>
        <v>30.67227578173317</v>
      </c>
    </row>
    <row r="138" spans="1:21" x14ac:dyDescent="0.25">
      <c r="A138">
        <v>0</v>
      </c>
      <c r="B138">
        <v>208</v>
      </c>
      <c r="C138" s="29">
        <v>10</v>
      </c>
      <c r="D138">
        <v>2.4443786982248499</v>
      </c>
      <c r="E138">
        <v>88.484296768320405</v>
      </c>
      <c r="F138">
        <v>3755555555.5555501</v>
      </c>
      <c r="H138" s="24">
        <f>_xlfn.CEILING.MATH(('analog-mvmu-specs'!B$14)/(D138*10^6))</f>
        <v>1</v>
      </c>
      <c r="I138" s="36">
        <f t="shared" si="16"/>
        <v>2</v>
      </c>
      <c r="J138" s="24">
        <f t="shared" si="16"/>
        <v>4</v>
      </c>
      <c r="L138">
        <f t="shared" si="17"/>
        <v>1024</v>
      </c>
      <c r="M138" s="1">
        <f>(32*16*16)*L138*'analog-mvmu-specs'!J$24</f>
        <v>19629.342720000001</v>
      </c>
      <c r="N138" s="1">
        <f t="shared" si="18"/>
        <v>724863.35912608076</v>
      </c>
      <c r="O138" s="38">
        <f t="shared" si="19"/>
        <v>727.0436541465632</v>
      </c>
      <c r="Q138" s="1">
        <f t="shared" si="20"/>
        <v>34.082840236686437</v>
      </c>
      <c r="R138" s="1">
        <f t="shared" si="21"/>
        <v>545.32544378698299</v>
      </c>
      <c r="S138" s="40">
        <f t="shared" si="22"/>
        <v>0.53254437869822557</v>
      </c>
      <c r="U138" s="1">
        <f t="shared" si="23"/>
        <v>2.6366064665679216</v>
      </c>
    </row>
    <row r="139" spans="1:21" x14ac:dyDescent="0.25">
      <c r="A139">
        <v>0</v>
      </c>
      <c r="B139">
        <v>213</v>
      </c>
      <c r="C139" s="29">
        <v>10</v>
      </c>
      <c r="D139">
        <v>0.10160946745562099</v>
      </c>
      <c r="E139">
        <v>4.9366863905325404</v>
      </c>
      <c r="F139">
        <v>28888.8888888888</v>
      </c>
      <c r="H139" s="24">
        <f>_xlfn.CEILING.MATH(('analog-mvmu-specs'!B$14)/(D139*10^6))</f>
        <v>1</v>
      </c>
      <c r="I139" s="36">
        <f t="shared" si="16"/>
        <v>2</v>
      </c>
      <c r="J139" s="24">
        <f t="shared" si="16"/>
        <v>4</v>
      </c>
      <c r="L139">
        <f t="shared" si="17"/>
        <v>1024</v>
      </c>
      <c r="M139" s="1">
        <f>(32*16*16)*L139*'analog-mvmu-specs'!J$24</f>
        <v>19629.342720000001</v>
      </c>
      <c r="N139" s="1">
        <f t="shared" si="18"/>
        <v>40441.334911242571</v>
      </c>
      <c r="O139" s="38">
        <f t="shared" si="19"/>
        <v>58.662771124260324</v>
      </c>
      <c r="Q139" s="1">
        <f t="shared" si="20"/>
        <v>4430769.230769244</v>
      </c>
      <c r="R139" s="1">
        <f t="shared" si="21"/>
        <v>70892307.692307904</v>
      </c>
      <c r="S139" s="40">
        <f t="shared" si="22"/>
        <v>69230.769230769438</v>
      </c>
      <c r="U139" s="1">
        <f t="shared" si="23"/>
        <v>32.67707889113413</v>
      </c>
    </row>
    <row r="140" spans="1:21" x14ac:dyDescent="0.25">
      <c r="A140">
        <v>0</v>
      </c>
      <c r="B140">
        <v>228</v>
      </c>
      <c r="C140" s="29">
        <v>10</v>
      </c>
      <c r="D140">
        <v>9.1065088757396398E-2</v>
      </c>
      <c r="E140">
        <v>12.868934911242601</v>
      </c>
      <c r="F140">
        <v>288888888.888888</v>
      </c>
      <c r="H140" s="24">
        <f>_xlfn.CEILING.MATH(('analog-mvmu-specs'!B$14)/(D140*10^6))</f>
        <v>1</v>
      </c>
      <c r="I140" s="36">
        <f t="shared" si="16"/>
        <v>2</v>
      </c>
      <c r="J140" s="24">
        <f t="shared" si="16"/>
        <v>4</v>
      </c>
      <c r="L140">
        <f t="shared" si="17"/>
        <v>1024</v>
      </c>
      <c r="M140" s="1">
        <f>(32*16*16)*L140*'analog-mvmu-specs'!J$24</f>
        <v>19629.342720000001</v>
      </c>
      <c r="N140" s="1">
        <f t="shared" si="18"/>
        <v>105422.31479289939</v>
      </c>
      <c r="O140" s="38">
        <f t="shared" si="19"/>
        <v>122.12075928994081</v>
      </c>
      <c r="Q140" s="1">
        <f t="shared" si="20"/>
        <v>443.07692307692446</v>
      </c>
      <c r="R140" s="1">
        <f t="shared" si="21"/>
        <v>7089.2307692307913</v>
      </c>
      <c r="S140" s="40">
        <f t="shared" si="22"/>
        <v>6.9230769230769447</v>
      </c>
      <c r="U140" s="1">
        <f t="shared" si="23"/>
        <v>15.696987237434406</v>
      </c>
    </row>
    <row r="141" spans="1:21" x14ac:dyDescent="0.25">
      <c r="A141">
        <v>0</v>
      </c>
      <c r="B141">
        <v>231</v>
      </c>
      <c r="C141" s="29">
        <v>10</v>
      </c>
      <c r="D141">
        <v>0.100775390625</v>
      </c>
      <c r="E141">
        <v>94.8427734375</v>
      </c>
      <c r="F141">
        <v>71111111.111111104</v>
      </c>
      <c r="H141" s="24">
        <f>_xlfn.CEILING.MATH(('analog-mvmu-specs'!B$14)/(D141*10^6))</f>
        <v>1</v>
      </c>
      <c r="I141" s="36">
        <f t="shared" si="16"/>
        <v>2</v>
      </c>
      <c r="J141" s="24">
        <f t="shared" si="16"/>
        <v>4</v>
      </c>
      <c r="L141">
        <f t="shared" si="17"/>
        <v>1024</v>
      </c>
      <c r="M141" s="1">
        <f>(32*16*16)*L141*'analog-mvmu-specs'!J$24</f>
        <v>19629.342720000001</v>
      </c>
      <c r="N141" s="1">
        <f t="shared" si="18"/>
        <v>776952</v>
      </c>
      <c r="O141" s="38">
        <f t="shared" si="19"/>
        <v>777.91146749999996</v>
      </c>
      <c r="Q141" s="1">
        <f t="shared" si="20"/>
        <v>1800.0000000000002</v>
      </c>
      <c r="R141" s="1">
        <f t="shared" si="21"/>
        <v>28800.000000000004</v>
      </c>
      <c r="S141" s="40">
        <f t="shared" si="22"/>
        <v>28.125000000000004</v>
      </c>
      <c r="U141" s="1">
        <f t="shared" si="23"/>
        <v>2.4641981511861437</v>
      </c>
    </row>
    <row r="142" spans="1:21" x14ac:dyDescent="0.25">
      <c r="A142">
        <v>0</v>
      </c>
      <c r="B142">
        <v>232</v>
      </c>
      <c r="C142" s="29">
        <v>10</v>
      </c>
      <c r="D142">
        <v>1.175E-2</v>
      </c>
      <c r="E142">
        <v>1.0900000000000001</v>
      </c>
      <c r="F142">
        <v>8000000</v>
      </c>
      <c r="H142" s="24">
        <f>_xlfn.CEILING.MATH(('analog-mvmu-specs'!B$14)/(D142*10^6))</f>
        <v>3</v>
      </c>
      <c r="I142" s="36">
        <f t="shared" si="16"/>
        <v>6</v>
      </c>
      <c r="J142" s="24">
        <f t="shared" si="16"/>
        <v>12</v>
      </c>
      <c r="L142">
        <f t="shared" si="17"/>
        <v>1024</v>
      </c>
      <c r="M142" s="1">
        <f>(32*16*16)*L142*'analog-mvmu-specs'!J$24</f>
        <v>19629.342720000001</v>
      </c>
      <c r="N142" s="1">
        <f t="shared" si="18"/>
        <v>8929.2800000000007</v>
      </c>
      <c r="O142" s="38">
        <f t="shared" si="19"/>
        <v>27.889279999999999</v>
      </c>
      <c r="Q142" s="1">
        <f t="shared" si="20"/>
        <v>5333.333333333333</v>
      </c>
      <c r="R142" s="1">
        <f t="shared" si="21"/>
        <v>85333.333333333328</v>
      </c>
      <c r="S142" s="40">
        <f t="shared" si="22"/>
        <v>83.333333333333329</v>
      </c>
      <c r="U142" s="1">
        <f t="shared" si="23"/>
        <v>68.733506207402996</v>
      </c>
    </row>
    <row r="143" spans="1:21" x14ac:dyDescent="0.25">
      <c r="A143">
        <v>0</v>
      </c>
      <c r="B143">
        <v>240</v>
      </c>
      <c r="C143" s="29">
        <v>10</v>
      </c>
      <c r="D143">
        <v>1.0500000000000001E-2</v>
      </c>
      <c r="E143">
        <v>0.25</v>
      </c>
      <c r="F143">
        <v>1000000</v>
      </c>
      <c r="H143" s="24">
        <f>_xlfn.CEILING.MATH(('analog-mvmu-specs'!B$14)/(D143*10^6))</f>
        <v>3</v>
      </c>
      <c r="I143" s="36">
        <f t="shared" si="16"/>
        <v>6</v>
      </c>
      <c r="J143" s="24">
        <f t="shared" si="16"/>
        <v>12</v>
      </c>
      <c r="L143">
        <f t="shared" si="17"/>
        <v>1024</v>
      </c>
      <c r="M143" s="1">
        <f>(32*16*16)*L143*'analog-mvmu-specs'!J$24</f>
        <v>19629.342720000001</v>
      </c>
      <c r="N143" s="1">
        <f t="shared" si="18"/>
        <v>2048</v>
      </c>
      <c r="O143" s="38">
        <f t="shared" si="19"/>
        <v>21.169280000000001</v>
      </c>
      <c r="Q143" s="1">
        <f t="shared" si="20"/>
        <v>42666.666666666664</v>
      </c>
      <c r="R143" s="1">
        <f t="shared" si="21"/>
        <v>682666.66666666663</v>
      </c>
      <c r="S143" s="40">
        <f t="shared" si="22"/>
        <v>666.66666666666663</v>
      </c>
      <c r="U143" s="1">
        <f t="shared" si="23"/>
        <v>90.552347552680118</v>
      </c>
    </row>
    <row r="144" spans="1:21" x14ac:dyDescent="0.25">
      <c r="A144">
        <v>0</v>
      </c>
      <c r="B144">
        <v>250</v>
      </c>
      <c r="C144" s="29">
        <v>10</v>
      </c>
      <c r="D144">
        <v>8.2265624999999995E-2</v>
      </c>
      <c r="E144">
        <v>0.53156249999999905</v>
      </c>
      <c r="F144">
        <v>177777.777777777</v>
      </c>
      <c r="H144" s="24">
        <f>_xlfn.CEILING.MATH(('analog-mvmu-specs'!B$14)/(D144*10^6))</f>
        <v>1</v>
      </c>
      <c r="I144" s="36">
        <f t="shared" si="16"/>
        <v>2</v>
      </c>
      <c r="J144" s="24">
        <f t="shared" si="16"/>
        <v>4</v>
      </c>
      <c r="L144">
        <f t="shared" si="17"/>
        <v>1024</v>
      </c>
      <c r="M144" s="1">
        <f>(32*16*16)*L144*'analog-mvmu-specs'!J$24</f>
        <v>19629.342720000001</v>
      </c>
      <c r="N144" s="1">
        <f t="shared" si="18"/>
        <v>4354.5599999999922</v>
      </c>
      <c r="O144" s="38">
        <f t="shared" si="19"/>
        <v>23.421779999999991</v>
      </c>
      <c r="Q144" s="1">
        <f t="shared" si="20"/>
        <v>720000.00000000314</v>
      </c>
      <c r="R144" s="1">
        <f t="shared" si="21"/>
        <v>11520000.00000005</v>
      </c>
      <c r="S144" s="40">
        <f t="shared" si="22"/>
        <v>11250.000000000049</v>
      </c>
      <c r="U144" s="1">
        <f t="shared" si="23"/>
        <v>81.84382228848537</v>
      </c>
    </row>
    <row r="145" spans="1:21" x14ac:dyDescent="0.25">
      <c r="A145">
        <v>0</v>
      </c>
      <c r="B145">
        <v>251</v>
      </c>
      <c r="C145" s="29">
        <v>10</v>
      </c>
      <c r="D145">
        <v>7.4999999999999997E-3</v>
      </c>
      <c r="E145">
        <v>0.484375</v>
      </c>
      <c r="F145">
        <v>16000</v>
      </c>
      <c r="H145" s="24">
        <f>_xlfn.CEILING.MATH(('analog-mvmu-specs'!B$14)/(D145*10^6))</f>
        <v>4</v>
      </c>
      <c r="I145" s="36">
        <f t="shared" si="16"/>
        <v>8</v>
      </c>
      <c r="J145" s="24">
        <f t="shared" si="16"/>
        <v>16</v>
      </c>
      <c r="L145">
        <f t="shared" si="17"/>
        <v>1024</v>
      </c>
      <c r="M145" s="1">
        <f>(32*16*16)*L145*'analog-mvmu-specs'!J$24</f>
        <v>19629.342720000001</v>
      </c>
      <c r="N145" s="1">
        <f t="shared" si="18"/>
        <v>3968</v>
      </c>
      <c r="O145" s="38">
        <f t="shared" si="19"/>
        <v>23.044280000000001</v>
      </c>
      <c r="Q145" s="1">
        <f t="shared" si="20"/>
        <v>2000000</v>
      </c>
      <c r="R145" s="1">
        <f t="shared" si="21"/>
        <v>32000000</v>
      </c>
      <c r="S145" s="40">
        <f t="shared" si="22"/>
        <v>31250</v>
      </c>
      <c r="U145" s="1">
        <f t="shared" si="23"/>
        <v>83.184547314995299</v>
      </c>
    </row>
    <row r="146" spans="1:21" x14ac:dyDescent="0.25">
      <c r="A146">
        <v>0</v>
      </c>
      <c r="B146">
        <v>253</v>
      </c>
      <c r="C146" s="29">
        <v>10</v>
      </c>
      <c r="D146">
        <v>4.7928994082840203E-2</v>
      </c>
      <c r="E146">
        <v>11.7905325443786</v>
      </c>
      <c r="F146">
        <v>144444444.444444</v>
      </c>
      <c r="H146" s="24">
        <f>_xlfn.CEILING.MATH(('analog-mvmu-specs'!B$14)/(D146*10^6))</f>
        <v>1</v>
      </c>
      <c r="I146" s="36">
        <f t="shared" si="16"/>
        <v>2</v>
      </c>
      <c r="J146" s="24">
        <f t="shared" si="16"/>
        <v>4</v>
      </c>
      <c r="L146">
        <f t="shared" si="17"/>
        <v>1024</v>
      </c>
      <c r="M146" s="1">
        <f>(32*16*16)*L146*'analog-mvmu-specs'!J$24</f>
        <v>19629.342720000001</v>
      </c>
      <c r="N146" s="1">
        <f t="shared" si="18"/>
        <v>96588.042603549489</v>
      </c>
      <c r="O146" s="38">
        <f t="shared" si="19"/>
        <v>113.4935403550288</v>
      </c>
      <c r="Q146" s="1">
        <f t="shared" si="20"/>
        <v>886.15384615384892</v>
      </c>
      <c r="R146" s="1">
        <f t="shared" si="21"/>
        <v>14178.461538461583</v>
      </c>
      <c r="S146" s="40">
        <f t="shared" si="22"/>
        <v>13.846153846153889</v>
      </c>
      <c r="U146" s="1">
        <f t="shared" si="23"/>
        <v>16.89019475472784</v>
      </c>
    </row>
    <row r="147" spans="1:21" x14ac:dyDescent="0.25">
      <c r="A147">
        <v>0</v>
      </c>
      <c r="B147">
        <v>258</v>
      </c>
      <c r="C147" s="29">
        <v>10</v>
      </c>
      <c r="D147">
        <v>0.373846153846153</v>
      </c>
      <c r="E147">
        <v>9.0585798816568008</v>
      </c>
      <c r="F147">
        <v>1444444444.4444399</v>
      </c>
      <c r="H147" s="24">
        <f>_xlfn.CEILING.MATH(('analog-mvmu-specs'!B$14)/(D147*10^6))</f>
        <v>1</v>
      </c>
      <c r="I147" s="36">
        <f t="shared" si="16"/>
        <v>2</v>
      </c>
      <c r="J147" s="24">
        <f t="shared" si="16"/>
        <v>4</v>
      </c>
      <c r="L147">
        <f t="shared" si="17"/>
        <v>1024</v>
      </c>
      <c r="M147" s="1">
        <f>(32*16*16)*L147*'analog-mvmu-specs'!J$24</f>
        <v>19629.342720000001</v>
      </c>
      <c r="N147" s="1">
        <f t="shared" si="18"/>
        <v>74207.886390532512</v>
      </c>
      <c r="O147" s="38">
        <f t="shared" si="19"/>
        <v>91.637919053254407</v>
      </c>
      <c r="Q147" s="1">
        <f t="shared" si="20"/>
        <v>88.615384615384897</v>
      </c>
      <c r="R147" s="1">
        <f t="shared" si="21"/>
        <v>1417.8461538461584</v>
      </c>
      <c r="S147" s="40">
        <f t="shared" si="22"/>
        <v>1.384615384615389</v>
      </c>
      <c r="U147" s="1">
        <f t="shared" si="23"/>
        <v>20.918502076482088</v>
      </c>
    </row>
    <row r="148" spans="1:21" x14ac:dyDescent="0.25">
      <c r="A148">
        <v>0</v>
      </c>
      <c r="B148">
        <v>268</v>
      </c>
      <c r="C148" s="29">
        <v>10</v>
      </c>
      <c r="D148">
        <v>0.124615384615384</v>
      </c>
      <c r="E148">
        <v>0.63505917159763303</v>
      </c>
      <c r="F148">
        <v>115555.55555555499</v>
      </c>
      <c r="H148" s="24">
        <f>_xlfn.CEILING.MATH(('analog-mvmu-specs'!B$14)/(D148*10^6))</f>
        <v>1</v>
      </c>
      <c r="I148" s="36">
        <f t="shared" si="16"/>
        <v>2</v>
      </c>
      <c r="J148" s="24">
        <f t="shared" si="16"/>
        <v>4</v>
      </c>
      <c r="L148">
        <f t="shared" si="17"/>
        <v>1024</v>
      </c>
      <c r="M148" s="1">
        <f>(32*16*16)*L148*'analog-mvmu-specs'!J$24</f>
        <v>19629.342720000001</v>
      </c>
      <c r="N148" s="1">
        <f t="shared" si="18"/>
        <v>5202.4047337278098</v>
      </c>
      <c r="O148" s="38">
        <f t="shared" si="19"/>
        <v>24.249753372781065</v>
      </c>
      <c r="Q148" s="1">
        <f t="shared" si="20"/>
        <v>1107692.3076923131</v>
      </c>
      <c r="R148" s="1">
        <f t="shared" si="21"/>
        <v>17723076.92307701</v>
      </c>
      <c r="S148" s="40">
        <f t="shared" si="22"/>
        <v>17307.692307692392</v>
      </c>
      <c r="U148" s="1">
        <f t="shared" si="23"/>
        <v>79.04938126717775</v>
      </c>
    </row>
    <row r="149" spans="1:21" x14ac:dyDescent="0.25">
      <c r="A149">
        <v>0</v>
      </c>
      <c r="B149">
        <v>278</v>
      </c>
      <c r="C149" s="29">
        <v>10</v>
      </c>
      <c r="D149">
        <v>1.1623086734693799</v>
      </c>
      <c r="E149">
        <v>77.487244897959101</v>
      </c>
      <c r="F149">
        <v>3111111111.1111102</v>
      </c>
      <c r="H149" s="24">
        <f>_xlfn.CEILING.MATH(('analog-mvmu-specs'!B$14)/(D149*10^6))</f>
        <v>1</v>
      </c>
      <c r="I149" s="36">
        <f t="shared" si="16"/>
        <v>2</v>
      </c>
      <c r="J149" s="24">
        <f t="shared" si="16"/>
        <v>4</v>
      </c>
      <c r="L149">
        <f t="shared" si="17"/>
        <v>1024</v>
      </c>
      <c r="M149" s="1">
        <f>(32*16*16)*L149*'analog-mvmu-specs'!J$24</f>
        <v>19629.342720000001</v>
      </c>
      <c r="N149" s="1">
        <f t="shared" si="18"/>
        <v>634775.51020408096</v>
      </c>
      <c r="O149" s="38">
        <f t="shared" si="19"/>
        <v>639.06723918367277</v>
      </c>
      <c r="Q149" s="1">
        <f t="shared" si="20"/>
        <v>41.142857142857153</v>
      </c>
      <c r="R149" s="1">
        <f t="shared" si="21"/>
        <v>658.28571428571445</v>
      </c>
      <c r="S149" s="40">
        <f t="shared" si="22"/>
        <v>0.64285714285714302</v>
      </c>
      <c r="U149" s="1">
        <f t="shared" si="23"/>
        <v>2.9995716920939839</v>
      </c>
    </row>
    <row r="150" spans="1:21" x14ac:dyDescent="0.25">
      <c r="A150">
        <v>0</v>
      </c>
      <c r="B150">
        <v>279</v>
      </c>
      <c r="C150" s="29">
        <v>10</v>
      </c>
      <c r="D150">
        <v>5.7000000000000002E-2</v>
      </c>
      <c r="E150">
        <v>9.0588235294117592</v>
      </c>
      <c r="F150">
        <v>1700000000</v>
      </c>
      <c r="H150" s="24">
        <f>_xlfn.CEILING.MATH(('analog-mvmu-specs'!B$14)/(D150*10^6))</f>
        <v>1</v>
      </c>
      <c r="I150" s="36">
        <f t="shared" si="16"/>
        <v>2</v>
      </c>
      <c r="J150" s="24">
        <f t="shared" si="16"/>
        <v>4</v>
      </c>
      <c r="L150">
        <f t="shared" si="17"/>
        <v>1024</v>
      </c>
      <c r="M150" s="1">
        <f>(32*16*16)*L150*'analog-mvmu-specs'!J$24</f>
        <v>19629.342720000001</v>
      </c>
      <c r="N150" s="1">
        <f t="shared" si="18"/>
        <v>74209.882352941131</v>
      </c>
      <c r="O150" s="38">
        <f t="shared" si="19"/>
        <v>91.639868235294074</v>
      </c>
      <c r="Q150" s="1">
        <f t="shared" si="20"/>
        <v>75.294117647058826</v>
      </c>
      <c r="R150" s="1">
        <f t="shared" si="21"/>
        <v>1204.7058823529412</v>
      </c>
      <c r="S150" s="40">
        <f t="shared" si="22"/>
        <v>1.1764705882352942</v>
      </c>
      <c r="U150" s="1">
        <f t="shared" si="23"/>
        <v>20.91805713947673</v>
      </c>
    </row>
    <row r="151" spans="1:21" x14ac:dyDescent="0.25">
      <c r="A151">
        <v>0</v>
      </c>
      <c r="B151">
        <v>294</v>
      </c>
      <c r="C151" s="29">
        <v>10</v>
      </c>
      <c r="D151">
        <v>1.044140625</v>
      </c>
      <c r="E151">
        <v>8.9567307692307594</v>
      </c>
      <c r="F151">
        <v>2311111111.1111102</v>
      </c>
      <c r="H151" s="24">
        <f>_xlfn.CEILING.MATH(('analog-mvmu-specs'!B$14)/(D151*10^6))</f>
        <v>1</v>
      </c>
      <c r="I151" s="36">
        <f t="shared" si="16"/>
        <v>2</v>
      </c>
      <c r="J151" s="24">
        <f t="shared" si="16"/>
        <v>4</v>
      </c>
      <c r="L151">
        <f t="shared" si="17"/>
        <v>1024</v>
      </c>
      <c r="M151" s="1">
        <f>(32*16*16)*L151*'analog-mvmu-specs'!J$24</f>
        <v>19629.342720000001</v>
      </c>
      <c r="N151" s="1">
        <f t="shared" si="18"/>
        <v>73373.538461538381</v>
      </c>
      <c r="O151" s="38">
        <f t="shared" si="19"/>
        <v>90.823126153846076</v>
      </c>
      <c r="Q151" s="1">
        <f t="shared" si="20"/>
        <v>55.384615384615408</v>
      </c>
      <c r="R151" s="1">
        <f t="shared" si="21"/>
        <v>886.15384615384653</v>
      </c>
      <c r="S151" s="40">
        <f t="shared" si="22"/>
        <v>0.86538461538461575</v>
      </c>
      <c r="U151" s="1">
        <f t="shared" si="23"/>
        <v>21.106166250574763</v>
      </c>
    </row>
    <row r="152" spans="1:21" x14ac:dyDescent="0.25">
      <c r="A152">
        <v>0</v>
      </c>
      <c r="B152">
        <v>308</v>
      </c>
      <c r="C152" s="29">
        <v>10</v>
      </c>
      <c r="D152">
        <v>1.6530612244897901E-2</v>
      </c>
      <c r="E152">
        <v>47.663265306122398</v>
      </c>
      <c r="F152">
        <v>466666666.66666597</v>
      </c>
      <c r="H152" s="24">
        <f>_xlfn.CEILING.MATH(('analog-mvmu-specs'!B$14)/(D152*10^6))</f>
        <v>2</v>
      </c>
      <c r="I152" s="36">
        <f t="shared" si="16"/>
        <v>4</v>
      </c>
      <c r="J152" s="24">
        <f t="shared" si="16"/>
        <v>8</v>
      </c>
      <c r="L152">
        <f t="shared" si="17"/>
        <v>1024</v>
      </c>
      <c r="M152" s="1">
        <f>(32*16*16)*L152*'analog-mvmu-specs'!J$24</f>
        <v>19629.342720000001</v>
      </c>
      <c r="N152" s="1">
        <f t="shared" si="18"/>
        <v>390457.46938775468</v>
      </c>
      <c r="O152" s="38">
        <f t="shared" si="19"/>
        <v>400.4754024489792</v>
      </c>
      <c r="Q152" s="1">
        <f t="shared" si="20"/>
        <v>137.14285714285734</v>
      </c>
      <c r="R152" s="1">
        <f t="shared" si="21"/>
        <v>2194.2857142857174</v>
      </c>
      <c r="S152" s="40">
        <f t="shared" si="22"/>
        <v>2.1428571428571459</v>
      </c>
      <c r="U152" s="1">
        <f t="shared" si="23"/>
        <v>4.7866310596796708</v>
      </c>
    </row>
    <row r="153" spans="1:21" x14ac:dyDescent="0.25">
      <c r="A153">
        <v>1</v>
      </c>
      <c r="B153">
        <v>3</v>
      </c>
      <c r="C153" s="29">
        <v>10</v>
      </c>
      <c r="D153">
        <v>3.2343749999999998E-2</v>
      </c>
      <c r="E153">
        <v>14.1608391608391</v>
      </c>
      <c r="F153">
        <v>190666666.666666</v>
      </c>
      <c r="H153" s="24">
        <f>_xlfn.CEILING.MATH(('analog-mvmu-specs'!B$14)/(D153*10^6))</f>
        <v>1</v>
      </c>
      <c r="I153" s="36">
        <f t="shared" si="16"/>
        <v>2</v>
      </c>
      <c r="J153" s="24">
        <f t="shared" si="16"/>
        <v>4</v>
      </c>
      <c r="L153">
        <f t="shared" si="17"/>
        <v>1024</v>
      </c>
      <c r="M153" s="1">
        <f>(32*16*16)*L153*'analog-mvmu-specs'!J$24</f>
        <v>19629.342720000001</v>
      </c>
      <c r="N153" s="1">
        <f t="shared" si="18"/>
        <v>116005.5944055939</v>
      </c>
      <c r="O153" s="38">
        <f t="shared" si="19"/>
        <v>132.45599328671278</v>
      </c>
      <c r="Q153" s="1">
        <f t="shared" si="20"/>
        <v>671.32867132867364</v>
      </c>
      <c r="R153" s="1">
        <f t="shared" si="21"/>
        <v>10741.258741258778</v>
      </c>
      <c r="S153" s="40">
        <f t="shared" si="22"/>
        <v>10.489510489510526</v>
      </c>
      <c r="U153" s="1">
        <f t="shared" si="23"/>
        <v>14.472187723892862</v>
      </c>
    </row>
    <row r="154" spans="1:21" x14ac:dyDescent="0.25">
      <c r="A154">
        <v>1</v>
      </c>
      <c r="B154">
        <v>15</v>
      </c>
      <c r="C154" s="29">
        <v>10</v>
      </c>
      <c r="D154">
        <v>4.4999999999999998E-2</v>
      </c>
      <c r="E154">
        <v>253.125</v>
      </c>
      <c r="F154">
        <v>266666666.666666</v>
      </c>
      <c r="H154" s="24">
        <f>_xlfn.CEILING.MATH(('analog-mvmu-specs'!B$14)/(D154*10^6))</f>
        <v>1</v>
      </c>
      <c r="I154" s="36">
        <f t="shared" si="16"/>
        <v>2</v>
      </c>
      <c r="J154" s="24">
        <f t="shared" si="16"/>
        <v>4</v>
      </c>
      <c r="L154">
        <f t="shared" si="17"/>
        <v>1024</v>
      </c>
      <c r="M154" s="1">
        <f>(32*16*16)*L154*'analog-mvmu-specs'!J$24</f>
        <v>19629.342720000001</v>
      </c>
      <c r="N154" s="1">
        <f t="shared" si="18"/>
        <v>2073600</v>
      </c>
      <c r="O154" s="38">
        <f t="shared" si="19"/>
        <v>2044.1692800000001</v>
      </c>
      <c r="Q154" s="1">
        <f t="shared" si="20"/>
        <v>480.00000000000119</v>
      </c>
      <c r="R154" s="1">
        <f t="shared" si="21"/>
        <v>7680.0000000000191</v>
      </c>
      <c r="S154" s="40">
        <f t="shared" si="22"/>
        <v>7.5000000000000187</v>
      </c>
      <c r="U154" s="1">
        <f t="shared" si="23"/>
        <v>0.93775403962630732</v>
      </c>
    </row>
    <row r="155" spans="1:21" x14ac:dyDescent="0.25">
      <c r="A155">
        <v>1</v>
      </c>
      <c r="B155">
        <v>29</v>
      </c>
      <c r="C155" s="29">
        <v>10</v>
      </c>
      <c r="D155">
        <v>8.1250000000000003E-2</v>
      </c>
      <c r="E155">
        <v>36.25</v>
      </c>
      <c r="F155">
        <v>200000000</v>
      </c>
      <c r="H155" s="24">
        <f>_xlfn.CEILING.MATH(('analog-mvmu-specs'!B$14)/(D155*10^6))</f>
        <v>1</v>
      </c>
      <c r="I155" s="36">
        <f t="shared" si="16"/>
        <v>2</v>
      </c>
      <c r="J155" s="24">
        <f t="shared" si="16"/>
        <v>4</v>
      </c>
      <c r="L155">
        <f t="shared" si="17"/>
        <v>1024</v>
      </c>
      <c r="M155" s="1">
        <f>(32*16*16)*L155*'analog-mvmu-specs'!J$24</f>
        <v>19629.342720000001</v>
      </c>
      <c r="N155" s="1">
        <f t="shared" si="18"/>
        <v>296960</v>
      </c>
      <c r="O155" s="38">
        <f t="shared" si="19"/>
        <v>309.16928000000001</v>
      </c>
      <c r="Q155" s="1">
        <f t="shared" si="20"/>
        <v>640</v>
      </c>
      <c r="R155" s="1">
        <f t="shared" si="21"/>
        <v>10240</v>
      </c>
      <c r="S155" s="40">
        <f t="shared" si="22"/>
        <v>10</v>
      </c>
      <c r="U155" s="1">
        <f t="shared" si="23"/>
        <v>6.2002537897685048</v>
      </c>
    </row>
    <row r="156" spans="1:21" x14ac:dyDescent="0.25">
      <c r="A156">
        <v>1</v>
      </c>
      <c r="B156">
        <v>59</v>
      </c>
      <c r="C156" s="29">
        <v>10</v>
      </c>
      <c r="D156">
        <v>2.2167159763313599E-2</v>
      </c>
      <c r="E156">
        <v>115.029585798816</v>
      </c>
      <c r="F156">
        <v>115555555.555555</v>
      </c>
      <c r="H156" s="24">
        <f>_xlfn.CEILING.MATH(('analog-mvmu-specs'!B$14)/(D156*10^6))</f>
        <v>2</v>
      </c>
      <c r="I156" s="36">
        <f t="shared" si="16"/>
        <v>4</v>
      </c>
      <c r="J156" s="24">
        <f t="shared" si="16"/>
        <v>8</v>
      </c>
      <c r="L156">
        <f t="shared" si="17"/>
        <v>1024</v>
      </c>
      <c r="M156" s="1">
        <f>(32*16*16)*L156*'analog-mvmu-specs'!J$24</f>
        <v>19629.342720000001</v>
      </c>
      <c r="N156" s="1">
        <f t="shared" si="18"/>
        <v>942322.36686390068</v>
      </c>
      <c r="O156" s="38">
        <f t="shared" si="19"/>
        <v>939.40596639052796</v>
      </c>
      <c r="Q156" s="1">
        <f t="shared" si="20"/>
        <v>553.84615384615654</v>
      </c>
      <c r="R156" s="1">
        <f t="shared" si="21"/>
        <v>8861.5384615385046</v>
      </c>
      <c r="S156" s="40">
        <f t="shared" si="22"/>
        <v>8.6538461538461959</v>
      </c>
      <c r="U156" s="1">
        <f t="shared" si="23"/>
        <v>2.0405746488553795</v>
      </c>
    </row>
    <row r="157" spans="1:21" x14ac:dyDescent="0.25">
      <c r="A157">
        <v>1</v>
      </c>
      <c r="B157">
        <v>71</v>
      </c>
      <c r="C157" s="29">
        <v>10</v>
      </c>
      <c r="D157">
        <v>0.15816568047337201</v>
      </c>
      <c r="E157">
        <v>101.57259899863401</v>
      </c>
      <c r="F157">
        <v>37555555.5555555</v>
      </c>
      <c r="H157" s="24">
        <f>_xlfn.CEILING.MATH(('analog-mvmu-specs'!B$14)/(D157*10^6))</f>
        <v>1</v>
      </c>
      <c r="I157" s="36">
        <f t="shared" si="16"/>
        <v>2</v>
      </c>
      <c r="J157" s="24">
        <f t="shared" si="16"/>
        <v>4</v>
      </c>
      <c r="L157">
        <f t="shared" si="17"/>
        <v>1024</v>
      </c>
      <c r="M157" s="1">
        <f>(32*16*16)*L157*'analog-mvmu-specs'!J$24</f>
        <v>19629.342720000001</v>
      </c>
      <c r="N157" s="1">
        <f t="shared" si="18"/>
        <v>832082.73099680978</v>
      </c>
      <c r="O157" s="38">
        <f t="shared" si="19"/>
        <v>831.75007198907201</v>
      </c>
      <c r="Q157" s="1">
        <f t="shared" si="20"/>
        <v>3408.2840236686443</v>
      </c>
      <c r="R157" s="1">
        <f t="shared" si="21"/>
        <v>54532.544378698309</v>
      </c>
      <c r="S157" s="40">
        <f t="shared" si="22"/>
        <v>53.254437869822567</v>
      </c>
      <c r="U157" s="1">
        <f t="shared" si="23"/>
        <v>2.3046923163057875</v>
      </c>
    </row>
    <row r="158" spans="1:21" x14ac:dyDescent="0.25">
      <c r="A158">
        <v>1</v>
      </c>
      <c r="B158">
        <v>78</v>
      </c>
      <c r="C158" s="29">
        <v>10</v>
      </c>
      <c r="D158">
        <v>8.9866863905325393E-3</v>
      </c>
      <c r="E158">
        <v>1.1023668639053199</v>
      </c>
      <c r="F158">
        <v>288888888.888888</v>
      </c>
      <c r="H158" s="24">
        <f>_xlfn.CEILING.MATH(('analog-mvmu-specs'!B$14)/(D158*10^6))</f>
        <v>4</v>
      </c>
      <c r="I158" s="36">
        <f t="shared" si="16"/>
        <v>8</v>
      </c>
      <c r="J158" s="24">
        <f t="shared" si="16"/>
        <v>16</v>
      </c>
      <c r="L158">
        <f t="shared" si="17"/>
        <v>1024</v>
      </c>
      <c r="M158" s="1">
        <f>(32*16*16)*L158*'analog-mvmu-specs'!J$24</f>
        <v>19629.342720000001</v>
      </c>
      <c r="N158" s="1">
        <f t="shared" si="18"/>
        <v>9030.5893491123807</v>
      </c>
      <c r="O158" s="38">
        <f t="shared" si="19"/>
        <v>27.988214911242558</v>
      </c>
      <c r="Q158" s="1">
        <f t="shared" si="20"/>
        <v>110.76923076923111</v>
      </c>
      <c r="R158" s="1">
        <f t="shared" si="21"/>
        <v>1772.3076923076978</v>
      </c>
      <c r="S158" s="40">
        <f t="shared" si="22"/>
        <v>1.7307692307692362</v>
      </c>
      <c r="U158" s="1">
        <f t="shared" si="23"/>
        <v>68.490541682599101</v>
      </c>
    </row>
    <row r="159" spans="1:21" x14ac:dyDescent="0.25">
      <c r="A159">
        <v>1</v>
      </c>
      <c r="B159">
        <v>85</v>
      </c>
      <c r="C159" s="29">
        <v>10</v>
      </c>
      <c r="D159">
        <v>5.9911242603550199E-2</v>
      </c>
      <c r="E159">
        <v>67.100591715976293</v>
      </c>
      <c r="F159">
        <v>115555555.555555</v>
      </c>
      <c r="H159" s="24">
        <f>_xlfn.CEILING.MATH(('analog-mvmu-specs'!B$14)/(D159*10^6))</f>
        <v>1</v>
      </c>
      <c r="I159" s="36">
        <f t="shared" si="16"/>
        <v>2</v>
      </c>
      <c r="J159" s="24">
        <f t="shared" si="16"/>
        <v>4</v>
      </c>
      <c r="L159">
        <f t="shared" si="17"/>
        <v>1024</v>
      </c>
      <c r="M159" s="1">
        <f>(32*16*16)*L159*'analog-mvmu-specs'!J$24</f>
        <v>19629.342720000001</v>
      </c>
      <c r="N159" s="1">
        <f t="shared" si="18"/>
        <v>549688.04733727779</v>
      </c>
      <c r="O159" s="38">
        <f t="shared" si="19"/>
        <v>555.9740137278103</v>
      </c>
      <c r="Q159" s="1">
        <f t="shared" si="20"/>
        <v>1107.6923076923131</v>
      </c>
      <c r="R159" s="1">
        <f t="shared" si="21"/>
        <v>17723.076923077009</v>
      </c>
      <c r="S159" s="40">
        <f t="shared" si="22"/>
        <v>17.307692307692392</v>
      </c>
      <c r="U159" s="1">
        <f t="shared" si="23"/>
        <v>3.4478733765756102</v>
      </c>
    </row>
    <row r="160" spans="1:21" x14ac:dyDescent="0.25">
      <c r="A160">
        <v>1</v>
      </c>
      <c r="B160">
        <v>96</v>
      </c>
      <c r="C160" s="29">
        <v>10</v>
      </c>
      <c r="D160">
        <v>5.3749999999999996E-3</v>
      </c>
      <c r="E160">
        <v>0.61249999999999905</v>
      </c>
      <c r="F160">
        <v>40000000</v>
      </c>
      <c r="H160" s="24">
        <f>_xlfn.CEILING.MATH(('analog-mvmu-specs'!B$14)/(D160*10^6))</f>
        <v>6</v>
      </c>
      <c r="I160" s="36">
        <f t="shared" si="16"/>
        <v>12</v>
      </c>
      <c r="J160" s="24">
        <f t="shared" si="16"/>
        <v>24</v>
      </c>
      <c r="L160">
        <f t="shared" si="17"/>
        <v>1024</v>
      </c>
      <c r="M160" s="1">
        <f>(32*16*16)*L160*'analog-mvmu-specs'!J$24</f>
        <v>19629.342720000001</v>
      </c>
      <c r="N160" s="1">
        <f t="shared" si="18"/>
        <v>5017.5999999999922</v>
      </c>
      <c r="O160" s="38">
        <f t="shared" si="19"/>
        <v>24.069279999999992</v>
      </c>
      <c r="Q160" s="1">
        <f t="shared" si="20"/>
        <v>533.33333333333337</v>
      </c>
      <c r="R160" s="1">
        <f t="shared" si="21"/>
        <v>8533.3333333333339</v>
      </c>
      <c r="S160" s="40">
        <f t="shared" si="22"/>
        <v>8.3333333333333339</v>
      </c>
      <c r="U160" s="1">
        <f t="shared" si="23"/>
        <v>79.642099805228938</v>
      </c>
    </row>
    <row r="161" spans="1:21" x14ac:dyDescent="0.25">
      <c r="A161">
        <v>1</v>
      </c>
      <c r="B161">
        <v>106</v>
      </c>
      <c r="C161" s="29">
        <v>10</v>
      </c>
      <c r="D161">
        <v>0.115</v>
      </c>
      <c r="E161">
        <v>31.25</v>
      </c>
      <c r="F161">
        <v>640000000</v>
      </c>
      <c r="H161" s="24">
        <f>_xlfn.CEILING.MATH(('analog-mvmu-specs'!B$14)/(D161*10^6))</f>
        <v>1</v>
      </c>
      <c r="I161" s="36">
        <f t="shared" si="16"/>
        <v>2</v>
      </c>
      <c r="J161" s="24">
        <f t="shared" si="16"/>
        <v>4</v>
      </c>
      <c r="L161">
        <f t="shared" si="17"/>
        <v>1024</v>
      </c>
      <c r="M161" s="1">
        <f>(32*16*16)*L161*'analog-mvmu-specs'!J$24</f>
        <v>19629.342720000001</v>
      </c>
      <c r="N161" s="1">
        <f t="shared" si="18"/>
        <v>256000</v>
      </c>
      <c r="O161" s="38">
        <f t="shared" si="19"/>
        <v>269.16928000000001</v>
      </c>
      <c r="Q161" s="1">
        <f t="shared" si="20"/>
        <v>200</v>
      </c>
      <c r="R161" s="1">
        <f t="shared" si="21"/>
        <v>3200</v>
      </c>
      <c r="S161" s="40">
        <f t="shared" si="22"/>
        <v>3.125</v>
      </c>
      <c r="U161" s="1">
        <f t="shared" si="23"/>
        <v>7.1216447879936373</v>
      </c>
    </row>
    <row r="162" spans="1:21" x14ac:dyDescent="0.25">
      <c r="A162">
        <v>1</v>
      </c>
      <c r="B162">
        <v>117</v>
      </c>
      <c r="C162" s="29">
        <v>10</v>
      </c>
      <c r="D162">
        <v>0.10784023668639001</v>
      </c>
      <c r="E162">
        <v>15.7686390532544</v>
      </c>
      <c r="F162">
        <v>1444444444.4444399</v>
      </c>
      <c r="H162" s="24">
        <f>_xlfn.CEILING.MATH(('analog-mvmu-specs'!B$14)/(D162*10^6))</f>
        <v>1</v>
      </c>
      <c r="I162" s="36">
        <f t="shared" si="16"/>
        <v>2</v>
      </c>
      <c r="J162" s="24">
        <f t="shared" si="16"/>
        <v>4</v>
      </c>
      <c r="L162">
        <f t="shared" si="17"/>
        <v>1024</v>
      </c>
      <c r="M162" s="1">
        <f>(32*16*16)*L162*'analog-mvmu-specs'!J$24</f>
        <v>19629.342720000001</v>
      </c>
      <c r="N162" s="1">
        <f t="shared" si="18"/>
        <v>129176.69112426005</v>
      </c>
      <c r="O162" s="38">
        <f t="shared" si="19"/>
        <v>145.31839242603519</v>
      </c>
      <c r="Q162" s="1">
        <f t="shared" si="20"/>
        <v>88.615384615384897</v>
      </c>
      <c r="R162" s="1">
        <f t="shared" si="21"/>
        <v>1417.8461538461584</v>
      </c>
      <c r="S162" s="40">
        <f t="shared" si="22"/>
        <v>1.384615384615389</v>
      </c>
      <c r="U162" s="1">
        <f t="shared" si="23"/>
        <v>13.191227675985246</v>
      </c>
    </row>
    <row r="163" spans="1:21" x14ac:dyDescent="0.25">
      <c r="A163">
        <v>1</v>
      </c>
      <c r="B163">
        <v>122</v>
      </c>
      <c r="C163" s="29">
        <v>10</v>
      </c>
      <c r="D163">
        <v>2.20473372781065E-2</v>
      </c>
      <c r="E163">
        <v>7.86035502958579</v>
      </c>
      <c r="F163">
        <v>722222222.22222197</v>
      </c>
      <c r="H163" s="24">
        <f>_xlfn.CEILING.MATH(('analog-mvmu-specs'!B$14)/(D163*10^6))</f>
        <v>2</v>
      </c>
      <c r="I163" s="36">
        <f t="shared" si="16"/>
        <v>4</v>
      </c>
      <c r="J163" s="24">
        <f t="shared" si="16"/>
        <v>8</v>
      </c>
      <c r="L163">
        <f t="shared" si="17"/>
        <v>1024</v>
      </c>
      <c r="M163" s="1">
        <f>(32*16*16)*L163*'analog-mvmu-specs'!J$24</f>
        <v>19629.342720000001</v>
      </c>
      <c r="N163" s="1">
        <f t="shared" si="18"/>
        <v>64392.028402366792</v>
      </c>
      <c r="O163" s="38">
        <f t="shared" si="19"/>
        <v>82.052120236686321</v>
      </c>
      <c r="Q163" s="1">
        <f t="shared" si="20"/>
        <v>88.615384615384642</v>
      </c>
      <c r="R163" s="1">
        <f t="shared" si="21"/>
        <v>1417.8461538461543</v>
      </c>
      <c r="S163" s="40">
        <f t="shared" si="22"/>
        <v>1.384615384615385</v>
      </c>
      <c r="U163" s="1">
        <f t="shared" si="23"/>
        <v>23.362321344901975</v>
      </c>
    </row>
    <row r="164" spans="1:21" x14ac:dyDescent="0.25">
      <c r="A164">
        <v>1</v>
      </c>
      <c r="B164">
        <v>123</v>
      </c>
      <c r="C164" s="29">
        <v>10</v>
      </c>
      <c r="D164">
        <v>7.4999999999999997E-3</v>
      </c>
      <c r="E164">
        <v>0.42499999999999899</v>
      </c>
      <c r="F164">
        <v>200000</v>
      </c>
      <c r="H164" s="24">
        <f>_xlfn.CEILING.MATH(('analog-mvmu-specs'!B$14)/(D164*10^6))</f>
        <v>4</v>
      </c>
      <c r="I164" s="36">
        <f t="shared" si="16"/>
        <v>8</v>
      </c>
      <c r="J164" s="24">
        <f t="shared" si="16"/>
        <v>16</v>
      </c>
      <c r="L164">
        <f t="shared" si="17"/>
        <v>1024</v>
      </c>
      <c r="M164" s="1">
        <f>(32*16*16)*L164*'analog-mvmu-specs'!J$24</f>
        <v>19629.342720000001</v>
      </c>
      <c r="N164" s="1">
        <f t="shared" si="18"/>
        <v>3481.5999999999917</v>
      </c>
      <c r="O164" s="38">
        <f t="shared" si="19"/>
        <v>22.569279999999992</v>
      </c>
      <c r="Q164" s="1">
        <f t="shared" si="20"/>
        <v>160000</v>
      </c>
      <c r="R164" s="1">
        <f t="shared" si="21"/>
        <v>2560000</v>
      </c>
      <c r="S164" s="40">
        <f t="shared" si="22"/>
        <v>2500</v>
      </c>
      <c r="U164" s="1">
        <f t="shared" si="23"/>
        <v>84.935274851479576</v>
      </c>
    </row>
    <row r="165" spans="1:21" x14ac:dyDescent="0.25">
      <c r="A165">
        <v>1</v>
      </c>
      <c r="B165">
        <v>137</v>
      </c>
      <c r="C165" s="29">
        <v>10</v>
      </c>
      <c r="D165">
        <v>8.6272189349112405E-2</v>
      </c>
      <c r="E165">
        <v>11.3831360946745</v>
      </c>
      <c r="F165">
        <v>1155555555.5555501</v>
      </c>
      <c r="H165" s="24">
        <f>_xlfn.CEILING.MATH(('analog-mvmu-specs'!B$14)/(D165*10^6))</f>
        <v>1</v>
      </c>
      <c r="I165" s="36">
        <f t="shared" si="16"/>
        <v>2</v>
      </c>
      <c r="J165" s="24">
        <f t="shared" si="16"/>
        <v>4</v>
      </c>
      <c r="L165">
        <f t="shared" si="17"/>
        <v>1024</v>
      </c>
      <c r="M165" s="1">
        <f>(32*16*16)*L165*'analog-mvmu-specs'!J$24</f>
        <v>19629.342720000001</v>
      </c>
      <c r="N165" s="1">
        <f t="shared" si="18"/>
        <v>93250.650887573502</v>
      </c>
      <c r="O165" s="38">
        <f t="shared" si="19"/>
        <v>110.234368757396</v>
      </c>
      <c r="Q165" s="1">
        <f t="shared" si="20"/>
        <v>110.7692307692313</v>
      </c>
      <c r="R165" s="1">
        <f t="shared" si="21"/>
        <v>1772.3076923077008</v>
      </c>
      <c r="S165" s="40">
        <f t="shared" si="22"/>
        <v>1.7307692307692391</v>
      </c>
      <c r="U165" s="1">
        <f t="shared" si="23"/>
        <v>17.389567533323287</v>
      </c>
    </row>
    <row r="166" spans="1:21" x14ac:dyDescent="0.25">
      <c r="A166">
        <v>1</v>
      </c>
      <c r="B166">
        <v>144</v>
      </c>
      <c r="C166" s="29">
        <v>10</v>
      </c>
      <c r="D166">
        <v>0.01</v>
      </c>
      <c r="E166">
        <v>0.19999999999999901</v>
      </c>
      <c r="F166">
        <v>500000</v>
      </c>
      <c r="H166" s="24">
        <f>_xlfn.CEILING.MATH(('analog-mvmu-specs'!B$14)/(D166*10^6))</f>
        <v>3</v>
      </c>
      <c r="I166" s="36">
        <f t="shared" si="16"/>
        <v>6</v>
      </c>
      <c r="J166" s="24">
        <f t="shared" si="16"/>
        <v>12</v>
      </c>
      <c r="L166">
        <f t="shared" si="17"/>
        <v>1024</v>
      </c>
      <c r="M166" s="1">
        <f>(32*16*16)*L166*'analog-mvmu-specs'!J$24</f>
        <v>19629.342720000001</v>
      </c>
      <c r="N166" s="1">
        <f t="shared" si="18"/>
        <v>1638.3999999999919</v>
      </c>
      <c r="O166" s="38">
        <f t="shared" si="19"/>
        <v>20.769279999999991</v>
      </c>
      <c r="Q166" s="1">
        <f t="shared" si="20"/>
        <v>85333.333333333328</v>
      </c>
      <c r="R166" s="1">
        <f t="shared" si="21"/>
        <v>1365333.3333333333</v>
      </c>
      <c r="S166" s="40">
        <f t="shared" si="22"/>
        <v>1333.3333333333333</v>
      </c>
      <c r="U166" s="1">
        <f t="shared" si="23"/>
        <v>92.296314556884056</v>
      </c>
    </row>
    <row r="167" spans="1:21" x14ac:dyDescent="0.25">
      <c r="A167">
        <v>1</v>
      </c>
      <c r="B167">
        <v>183</v>
      </c>
      <c r="C167" s="29">
        <v>10</v>
      </c>
      <c r="D167">
        <v>0.18193359374999901</v>
      </c>
      <c r="E167">
        <v>40.53955078125</v>
      </c>
      <c r="F167">
        <v>568888888.88888896</v>
      </c>
      <c r="H167" s="24">
        <f>_xlfn.CEILING.MATH(('analog-mvmu-specs'!B$14)/(D167*10^6))</f>
        <v>1</v>
      </c>
      <c r="I167" s="36">
        <f t="shared" si="16"/>
        <v>2</v>
      </c>
      <c r="J167" s="24">
        <f t="shared" si="16"/>
        <v>4</v>
      </c>
      <c r="L167">
        <f t="shared" si="17"/>
        <v>1024</v>
      </c>
      <c r="M167" s="1">
        <f>(32*16*16)*L167*'analog-mvmu-specs'!J$24</f>
        <v>19629.342720000001</v>
      </c>
      <c r="N167" s="1">
        <f t="shared" si="18"/>
        <v>332100</v>
      </c>
      <c r="O167" s="38">
        <f t="shared" si="19"/>
        <v>343.48568625000001</v>
      </c>
      <c r="Q167" s="1">
        <f t="shared" si="20"/>
        <v>224.99999999999997</v>
      </c>
      <c r="R167" s="1">
        <f t="shared" si="21"/>
        <v>3599.9999999999995</v>
      </c>
      <c r="S167" s="40">
        <f t="shared" si="22"/>
        <v>3.5156249999999996</v>
      </c>
      <c r="U167" s="1">
        <f t="shared" si="23"/>
        <v>5.5808089732298125</v>
      </c>
    </row>
    <row r="168" spans="1:21" x14ac:dyDescent="0.25">
      <c r="A168">
        <v>1</v>
      </c>
      <c r="B168">
        <v>190</v>
      </c>
      <c r="C168" s="29">
        <v>10</v>
      </c>
      <c r="D168">
        <v>3.8743622448979498E-2</v>
      </c>
      <c r="E168">
        <v>30.9948979591836</v>
      </c>
      <c r="F168">
        <v>311111111.11111099</v>
      </c>
      <c r="H168" s="24">
        <f>_xlfn.CEILING.MATH(('analog-mvmu-specs'!B$14)/(D168*10^6))</f>
        <v>1</v>
      </c>
      <c r="I168" s="36">
        <f t="shared" si="16"/>
        <v>2</v>
      </c>
      <c r="J168" s="24">
        <f t="shared" si="16"/>
        <v>4</v>
      </c>
      <c r="L168">
        <f t="shared" si="17"/>
        <v>1024</v>
      </c>
      <c r="M168" s="1">
        <f>(32*16*16)*L168*'analog-mvmu-specs'!J$24</f>
        <v>19629.342720000001</v>
      </c>
      <c r="N168" s="1">
        <f t="shared" si="18"/>
        <v>253910.20408163205</v>
      </c>
      <c r="O168" s="38">
        <f t="shared" si="19"/>
        <v>267.12846367346879</v>
      </c>
      <c r="Q168" s="1">
        <f t="shared" si="20"/>
        <v>411.42857142857162</v>
      </c>
      <c r="R168" s="1">
        <f t="shared" si="21"/>
        <v>6582.8571428571458</v>
      </c>
      <c r="S168" s="40">
        <f t="shared" si="22"/>
        <v>6.4285714285714315</v>
      </c>
      <c r="U168" s="1">
        <f t="shared" si="23"/>
        <v>7.1760529508499147</v>
      </c>
    </row>
    <row r="169" spans="1:21" x14ac:dyDescent="0.25">
      <c r="A169">
        <v>1</v>
      </c>
      <c r="B169">
        <v>198</v>
      </c>
      <c r="C169" s="29">
        <v>10</v>
      </c>
      <c r="D169">
        <v>0.11074218750000001</v>
      </c>
      <c r="E169">
        <v>41.132812499999901</v>
      </c>
      <c r="F169">
        <v>711111111.11111104</v>
      </c>
      <c r="H169" s="24">
        <f>_xlfn.CEILING.MATH(('analog-mvmu-specs'!B$14)/(D169*10^6))</f>
        <v>1</v>
      </c>
      <c r="I169" s="36">
        <f t="shared" si="16"/>
        <v>2</v>
      </c>
      <c r="J169" s="24">
        <f t="shared" si="16"/>
        <v>4</v>
      </c>
      <c r="L169">
        <f t="shared" si="17"/>
        <v>1024</v>
      </c>
      <c r="M169" s="1">
        <f>(32*16*16)*L169*'analog-mvmu-specs'!J$24</f>
        <v>19629.342720000001</v>
      </c>
      <c r="N169" s="1">
        <f t="shared" si="18"/>
        <v>336959.99999999919</v>
      </c>
      <c r="O169" s="38">
        <f t="shared" si="19"/>
        <v>348.23177999999922</v>
      </c>
      <c r="Q169" s="1">
        <f t="shared" si="20"/>
        <v>180.00000000000003</v>
      </c>
      <c r="R169" s="1">
        <f t="shared" si="21"/>
        <v>2880.0000000000005</v>
      </c>
      <c r="S169" s="40">
        <f t="shared" si="22"/>
        <v>2.8125000000000004</v>
      </c>
      <c r="U169" s="1">
        <f t="shared" si="23"/>
        <v>5.5047474414885524</v>
      </c>
    </row>
    <row r="170" spans="1:21" x14ac:dyDescent="0.25">
      <c r="A170">
        <v>1</v>
      </c>
      <c r="B170">
        <v>203</v>
      </c>
      <c r="C170" s="29">
        <v>10</v>
      </c>
      <c r="D170">
        <v>1.2339843749999999E-2</v>
      </c>
      <c r="E170">
        <v>1.32890625</v>
      </c>
      <c r="F170">
        <v>17777.777777777701</v>
      </c>
      <c r="H170" s="24">
        <f>_xlfn.CEILING.MATH(('analog-mvmu-specs'!B$14)/(D170*10^6))</f>
        <v>3</v>
      </c>
      <c r="I170" s="36">
        <f t="shared" si="16"/>
        <v>6</v>
      </c>
      <c r="J170" s="24">
        <f t="shared" si="16"/>
        <v>12</v>
      </c>
      <c r="L170">
        <f t="shared" si="17"/>
        <v>1024</v>
      </c>
      <c r="M170" s="1">
        <f>(32*16*16)*L170*'analog-mvmu-specs'!J$24</f>
        <v>19629.342720000001</v>
      </c>
      <c r="N170" s="1">
        <f t="shared" si="18"/>
        <v>10886.4</v>
      </c>
      <c r="O170" s="38">
        <f t="shared" si="19"/>
        <v>29.800530000000002</v>
      </c>
      <c r="Q170" s="1">
        <f t="shared" si="20"/>
        <v>2400000.0000000102</v>
      </c>
      <c r="R170" s="1">
        <f t="shared" si="21"/>
        <v>38400000.000000164</v>
      </c>
      <c r="S170" s="40">
        <f t="shared" si="22"/>
        <v>37500.00000000016</v>
      </c>
      <c r="U170" s="1">
        <f t="shared" si="23"/>
        <v>64.325298912469009</v>
      </c>
    </row>
    <row r="171" spans="1:21" x14ac:dyDescent="0.25">
      <c r="A171">
        <v>1</v>
      </c>
      <c r="B171">
        <v>213</v>
      </c>
      <c r="C171" s="29">
        <v>10</v>
      </c>
      <c r="D171">
        <v>1.65306122448979</v>
      </c>
      <c r="E171">
        <v>64.249840561224403</v>
      </c>
      <c r="F171">
        <v>9955555555.5555496</v>
      </c>
      <c r="H171" s="24">
        <f>_xlfn.CEILING.MATH(('analog-mvmu-specs'!B$14)/(D171*10^6))</f>
        <v>1</v>
      </c>
      <c r="I171" s="36">
        <f t="shared" si="16"/>
        <v>2</v>
      </c>
      <c r="J171" s="24">
        <f t="shared" si="16"/>
        <v>4</v>
      </c>
      <c r="L171">
        <f t="shared" si="17"/>
        <v>1024</v>
      </c>
      <c r="M171" s="1">
        <f>(32*16*16)*L171*'analog-mvmu-specs'!J$24</f>
        <v>19629.342720000001</v>
      </c>
      <c r="N171" s="1">
        <f t="shared" si="18"/>
        <v>526334.69387755031</v>
      </c>
      <c r="O171" s="38">
        <f t="shared" si="19"/>
        <v>533.16800448979518</v>
      </c>
      <c r="Q171" s="1">
        <f t="shared" si="20"/>
        <v>12.857142857142865</v>
      </c>
      <c r="R171" s="1">
        <f t="shared" si="21"/>
        <v>205.71428571428584</v>
      </c>
      <c r="S171" s="40">
        <f t="shared" si="22"/>
        <v>0.20089285714285726</v>
      </c>
      <c r="U171" s="1">
        <f t="shared" si="23"/>
        <v>3.5953545296371776</v>
      </c>
    </row>
    <row r="172" spans="1:21" x14ac:dyDescent="0.25">
      <c r="A172">
        <v>1</v>
      </c>
      <c r="B172">
        <v>217</v>
      </c>
      <c r="C172" s="29">
        <v>10</v>
      </c>
      <c r="D172">
        <v>1.9171597633136001E-2</v>
      </c>
      <c r="E172">
        <v>9.1065088757396398E-2</v>
      </c>
      <c r="F172">
        <v>288888.888888888</v>
      </c>
      <c r="H172" s="24">
        <f>_xlfn.CEILING.MATH(('analog-mvmu-specs'!B$14)/(D172*10^6))</f>
        <v>2</v>
      </c>
      <c r="I172" s="36">
        <f t="shared" si="16"/>
        <v>4</v>
      </c>
      <c r="J172" s="24">
        <f t="shared" si="16"/>
        <v>8</v>
      </c>
      <c r="L172">
        <f t="shared" si="17"/>
        <v>1024</v>
      </c>
      <c r="M172" s="1">
        <f>(32*16*16)*L172*'analog-mvmu-specs'!J$24</f>
        <v>19629.342720000001</v>
      </c>
      <c r="N172" s="1">
        <f t="shared" si="18"/>
        <v>746.00520710059129</v>
      </c>
      <c r="O172" s="38">
        <f t="shared" si="19"/>
        <v>19.897800710059173</v>
      </c>
      <c r="Q172" s="1">
        <f t="shared" si="20"/>
        <v>221538.46153846223</v>
      </c>
      <c r="R172" s="1">
        <f t="shared" si="21"/>
        <v>3544615.3846153957</v>
      </c>
      <c r="S172" s="40">
        <f t="shared" si="22"/>
        <v>3461.5384615384723</v>
      </c>
      <c r="U172" s="1">
        <f t="shared" si="23"/>
        <v>96.338687271649704</v>
      </c>
    </row>
    <row r="173" spans="1:21" x14ac:dyDescent="0.25">
      <c r="A173">
        <v>0</v>
      </c>
      <c r="B173">
        <v>145</v>
      </c>
      <c r="C173" s="29">
        <v>11</v>
      </c>
      <c r="D173">
        <v>0.41937869822485202</v>
      </c>
      <c r="E173">
        <v>29.9556213017751</v>
      </c>
      <c r="F173">
        <v>2888888888.8888798</v>
      </c>
      <c r="H173" s="24">
        <f>_xlfn.CEILING.MATH(('analog-mvmu-specs'!B$14)/(D173*10^6))</f>
        <v>1</v>
      </c>
      <c r="I173" s="36">
        <f t="shared" si="16"/>
        <v>2</v>
      </c>
      <c r="J173" s="24">
        <f t="shared" si="16"/>
        <v>4</v>
      </c>
      <c r="L173">
        <f t="shared" si="17"/>
        <v>2048</v>
      </c>
      <c r="M173" s="1">
        <f>(32*16*16)*L173*'analog-mvmu-specs'!J$24</f>
        <v>39258.685440000001</v>
      </c>
      <c r="N173" s="1">
        <f t="shared" si="18"/>
        <v>245396.44970414162</v>
      </c>
      <c r="O173" s="38">
        <f t="shared" si="19"/>
        <v>138.9917652071004</v>
      </c>
      <c r="Q173" s="1">
        <f t="shared" si="20"/>
        <v>44.307692307692449</v>
      </c>
      <c r="R173" s="1">
        <f t="shared" si="21"/>
        <v>708.92307692307918</v>
      </c>
      <c r="S173" s="40">
        <f t="shared" si="22"/>
        <v>0.34615384615384726</v>
      </c>
      <c r="U173" s="1">
        <f t="shared" si="23"/>
        <v>13.791665982108656</v>
      </c>
    </row>
    <row r="174" spans="1:21" x14ac:dyDescent="0.25">
      <c r="A174">
        <v>0</v>
      </c>
      <c r="B174">
        <v>158</v>
      </c>
      <c r="C174" s="29">
        <v>11</v>
      </c>
      <c r="D174">
        <v>0.35</v>
      </c>
      <c r="E174">
        <v>109.375</v>
      </c>
      <c r="F174">
        <v>1600000000</v>
      </c>
      <c r="H174" s="24">
        <f>_xlfn.CEILING.MATH(('analog-mvmu-specs'!B$14)/(D174*10^6))</f>
        <v>1</v>
      </c>
      <c r="I174" s="36">
        <f t="shared" si="16"/>
        <v>2</v>
      </c>
      <c r="J174" s="24">
        <f t="shared" si="16"/>
        <v>4</v>
      </c>
      <c r="L174">
        <f t="shared" si="17"/>
        <v>2048</v>
      </c>
      <c r="M174" s="1">
        <f>(32*16*16)*L174*'analog-mvmu-specs'!J$24</f>
        <v>39258.685440000001</v>
      </c>
      <c r="N174" s="1">
        <f t="shared" si="18"/>
        <v>896000</v>
      </c>
      <c r="O174" s="38">
        <f t="shared" si="19"/>
        <v>456.66928000000001</v>
      </c>
      <c r="Q174" s="1">
        <f t="shared" si="20"/>
        <v>80</v>
      </c>
      <c r="R174" s="1">
        <f t="shared" si="21"/>
        <v>1280</v>
      </c>
      <c r="S174" s="40">
        <f t="shared" si="22"/>
        <v>0.625</v>
      </c>
      <c r="U174" s="1">
        <f t="shared" si="23"/>
        <v>4.1976285332790502</v>
      </c>
    </row>
    <row r="175" spans="1:21" x14ac:dyDescent="0.25">
      <c r="A175">
        <v>0</v>
      </c>
      <c r="B175">
        <v>177</v>
      </c>
      <c r="C175" s="29">
        <v>11</v>
      </c>
      <c r="D175">
        <v>0.52721893491124205</v>
      </c>
      <c r="E175">
        <v>431.36094674556199</v>
      </c>
      <c r="F175">
        <v>288888888.888888</v>
      </c>
      <c r="H175" s="24">
        <f>_xlfn.CEILING.MATH(('analog-mvmu-specs'!B$14)/(D175*10^6))</f>
        <v>1</v>
      </c>
      <c r="I175" s="36">
        <f t="shared" si="16"/>
        <v>2</v>
      </c>
      <c r="J175" s="24">
        <f t="shared" si="16"/>
        <v>4</v>
      </c>
      <c r="L175">
        <f t="shared" si="17"/>
        <v>2048</v>
      </c>
      <c r="M175" s="1">
        <f>(32*16*16)*L175*'analog-mvmu-specs'!J$24</f>
        <v>39258.685440000001</v>
      </c>
      <c r="N175" s="1">
        <f t="shared" si="18"/>
        <v>3533708.8757396438</v>
      </c>
      <c r="O175" s="38">
        <f t="shared" si="19"/>
        <v>1744.613066982248</v>
      </c>
      <c r="Q175" s="1">
        <f t="shared" si="20"/>
        <v>443.07692307692446</v>
      </c>
      <c r="R175" s="1">
        <f t="shared" si="21"/>
        <v>7089.2307692307913</v>
      </c>
      <c r="S175" s="40">
        <f t="shared" si="22"/>
        <v>3.4615384615384723</v>
      </c>
      <c r="U175" s="1">
        <f t="shared" si="23"/>
        <v>1.0987697136281425</v>
      </c>
    </row>
    <row r="176" spans="1:21" x14ac:dyDescent="0.25">
      <c r="A176">
        <v>0</v>
      </c>
      <c r="B176">
        <v>229</v>
      </c>
      <c r="C176" s="29">
        <v>11</v>
      </c>
      <c r="D176">
        <v>8.3531250000000001E-2</v>
      </c>
      <c r="E176">
        <v>8.6062499999999993</v>
      </c>
      <c r="F176">
        <v>222222222.222222</v>
      </c>
      <c r="H176" s="24">
        <f>_xlfn.CEILING.MATH(('analog-mvmu-specs'!B$14)/(D176*10^6))</f>
        <v>1</v>
      </c>
      <c r="I176" s="36">
        <f t="shared" si="16"/>
        <v>2</v>
      </c>
      <c r="J176" s="24">
        <f t="shared" si="16"/>
        <v>4</v>
      </c>
      <c r="L176">
        <f t="shared" si="17"/>
        <v>2048</v>
      </c>
      <c r="M176" s="1">
        <f>(32*16*16)*L176*'analog-mvmu-specs'!J$24</f>
        <v>39258.685440000001</v>
      </c>
      <c r="N176" s="1">
        <f t="shared" si="18"/>
        <v>70502.399999999994</v>
      </c>
      <c r="O176" s="38">
        <f t="shared" si="19"/>
        <v>53.594279999999998</v>
      </c>
      <c r="Q176" s="1">
        <f t="shared" si="20"/>
        <v>576.00000000000057</v>
      </c>
      <c r="R176" s="1">
        <f t="shared" si="21"/>
        <v>9216.0000000000091</v>
      </c>
      <c r="S176" s="40">
        <f t="shared" si="22"/>
        <v>4.5000000000000044</v>
      </c>
      <c r="U176" s="1">
        <f t="shared" si="23"/>
        <v>35.767399058257709</v>
      </c>
    </row>
    <row r="177" spans="1:21" x14ac:dyDescent="0.25">
      <c r="A177">
        <v>0</v>
      </c>
      <c r="B177">
        <v>244</v>
      </c>
      <c r="C177" s="29">
        <v>11</v>
      </c>
      <c r="D177">
        <v>3.54674556213017</v>
      </c>
      <c r="E177">
        <v>105.84319526627201</v>
      </c>
      <c r="F177">
        <v>5200000000</v>
      </c>
      <c r="H177" s="24">
        <f>_xlfn.CEILING.MATH(('analog-mvmu-specs'!B$14)/(D177*10^6))</f>
        <v>1</v>
      </c>
      <c r="I177" s="36">
        <f t="shared" si="16"/>
        <v>2</v>
      </c>
      <c r="J177" s="24">
        <f t="shared" si="16"/>
        <v>4</v>
      </c>
      <c r="L177">
        <f t="shared" si="17"/>
        <v>2048</v>
      </c>
      <c r="M177" s="1">
        <f>(32*16*16)*L177*'analog-mvmu-specs'!J$24</f>
        <v>39258.685440000001</v>
      </c>
      <c r="N177" s="1">
        <f t="shared" si="18"/>
        <v>867067.45562130027</v>
      </c>
      <c r="O177" s="38">
        <f t="shared" si="19"/>
        <v>442.54206106508803</v>
      </c>
      <c r="Q177" s="1">
        <f t="shared" si="20"/>
        <v>24.615384615384617</v>
      </c>
      <c r="R177" s="1">
        <f t="shared" si="21"/>
        <v>393.84615384615387</v>
      </c>
      <c r="S177" s="40">
        <f t="shared" si="22"/>
        <v>0.19230769230769232</v>
      </c>
      <c r="U177" s="1">
        <f t="shared" si="23"/>
        <v>4.3316289425381038</v>
      </c>
    </row>
    <row r="178" spans="1:21" x14ac:dyDescent="0.25">
      <c r="A178">
        <v>1</v>
      </c>
      <c r="B178">
        <v>38</v>
      </c>
      <c r="C178" s="29">
        <v>11</v>
      </c>
      <c r="D178">
        <v>2.2766272189349099E-2</v>
      </c>
      <c r="E178">
        <v>119.8224852071</v>
      </c>
      <c r="F178">
        <v>28888888.888888799</v>
      </c>
      <c r="H178" s="24">
        <f>_xlfn.CEILING.MATH(('analog-mvmu-specs'!B$14)/(D178*10^6))</f>
        <v>2</v>
      </c>
      <c r="I178" s="36">
        <f t="shared" si="16"/>
        <v>4</v>
      </c>
      <c r="J178" s="24">
        <f t="shared" si="16"/>
        <v>8</v>
      </c>
      <c r="L178">
        <f t="shared" si="17"/>
        <v>2048</v>
      </c>
      <c r="M178" s="1">
        <f>(32*16*16)*L178*'analog-mvmu-specs'!J$24</f>
        <v>39258.685440000001</v>
      </c>
      <c r="N178" s="1">
        <f t="shared" si="18"/>
        <v>981585.79881656321</v>
      </c>
      <c r="O178" s="38">
        <f t="shared" si="19"/>
        <v>498.45922082840002</v>
      </c>
      <c r="Q178" s="1">
        <f t="shared" si="20"/>
        <v>2215.3846153846225</v>
      </c>
      <c r="R178" s="1">
        <f t="shared" si="21"/>
        <v>35446.15384615396</v>
      </c>
      <c r="S178" s="40">
        <f t="shared" si="22"/>
        <v>17.307692307692363</v>
      </c>
      <c r="U178" s="1">
        <f t="shared" si="23"/>
        <v>3.8457067697819225</v>
      </c>
    </row>
    <row r="179" spans="1:21" x14ac:dyDescent="0.25">
      <c r="A179">
        <v>1</v>
      </c>
      <c r="B179">
        <v>46</v>
      </c>
      <c r="C179" s="29">
        <v>11</v>
      </c>
      <c r="D179">
        <v>0.32500000000000001</v>
      </c>
      <c r="E179">
        <v>476.07421875</v>
      </c>
      <c r="F179">
        <v>81920000</v>
      </c>
      <c r="H179" s="24">
        <f>_xlfn.CEILING.MATH(('analog-mvmu-specs'!B$14)/(D179*10^6))</f>
        <v>1</v>
      </c>
      <c r="I179" s="36">
        <f t="shared" si="16"/>
        <v>2</v>
      </c>
      <c r="J179" s="24">
        <f t="shared" si="16"/>
        <v>4</v>
      </c>
      <c r="L179">
        <f t="shared" si="17"/>
        <v>2048</v>
      </c>
      <c r="M179" s="1">
        <f>(32*16*16)*L179*'analog-mvmu-specs'!J$24</f>
        <v>39258.685440000001</v>
      </c>
      <c r="N179" s="1">
        <f t="shared" si="18"/>
        <v>3900000</v>
      </c>
      <c r="O179" s="38">
        <f t="shared" si="19"/>
        <v>1923.4661550000001</v>
      </c>
      <c r="Q179" s="1">
        <f t="shared" si="20"/>
        <v>1562.5</v>
      </c>
      <c r="R179" s="1">
        <f t="shared" si="21"/>
        <v>25000</v>
      </c>
      <c r="S179" s="40">
        <f t="shared" si="22"/>
        <v>12.20703125</v>
      </c>
      <c r="U179" s="1">
        <f t="shared" si="23"/>
        <v>0.99660084739052768</v>
      </c>
    </row>
    <row r="180" spans="1:21" x14ac:dyDescent="0.25">
      <c r="A180">
        <v>1</v>
      </c>
      <c r="B180">
        <v>104</v>
      </c>
      <c r="C180" s="29">
        <v>11</v>
      </c>
      <c r="D180">
        <v>0.53156249999999905</v>
      </c>
      <c r="E180">
        <v>168.75</v>
      </c>
      <c r="F180">
        <v>266666666.666666</v>
      </c>
      <c r="H180" s="24">
        <f>_xlfn.CEILING.MATH(('analog-mvmu-specs'!B$14)/(D180*10^6))</f>
        <v>1</v>
      </c>
      <c r="I180" s="36">
        <f t="shared" si="16"/>
        <v>2</v>
      </c>
      <c r="J180" s="24">
        <f t="shared" si="16"/>
        <v>4</v>
      </c>
      <c r="L180">
        <f t="shared" si="17"/>
        <v>2048</v>
      </c>
      <c r="M180" s="1">
        <f>(32*16*16)*L180*'analog-mvmu-specs'!J$24</f>
        <v>39258.685440000001</v>
      </c>
      <c r="N180" s="1">
        <f t="shared" si="18"/>
        <v>1382400</v>
      </c>
      <c r="O180" s="38">
        <f t="shared" si="19"/>
        <v>694.16927999999996</v>
      </c>
      <c r="Q180" s="1">
        <f t="shared" si="20"/>
        <v>480.00000000000119</v>
      </c>
      <c r="R180" s="1">
        <f t="shared" si="21"/>
        <v>7680.0000000000191</v>
      </c>
      <c r="S180" s="40">
        <f t="shared" si="22"/>
        <v>3.7500000000000093</v>
      </c>
      <c r="U180" s="1">
        <f t="shared" si="23"/>
        <v>2.7614705162406499</v>
      </c>
    </row>
    <row r="181" spans="1:21" x14ac:dyDescent="0.25">
      <c r="A181">
        <v>1</v>
      </c>
      <c r="B181">
        <v>180</v>
      </c>
      <c r="C181" s="29">
        <v>11</v>
      </c>
      <c r="D181">
        <v>8.7500000000000008E-3</v>
      </c>
      <c r="E181">
        <v>7.7916666666666606E-2</v>
      </c>
      <c r="F181">
        <v>1200000</v>
      </c>
      <c r="H181" s="24">
        <f>_xlfn.CEILING.MATH(('analog-mvmu-specs'!B$14)/(D181*10^6))</f>
        <v>4</v>
      </c>
      <c r="I181" s="36">
        <f t="shared" si="16"/>
        <v>8</v>
      </c>
      <c r="J181" s="24">
        <f t="shared" si="16"/>
        <v>16</v>
      </c>
      <c r="L181">
        <f t="shared" si="17"/>
        <v>2048</v>
      </c>
      <c r="M181" s="1">
        <f>(32*16*16)*L181*'analog-mvmu-specs'!J$24</f>
        <v>39258.685440000001</v>
      </c>
      <c r="N181" s="1">
        <f t="shared" si="18"/>
        <v>638.29333333333284</v>
      </c>
      <c r="O181" s="38">
        <f t="shared" si="19"/>
        <v>19.480946666666668</v>
      </c>
      <c r="Q181" s="1">
        <f t="shared" si="20"/>
        <v>26666.666666666668</v>
      </c>
      <c r="R181" s="1">
        <f t="shared" si="21"/>
        <v>426666.66666666669</v>
      </c>
      <c r="S181" s="40">
        <f t="shared" si="22"/>
        <v>208.33333333333334</v>
      </c>
      <c r="U181" s="1">
        <f t="shared" si="23"/>
        <v>98.400146194127458</v>
      </c>
    </row>
    <row r="182" spans="1:21" x14ac:dyDescent="0.25">
      <c r="A182">
        <v>0</v>
      </c>
      <c r="B182">
        <v>1</v>
      </c>
      <c r="C182" s="29">
        <v>12</v>
      </c>
      <c r="D182">
        <v>4.3638749999999997E-3</v>
      </c>
      <c r="E182">
        <v>121.49999999999901</v>
      </c>
      <c r="F182">
        <v>4444444.4444444403</v>
      </c>
      <c r="H182" s="24">
        <f>_xlfn.CEILING.MATH(('analog-mvmu-specs'!B$14)/(D182*10^6))</f>
        <v>7</v>
      </c>
      <c r="I182" s="36">
        <f t="shared" si="16"/>
        <v>14</v>
      </c>
      <c r="J182" s="24">
        <f t="shared" si="16"/>
        <v>28</v>
      </c>
      <c r="L182">
        <f t="shared" si="17"/>
        <v>4096</v>
      </c>
      <c r="M182" s="1">
        <f>(32*16*16)*L182*'analog-mvmu-specs'!J$24</f>
        <v>78517.370880000002</v>
      </c>
      <c r="N182" s="1">
        <f t="shared" si="18"/>
        <v>995327.99999999185</v>
      </c>
      <c r="O182" s="38">
        <f t="shared" si="19"/>
        <v>262.16927999999803</v>
      </c>
      <c r="Q182" s="1">
        <f t="shared" si="20"/>
        <v>4114.2857142857183</v>
      </c>
      <c r="R182" s="1">
        <f t="shared" si="21"/>
        <v>65828.571428571493</v>
      </c>
      <c r="S182" s="40">
        <f t="shared" si="22"/>
        <v>16.071428571428587</v>
      </c>
      <c r="U182" s="1">
        <f t="shared" si="23"/>
        <v>7.3117948830618689</v>
      </c>
    </row>
    <row r="183" spans="1:21" x14ac:dyDescent="0.25">
      <c r="A183">
        <v>0</v>
      </c>
      <c r="B183">
        <v>2</v>
      </c>
      <c r="C183" s="29">
        <v>12</v>
      </c>
      <c r="D183">
        <v>1.4175E-2</v>
      </c>
      <c r="E183">
        <v>12.149999999999901</v>
      </c>
      <c r="F183">
        <v>1111111111.11111</v>
      </c>
      <c r="H183" s="24">
        <f>_xlfn.CEILING.MATH(('analog-mvmu-specs'!B$14)/(D183*10^6))</f>
        <v>2</v>
      </c>
      <c r="I183" s="36">
        <f t="shared" si="16"/>
        <v>4</v>
      </c>
      <c r="J183" s="24">
        <f t="shared" si="16"/>
        <v>8</v>
      </c>
      <c r="L183">
        <f t="shared" si="17"/>
        <v>4096</v>
      </c>
      <c r="M183" s="1">
        <f>(32*16*16)*L183*'analog-mvmu-specs'!J$24</f>
        <v>78517.370880000002</v>
      </c>
      <c r="N183" s="1">
        <f t="shared" si="18"/>
        <v>99532.799999999188</v>
      </c>
      <c r="O183" s="38">
        <f t="shared" si="19"/>
        <v>43.469279999999799</v>
      </c>
      <c r="Q183" s="1">
        <f t="shared" si="20"/>
        <v>57.600000000000058</v>
      </c>
      <c r="R183" s="1">
        <f t="shared" si="21"/>
        <v>921.60000000000093</v>
      </c>
      <c r="S183" s="40">
        <f t="shared" si="22"/>
        <v>0.22500000000000023</v>
      </c>
      <c r="U183" s="1">
        <f t="shared" si="23"/>
        <v>44.098452976447021</v>
      </c>
    </row>
    <row r="184" spans="1:21" x14ac:dyDescent="0.25">
      <c r="A184">
        <v>0</v>
      </c>
      <c r="B184">
        <v>15</v>
      </c>
      <c r="C184" s="29">
        <v>12</v>
      </c>
      <c r="D184">
        <v>3.7193877551020403E-2</v>
      </c>
      <c r="E184">
        <v>51.658163265306101</v>
      </c>
      <c r="F184">
        <v>311111111.11111099</v>
      </c>
      <c r="H184" s="24">
        <f>_xlfn.CEILING.MATH(('analog-mvmu-specs'!B$14)/(D184*10^6))</f>
        <v>1</v>
      </c>
      <c r="I184" s="36">
        <f t="shared" si="16"/>
        <v>2</v>
      </c>
      <c r="J184" s="24">
        <f t="shared" si="16"/>
        <v>4</v>
      </c>
      <c r="L184">
        <f t="shared" si="17"/>
        <v>4096</v>
      </c>
      <c r="M184" s="1">
        <f>(32*16*16)*L184*'analog-mvmu-specs'!J$24</f>
        <v>78517.370880000002</v>
      </c>
      <c r="N184" s="1">
        <f t="shared" si="18"/>
        <v>423183.67346938758</v>
      </c>
      <c r="O184" s="38">
        <f t="shared" si="19"/>
        <v>122.4856065306122</v>
      </c>
      <c r="Q184" s="1">
        <f t="shared" si="20"/>
        <v>411.42857142857162</v>
      </c>
      <c r="R184" s="1">
        <f t="shared" si="21"/>
        <v>6582.8571428571458</v>
      </c>
      <c r="S184" s="40">
        <f t="shared" si="22"/>
        <v>1.6071428571428579</v>
      </c>
      <c r="U184" s="1">
        <f t="shared" si="23"/>
        <v>15.650230702992127</v>
      </c>
    </row>
    <row r="185" spans="1:21" x14ac:dyDescent="0.25">
      <c r="A185">
        <v>0</v>
      </c>
      <c r="B185">
        <v>18</v>
      </c>
      <c r="C185" s="29">
        <v>12</v>
      </c>
      <c r="D185">
        <v>0.11745</v>
      </c>
      <c r="E185">
        <v>214.65</v>
      </c>
      <c r="F185">
        <v>111111111.111111</v>
      </c>
      <c r="H185" s="24">
        <f>_xlfn.CEILING.MATH(('analog-mvmu-specs'!B$14)/(D185*10^6))</f>
        <v>1</v>
      </c>
      <c r="I185" s="36">
        <f t="shared" si="16"/>
        <v>2</v>
      </c>
      <c r="J185" s="24">
        <f t="shared" si="16"/>
        <v>4</v>
      </c>
      <c r="L185">
        <f t="shared" si="17"/>
        <v>4096</v>
      </c>
      <c r="M185" s="1">
        <f>(32*16*16)*L185*'analog-mvmu-specs'!J$24</f>
        <v>78517.370880000002</v>
      </c>
      <c r="N185" s="1">
        <f t="shared" si="18"/>
        <v>1758412.8</v>
      </c>
      <c r="O185" s="38">
        <f t="shared" si="19"/>
        <v>448.46928000000003</v>
      </c>
      <c r="Q185" s="1">
        <f t="shared" si="20"/>
        <v>1152.0000000000011</v>
      </c>
      <c r="R185" s="1">
        <f t="shared" si="21"/>
        <v>18432.000000000018</v>
      </c>
      <c r="S185" s="40">
        <f t="shared" si="22"/>
        <v>4.5000000000000044</v>
      </c>
      <c r="U185" s="1">
        <f t="shared" si="23"/>
        <v>4.2743797300898736</v>
      </c>
    </row>
    <row r="186" spans="1:21" x14ac:dyDescent="0.25">
      <c r="A186">
        <v>0</v>
      </c>
      <c r="B186">
        <v>26</v>
      </c>
      <c r="C186" s="29">
        <v>12</v>
      </c>
      <c r="D186">
        <v>4.7460937499999899E-3</v>
      </c>
      <c r="E186">
        <v>711.91406249999898</v>
      </c>
      <c r="F186">
        <v>1422222.2222222199</v>
      </c>
      <c r="H186" s="24">
        <f>_xlfn.CEILING.MATH(('analog-mvmu-specs'!B$14)/(D186*10^6))</f>
        <v>6</v>
      </c>
      <c r="I186" s="36">
        <f t="shared" si="16"/>
        <v>12</v>
      </c>
      <c r="J186" s="24">
        <f t="shared" si="16"/>
        <v>24</v>
      </c>
      <c r="L186">
        <f t="shared" si="17"/>
        <v>4096</v>
      </c>
      <c r="M186" s="1">
        <f>(32*16*16)*L186*'analog-mvmu-specs'!J$24</f>
        <v>78517.370880000002</v>
      </c>
      <c r="N186" s="1">
        <f t="shared" si="18"/>
        <v>5831999.9999999916</v>
      </c>
      <c r="O186" s="38">
        <f t="shared" si="19"/>
        <v>1442.997404999998</v>
      </c>
      <c r="Q186" s="1">
        <f t="shared" si="20"/>
        <v>15000.000000000024</v>
      </c>
      <c r="R186" s="1">
        <f t="shared" si="21"/>
        <v>240000.00000000038</v>
      </c>
      <c r="S186" s="40">
        <f t="shared" si="22"/>
        <v>58.593750000000092</v>
      </c>
      <c r="U186" s="1">
        <f t="shared" si="23"/>
        <v>1.3284348214056578</v>
      </c>
    </row>
    <row r="187" spans="1:21" x14ac:dyDescent="0.25">
      <c r="A187">
        <v>0</v>
      </c>
      <c r="B187">
        <v>27</v>
      </c>
      <c r="C187" s="29">
        <v>12</v>
      </c>
      <c r="D187">
        <v>5.3460000000000001E-3</v>
      </c>
      <c r="E187">
        <v>115.2</v>
      </c>
      <c r="F187">
        <v>4166666.66666666</v>
      </c>
      <c r="H187" s="24">
        <f>_xlfn.CEILING.MATH(('analog-mvmu-specs'!B$14)/(D187*10^6))</f>
        <v>6</v>
      </c>
      <c r="I187" s="36">
        <f t="shared" si="16"/>
        <v>12</v>
      </c>
      <c r="J187" s="24">
        <f t="shared" si="16"/>
        <v>24</v>
      </c>
      <c r="L187">
        <f t="shared" si="17"/>
        <v>4096</v>
      </c>
      <c r="M187" s="1">
        <f>(32*16*16)*L187*'analog-mvmu-specs'!J$24</f>
        <v>78517.370880000002</v>
      </c>
      <c r="N187" s="1">
        <f t="shared" si="18"/>
        <v>943718.40000000002</v>
      </c>
      <c r="O187" s="38">
        <f t="shared" si="19"/>
        <v>249.56927999999999</v>
      </c>
      <c r="Q187" s="1">
        <f t="shared" si="20"/>
        <v>5120.0000000000082</v>
      </c>
      <c r="R187" s="1">
        <f t="shared" si="21"/>
        <v>81920.000000000131</v>
      </c>
      <c r="S187" s="40">
        <f t="shared" si="22"/>
        <v>20.000000000000032</v>
      </c>
      <c r="U187" s="1">
        <f t="shared" si="23"/>
        <v>7.6809453471196454</v>
      </c>
    </row>
    <row r="188" spans="1:21" x14ac:dyDescent="0.25">
      <c r="A188">
        <v>0</v>
      </c>
      <c r="B188">
        <v>35</v>
      </c>
      <c r="C188" s="29">
        <v>12</v>
      </c>
      <c r="D188">
        <v>8.0999999999999905E-2</v>
      </c>
      <c r="E188">
        <v>53.584615384615297</v>
      </c>
      <c r="F188">
        <v>722222222.22222197</v>
      </c>
      <c r="H188" s="24">
        <f>_xlfn.CEILING.MATH(('analog-mvmu-specs'!B$14)/(D188*10^6))</f>
        <v>1</v>
      </c>
      <c r="I188" s="36">
        <f t="shared" si="16"/>
        <v>2</v>
      </c>
      <c r="J188" s="24">
        <f t="shared" si="16"/>
        <v>4</v>
      </c>
      <c r="L188">
        <f t="shared" si="17"/>
        <v>4096</v>
      </c>
      <c r="M188" s="1">
        <f>(32*16*16)*L188*'analog-mvmu-specs'!J$24</f>
        <v>78517.370880000002</v>
      </c>
      <c r="N188" s="1">
        <f t="shared" si="18"/>
        <v>438965.16923076852</v>
      </c>
      <c r="O188" s="38">
        <f t="shared" si="19"/>
        <v>126.3385107692306</v>
      </c>
      <c r="Q188" s="1">
        <f t="shared" si="20"/>
        <v>177.23076923076928</v>
      </c>
      <c r="R188" s="1">
        <f t="shared" si="21"/>
        <v>2835.6923076923085</v>
      </c>
      <c r="S188" s="40">
        <f t="shared" si="22"/>
        <v>0.69230769230769251</v>
      </c>
      <c r="U188" s="1">
        <f t="shared" si="23"/>
        <v>15.172950736307577</v>
      </c>
    </row>
    <row r="189" spans="1:21" x14ac:dyDescent="0.25">
      <c r="A189">
        <v>0</v>
      </c>
      <c r="B189">
        <v>49</v>
      </c>
      <c r="C189" s="29">
        <v>12</v>
      </c>
      <c r="D189">
        <v>3.2399999999999998E-2</v>
      </c>
      <c r="E189">
        <v>176.99999999999901</v>
      </c>
      <c r="F189">
        <v>300000000</v>
      </c>
      <c r="H189" s="24">
        <f>_xlfn.CEILING.MATH(('analog-mvmu-specs'!B$14)/(D189*10^6))</f>
        <v>1</v>
      </c>
      <c r="I189" s="36">
        <f t="shared" si="16"/>
        <v>2</v>
      </c>
      <c r="J189" s="24">
        <f t="shared" si="16"/>
        <v>4</v>
      </c>
      <c r="L189">
        <f t="shared" si="17"/>
        <v>4096</v>
      </c>
      <c r="M189" s="1">
        <f>(32*16*16)*L189*'analog-mvmu-specs'!J$24</f>
        <v>78517.370880000002</v>
      </c>
      <c r="N189" s="1">
        <f t="shared" si="18"/>
        <v>1449983.9999999919</v>
      </c>
      <c r="O189" s="38">
        <f t="shared" si="19"/>
        <v>373.16927999999803</v>
      </c>
      <c r="Q189" s="1">
        <f t="shared" si="20"/>
        <v>426.66666666666669</v>
      </c>
      <c r="R189" s="1">
        <f t="shared" si="21"/>
        <v>6826.666666666667</v>
      </c>
      <c r="S189" s="40">
        <f t="shared" si="22"/>
        <v>1.6666666666666667</v>
      </c>
      <c r="U189" s="1">
        <f t="shared" si="23"/>
        <v>5.1368858658462191</v>
      </c>
    </row>
    <row r="190" spans="1:21" x14ac:dyDescent="0.25">
      <c r="A190">
        <v>0</v>
      </c>
      <c r="B190">
        <v>67</v>
      </c>
      <c r="C190" s="29">
        <v>12</v>
      </c>
      <c r="D190">
        <v>1.44E-2</v>
      </c>
      <c r="E190">
        <v>8.0357142857142794</v>
      </c>
      <c r="F190">
        <v>280000000</v>
      </c>
      <c r="H190" s="24">
        <f>_xlfn.CEILING.MATH(('analog-mvmu-specs'!B$14)/(D190*10^6))</f>
        <v>2</v>
      </c>
      <c r="I190" s="36">
        <f t="shared" si="16"/>
        <v>4</v>
      </c>
      <c r="J190" s="24">
        <f t="shared" si="16"/>
        <v>8</v>
      </c>
      <c r="L190">
        <f t="shared" si="17"/>
        <v>4096</v>
      </c>
      <c r="M190" s="1">
        <f>(32*16*16)*L190*'analog-mvmu-specs'!J$24</f>
        <v>78517.370880000002</v>
      </c>
      <c r="N190" s="1">
        <f t="shared" si="18"/>
        <v>65828.571428571377</v>
      </c>
      <c r="O190" s="38">
        <f t="shared" si="19"/>
        <v>35.240708571428556</v>
      </c>
      <c r="Q190" s="1">
        <f t="shared" si="20"/>
        <v>228.57142857142858</v>
      </c>
      <c r="R190" s="1">
        <f t="shared" si="21"/>
        <v>3657.1428571428573</v>
      </c>
      <c r="S190" s="40">
        <f t="shared" si="22"/>
        <v>0.8928571428571429</v>
      </c>
      <c r="U190" s="1">
        <f t="shared" si="23"/>
        <v>54.395274036974151</v>
      </c>
    </row>
    <row r="191" spans="1:21" x14ac:dyDescent="0.25">
      <c r="A191">
        <v>0</v>
      </c>
      <c r="B191">
        <v>82</v>
      </c>
      <c r="C191" s="29">
        <v>12</v>
      </c>
      <c r="D191">
        <v>0.13059183673469299</v>
      </c>
      <c r="E191">
        <v>63.918367346938702</v>
      </c>
      <c r="F191">
        <v>583333333.33333302</v>
      </c>
      <c r="H191" s="24">
        <f>_xlfn.CEILING.MATH(('analog-mvmu-specs'!B$14)/(D191*10^6))</f>
        <v>1</v>
      </c>
      <c r="I191" s="36">
        <f t="shared" si="16"/>
        <v>2</v>
      </c>
      <c r="J191" s="24">
        <f t="shared" si="16"/>
        <v>4</v>
      </c>
      <c r="L191">
        <f t="shared" si="17"/>
        <v>4096</v>
      </c>
      <c r="M191" s="1">
        <f>(32*16*16)*L191*'analog-mvmu-specs'!J$24</f>
        <v>78517.370880000002</v>
      </c>
      <c r="N191" s="1">
        <f t="shared" si="18"/>
        <v>523619.26530612184</v>
      </c>
      <c r="O191" s="38">
        <f t="shared" si="19"/>
        <v>147.0060146938774</v>
      </c>
      <c r="Q191" s="1">
        <f t="shared" si="20"/>
        <v>219.42857142857156</v>
      </c>
      <c r="R191" s="1">
        <f t="shared" si="21"/>
        <v>3510.8571428571449</v>
      </c>
      <c r="S191" s="40">
        <f t="shared" si="22"/>
        <v>0.85714285714285765</v>
      </c>
      <c r="U191" s="1">
        <f t="shared" si="23"/>
        <v>13.039792990727456</v>
      </c>
    </row>
    <row r="192" spans="1:21" x14ac:dyDescent="0.25">
      <c r="A192">
        <v>0</v>
      </c>
      <c r="B192">
        <v>104</v>
      </c>
      <c r="C192" s="29">
        <v>12</v>
      </c>
      <c r="D192">
        <v>0.63504000000000005</v>
      </c>
      <c r="E192">
        <v>305.77499999999998</v>
      </c>
      <c r="F192">
        <v>444444444.444444</v>
      </c>
      <c r="H192" s="24">
        <f>_xlfn.CEILING.MATH(('analog-mvmu-specs'!B$14)/(D192*10^6))</f>
        <v>1</v>
      </c>
      <c r="I192" s="36">
        <f t="shared" si="16"/>
        <v>2</v>
      </c>
      <c r="J192" s="24">
        <f t="shared" si="16"/>
        <v>4</v>
      </c>
      <c r="L192">
        <f t="shared" si="17"/>
        <v>4096</v>
      </c>
      <c r="M192" s="1">
        <f>(32*16*16)*L192*'analog-mvmu-specs'!J$24</f>
        <v>78517.370880000002</v>
      </c>
      <c r="N192" s="1">
        <f t="shared" si="18"/>
        <v>2504908.7999999998</v>
      </c>
      <c r="O192" s="38">
        <f t="shared" si="19"/>
        <v>630.71927999999991</v>
      </c>
      <c r="Q192" s="1">
        <f t="shared" si="20"/>
        <v>288.00000000000028</v>
      </c>
      <c r="R192" s="1">
        <f t="shared" si="21"/>
        <v>4608.0000000000045</v>
      </c>
      <c r="S192" s="40">
        <f t="shared" si="22"/>
        <v>1.1250000000000011</v>
      </c>
      <c r="U192" s="1">
        <f t="shared" si="23"/>
        <v>3.0392728758822791</v>
      </c>
    </row>
    <row r="193" spans="1:21" x14ac:dyDescent="0.25">
      <c r="A193">
        <v>0</v>
      </c>
      <c r="B193">
        <v>134</v>
      </c>
      <c r="C193" s="29">
        <v>12</v>
      </c>
      <c r="D193">
        <v>1.1681999999999999</v>
      </c>
      <c r="E193">
        <v>187.5</v>
      </c>
      <c r="F193">
        <v>80000000</v>
      </c>
      <c r="H193" s="24">
        <f>_xlfn.CEILING.MATH(('analog-mvmu-specs'!B$14)/(D193*10^6))</f>
        <v>1</v>
      </c>
      <c r="I193" s="36">
        <f t="shared" si="16"/>
        <v>2</v>
      </c>
      <c r="J193" s="24">
        <f t="shared" si="16"/>
        <v>4</v>
      </c>
      <c r="L193">
        <f t="shared" si="17"/>
        <v>4096</v>
      </c>
      <c r="M193" s="1">
        <f>(32*16*16)*L193*'analog-mvmu-specs'!J$24</f>
        <v>78517.370880000002</v>
      </c>
      <c r="N193" s="1">
        <f t="shared" si="18"/>
        <v>1536000</v>
      </c>
      <c r="O193" s="38">
        <f t="shared" si="19"/>
        <v>394.16928000000001</v>
      </c>
      <c r="Q193" s="1">
        <f t="shared" si="20"/>
        <v>1600</v>
      </c>
      <c r="R193" s="1">
        <f t="shared" si="21"/>
        <v>25600</v>
      </c>
      <c r="S193" s="40">
        <f t="shared" si="22"/>
        <v>6.25</v>
      </c>
      <c r="U193" s="1">
        <f t="shared" si="23"/>
        <v>4.8632100401127154</v>
      </c>
    </row>
    <row r="194" spans="1:21" x14ac:dyDescent="0.25">
      <c r="A194">
        <v>0</v>
      </c>
      <c r="B194">
        <v>136</v>
      </c>
      <c r="C194" s="29">
        <v>12</v>
      </c>
      <c r="D194">
        <v>3.9375E-2</v>
      </c>
      <c r="E194">
        <v>15.625</v>
      </c>
      <c r="F194">
        <v>400000</v>
      </c>
      <c r="H194" s="24">
        <f>_xlfn.CEILING.MATH(('analog-mvmu-specs'!B$14)/(D194*10^6))</f>
        <v>1</v>
      </c>
      <c r="I194" s="36">
        <f t="shared" si="16"/>
        <v>2</v>
      </c>
      <c r="J194" s="24">
        <f t="shared" si="16"/>
        <v>4</v>
      </c>
      <c r="L194">
        <f t="shared" si="17"/>
        <v>4096</v>
      </c>
      <c r="M194" s="1">
        <f>(32*16*16)*L194*'analog-mvmu-specs'!J$24</f>
        <v>78517.370880000002</v>
      </c>
      <c r="N194" s="1">
        <f t="shared" si="18"/>
        <v>128000</v>
      </c>
      <c r="O194" s="38">
        <f t="shared" si="19"/>
        <v>50.419280000000001</v>
      </c>
      <c r="Q194" s="1">
        <f t="shared" si="20"/>
        <v>320000</v>
      </c>
      <c r="R194" s="1">
        <f t="shared" si="21"/>
        <v>5120000</v>
      </c>
      <c r="S194" s="40">
        <f t="shared" si="22"/>
        <v>1250</v>
      </c>
      <c r="U194" s="1">
        <f t="shared" si="23"/>
        <v>38.019741654383004</v>
      </c>
    </row>
    <row r="195" spans="1:21" x14ac:dyDescent="0.25">
      <c r="A195">
        <v>0</v>
      </c>
      <c r="B195">
        <v>188</v>
      </c>
      <c r="C195" s="29">
        <v>12</v>
      </c>
      <c r="D195">
        <v>7.4999999999999997E-2</v>
      </c>
      <c r="E195">
        <v>22.5</v>
      </c>
      <c r="F195">
        <v>100000000</v>
      </c>
      <c r="H195" s="24">
        <f>_xlfn.CEILING.MATH(('analog-mvmu-specs'!B$14)/(D195*10^6))</f>
        <v>1</v>
      </c>
      <c r="I195" s="36">
        <f t="shared" si="16"/>
        <v>2</v>
      </c>
      <c r="J195" s="24">
        <f t="shared" si="16"/>
        <v>4</v>
      </c>
      <c r="L195">
        <f t="shared" si="17"/>
        <v>4096</v>
      </c>
      <c r="M195" s="1">
        <f>(32*16*16)*L195*'analog-mvmu-specs'!J$24</f>
        <v>78517.370880000002</v>
      </c>
      <c r="N195" s="1">
        <f t="shared" si="18"/>
        <v>184320</v>
      </c>
      <c r="O195" s="38">
        <f t="shared" si="19"/>
        <v>64.169280000000001</v>
      </c>
      <c r="Q195" s="1">
        <f t="shared" si="20"/>
        <v>1280</v>
      </c>
      <c r="R195" s="1">
        <f t="shared" si="21"/>
        <v>20480</v>
      </c>
      <c r="S195" s="40">
        <f t="shared" si="22"/>
        <v>5</v>
      </c>
      <c r="U195" s="1">
        <f t="shared" si="23"/>
        <v>29.872985952156544</v>
      </c>
    </row>
    <row r="196" spans="1:21" x14ac:dyDescent="0.25">
      <c r="A196">
        <v>0</v>
      </c>
      <c r="B196">
        <v>202</v>
      </c>
      <c r="C196" s="29">
        <v>12</v>
      </c>
      <c r="D196">
        <v>7.06952662721893E-3</v>
      </c>
      <c r="E196">
        <v>8.0414201183431899</v>
      </c>
      <c r="F196">
        <v>130000000</v>
      </c>
      <c r="H196" s="24">
        <f>_xlfn.CEILING.MATH(('analog-mvmu-specs'!B$14)/(D196*10^6))</f>
        <v>4</v>
      </c>
      <c r="I196" s="36">
        <f t="shared" ref="I196:J259" si="24">2*H196</f>
        <v>8</v>
      </c>
      <c r="J196" s="24">
        <f t="shared" si="24"/>
        <v>16</v>
      </c>
      <c r="L196">
        <f t="shared" ref="L196:L259" si="25">2^C196</f>
        <v>4096</v>
      </c>
      <c r="M196" s="1">
        <f>(32*16*16)*L196*'analog-mvmu-specs'!J$24</f>
        <v>78517.370880000002</v>
      </c>
      <c r="N196" s="1">
        <f t="shared" ref="N196:N259" si="26">(32*16)*16*E196</f>
        <v>65875.313609467412</v>
      </c>
      <c r="O196" s="38">
        <f t="shared" ref="O196:O259" si="27">SUM(M196:N196)/L196</f>
        <v>35.25212023668638</v>
      </c>
      <c r="Q196" s="1">
        <f t="shared" ref="Q196:Q259" si="28">32*16*(10^9/F196)/J196</f>
        <v>246.15384615384616</v>
      </c>
      <c r="R196" s="1">
        <f t="shared" ref="R196:R259" si="29">16*Q196</f>
        <v>3938.4615384615386</v>
      </c>
      <c r="S196" s="40">
        <f t="shared" ref="S196:S259" si="30">R196/L196</f>
        <v>0.96153846153846156</v>
      </c>
      <c r="U196" s="1">
        <f t="shared" ref="U196:U259" si="31">M196/(M196+N196)*100</f>
        <v>54.377665432023583</v>
      </c>
    </row>
    <row r="197" spans="1:21" x14ac:dyDescent="0.25">
      <c r="A197">
        <v>0</v>
      </c>
      <c r="B197">
        <v>236</v>
      </c>
      <c r="C197" s="29">
        <v>12</v>
      </c>
      <c r="D197">
        <v>3.6426035502958497E-2</v>
      </c>
      <c r="E197">
        <v>1.1622781065088701</v>
      </c>
      <c r="F197">
        <v>57777.777777777701</v>
      </c>
      <c r="H197" s="24">
        <f>_xlfn.CEILING.MATH(('analog-mvmu-specs'!B$14)/(D197*10^6))</f>
        <v>1</v>
      </c>
      <c r="I197" s="36">
        <f t="shared" si="24"/>
        <v>2</v>
      </c>
      <c r="J197" s="24">
        <f t="shared" si="24"/>
        <v>4</v>
      </c>
      <c r="L197">
        <f t="shared" si="25"/>
        <v>4096</v>
      </c>
      <c r="M197" s="1">
        <f>(32*16*16)*L197*'analog-mvmu-specs'!J$24</f>
        <v>78517.370880000002</v>
      </c>
      <c r="N197" s="1">
        <f t="shared" si="26"/>
        <v>9521.3822485206638</v>
      </c>
      <c r="O197" s="38">
        <f t="shared" si="27"/>
        <v>21.49383621301774</v>
      </c>
      <c r="Q197" s="1">
        <f t="shared" si="28"/>
        <v>2215384.6153846183</v>
      </c>
      <c r="R197" s="1">
        <f t="shared" si="29"/>
        <v>35446153.846153893</v>
      </c>
      <c r="S197" s="40">
        <f t="shared" si="30"/>
        <v>8653.8461538461652</v>
      </c>
      <c r="U197" s="1">
        <f t="shared" si="31"/>
        <v>89.185010111829769</v>
      </c>
    </row>
    <row r="198" spans="1:21" x14ac:dyDescent="0.25">
      <c r="A198">
        <v>0</v>
      </c>
      <c r="B198">
        <v>269</v>
      </c>
      <c r="C198" s="29">
        <v>12</v>
      </c>
      <c r="D198">
        <v>0.25402366863905301</v>
      </c>
      <c r="E198">
        <v>95.282840236686297</v>
      </c>
      <c r="F198">
        <v>361111111.11111099</v>
      </c>
      <c r="H198" s="24">
        <f>_xlfn.CEILING.MATH(('analog-mvmu-specs'!B$14)/(D198*10^6))</f>
        <v>1</v>
      </c>
      <c r="I198" s="36">
        <f t="shared" si="24"/>
        <v>2</v>
      </c>
      <c r="J198" s="24">
        <f t="shared" si="24"/>
        <v>4</v>
      </c>
      <c r="L198">
        <f t="shared" si="25"/>
        <v>4096</v>
      </c>
      <c r="M198" s="1">
        <f>(32*16*16)*L198*'analog-mvmu-specs'!J$24</f>
        <v>78517.370880000002</v>
      </c>
      <c r="N198" s="1">
        <f t="shared" si="26"/>
        <v>780557.02721893415</v>
      </c>
      <c r="O198" s="38">
        <f t="shared" si="27"/>
        <v>209.73496047337261</v>
      </c>
      <c r="Q198" s="1">
        <f t="shared" si="28"/>
        <v>354.46153846153857</v>
      </c>
      <c r="R198" s="1">
        <f t="shared" si="29"/>
        <v>5671.3846153846171</v>
      </c>
      <c r="S198" s="40">
        <f t="shared" si="30"/>
        <v>1.384615384615385</v>
      </c>
      <c r="U198" s="1">
        <f t="shared" si="31"/>
        <v>9.1397638031994575</v>
      </c>
    </row>
    <row r="199" spans="1:21" x14ac:dyDescent="0.25">
      <c r="A199">
        <v>0</v>
      </c>
      <c r="B199">
        <v>291</v>
      </c>
      <c r="C199" s="29">
        <v>12</v>
      </c>
      <c r="D199">
        <v>1.21396683673469E-2</v>
      </c>
      <c r="E199">
        <v>9.0401785714285694</v>
      </c>
      <c r="F199">
        <v>62222222.222222202</v>
      </c>
      <c r="H199" s="24">
        <f>_xlfn.CEILING.MATH(('analog-mvmu-specs'!B$14)/(D199*10^6))</f>
        <v>3</v>
      </c>
      <c r="I199" s="36">
        <f t="shared" si="24"/>
        <v>6</v>
      </c>
      <c r="J199" s="24">
        <f t="shared" si="24"/>
        <v>12</v>
      </c>
      <c r="L199">
        <f t="shared" si="25"/>
        <v>4096</v>
      </c>
      <c r="M199" s="1">
        <f>(32*16*16)*L199*'analog-mvmu-specs'!J$24</f>
        <v>78517.370880000002</v>
      </c>
      <c r="N199" s="1">
        <f t="shared" si="26"/>
        <v>74057.142857142841</v>
      </c>
      <c r="O199" s="38">
        <f t="shared" si="27"/>
        <v>37.249637142857139</v>
      </c>
      <c r="Q199" s="1">
        <f t="shared" si="28"/>
        <v>685.71428571428589</v>
      </c>
      <c r="R199" s="1">
        <f t="shared" si="29"/>
        <v>10971.428571428574</v>
      </c>
      <c r="S199" s="40">
        <f t="shared" si="30"/>
        <v>2.6785714285714293</v>
      </c>
      <c r="U199" s="1">
        <f t="shared" si="31"/>
        <v>51.461655657163455</v>
      </c>
    </row>
    <row r="200" spans="1:21" x14ac:dyDescent="0.25">
      <c r="A200">
        <v>0</v>
      </c>
      <c r="B200">
        <v>295</v>
      </c>
      <c r="C200" s="29">
        <v>12</v>
      </c>
      <c r="D200">
        <v>0.196301020408163</v>
      </c>
      <c r="E200">
        <v>114.07844387755</v>
      </c>
      <c r="F200">
        <v>373333333.33333302</v>
      </c>
      <c r="H200" s="24">
        <f>_xlfn.CEILING.MATH(('analog-mvmu-specs'!B$14)/(D200*10^6))</f>
        <v>1</v>
      </c>
      <c r="I200" s="36">
        <f t="shared" si="24"/>
        <v>2</v>
      </c>
      <c r="J200" s="24">
        <f t="shared" si="24"/>
        <v>4</v>
      </c>
      <c r="L200">
        <f t="shared" si="25"/>
        <v>4096</v>
      </c>
      <c r="M200" s="1">
        <f>(32*16*16)*L200*'analog-mvmu-specs'!J$24</f>
        <v>78517.370880000002</v>
      </c>
      <c r="N200" s="1">
        <f t="shared" si="26"/>
        <v>934530.61224488961</v>
      </c>
      <c r="O200" s="38">
        <f t="shared" si="27"/>
        <v>247.32616775510002</v>
      </c>
      <c r="Q200" s="1">
        <f t="shared" si="28"/>
        <v>342.85714285714317</v>
      </c>
      <c r="R200" s="1">
        <f t="shared" si="29"/>
        <v>5485.7142857142908</v>
      </c>
      <c r="S200" s="40">
        <f t="shared" si="30"/>
        <v>1.3392857142857155</v>
      </c>
      <c r="U200" s="1">
        <f t="shared" si="31"/>
        <v>7.7506072948096767</v>
      </c>
    </row>
    <row r="201" spans="1:21" x14ac:dyDescent="0.25">
      <c r="A201">
        <v>0</v>
      </c>
      <c r="B201">
        <v>301</v>
      </c>
      <c r="C201" s="29">
        <v>12</v>
      </c>
      <c r="D201">
        <v>19.1135204081632</v>
      </c>
      <c r="E201">
        <v>749.043367346938</v>
      </c>
      <c r="F201">
        <v>6222222222.2222204</v>
      </c>
      <c r="H201" s="24">
        <f>_xlfn.CEILING.MATH(('analog-mvmu-specs'!B$14)/(D201*10^6))</f>
        <v>1</v>
      </c>
      <c r="I201" s="36">
        <f t="shared" si="24"/>
        <v>2</v>
      </c>
      <c r="J201" s="24">
        <f t="shared" si="24"/>
        <v>4</v>
      </c>
      <c r="L201">
        <f t="shared" si="25"/>
        <v>4096</v>
      </c>
      <c r="M201" s="1">
        <f>(32*16*16)*L201*'analog-mvmu-specs'!J$24</f>
        <v>78517.370880000002</v>
      </c>
      <c r="N201" s="1">
        <f t="shared" si="26"/>
        <v>6136163.2653061161</v>
      </c>
      <c r="O201" s="38">
        <f t="shared" si="27"/>
        <v>1517.2560146938761</v>
      </c>
      <c r="Q201" s="1">
        <f t="shared" si="28"/>
        <v>20.571428571428577</v>
      </c>
      <c r="R201" s="1">
        <f t="shared" si="29"/>
        <v>329.14285714285722</v>
      </c>
      <c r="S201" s="40">
        <f t="shared" si="30"/>
        <v>8.0357142857142877E-2</v>
      </c>
      <c r="U201" s="1">
        <f t="shared" si="31"/>
        <v>1.263417631194405</v>
      </c>
    </row>
    <row r="202" spans="1:21" x14ac:dyDescent="0.25">
      <c r="A202">
        <v>0</v>
      </c>
      <c r="B202">
        <v>307</v>
      </c>
      <c r="C202" s="29">
        <v>12</v>
      </c>
      <c r="D202">
        <v>3.8343195266272098E-2</v>
      </c>
      <c r="E202">
        <v>9.0484131253362001</v>
      </c>
      <c r="F202">
        <v>476666666.66666597</v>
      </c>
      <c r="H202" s="24">
        <f>_xlfn.CEILING.MATH(('analog-mvmu-specs'!B$14)/(D202*10^6))</f>
        <v>1</v>
      </c>
      <c r="I202" s="36">
        <f t="shared" si="24"/>
        <v>2</v>
      </c>
      <c r="J202" s="24">
        <f t="shared" si="24"/>
        <v>4</v>
      </c>
      <c r="L202">
        <f t="shared" si="25"/>
        <v>4096</v>
      </c>
      <c r="M202" s="1">
        <f>(32*16*16)*L202*'analog-mvmu-specs'!J$24</f>
        <v>78517.370880000002</v>
      </c>
      <c r="N202" s="1">
        <f t="shared" si="26"/>
        <v>74124.600322754151</v>
      </c>
      <c r="O202" s="38">
        <f t="shared" si="27"/>
        <v>37.266106250672401</v>
      </c>
      <c r="Q202" s="1">
        <f t="shared" si="28"/>
        <v>268.53146853146893</v>
      </c>
      <c r="R202" s="1">
        <f t="shared" si="29"/>
        <v>4296.5034965035029</v>
      </c>
      <c r="S202" s="40">
        <f t="shared" si="30"/>
        <v>1.0489510489510505</v>
      </c>
      <c r="U202" s="1">
        <f t="shared" si="31"/>
        <v>51.438913073066558</v>
      </c>
    </row>
    <row r="203" spans="1:21" x14ac:dyDescent="0.25">
      <c r="A203">
        <v>0</v>
      </c>
      <c r="B203">
        <v>310</v>
      </c>
      <c r="C203" s="29">
        <v>12</v>
      </c>
      <c r="D203">
        <v>0.25054209183673398</v>
      </c>
      <c r="E203">
        <v>30.672034438775501</v>
      </c>
      <c r="F203">
        <v>99555555.555555493</v>
      </c>
      <c r="H203" s="24">
        <f>_xlfn.CEILING.MATH(('analog-mvmu-specs'!B$14)/(D203*10^6))</f>
        <v>1</v>
      </c>
      <c r="I203" s="36">
        <f t="shared" si="24"/>
        <v>2</v>
      </c>
      <c r="J203" s="24">
        <f t="shared" si="24"/>
        <v>4</v>
      </c>
      <c r="L203">
        <f t="shared" si="25"/>
        <v>4096</v>
      </c>
      <c r="M203" s="1">
        <f>(32*16*16)*L203*'analog-mvmu-specs'!J$24</f>
        <v>78517.370880000002</v>
      </c>
      <c r="N203" s="1">
        <f t="shared" si="26"/>
        <v>251265.30612244891</v>
      </c>
      <c r="O203" s="38">
        <f t="shared" si="27"/>
        <v>80.51334887755101</v>
      </c>
      <c r="Q203" s="1">
        <f t="shared" si="28"/>
        <v>1285.7142857142865</v>
      </c>
      <c r="R203" s="1">
        <f t="shared" si="29"/>
        <v>20571.428571428583</v>
      </c>
      <c r="S203" s="40">
        <f t="shared" si="30"/>
        <v>5.0223214285714315</v>
      </c>
      <c r="U203" s="1">
        <f t="shared" si="31"/>
        <v>23.808822098747452</v>
      </c>
    </row>
    <row r="204" spans="1:21" x14ac:dyDescent="0.25">
      <c r="A204">
        <v>0</v>
      </c>
      <c r="B204">
        <v>327</v>
      </c>
      <c r="C204" s="29">
        <v>12</v>
      </c>
      <c r="D204">
        <v>4.66989795918367</v>
      </c>
      <c r="E204">
        <v>81.929846938775498</v>
      </c>
      <c r="F204">
        <v>3111111111.1111102</v>
      </c>
      <c r="H204" s="24">
        <f>_xlfn.CEILING.MATH(('analog-mvmu-specs'!B$14)/(D204*10^6))</f>
        <v>1</v>
      </c>
      <c r="I204" s="36">
        <f t="shared" si="24"/>
        <v>2</v>
      </c>
      <c r="J204" s="24">
        <f t="shared" si="24"/>
        <v>4</v>
      </c>
      <c r="L204">
        <f t="shared" si="25"/>
        <v>4096</v>
      </c>
      <c r="M204" s="1">
        <f>(32*16*16)*L204*'analog-mvmu-specs'!J$24</f>
        <v>78517.370880000002</v>
      </c>
      <c r="N204" s="1">
        <f t="shared" si="26"/>
        <v>671169.30612244888</v>
      </c>
      <c r="O204" s="38">
        <f t="shared" si="27"/>
        <v>183.02897387755098</v>
      </c>
      <c r="Q204" s="1">
        <f t="shared" si="28"/>
        <v>41.142857142857153</v>
      </c>
      <c r="R204" s="1">
        <f t="shared" si="29"/>
        <v>658.28571428571445</v>
      </c>
      <c r="S204" s="40">
        <f t="shared" si="30"/>
        <v>0.16071428571428575</v>
      </c>
      <c r="U204" s="1">
        <f t="shared" si="31"/>
        <v>10.47335817597083</v>
      </c>
    </row>
    <row r="205" spans="1:21" x14ac:dyDescent="0.25">
      <c r="A205">
        <v>1</v>
      </c>
      <c r="B205">
        <v>28</v>
      </c>
      <c r="C205" s="29">
        <v>12</v>
      </c>
      <c r="D205">
        <v>0.140138408304498</v>
      </c>
      <c r="E205">
        <v>116.782006920415</v>
      </c>
      <c r="F205">
        <v>1360000000</v>
      </c>
      <c r="H205" s="24">
        <f>_xlfn.CEILING.MATH(('analog-mvmu-specs'!B$14)/(D205*10^6))</f>
        <v>1</v>
      </c>
      <c r="I205" s="36">
        <f t="shared" si="24"/>
        <v>2</v>
      </c>
      <c r="J205" s="24">
        <f t="shared" si="24"/>
        <v>4</v>
      </c>
      <c r="L205">
        <f t="shared" si="25"/>
        <v>4096</v>
      </c>
      <c r="M205" s="1">
        <f>(32*16*16)*L205*'analog-mvmu-specs'!J$24</f>
        <v>78517.370880000002</v>
      </c>
      <c r="N205" s="1">
        <f t="shared" si="26"/>
        <v>956678.20069203968</v>
      </c>
      <c r="O205" s="38">
        <f t="shared" si="27"/>
        <v>252.73329384083002</v>
      </c>
      <c r="Q205" s="1">
        <f t="shared" si="28"/>
        <v>94.117647058823536</v>
      </c>
      <c r="R205" s="1">
        <f t="shared" si="29"/>
        <v>1505.8823529411766</v>
      </c>
      <c r="S205" s="40">
        <f t="shared" si="30"/>
        <v>0.36764705882352944</v>
      </c>
      <c r="U205" s="1">
        <f t="shared" si="31"/>
        <v>7.584786202356347</v>
      </c>
    </row>
    <row r="206" spans="1:21" x14ac:dyDescent="0.25">
      <c r="A206">
        <v>1</v>
      </c>
      <c r="B206">
        <v>37</v>
      </c>
      <c r="C206" s="29">
        <v>12</v>
      </c>
      <c r="D206">
        <v>6.5902366863905297E-3</v>
      </c>
      <c r="E206">
        <v>92.016307334466404</v>
      </c>
      <c r="F206">
        <v>120380</v>
      </c>
      <c r="H206" s="24">
        <f>_xlfn.CEILING.MATH(('analog-mvmu-specs'!B$14)/(D206*10^6))</f>
        <v>5</v>
      </c>
      <c r="I206" s="36">
        <f t="shared" si="24"/>
        <v>10</v>
      </c>
      <c r="J206" s="24">
        <f t="shared" si="24"/>
        <v>20</v>
      </c>
      <c r="L206">
        <f t="shared" si="25"/>
        <v>4096</v>
      </c>
      <c r="M206" s="1">
        <f>(32*16*16)*L206*'analog-mvmu-specs'!J$24</f>
        <v>78517.370880000002</v>
      </c>
      <c r="N206" s="1">
        <f t="shared" si="26"/>
        <v>753797.58968394878</v>
      </c>
      <c r="O206" s="38">
        <f t="shared" si="27"/>
        <v>203.20189466893282</v>
      </c>
      <c r="Q206" s="1">
        <f t="shared" si="28"/>
        <v>212659.91028410033</v>
      </c>
      <c r="R206" s="1">
        <f t="shared" si="29"/>
        <v>3402558.5645456053</v>
      </c>
      <c r="S206" s="40">
        <f t="shared" si="30"/>
        <v>830.70277454726693</v>
      </c>
      <c r="U206" s="1">
        <f t="shared" si="31"/>
        <v>9.4336128269038024</v>
      </c>
    </row>
    <row r="207" spans="1:21" x14ac:dyDescent="0.25">
      <c r="A207">
        <v>1</v>
      </c>
      <c r="B207">
        <v>53</v>
      </c>
      <c r="C207" s="29">
        <v>12</v>
      </c>
      <c r="D207">
        <v>7.0000000000000007E-2</v>
      </c>
      <c r="E207">
        <v>100</v>
      </c>
      <c r="F207">
        <v>80000000</v>
      </c>
      <c r="H207" s="24">
        <f>_xlfn.CEILING.MATH(('analog-mvmu-specs'!B$14)/(D207*10^6))</f>
        <v>1</v>
      </c>
      <c r="I207" s="36">
        <f t="shared" si="24"/>
        <v>2</v>
      </c>
      <c r="J207" s="24">
        <f t="shared" si="24"/>
        <v>4</v>
      </c>
      <c r="L207">
        <f t="shared" si="25"/>
        <v>4096</v>
      </c>
      <c r="M207" s="1">
        <f>(32*16*16)*L207*'analog-mvmu-specs'!J$24</f>
        <v>78517.370880000002</v>
      </c>
      <c r="N207" s="1">
        <f t="shared" si="26"/>
        <v>819200</v>
      </c>
      <c r="O207" s="38">
        <f t="shared" si="27"/>
        <v>219.16928000000001</v>
      </c>
      <c r="Q207" s="1">
        <f t="shared" si="28"/>
        <v>1600</v>
      </c>
      <c r="R207" s="1">
        <f t="shared" si="29"/>
        <v>25600</v>
      </c>
      <c r="S207" s="40">
        <f t="shared" si="30"/>
        <v>6.25</v>
      </c>
      <c r="U207" s="1">
        <f t="shared" si="31"/>
        <v>8.7463352528237532</v>
      </c>
    </row>
    <row r="208" spans="1:21" x14ac:dyDescent="0.25">
      <c r="A208">
        <v>1</v>
      </c>
      <c r="B208">
        <v>72</v>
      </c>
      <c r="C208" s="29">
        <v>12</v>
      </c>
      <c r="D208">
        <v>1.6250000000000001E-2</v>
      </c>
      <c r="E208">
        <v>22.95</v>
      </c>
      <c r="F208">
        <v>200000000</v>
      </c>
      <c r="H208" s="24">
        <f>_xlfn.CEILING.MATH(('analog-mvmu-specs'!B$14)/(D208*10^6))</f>
        <v>2</v>
      </c>
      <c r="I208" s="36">
        <f t="shared" si="24"/>
        <v>4</v>
      </c>
      <c r="J208" s="24">
        <f t="shared" si="24"/>
        <v>8</v>
      </c>
      <c r="L208">
        <f t="shared" si="25"/>
        <v>4096</v>
      </c>
      <c r="M208" s="1">
        <f>(32*16*16)*L208*'analog-mvmu-specs'!J$24</f>
        <v>78517.370880000002</v>
      </c>
      <c r="N208" s="1">
        <f t="shared" si="26"/>
        <v>188006.39999999999</v>
      </c>
      <c r="O208" s="38">
        <f t="shared" si="27"/>
        <v>65.069279999999992</v>
      </c>
      <c r="Q208" s="1">
        <f t="shared" si="28"/>
        <v>320</v>
      </c>
      <c r="R208" s="1">
        <f t="shared" si="29"/>
        <v>5120</v>
      </c>
      <c r="S208" s="40">
        <f t="shared" si="30"/>
        <v>1.25</v>
      </c>
      <c r="U208" s="1">
        <f t="shared" si="31"/>
        <v>29.459800385066504</v>
      </c>
    </row>
    <row r="209" spans="1:21" x14ac:dyDescent="0.25">
      <c r="A209">
        <v>1</v>
      </c>
      <c r="B209">
        <v>80</v>
      </c>
      <c r="C209" s="29">
        <v>12</v>
      </c>
      <c r="D209">
        <v>8.3875739644970401E-2</v>
      </c>
      <c r="E209">
        <v>38.887842926304401</v>
      </c>
      <c r="F209">
        <v>31777777.777777702</v>
      </c>
      <c r="H209" s="24">
        <f>_xlfn.CEILING.MATH(('analog-mvmu-specs'!B$14)/(D209*10^6))</f>
        <v>1</v>
      </c>
      <c r="I209" s="36">
        <f t="shared" si="24"/>
        <v>2</v>
      </c>
      <c r="J209" s="24">
        <f t="shared" si="24"/>
        <v>4</v>
      </c>
      <c r="L209">
        <f t="shared" si="25"/>
        <v>4096</v>
      </c>
      <c r="M209" s="1">
        <f>(32*16*16)*L209*'analog-mvmu-specs'!J$24</f>
        <v>78517.370880000002</v>
      </c>
      <c r="N209" s="1">
        <f t="shared" si="26"/>
        <v>318569.20925228565</v>
      </c>
      <c r="O209" s="38">
        <f t="shared" si="27"/>
        <v>96.944965852608803</v>
      </c>
      <c r="Q209" s="1">
        <f t="shared" si="28"/>
        <v>4027.9720279720377</v>
      </c>
      <c r="R209" s="1">
        <f t="shared" si="29"/>
        <v>64447.552447552604</v>
      </c>
      <c r="S209" s="40">
        <f t="shared" si="30"/>
        <v>15.734265734265772</v>
      </c>
      <c r="U209" s="1">
        <f t="shared" si="31"/>
        <v>19.773362991477246</v>
      </c>
    </row>
    <row r="210" spans="1:21" x14ac:dyDescent="0.25">
      <c r="A210">
        <v>1</v>
      </c>
      <c r="B210">
        <v>94</v>
      </c>
      <c r="C210" s="29">
        <v>12</v>
      </c>
      <c r="D210">
        <v>0.08</v>
      </c>
      <c r="E210">
        <v>15.499999999999901</v>
      </c>
      <c r="F210">
        <v>200000000</v>
      </c>
      <c r="H210" s="24">
        <f>_xlfn.CEILING.MATH(('analog-mvmu-specs'!B$14)/(D210*10^6))</f>
        <v>1</v>
      </c>
      <c r="I210" s="36">
        <f t="shared" si="24"/>
        <v>2</v>
      </c>
      <c r="J210" s="24">
        <f t="shared" si="24"/>
        <v>4</v>
      </c>
      <c r="L210">
        <f t="shared" si="25"/>
        <v>4096</v>
      </c>
      <c r="M210" s="1">
        <f>(32*16*16)*L210*'analog-mvmu-specs'!J$24</f>
        <v>78517.370880000002</v>
      </c>
      <c r="N210" s="1">
        <f t="shared" si="26"/>
        <v>126975.99999999919</v>
      </c>
      <c r="O210" s="38">
        <f t="shared" si="27"/>
        <v>50.169279999999802</v>
      </c>
      <c r="Q210" s="1">
        <f t="shared" si="28"/>
        <v>640</v>
      </c>
      <c r="R210" s="1">
        <f t="shared" si="29"/>
        <v>10240</v>
      </c>
      <c r="S210" s="40">
        <f t="shared" si="30"/>
        <v>2.5</v>
      </c>
      <c r="U210" s="1">
        <f t="shared" si="31"/>
        <v>38.209198936082153</v>
      </c>
    </row>
    <row r="211" spans="1:21" x14ac:dyDescent="0.25">
      <c r="A211">
        <v>1</v>
      </c>
      <c r="B211">
        <v>95</v>
      </c>
      <c r="C211" s="29">
        <v>12</v>
      </c>
      <c r="D211">
        <v>7.6686390532544293E-2</v>
      </c>
      <c r="E211">
        <v>33.550295857988097</v>
      </c>
      <c r="F211">
        <v>72222222.222222194</v>
      </c>
      <c r="H211" s="24">
        <f>_xlfn.CEILING.MATH(('analog-mvmu-specs'!B$14)/(D211*10^6))</f>
        <v>1</v>
      </c>
      <c r="I211" s="36">
        <f t="shared" si="24"/>
        <v>2</v>
      </c>
      <c r="J211" s="24">
        <f t="shared" si="24"/>
        <v>4</v>
      </c>
      <c r="L211">
        <f t="shared" si="25"/>
        <v>4096</v>
      </c>
      <c r="M211" s="1">
        <f>(32*16*16)*L211*'analog-mvmu-specs'!J$24</f>
        <v>78517.370880000002</v>
      </c>
      <c r="N211" s="1">
        <f t="shared" si="26"/>
        <v>274844.02366863849</v>
      </c>
      <c r="O211" s="38">
        <f t="shared" si="27"/>
        <v>86.269871715976194</v>
      </c>
      <c r="Q211" s="1">
        <f t="shared" si="28"/>
        <v>1772.3076923076931</v>
      </c>
      <c r="R211" s="1">
        <f t="shared" si="29"/>
        <v>28356.923076923089</v>
      </c>
      <c r="S211" s="40">
        <f t="shared" si="30"/>
        <v>6.923076923076926</v>
      </c>
      <c r="U211" s="1">
        <f t="shared" si="31"/>
        <v>22.220132728503952</v>
      </c>
    </row>
    <row r="212" spans="1:21" x14ac:dyDescent="0.25">
      <c r="A212">
        <v>1</v>
      </c>
      <c r="B212">
        <v>103</v>
      </c>
      <c r="C212" s="29">
        <v>12</v>
      </c>
      <c r="D212">
        <v>0.50624999999999998</v>
      </c>
      <c r="E212">
        <v>210.9375</v>
      </c>
      <c r="F212">
        <v>2666666666.6666598</v>
      </c>
      <c r="H212" s="24">
        <f>_xlfn.CEILING.MATH(('analog-mvmu-specs'!B$14)/(D212*10^6))</f>
        <v>1</v>
      </c>
      <c r="I212" s="36">
        <f t="shared" si="24"/>
        <v>2</v>
      </c>
      <c r="J212" s="24">
        <f t="shared" si="24"/>
        <v>4</v>
      </c>
      <c r="L212">
        <f t="shared" si="25"/>
        <v>4096</v>
      </c>
      <c r="M212" s="1">
        <f>(32*16*16)*L212*'analog-mvmu-specs'!J$24</f>
        <v>78517.370880000002</v>
      </c>
      <c r="N212" s="1">
        <f t="shared" si="26"/>
        <v>1728000</v>
      </c>
      <c r="O212" s="38">
        <f t="shared" si="27"/>
        <v>441.04428000000001</v>
      </c>
      <c r="Q212" s="1">
        <f t="shared" si="28"/>
        <v>48.000000000000121</v>
      </c>
      <c r="R212" s="1">
        <f t="shared" si="29"/>
        <v>768.00000000000193</v>
      </c>
      <c r="S212" s="40">
        <f t="shared" si="30"/>
        <v>0.18750000000000047</v>
      </c>
      <c r="U212" s="1">
        <f t="shared" si="31"/>
        <v>4.3463391022778932</v>
      </c>
    </row>
    <row r="213" spans="1:21" x14ac:dyDescent="0.25">
      <c r="A213">
        <v>1</v>
      </c>
      <c r="B213">
        <v>132</v>
      </c>
      <c r="C213" s="29">
        <v>12</v>
      </c>
      <c r="D213">
        <v>0.04</v>
      </c>
      <c r="E213">
        <v>102.5</v>
      </c>
      <c r="F213">
        <v>20000000</v>
      </c>
      <c r="H213" s="24">
        <f>_xlfn.CEILING.MATH(('analog-mvmu-specs'!B$14)/(D213*10^6))</f>
        <v>1</v>
      </c>
      <c r="I213" s="36">
        <f t="shared" si="24"/>
        <v>2</v>
      </c>
      <c r="J213" s="24">
        <f t="shared" si="24"/>
        <v>4</v>
      </c>
      <c r="L213">
        <f t="shared" si="25"/>
        <v>4096</v>
      </c>
      <c r="M213" s="1">
        <f>(32*16*16)*L213*'analog-mvmu-specs'!J$24</f>
        <v>78517.370880000002</v>
      </c>
      <c r="N213" s="1">
        <f t="shared" si="26"/>
        <v>839680</v>
      </c>
      <c r="O213" s="38">
        <f t="shared" si="27"/>
        <v>224.16928000000001</v>
      </c>
      <c r="Q213" s="1">
        <f t="shared" si="28"/>
        <v>6400</v>
      </c>
      <c r="R213" s="1">
        <f t="shared" si="29"/>
        <v>102400</v>
      </c>
      <c r="S213" s="40">
        <f t="shared" si="30"/>
        <v>25</v>
      </c>
      <c r="U213" s="1">
        <f t="shared" si="31"/>
        <v>8.5512519824304203</v>
      </c>
    </row>
    <row r="214" spans="1:21" x14ac:dyDescent="0.25">
      <c r="A214">
        <v>1</v>
      </c>
      <c r="B214">
        <v>136</v>
      </c>
      <c r="C214" s="29">
        <v>12</v>
      </c>
      <c r="D214">
        <v>0.124615384615384</v>
      </c>
      <c r="E214">
        <v>27.5591715976331</v>
      </c>
      <c r="F214">
        <v>288888888.888888</v>
      </c>
      <c r="H214" s="24">
        <f>_xlfn.CEILING.MATH(('analog-mvmu-specs'!B$14)/(D214*10^6))</f>
        <v>1</v>
      </c>
      <c r="I214" s="36">
        <f t="shared" si="24"/>
        <v>2</v>
      </c>
      <c r="J214" s="24">
        <f t="shared" si="24"/>
        <v>4</v>
      </c>
      <c r="L214">
        <f t="shared" si="25"/>
        <v>4096</v>
      </c>
      <c r="M214" s="1">
        <f>(32*16*16)*L214*'analog-mvmu-specs'!J$24</f>
        <v>78517.370880000002</v>
      </c>
      <c r="N214" s="1">
        <f t="shared" si="26"/>
        <v>225764.73372781035</v>
      </c>
      <c r="O214" s="38">
        <f t="shared" si="27"/>
        <v>74.287623195266207</v>
      </c>
      <c r="Q214" s="1">
        <f t="shared" si="28"/>
        <v>443.07692307692446</v>
      </c>
      <c r="R214" s="1">
        <f t="shared" si="29"/>
        <v>7089.2307692307913</v>
      </c>
      <c r="S214" s="40">
        <f t="shared" si="30"/>
        <v>1.7307692307692362</v>
      </c>
      <c r="U214" s="1">
        <f t="shared" si="31"/>
        <v>25.804136914722982</v>
      </c>
    </row>
    <row r="215" spans="1:21" x14ac:dyDescent="0.25">
      <c r="A215">
        <v>1</v>
      </c>
      <c r="B215">
        <v>152</v>
      </c>
      <c r="C215" s="29">
        <v>12</v>
      </c>
      <c r="D215">
        <v>0.23005917159763301</v>
      </c>
      <c r="E215">
        <v>12.0963651732882</v>
      </c>
      <c r="F215">
        <v>303333333.33333302</v>
      </c>
      <c r="H215" s="24">
        <f>_xlfn.CEILING.MATH(('analog-mvmu-specs'!B$14)/(D215*10^6))</f>
        <v>1</v>
      </c>
      <c r="I215" s="36">
        <f t="shared" si="24"/>
        <v>2</v>
      </c>
      <c r="J215" s="24">
        <f t="shared" si="24"/>
        <v>4</v>
      </c>
      <c r="L215">
        <f t="shared" si="25"/>
        <v>4096</v>
      </c>
      <c r="M215" s="1">
        <f>(32*16*16)*L215*'analog-mvmu-specs'!J$24</f>
        <v>78517.370880000002</v>
      </c>
      <c r="N215" s="1">
        <f t="shared" si="26"/>
        <v>99093.423499576937</v>
      </c>
      <c r="O215" s="38">
        <f t="shared" si="27"/>
        <v>43.362010346576398</v>
      </c>
      <c r="Q215" s="1">
        <f t="shared" si="28"/>
        <v>421.97802197802241</v>
      </c>
      <c r="R215" s="1">
        <f t="shared" si="29"/>
        <v>6751.6483516483586</v>
      </c>
      <c r="S215" s="40">
        <f t="shared" si="30"/>
        <v>1.64835164835165</v>
      </c>
      <c r="U215" s="1">
        <f t="shared" si="31"/>
        <v>44.207544453744383</v>
      </c>
    </row>
    <row r="216" spans="1:21" x14ac:dyDescent="0.25">
      <c r="A216">
        <v>1</v>
      </c>
      <c r="B216">
        <v>154</v>
      </c>
      <c r="C216" s="29">
        <v>12</v>
      </c>
      <c r="D216">
        <v>5.3156250000000002E-2</v>
      </c>
      <c r="E216">
        <v>39.234375</v>
      </c>
      <c r="F216">
        <v>142222222.222222</v>
      </c>
      <c r="H216" s="24">
        <f>_xlfn.CEILING.MATH(('analog-mvmu-specs'!B$14)/(D216*10^6))</f>
        <v>1</v>
      </c>
      <c r="I216" s="36">
        <f t="shared" si="24"/>
        <v>2</v>
      </c>
      <c r="J216" s="24">
        <f t="shared" si="24"/>
        <v>4</v>
      </c>
      <c r="L216">
        <f t="shared" si="25"/>
        <v>4096</v>
      </c>
      <c r="M216" s="1">
        <f>(32*16*16)*L216*'analog-mvmu-specs'!J$24</f>
        <v>78517.370880000002</v>
      </c>
      <c r="N216" s="1">
        <f t="shared" si="26"/>
        <v>321408</v>
      </c>
      <c r="O216" s="38">
        <f t="shared" si="27"/>
        <v>97.638030000000001</v>
      </c>
      <c r="Q216" s="1">
        <f t="shared" si="28"/>
        <v>900.00000000000136</v>
      </c>
      <c r="R216" s="1">
        <f t="shared" si="29"/>
        <v>14400.000000000022</v>
      </c>
      <c r="S216" s="40">
        <f t="shared" si="30"/>
        <v>3.5156250000000053</v>
      </c>
      <c r="U216" s="1">
        <f t="shared" si="31"/>
        <v>19.63300570484677</v>
      </c>
    </row>
    <row r="217" spans="1:21" x14ac:dyDescent="0.25">
      <c r="A217">
        <v>1</v>
      </c>
      <c r="B217">
        <v>156</v>
      </c>
      <c r="C217" s="29">
        <v>12</v>
      </c>
      <c r="D217">
        <v>0.196301020408163</v>
      </c>
      <c r="E217">
        <v>634.657434402332</v>
      </c>
      <c r="F217">
        <v>21777777.777777702</v>
      </c>
      <c r="H217" s="24">
        <f>_xlfn.CEILING.MATH(('analog-mvmu-specs'!B$14)/(D217*10^6))</f>
        <v>1</v>
      </c>
      <c r="I217" s="36">
        <f t="shared" si="24"/>
        <v>2</v>
      </c>
      <c r="J217" s="24">
        <f t="shared" si="24"/>
        <v>4</v>
      </c>
      <c r="L217">
        <f t="shared" si="25"/>
        <v>4096</v>
      </c>
      <c r="M217" s="1">
        <f>(32*16*16)*L217*'analog-mvmu-specs'!J$24</f>
        <v>78517.370880000002</v>
      </c>
      <c r="N217" s="1">
        <f t="shared" si="26"/>
        <v>5199113.7026239038</v>
      </c>
      <c r="O217" s="38">
        <f t="shared" si="27"/>
        <v>1288.4841488046641</v>
      </c>
      <c r="Q217" s="1">
        <f t="shared" si="28"/>
        <v>5877.5510204081838</v>
      </c>
      <c r="R217" s="1">
        <f t="shared" si="29"/>
        <v>94040.816326530941</v>
      </c>
      <c r="S217" s="40">
        <f t="shared" si="30"/>
        <v>22.959183673469468</v>
      </c>
      <c r="U217" s="1">
        <f t="shared" si="31"/>
        <v>1.4877389075980079</v>
      </c>
    </row>
    <row r="218" spans="1:21" x14ac:dyDescent="0.25">
      <c r="A218">
        <v>1</v>
      </c>
      <c r="B218">
        <v>158</v>
      </c>
      <c r="C218" s="29">
        <v>12</v>
      </c>
      <c r="D218">
        <v>0.06</v>
      </c>
      <c r="E218">
        <v>17</v>
      </c>
      <c r="F218">
        <v>200000000</v>
      </c>
      <c r="H218" s="24">
        <f>_xlfn.CEILING.MATH(('analog-mvmu-specs'!B$14)/(D218*10^6))</f>
        <v>1</v>
      </c>
      <c r="I218" s="36">
        <f t="shared" si="24"/>
        <v>2</v>
      </c>
      <c r="J218" s="24">
        <f t="shared" si="24"/>
        <v>4</v>
      </c>
      <c r="L218">
        <f t="shared" si="25"/>
        <v>4096</v>
      </c>
      <c r="M218" s="1">
        <f>(32*16*16)*L218*'analog-mvmu-specs'!J$24</f>
        <v>78517.370880000002</v>
      </c>
      <c r="N218" s="1">
        <f t="shared" si="26"/>
        <v>139264</v>
      </c>
      <c r="O218" s="38">
        <f t="shared" si="27"/>
        <v>53.169280000000001</v>
      </c>
      <c r="Q218" s="1">
        <f t="shared" si="28"/>
        <v>640</v>
      </c>
      <c r="R218" s="1">
        <f t="shared" si="29"/>
        <v>10240</v>
      </c>
      <c r="S218" s="40">
        <f t="shared" si="30"/>
        <v>2.5</v>
      </c>
      <c r="U218" s="1">
        <f t="shared" si="31"/>
        <v>36.053299950648196</v>
      </c>
    </row>
    <row r="219" spans="1:21" x14ac:dyDescent="0.25">
      <c r="A219">
        <v>1</v>
      </c>
      <c r="B219">
        <v>177</v>
      </c>
      <c r="C219" s="29">
        <v>12</v>
      </c>
      <c r="D219">
        <v>0.43136094674556202</v>
      </c>
      <c r="E219">
        <v>11.2932692307692</v>
      </c>
      <c r="F219">
        <v>2311111111.1111102</v>
      </c>
      <c r="H219" s="24">
        <f>_xlfn.CEILING.MATH(('analog-mvmu-specs'!B$14)/(D219*10^6))</f>
        <v>1</v>
      </c>
      <c r="I219" s="36">
        <f t="shared" si="24"/>
        <v>2</v>
      </c>
      <c r="J219" s="24">
        <f t="shared" si="24"/>
        <v>4</v>
      </c>
      <c r="L219">
        <f t="shared" si="25"/>
        <v>4096</v>
      </c>
      <c r="M219" s="1">
        <f>(32*16*16)*L219*'analog-mvmu-specs'!J$24</f>
        <v>78517.370880000002</v>
      </c>
      <c r="N219" s="1">
        <f t="shared" si="26"/>
        <v>92514.461538461284</v>
      </c>
      <c r="O219" s="38">
        <f t="shared" si="27"/>
        <v>41.755818461538396</v>
      </c>
      <c r="Q219" s="1">
        <f t="shared" si="28"/>
        <v>55.384615384615408</v>
      </c>
      <c r="R219" s="1">
        <f t="shared" si="29"/>
        <v>886.15384615384653</v>
      </c>
      <c r="S219" s="40">
        <f t="shared" si="30"/>
        <v>0.21634615384615394</v>
      </c>
      <c r="U219" s="1">
        <f t="shared" si="31"/>
        <v>45.908045168979193</v>
      </c>
    </row>
    <row r="220" spans="1:21" x14ac:dyDescent="0.25">
      <c r="A220">
        <v>1</v>
      </c>
      <c r="B220">
        <v>178</v>
      </c>
      <c r="C220" s="29">
        <v>12</v>
      </c>
      <c r="D220">
        <v>0.23969387755102001</v>
      </c>
      <c r="E220">
        <v>47.138073979591802</v>
      </c>
      <c r="F220">
        <v>497777777.77777702</v>
      </c>
      <c r="H220" s="24">
        <f>_xlfn.CEILING.MATH(('analog-mvmu-specs'!B$14)/(D220*10^6))</f>
        <v>1</v>
      </c>
      <c r="I220" s="36">
        <f t="shared" si="24"/>
        <v>2</v>
      </c>
      <c r="J220" s="24">
        <f t="shared" si="24"/>
        <v>4</v>
      </c>
      <c r="L220">
        <f t="shared" si="25"/>
        <v>4096</v>
      </c>
      <c r="M220" s="1">
        <f>(32*16*16)*L220*'analog-mvmu-specs'!J$24</f>
        <v>78517.370880000002</v>
      </c>
      <c r="N220" s="1">
        <f t="shared" si="26"/>
        <v>386155.10204081604</v>
      </c>
      <c r="O220" s="38">
        <f t="shared" si="27"/>
        <v>113.4454279591836</v>
      </c>
      <c r="Q220" s="1">
        <f t="shared" si="28"/>
        <v>257.14285714285751</v>
      </c>
      <c r="R220" s="1">
        <f t="shared" si="29"/>
        <v>4114.2857142857201</v>
      </c>
      <c r="S220" s="40">
        <f t="shared" si="30"/>
        <v>1.0044642857142871</v>
      </c>
      <c r="U220" s="1">
        <f t="shared" si="31"/>
        <v>16.897357914588586</v>
      </c>
    </row>
    <row r="221" spans="1:21" x14ac:dyDescent="0.25">
      <c r="A221">
        <v>1</v>
      </c>
      <c r="B221">
        <v>191</v>
      </c>
      <c r="C221" s="29">
        <v>12</v>
      </c>
      <c r="D221">
        <v>1.6014030612244801</v>
      </c>
      <c r="E221">
        <v>61.128826530612201</v>
      </c>
      <c r="F221">
        <v>373333333.33333302</v>
      </c>
      <c r="H221" s="24">
        <f>_xlfn.CEILING.MATH(('analog-mvmu-specs'!B$14)/(D221*10^6))</f>
        <v>1</v>
      </c>
      <c r="I221" s="36">
        <f t="shared" si="24"/>
        <v>2</v>
      </c>
      <c r="J221" s="24">
        <f t="shared" si="24"/>
        <v>4</v>
      </c>
      <c r="L221">
        <f t="shared" si="25"/>
        <v>4096</v>
      </c>
      <c r="M221" s="1">
        <f>(32*16*16)*L221*'analog-mvmu-specs'!J$24</f>
        <v>78517.370880000002</v>
      </c>
      <c r="N221" s="1">
        <f t="shared" si="26"/>
        <v>500767.34693877515</v>
      </c>
      <c r="O221" s="38">
        <f t="shared" si="27"/>
        <v>141.42693306122442</v>
      </c>
      <c r="Q221" s="1">
        <f t="shared" si="28"/>
        <v>342.85714285714317</v>
      </c>
      <c r="R221" s="1">
        <f t="shared" si="29"/>
        <v>5485.7142857142908</v>
      </c>
      <c r="S221" s="40">
        <f t="shared" si="30"/>
        <v>1.3392857142857155</v>
      </c>
      <c r="U221" s="1">
        <f t="shared" si="31"/>
        <v>13.55419338104541</v>
      </c>
    </row>
    <row r="222" spans="1:21" x14ac:dyDescent="0.25">
      <c r="A222">
        <v>1</v>
      </c>
      <c r="B222">
        <v>195</v>
      </c>
      <c r="C222" s="29">
        <v>12</v>
      </c>
      <c r="D222">
        <v>1.7718749999999998E-2</v>
      </c>
      <c r="E222">
        <v>3.22734374999999</v>
      </c>
      <c r="F222">
        <v>177777.777777777</v>
      </c>
      <c r="H222" s="24">
        <f>_xlfn.CEILING.MATH(('analog-mvmu-specs'!B$14)/(D222*10^6))</f>
        <v>2</v>
      </c>
      <c r="I222" s="36">
        <f t="shared" si="24"/>
        <v>4</v>
      </c>
      <c r="J222" s="24">
        <f t="shared" si="24"/>
        <v>8</v>
      </c>
      <c r="L222">
        <f t="shared" si="25"/>
        <v>4096</v>
      </c>
      <c r="M222" s="1">
        <f>(32*16*16)*L222*'analog-mvmu-specs'!J$24</f>
        <v>78517.370880000002</v>
      </c>
      <c r="N222" s="1">
        <f t="shared" si="26"/>
        <v>26438.399999999918</v>
      </c>
      <c r="O222" s="38">
        <f t="shared" si="27"/>
        <v>25.623967499999981</v>
      </c>
      <c r="Q222" s="1">
        <f t="shared" si="28"/>
        <v>360000.00000000157</v>
      </c>
      <c r="R222" s="1">
        <f t="shared" si="29"/>
        <v>5760000.0000000251</v>
      </c>
      <c r="S222" s="40">
        <f t="shared" si="30"/>
        <v>1406.2500000000061</v>
      </c>
      <c r="U222" s="1">
        <f t="shared" si="31"/>
        <v>74.80996063548713</v>
      </c>
    </row>
    <row r="223" spans="1:21" x14ac:dyDescent="0.25">
      <c r="A223">
        <v>1</v>
      </c>
      <c r="B223">
        <v>197</v>
      </c>
      <c r="C223" s="29">
        <v>12</v>
      </c>
      <c r="D223">
        <v>6.1989795918367299E-2</v>
      </c>
      <c r="E223">
        <v>113.647959183673</v>
      </c>
      <c r="F223">
        <v>93333333.333333299</v>
      </c>
      <c r="H223" s="24">
        <f>_xlfn.CEILING.MATH(('analog-mvmu-specs'!B$14)/(D223*10^6))</f>
        <v>1</v>
      </c>
      <c r="I223" s="36">
        <f t="shared" si="24"/>
        <v>2</v>
      </c>
      <c r="J223" s="24">
        <f t="shared" si="24"/>
        <v>4</v>
      </c>
      <c r="L223">
        <f t="shared" si="25"/>
        <v>4096</v>
      </c>
      <c r="M223" s="1">
        <f>(32*16*16)*L223*'analog-mvmu-specs'!J$24</f>
        <v>78517.370880000002</v>
      </c>
      <c r="N223" s="1">
        <f t="shared" si="26"/>
        <v>931004.08163264918</v>
      </c>
      <c r="O223" s="38">
        <f t="shared" si="27"/>
        <v>246.46519836734598</v>
      </c>
      <c r="Q223" s="1">
        <f t="shared" si="28"/>
        <v>1371.428571428572</v>
      </c>
      <c r="R223" s="1">
        <f t="shared" si="29"/>
        <v>21942.857142857152</v>
      </c>
      <c r="S223" s="40">
        <f t="shared" si="30"/>
        <v>5.3571428571428594</v>
      </c>
      <c r="U223" s="1">
        <f t="shared" si="31"/>
        <v>7.7776822557434651</v>
      </c>
    </row>
    <row r="224" spans="1:21" x14ac:dyDescent="0.25">
      <c r="A224">
        <v>1</v>
      </c>
      <c r="B224">
        <v>202</v>
      </c>
      <c r="C224" s="29">
        <v>12</v>
      </c>
      <c r="D224">
        <v>9.2390624999999907E-2</v>
      </c>
      <c r="E224">
        <v>39.234375</v>
      </c>
      <c r="F224">
        <v>888888.88888888794</v>
      </c>
      <c r="H224" s="24">
        <f>_xlfn.CEILING.MATH(('analog-mvmu-specs'!B$14)/(D224*10^6))</f>
        <v>1</v>
      </c>
      <c r="I224" s="36">
        <f t="shared" si="24"/>
        <v>2</v>
      </c>
      <c r="J224" s="24">
        <f t="shared" si="24"/>
        <v>4</v>
      </c>
      <c r="L224">
        <f t="shared" si="25"/>
        <v>4096</v>
      </c>
      <c r="M224" s="1">
        <f>(32*16*16)*L224*'analog-mvmu-specs'!J$24</f>
        <v>78517.370880000002</v>
      </c>
      <c r="N224" s="1">
        <f t="shared" si="26"/>
        <v>321408</v>
      </c>
      <c r="O224" s="38">
        <f t="shared" si="27"/>
        <v>97.638030000000001</v>
      </c>
      <c r="Q224" s="1">
        <f t="shared" si="28"/>
        <v>144000.00000000015</v>
      </c>
      <c r="R224" s="1">
        <f t="shared" si="29"/>
        <v>2304000.0000000023</v>
      </c>
      <c r="S224" s="40">
        <f t="shared" si="30"/>
        <v>562.50000000000057</v>
      </c>
      <c r="U224" s="1">
        <f t="shared" si="31"/>
        <v>19.63300570484677</v>
      </c>
    </row>
    <row r="225" spans="1:21" x14ac:dyDescent="0.25">
      <c r="A225">
        <v>1</v>
      </c>
      <c r="B225">
        <v>216</v>
      </c>
      <c r="C225" s="29">
        <v>12</v>
      </c>
      <c r="D225">
        <v>3.2906249999999998E-2</v>
      </c>
      <c r="E225">
        <v>24.6796875</v>
      </c>
      <c r="F225">
        <v>177777777.77777699</v>
      </c>
      <c r="H225" s="24">
        <f>_xlfn.CEILING.MATH(('analog-mvmu-specs'!B$14)/(D225*10^6))</f>
        <v>1</v>
      </c>
      <c r="I225" s="36">
        <f t="shared" si="24"/>
        <v>2</v>
      </c>
      <c r="J225" s="24">
        <f t="shared" si="24"/>
        <v>4</v>
      </c>
      <c r="L225">
        <f t="shared" si="25"/>
        <v>4096</v>
      </c>
      <c r="M225" s="1">
        <f>(32*16*16)*L225*'analog-mvmu-specs'!J$24</f>
        <v>78517.370880000002</v>
      </c>
      <c r="N225" s="1">
        <f t="shared" si="26"/>
        <v>202176</v>
      </c>
      <c r="O225" s="38">
        <f t="shared" si="27"/>
        <v>68.528655000000001</v>
      </c>
      <c r="Q225" s="1">
        <f t="shared" si="28"/>
        <v>720.00000000000318</v>
      </c>
      <c r="R225" s="1">
        <f t="shared" si="29"/>
        <v>11520.000000000051</v>
      </c>
      <c r="S225" s="40">
        <f t="shared" si="30"/>
        <v>2.8125000000000124</v>
      </c>
      <c r="U225" s="1">
        <f t="shared" si="31"/>
        <v>27.972648813842909</v>
      </c>
    </row>
    <row r="226" spans="1:21" x14ac:dyDescent="0.25">
      <c r="A226">
        <v>0</v>
      </c>
      <c r="B226">
        <v>34</v>
      </c>
      <c r="C226" s="29">
        <v>13</v>
      </c>
      <c r="D226">
        <v>7.0469999999999894E-2</v>
      </c>
      <c r="E226">
        <v>162</v>
      </c>
      <c r="F226">
        <v>444444444.444444</v>
      </c>
      <c r="H226" s="24">
        <f>_xlfn.CEILING.MATH(('analog-mvmu-specs'!B$14)/(D226*10^6))</f>
        <v>1</v>
      </c>
      <c r="I226" s="36">
        <f t="shared" si="24"/>
        <v>2</v>
      </c>
      <c r="J226" s="24">
        <f t="shared" si="24"/>
        <v>4</v>
      </c>
      <c r="L226">
        <f t="shared" si="25"/>
        <v>8192</v>
      </c>
      <c r="M226" s="1">
        <f>(32*16*16)*L226*'analog-mvmu-specs'!J$24</f>
        <v>157034.74176</v>
      </c>
      <c r="N226" s="1">
        <f t="shared" si="26"/>
        <v>1327104</v>
      </c>
      <c r="O226" s="38">
        <f t="shared" si="27"/>
        <v>181.16928000000001</v>
      </c>
      <c r="Q226" s="1">
        <f t="shared" si="28"/>
        <v>288.00000000000028</v>
      </c>
      <c r="R226" s="1">
        <f t="shared" si="29"/>
        <v>4608.0000000000045</v>
      </c>
      <c r="S226" s="40">
        <f t="shared" si="30"/>
        <v>0.56250000000000056</v>
      </c>
      <c r="U226" s="1">
        <f t="shared" si="31"/>
        <v>10.580866689981876</v>
      </c>
    </row>
    <row r="227" spans="1:21" x14ac:dyDescent="0.25">
      <c r="A227">
        <v>0</v>
      </c>
      <c r="B227">
        <v>139</v>
      </c>
      <c r="C227" s="29">
        <v>13</v>
      </c>
      <c r="D227">
        <v>0.22500000000000001</v>
      </c>
      <c r="E227">
        <v>418.75</v>
      </c>
      <c r="F227">
        <v>160000000</v>
      </c>
      <c r="H227" s="24">
        <f>_xlfn.CEILING.MATH(('analog-mvmu-specs'!B$14)/(D227*10^6))</f>
        <v>1</v>
      </c>
      <c r="I227" s="36">
        <f t="shared" si="24"/>
        <v>2</v>
      </c>
      <c r="J227" s="24">
        <f t="shared" si="24"/>
        <v>4</v>
      </c>
      <c r="L227">
        <f t="shared" si="25"/>
        <v>8192</v>
      </c>
      <c r="M227" s="1">
        <f>(32*16*16)*L227*'analog-mvmu-specs'!J$24</f>
        <v>157034.74176</v>
      </c>
      <c r="N227" s="1">
        <f t="shared" si="26"/>
        <v>3430400</v>
      </c>
      <c r="O227" s="38">
        <f t="shared" si="27"/>
        <v>437.91928000000001</v>
      </c>
      <c r="Q227" s="1">
        <f t="shared" si="28"/>
        <v>800</v>
      </c>
      <c r="R227" s="1">
        <f t="shared" si="29"/>
        <v>12800</v>
      </c>
      <c r="S227" s="40">
        <f t="shared" si="30"/>
        <v>1.5625</v>
      </c>
      <c r="U227" s="1">
        <f t="shared" si="31"/>
        <v>4.3773546576894269</v>
      </c>
    </row>
    <row r="228" spans="1:21" x14ac:dyDescent="0.25">
      <c r="A228">
        <v>0</v>
      </c>
      <c r="B228">
        <v>273</v>
      </c>
      <c r="C228" s="29">
        <v>13</v>
      </c>
      <c r="D228">
        <v>2.3964497041420101E-2</v>
      </c>
      <c r="E228">
        <v>9.5857988165680403</v>
      </c>
      <c r="F228">
        <v>72222222.222222194</v>
      </c>
      <c r="H228" s="24">
        <f>_xlfn.CEILING.MATH(('analog-mvmu-specs'!B$14)/(D228*10^6))</f>
        <v>2</v>
      </c>
      <c r="I228" s="36">
        <f t="shared" si="24"/>
        <v>4</v>
      </c>
      <c r="J228" s="24">
        <f t="shared" si="24"/>
        <v>8</v>
      </c>
      <c r="L228">
        <f t="shared" si="25"/>
        <v>8192</v>
      </c>
      <c r="M228" s="1">
        <f>(32*16*16)*L228*'analog-mvmu-specs'!J$24</f>
        <v>157034.74176</v>
      </c>
      <c r="N228" s="1">
        <f t="shared" si="26"/>
        <v>78526.863905325386</v>
      </c>
      <c r="O228" s="38">
        <f t="shared" si="27"/>
        <v>28.755078816568041</v>
      </c>
      <c r="Q228" s="1">
        <f t="shared" si="28"/>
        <v>886.15384615384653</v>
      </c>
      <c r="R228" s="1">
        <f t="shared" si="29"/>
        <v>14178.461538461544</v>
      </c>
      <c r="S228" s="40">
        <f t="shared" si="30"/>
        <v>1.7307692307692315</v>
      </c>
      <c r="U228" s="1">
        <f t="shared" si="31"/>
        <v>66.663980030390618</v>
      </c>
    </row>
    <row r="229" spans="1:21" x14ac:dyDescent="0.25">
      <c r="A229">
        <v>0</v>
      </c>
      <c r="B229">
        <v>274</v>
      </c>
      <c r="C229" s="29">
        <v>13</v>
      </c>
      <c r="D229">
        <v>8.5429687500000004E-2</v>
      </c>
      <c r="E229">
        <v>9.0966796875</v>
      </c>
      <c r="F229">
        <v>5688888.8888888797</v>
      </c>
      <c r="H229" s="24">
        <f>_xlfn.CEILING.MATH(('analog-mvmu-specs'!B$14)/(D229*10^6))</f>
        <v>1</v>
      </c>
      <c r="I229" s="36">
        <f t="shared" si="24"/>
        <v>2</v>
      </c>
      <c r="J229" s="24">
        <f t="shared" si="24"/>
        <v>4</v>
      </c>
      <c r="L229">
        <f t="shared" si="25"/>
        <v>8192</v>
      </c>
      <c r="M229" s="1">
        <f>(32*16*16)*L229*'analog-mvmu-specs'!J$24</f>
        <v>157034.74176</v>
      </c>
      <c r="N229" s="1">
        <f t="shared" si="26"/>
        <v>74520</v>
      </c>
      <c r="O229" s="38">
        <f t="shared" si="27"/>
        <v>28.265959687500001</v>
      </c>
      <c r="Q229" s="1">
        <f t="shared" si="28"/>
        <v>22500.000000000036</v>
      </c>
      <c r="R229" s="1">
        <f t="shared" si="29"/>
        <v>360000.00000000058</v>
      </c>
      <c r="S229" s="40">
        <f t="shared" si="30"/>
        <v>43.945312500000071</v>
      </c>
      <c r="U229" s="1">
        <f t="shared" si="31"/>
        <v>67.817545244986661</v>
      </c>
    </row>
    <row r="230" spans="1:21" x14ac:dyDescent="0.25">
      <c r="A230">
        <v>0</v>
      </c>
      <c r="B230">
        <v>275</v>
      </c>
      <c r="C230" s="29">
        <v>13</v>
      </c>
      <c r="D230">
        <v>0.59406887755102</v>
      </c>
      <c r="E230">
        <v>246.66772959183601</v>
      </c>
      <c r="F230">
        <v>497777777.77777702</v>
      </c>
      <c r="H230" s="24">
        <f>_xlfn.CEILING.MATH(('analog-mvmu-specs'!B$14)/(D230*10^6))</f>
        <v>1</v>
      </c>
      <c r="I230" s="36">
        <f t="shared" si="24"/>
        <v>2</v>
      </c>
      <c r="J230" s="24">
        <f t="shared" si="24"/>
        <v>4</v>
      </c>
      <c r="L230">
        <f t="shared" si="25"/>
        <v>8192</v>
      </c>
      <c r="M230" s="1">
        <f>(32*16*16)*L230*'analog-mvmu-specs'!J$24</f>
        <v>157034.74176</v>
      </c>
      <c r="N230" s="1">
        <f t="shared" si="26"/>
        <v>2020702.0408163206</v>
      </c>
      <c r="O230" s="38">
        <f t="shared" si="27"/>
        <v>265.83700959183602</v>
      </c>
      <c r="Q230" s="1">
        <f t="shared" si="28"/>
        <v>257.14285714285751</v>
      </c>
      <c r="R230" s="1">
        <f t="shared" si="29"/>
        <v>4114.2857142857201</v>
      </c>
      <c r="S230" s="40">
        <f t="shared" si="30"/>
        <v>0.50223214285714357</v>
      </c>
      <c r="U230" s="1">
        <f t="shared" si="31"/>
        <v>7.2109146989850492</v>
      </c>
    </row>
    <row r="231" spans="1:21" x14ac:dyDescent="0.25">
      <c r="A231">
        <v>0</v>
      </c>
      <c r="B231">
        <v>293</v>
      </c>
      <c r="C231" s="29">
        <v>13</v>
      </c>
      <c r="D231">
        <v>1.8984375</v>
      </c>
      <c r="E231">
        <v>593.26171875</v>
      </c>
      <c r="F231">
        <v>1422222222.2222199</v>
      </c>
      <c r="H231" s="24">
        <f>_xlfn.CEILING.MATH(('analog-mvmu-specs'!B$14)/(D231*10^6))</f>
        <v>1</v>
      </c>
      <c r="I231" s="36">
        <f t="shared" si="24"/>
        <v>2</v>
      </c>
      <c r="J231" s="24">
        <f t="shared" si="24"/>
        <v>4</v>
      </c>
      <c r="L231">
        <f t="shared" si="25"/>
        <v>8192</v>
      </c>
      <c r="M231" s="1">
        <f>(32*16*16)*L231*'analog-mvmu-specs'!J$24</f>
        <v>157034.74176</v>
      </c>
      <c r="N231" s="1">
        <f t="shared" si="26"/>
        <v>4860000</v>
      </c>
      <c r="O231" s="38">
        <f t="shared" si="27"/>
        <v>612.43099874999996</v>
      </c>
      <c r="Q231" s="1">
        <f t="shared" si="28"/>
        <v>90.000000000000142</v>
      </c>
      <c r="R231" s="1">
        <f t="shared" si="29"/>
        <v>1440.0000000000023</v>
      </c>
      <c r="S231" s="40">
        <f t="shared" si="30"/>
        <v>0.17578125000000028</v>
      </c>
      <c r="U231" s="1">
        <f t="shared" si="31"/>
        <v>3.1300309813065295</v>
      </c>
    </row>
    <row r="232" spans="1:21" x14ac:dyDescent="0.25">
      <c r="A232">
        <v>0</v>
      </c>
      <c r="B232">
        <v>297</v>
      </c>
      <c r="C232" s="29">
        <v>13</v>
      </c>
      <c r="D232">
        <v>8.2265625</v>
      </c>
      <c r="E232">
        <v>1014.4775390625</v>
      </c>
      <c r="F232">
        <v>1422222222.2222199</v>
      </c>
      <c r="H232" s="24">
        <f>_xlfn.CEILING.MATH(('analog-mvmu-specs'!B$14)/(D232*10^6))</f>
        <v>1</v>
      </c>
      <c r="I232" s="36">
        <f t="shared" si="24"/>
        <v>2</v>
      </c>
      <c r="J232" s="24">
        <f t="shared" si="24"/>
        <v>4</v>
      </c>
      <c r="L232">
        <f t="shared" si="25"/>
        <v>8192</v>
      </c>
      <c r="M232" s="1">
        <f>(32*16*16)*L232*'analog-mvmu-specs'!J$24</f>
        <v>157034.74176</v>
      </c>
      <c r="N232" s="1">
        <f t="shared" si="26"/>
        <v>8310600</v>
      </c>
      <c r="O232" s="38">
        <f t="shared" si="27"/>
        <v>1033.6468190625001</v>
      </c>
      <c r="Q232" s="1">
        <f t="shared" si="28"/>
        <v>90.000000000000142</v>
      </c>
      <c r="R232" s="1">
        <f t="shared" si="29"/>
        <v>1440.0000000000023</v>
      </c>
      <c r="S232" s="40">
        <f t="shared" si="30"/>
        <v>0.17578125000000028</v>
      </c>
      <c r="U232" s="1">
        <f t="shared" si="31"/>
        <v>1.8545289983464768</v>
      </c>
    </row>
    <row r="233" spans="1:21" x14ac:dyDescent="0.25">
      <c r="A233">
        <v>0</v>
      </c>
      <c r="B233">
        <v>318</v>
      </c>
      <c r="C233" s="29">
        <v>13</v>
      </c>
      <c r="D233">
        <v>1.4749999999999999E-2</v>
      </c>
      <c r="E233">
        <v>0.59074074074074001</v>
      </c>
      <c r="F233">
        <v>540000</v>
      </c>
      <c r="H233" s="24">
        <f>_xlfn.CEILING.MATH(('analog-mvmu-specs'!B$14)/(D233*10^6))</f>
        <v>2</v>
      </c>
      <c r="I233" s="36">
        <f t="shared" si="24"/>
        <v>4</v>
      </c>
      <c r="J233" s="24">
        <f t="shared" si="24"/>
        <v>8</v>
      </c>
      <c r="L233">
        <f t="shared" si="25"/>
        <v>8192</v>
      </c>
      <c r="M233" s="1">
        <f>(32*16*16)*L233*'analog-mvmu-specs'!J$24</f>
        <v>157034.74176</v>
      </c>
      <c r="N233" s="1">
        <f t="shared" si="26"/>
        <v>4839.3481481481422</v>
      </c>
      <c r="O233" s="38">
        <f t="shared" si="27"/>
        <v>19.760020740740739</v>
      </c>
      <c r="Q233" s="1">
        <f t="shared" si="28"/>
        <v>118518.51851851853</v>
      </c>
      <c r="R233" s="1">
        <f t="shared" si="29"/>
        <v>1896296.2962962964</v>
      </c>
      <c r="S233" s="40">
        <f t="shared" si="30"/>
        <v>231.4814814814815</v>
      </c>
      <c r="U233" s="1">
        <f t="shared" si="31"/>
        <v>97.01042449048262</v>
      </c>
    </row>
    <row r="234" spans="1:21" x14ac:dyDescent="0.25">
      <c r="A234">
        <v>0</v>
      </c>
      <c r="B234">
        <v>329</v>
      </c>
      <c r="C234" s="29">
        <v>13</v>
      </c>
      <c r="D234">
        <v>2.5402366863905301E-2</v>
      </c>
      <c r="E234">
        <v>1.96508875739644</v>
      </c>
      <c r="F234">
        <v>28888888.888888799</v>
      </c>
      <c r="H234" s="24">
        <f>_xlfn.CEILING.MATH(('analog-mvmu-specs'!B$14)/(D234*10^6))</f>
        <v>2</v>
      </c>
      <c r="I234" s="36">
        <f t="shared" si="24"/>
        <v>4</v>
      </c>
      <c r="J234" s="24">
        <f t="shared" si="24"/>
        <v>8</v>
      </c>
      <c r="L234">
        <f t="shared" si="25"/>
        <v>8192</v>
      </c>
      <c r="M234" s="1">
        <f>(32*16*16)*L234*'analog-mvmu-specs'!J$24</f>
        <v>157034.74176</v>
      </c>
      <c r="N234" s="1">
        <f t="shared" si="26"/>
        <v>16098.007100591636</v>
      </c>
      <c r="O234" s="38">
        <f t="shared" si="27"/>
        <v>21.134368757396441</v>
      </c>
      <c r="Q234" s="1">
        <f t="shared" si="28"/>
        <v>2215.3846153846225</v>
      </c>
      <c r="R234" s="1">
        <f t="shared" si="29"/>
        <v>35446.15384615396</v>
      </c>
      <c r="S234" s="40">
        <f t="shared" si="30"/>
        <v>4.3269230769230909</v>
      </c>
      <c r="U234" s="1">
        <f t="shared" si="31"/>
        <v>90.701928314235957</v>
      </c>
    </row>
    <row r="235" spans="1:21" x14ac:dyDescent="0.25">
      <c r="A235">
        <v>1</v>
      </c>
      <c r="B235">
        <v>73</v>
      </c>
      <c r="C235" s="29">
        <v>13</v>
      </c>
      <c r="D235">
        <v>5.5625000000000001E-2</v>
      </c>
      <c r="E235">
        <v>35</v>
      </c>
      <c r="F235">
        <v>1000000000</v>
      </c>
      <c r="H235" s="24">
        <f>_xlfn.CEILING.MATH(('analog-mvmu-specs'!B$14)/(D235*10^6))</f>
        <v>1</v>
      </c>
      <c r="I235" s="36">
        <f t="shared" si="24"/>
        <v>2</v>
      </c>
      <c r="J235" s="24">
        <f t="shared" si="24"/>
        <v>4</v>
      </c>
      <c r="L235">
        <f t="shared" si="25"/>
        <v>8192</v>
      </c>
      <c r="M235" s="1">
        <f>(32*16*16)*L235*'analog-mvmu-specs'!J$24</f>
        <v>157034.74176</v>
      </c>
      <c r="N235" s="1">
        <f t="shared" si="26"/>
        <v>286720</v>
      </c>
      <c r="O235" s="38">
        <f t="shared" si="27"/>
        <v>54.169280000000001</v>
      </c>
      <c r="Q235" s="1">
        <f t="shared" si="28"/>
        <v>128</v>
      </c>
      <c r="R235" s="1">
        <f t="shared" si="29"/>
        <v>2048</v>
      </c>
      <c r="S235" s="40">
        <f t="shared" si="30"/>
        <v>0.25</v>
      </c>
      <c r="U235" s="1">
        <f t="shared" si="31"/>
        <v>35.387732678004951</v>
      </c>
    </row>
    <row r="236" spans="1:21" x14ac:dyDescent="0.25">
      <c r="A236">
        <v>1</v>
      </c>
      <c r="B236">
        <v>206</v>
      </c>
      <c r="C236" s="29">
        <v>13</v>
      </c>
      <c r="D236">
        <v>8.701171875</v>
      </c>
      <c r="E236">
        <v>1014.08203125</v>
      </c>
      <c r="F236">
        <v>1777777777.77777</v>
      </c>
      <c r="H236" s="24">
        <f>_xlfn.CEILING.MATH(('analog-mvmu-specs'!B$14)/(D236*10^6))</f>
        <v>1</v>
      </c>
      <c r="I236" s="36">
        <f t="shared" si="24"/>
        <v>2</v>
      </c>
      <c r="J236" s="24">
        <f t="shared" si="24"/>
        <v>4</v>
      </c>
      <c r="L236">
        <f t="shared" si="25"/>
        <v>8192</v>
      </c>
      <c r="M236" s="1">
        <f>(32*16*16)*L236*'analog-mvmu-specs'!J$24</f>
        <v>157034.74176</v>
      </c>
      <c r="N236" s="1">
        <f t="shared" si="26"/>
        <v>8307360</v>
      </c>
      <c r="O236" s="38">
        <f t="shared" si="27"/>
        <v>1033.2513112500001</v>
      </c>
      <c r="Q236" s="1">
        <f t="shared" si="28"/>
        <v>72.000000000000313</v>
      </c>
      <c r="R236" s="1">
        <f t="shared" si="29"/>
        <v>1152.000000000005</v>
      </c>
      <c r="S236" s="40">
        <f t="shared" si="30"/>
        <v>0.14062500000000061</v>
      </c>
      <c r="U236" s="1">
        <f t="shared" si="31"/>
        <v>1.8552388747331481</v>
      </c>
    </row>
    <row r="237" spans="1:21" x14ac:dyDescent="0.25">
      <c r="A237">
        <v>0</v>
      </c>
      <c r="B237">
        <v>38</v>
      </c>
      <c r="C237" s="29">
        <v>14</v>
      </c>
      <c r="D237">
        <v>8.7480000000000002E-2</v>
      </c>
      <c r="E237">
        <v>291.599999999999</v>
      </c>
      <c r="F237">
        <v>222222222.222222</v>
      </c>
      <c r="H237" s="24">
        <f>_xlfn.CEILING.MATH(('analog-mvmu-specs'!B$14)/(D237*10^6))</f>
        <v>1</v>
      </c>
      <c r="I237" s="36">
        <f t="shared" si="24"/>
        <v>2</v>
      </c>
      <c r="J237" s="24">
        <f t="shared" si="24"/>
        <v>4</v>
      </c>
      <c r="L237">
        <f t="shared" si="25"/>
        <v>16384</v>
      </c>
      <c r="M237" s="1">
        <f>(32*16*16)*L237*'analog-mvmu-specs'!J$24</f>
        <v>314069.48352000001</v>
      </c>
      <c r="N237" s="1">
        <f t="shared" si="26"/>
        <v>2388787.1999999918</v>
      </c>
      <c r="O237" s="38">
        <f t="shared" si="27"/>
        <v>164.96927999999951</v>
      </c>
      <c r="Q237" s="1">
        <f t="shared" si="28"/>
        <v>576.00000000000057</v>
      </c>
      <c r="R237" s="1">
        <f t="shared" si="29"/>
        <v>9216.0000000000091</v>
      </c>
      <c r="S237" s="40">
        <f t="shared" si="30"/>
        <v>0.56250000000000056</v>
      </c>
      <c r="U237" s="1">
        <f t="shared" si="31"/>
        <v>11.61990887030607</v>
      </c>
    </row>
    <row r="238" spans="1:21" x14ac:dyDescent="0.25">
      <c r="A238">
        <v>0</v>
      </c>
      <c r="B238">
        <v>50</v>
      </c>
      <c r="C238" s="29">
        <v>14</v>
      </c>
      <c r="D238">
        <v>0.128938775510204</v>
      </c>
      <c r="E238">
        <v>70.089795918367301</v>
      </c>
      <c r="F238">
        <v>583333333.33333302</v>
      </c>
      <c r="H238" s="24">
        <f>_xlfn.CEILING.MATH(('analog-mvmu-specs'!B$14)/(D238*10^6))</f>
        <v>1</v>
      </c>
      <c r="I238" s="36">
        <f t="shared" si="24"/>
        <v>2</v>
      </c>
      <c r="J238" s="24">
        <f t="shared" si="24"/>
        <v>4</v>
      </c>
      <c r="L238">
        <f t="shared" si="25"/>
        <v>16384</v>
      </c>
      <c r="M238" s="1">
        <f>(32*16*16)*L238*'analog-mvmu-specs'!J$24</f>
        <v>314069.48352000001</v>
      </c>
      <c r="N238" s="1">
        <f t="shared" si="26"/>
        <v>574175.60816326493</v>
      </c>
      <c r="O238" s="38">
        <f t="shared" si="27"/>
        <v>54.214177959183651</v>
      </c>
      <c r="Q238" s="1">
        <f t="shared" si="28"/>
        <v>219.42857142857156</v>
      </c>
      <c r="R238" s="1">
        <f t="shared" si="29"/>
        <v>3510.8571428571449</v>
      </c>
      <c r="S238" s="40">
        <f t="shared" si="30"/>
        <v>0.21428571428571441</v>
      </c>
      <c r="U238" s="1">
        <f t="shared" si="31"/>
        <v>35.358426008842223</v>
      </c>
    </row>
    <row r="239" spans="1:21" x14ac:dyDescent="0.25">
      <c r="A239">
        <v>0</v>
      </c>
      <c r="B239">
        <v>51</v>
      </c>
      <c r="C239" s="29">
        <v>14</v>
      </c>
      <c r="D239">
        <v>0.17634374999999999</v>
      </c>
      <c r="E239">
        <v>120.9375</v>
      </c>
      <c r="F239">
        <v>533333333.33333302</v>
      </c>
      <c r="H239" s="24">
        <f>_xlfn.CEILING.MATH(('analog-mvmu-specs'!B$14)/(D239*10^6))</f>
        <v>1</v>
      </c>
      <c r="I239" s="36">
        <f t="shared" si="24"/>
        <v>2</v>
      </c>
      <c r="J239" s="24">
        <f t="shared" si="24"/>
        <v>4</v>
      </c>
      <c r="L239">
        <f t="shared" si="25"/>
        <v>16384</v>
      </c>
      <c r="M239" s="1">
        <f>(32*16*16)*L239*'analog-mvmu-specs'!J$24</f>
        <v>314069.48352000001</v>
      </c>
      <c r="N239" s="1">
        <f t="shared" si="26"/>
        <v>990720</v>
      </c>
      <c r="O239" s="38">
        <f t="shared" si="27"/>
        <v>79.638030000000001</v>
      </c>
      <c r="Q239" s="1">
        <f t="shared" si="28"/>
        <v>240.00000000000014</v>
      </c>
      <c r="R239" s="1">
        <f t="shared" si="29"/>
        <v>3840.0000000000023</v>
      </c>
      <c r="S239" s="40">
        <f t="shared" si="30"/>
        <v>0.23437500000000014</v>
      </c>
      <c r="U239" s="1">
        <f t="shared" si="31"/>
        <v>24.070510031451054</v>
      </c>
    </row>
    <row r="240" spans="1:21" x14ac:dyDescent="0.25">
      <c r="A240">
        <v>0</v>
      </c>
      <c r="B240">
        <v>61</v>
      </c>
      <c r="C240" s="29">
        <v>14</v>
      </c>
      <c r="D240">
        <v>0.17874999999999999</v>
      </c>
      <c r="E240">
        <v>1593.74999999999</v>
      </c>
      <c r="F240">
        <v>16000000</v>
      </c>
      <c r="H240" s="24">
        <f>_xlfn.CEILING.MATH(('analog-mvmu-specs'!B$14)/(D240*10^6))</f>
        <v>1</v>
      </c>
      <c r="I240" s="36">
        <f t="shared" si="24"/>
        <v>2</v>
      </c>
      <c r="J240" s="24">
        <f t="shared" si="24"/>
        <v>4</v>
      </c>
      <c r="L240">
        <f t="shared" si="25"/>
        <v>16384</v>
      </c>
      <c r="M240" s="1">
        <f>(32*16*16)*L240*'analog-mvmu-specs'!J$24</f>
        <v>314069.48352000001</v>
      </c>
      <c r="N240" s="1">
        <f t="shared" si="26"/>
        <v>13055999.999999918</v>
      </c>
      <c r="O240" s="38">
        <f t="shared" si="27"/>
        <v>816.04427999999496</v>
      </c>
      <c r="Q240" s="1">
        <f t="shared" si="28"/>
        <v>8000</v>
      </c>
      <c r="R240" s="1">
        <f t="shared" si="29"/>
        <v>128000</v>
      </c>
      <c r="S240" s="40">
        <f t="shared" si="30"/>
        <v>7.8125</v>
      </c>
      <c r="U240" s="1">
        <f t="shared" si="31"/>
        <v>2.3490490001351545</v>
      </c>
    </row>
    <row r="241" spans="1:21" x14ac:dyDescent="0.25">
      <c r="A241">
        <v>0</v>
      </c>
      <c r="B241">
        <v>69</v>
      </c>
      <c r="C241" s="29">
        <v>14</v>
      </c>
      <c r="D241">
        <v>4.8599999999999997E-2</v>
      </c>
      <c r="E241">
        <v>534.6</v>
      </c>
      <c r="F241">
        <v>11111111.111111101</v>
      </c>
      <c r="H241" s="24">
        <f>_xlfn.CEILING.MATH(('analog-mvmu-specs'!B$14)/(D241*10^6))</f>
        <v>1</v>
      </c>
      <c r="I241" s="36">
        <f t="shared" si="24"/>
        <v>2</v>
      </c>
      <c r="J241" s="24">
        <f t="shared" si="24"/>
        <v>4</v>
      </c>
      <c r="L241">
        <f t="shared" si="25"/>
        <v>16384</v>
      </c>
      <c r="M241" s="1">
        <f>(32*16*16)*L241*'analog-mvmu-specs'!J$24</f>
        <v>314069.48352000001</v>
      </c>
      <c r="N241" s="1">
        <f t="shared" si="26"/>
        <v>4379443.2000000002</v>
      </c>
      <c r="O241" s="38">
        <f t="shared" si="27"/>
        <v>286.46928000000003</v>
      </c>
      <c r="Q241" s="1">
        <f t="shared" si="28"/>
        <v>11520.000000000011</v>
      </c>
      <c r="R241" s="1">
        <f t="shared" si="29"/>
        <v>184320.00000000017</v>
      </c>
      <c r="S241" s="40">
        <f t="shared" si="30"/>
        <v>11.250000000000011</v>
      </c>
      <c r="U241" s="1">
        <f t="shared" si="31"/>
        <v>6.6915656715442573</v>
      </c>
    </row>
    <row r="242" spans="1:21" x14ac:dyDescent="0.25">
      <c r="A242">
        <v>0</v>
      </c>
      <c r="B242">
        <v>83</v>
      </c>
      <c r="C242" s="29">
        <v>14</v>
      </c>
      <c r="D242">
        <v>0.41326530612244899</v>
      </c>
      <c r="E242">
        <v>236.15160349854199</v>
      </c>
      <c r="F242">
        <v>544444444.44444394</v>
      </c>
      <c r="H242" s="24">
        <f>_xlfn.CEILING.MATH(('analog-mvmu-specs'!B$14)/(D242*10^6))</f>
        <v>1</v>
      </c>
      <c r="I242" s="36">
        <f t="shared" si="24"/>
        <v>2</v>
      </c>
      <c r="J242" s="24">
        <f t="shared" si="24"/>
        <v>4</v>
      </c>
      <c r="L242">
        <f t="shared" si="25"/>
        <v>16384</v>
      </c>
      <c r="M242" s="1">
        <f>(32*16*16)*L242*'analog-mvmu-specs'!J$24</f>
        <v>314069.48352000001</v>
      </c>
      <c r="N242" s="1">
        <f t="shared" si="26"/>
        <v>1934553.935860056</v>
      </c>
      <c r="O242" s="38">
        <f t="shared" si="27"/>
        <v>137.24508174927098</v>
      </c>
      <c r="Q242" s="1">
        <f t="shared" si="28"/>
        <v>235.10204081632673</v>
      </c>
      <c r="R242" s="1">
        <f t="shared" si="29"/>
        <v>3761.6326530612278</v>
      </c>
      <c r="S242" s="40">
        <f t="shared" si="30"/>
        <v>0.22959183673469408</v>
      </c>
      <c r="U242" s="1">
        <f t="shared" si="31"/>
        <v>13.967189028325109</v>
      </c>
    </row>
    <row r="243" spans="1:21" x14ac:dyDescent="0.25">
      <c r="A243">
        <v>0</v>
      </c>
      <c r="B243">
        <v>86</v>
      </c>
      <c r="C243" s="29">
        <v>14</v>
      </c>
      <c r="D243">
        <v>5.9374999999999997E-2</v>
      </c>
      <c r="E243">
        <v>500</v>
      </c>
      <c r="F243">
        <v>100000000</v>
      </c>
      <c r="H243" s="24">
        <f>_xlfn.CEILING.MATH(('analog-mvmu-specs'!B$14)/(D243*10^6))</f>
        <v>1</v>
      </c>
      <c r="I243" s="36">
        <f t="shared" si="24"/>
        <v>2</v>
      </c>
      <c r="J243" s="24">
        <f t="shared" si="24"/>
        <v>4</v>
      </c>
      <c r="L243">
        <f t="shared" si="25"/>
        <v>16384</v>
      </c>
      <c r="M243" s="1">
        <f>(32*16*16)*L243*'analog-mvmu-specs'!J$24</f>
        <v>314069.48352000001</v>
      </c>
      <c r="N243" s="1">
        <f t="shared" si="26"/>
        <v>4096000</v>
      </c>
      <c r="O243" s="38">
        <f t="shared" si="27"/>
        <v>269.16928000000001</v>
      </c>
      <c r="Q243" s="1">
        <f t="shared" si="28"/>
        <v>1280</v>
      </c>
      <c r="R243" s="1">
        <f t="shared" si="29"/>
        <v>20480</v>
      </c>
      <c r="S243" s="40">
        <f t="shared" si="30"/>
        <v>1.25</v>
      </c>
      <c r="U243" s="1">
        <f t="shared" si="31"/>
        <v>7.1216447879936373</v>
      </c>
    </row>
    <row r="244" spans="1:21" x14ac:dyDescent="0.25">
      <c r="A244">
        <v>0</v>
      </c>
      <c r="B244">
        <v>103</v>
      </c>
      <c r="C244" s="29">
        <v>14</v>
      </c>
      <c r="D244">
        <v>0.9375</v>
      </c>
      <c r="E244">
        <v>700</v>
      </c>
      <c r="F244">
        <v>40000000</v>
      </c>
      <c r="H244" s="24">
        <f>_xlfn.CEILING.MATH(('analog-mvmu-specs'!B$14)/(D244*10^6))</f>
        <v>1</v>
      </c>
      <c r="I244" s="36">
        <f t="shared" si="24"/>
        <v>2</v>
      </c>
      <c r="J244" s="24">
        <f t="shared" si="24"/>
        <v>4</v>
      </c>
      <c r="L244">
        <f t="shared" si="25"/>
        <v>16384</v>
      </c>
      <c r="M244" s="1">
        <f>(32*16*16)*L244*'analog-mvmu-specs'!J$24</f>
        <v>314069.48352000001</v>
      </c>
      <c r="N244" s="1">
        <f t="shared" si="26"/>
        <v>5734400</v>
      </c>
      <c r="O244" s="38">
        <f t="shared" si="27"/>
        <v>369.16928000000001</v>
      </c>
      <c r="Q244" s="1">
        <f t="shared" si="28"/>
        <v>3200</v>
      </c>
      <c r="R244" s="1">
        <f t="shared" si="29"/>
        <v>51200</v>
      </c>
      <c r="S244" s="40">
        <f t="shared" si="30"/>
        <v>3.125</v>
      </c>
      <c r="U244" s="1">
        <f t="shared" si="31"/>
        <v>5.1925447317826663</v>
      </c>
    </row>
    <row r="245" spans="1:21" x14ac:dyDescent="0.25">
      <c r="A245">
        <v>0</v>
      </c>
      <c r="B245">
        <v>124</v>
      </c>
      <c r="C245" s="29">
        <v>14</v>
      </c>
      <c r="D245">
        <v>0.14378698224851999</v>
      </c>
      <c r="E245">
        <v>59.911242603550299</v>
      </c>
      <c r="F245">
        <v>115555555.555555</v>
      </c>
      <c r="H245" s="24">
        <f>_xlfn.CEILING.MATH(('analog-mvmu-specs'!B$14)/(D245*10^6))</f>
        <v>1</v>
      </c>
      <c r="I245" s="36">
        <f t="shared" si="24"/>
        <v>2</v>
      </c>
      <c r="J245" s="24">
        <f t="shared" si="24"/>
        <v>4</v>
      </c>
      <c r="L245">
        <f t="shared" si="25"/>
        <v>16384</v>
      </c>
      <c r="M245" s="1">
        <f>(32*16*16)*L245*'analog-mvmu-specs'!J$24</f>
        <v>314069.48352000001</v>
      </c>
      <c r="N245" s="1">
        <f t="shared" si="26"/>
        <v>490792.89940828405</v>
      </c>
      <c r="O245" s="38">
        <f t="shared" si="27"/>
        <v>49.124901301775154</v>
      </c>
      <c r="Q245" s="1">
        <f t="shared" si="28"/>
        <v>1107.6923076923131</v>
      </c>
      <c r="R245" s="1">
        <f t="shared" si="29"/>
        <v>17723.076923077009</v>
      </c>
      <c r="S245" s="40">
        <f t="shared" si="30"/>
        <v>1.0817307692307745</v>
      </c>
      <c r="U245" s="1">
        <f t="shared" si="31"/>
        <v>39.021513513569765</v>
      </c>
    </row>
    <row r="246" spans="1:21" x14ac:dyDescent="0.25">
      <c r="A246">
        <v>0</v>
      </c>
      <c r="B246">
        <v>137</v>
      </c>
      <c r="C246" s="29">
        <v>14</v>
      </c>
      <c r="D246">
        <v>0.122218934911242</v>
      </c>
      <c r="E246">
        <v>268.402366863905</v>
      </c>
      <c r="F246">
        <v>288888888.888888</v>
      </c>
      <c r="H246" s="24">
        <f>_xlfn.CEILING.MATH(('analog-mvmu-specs'!B$14)/(D246*10^6))</f>
        <v>1</v>
      </c>
      <c r="I246" s="36">
        <f t="shared" si="24"/>
        <v>2</v>
      </c>
      <c r="J246" s="24">
        <f t="shared" si="24"/>
        <v>4</v>
      </c>
      <c r="L246">
        <f t="shared" si="25"/>
        <v>16384</v>
      </c>
      <c r="M246" s="1">
        <f>(32*16*16)*L246*'analog-mvmu-specs'!J$24</f>
        <v>314069.48352000001</v>
      </c>
      <c r="N246" s="1">
        <f t="shared" si="26"/>
        <v>2198752.1893491098</v>
      </c>
      <c r="O246" s="38">
        <f t="shared" si="27"/>
        <v>153.37046343195249</v>
      </c>
      <c r="Q246" s="1">
        <f t="shared" si="28"/>
        <v>443.07692307692446</v>
      </c>
      <c r="R246" s="1">
        <f t="shared" si="29"/>
        <v>7089.2307692307913</v>
      </c>
      <c r="S246" s="40">
        <f t="shared" si="30"/>
        <v>0.43269230769230904</v>
      </c>
      <c r="U246" s="1">
        <f t="shared" si="31"/>
        <v>12.498677757797244</v>
      </c>
    </row>
    <row r="247" spans="1:21" x14ac:dyDescent="0.25">
      <c r="A247">
        <v>0</v>
      </c>
      <c r="B247">
        <v>151</v>
      </c>
      <c r="C247" s="29">
        <v>14</v>
      </c>
      <c r="D247">
        <v>6.5902366863905298E-2</v>
      </c>
      <c r="E247">
        <v>1581.65680473372</v>
      </c>
      <c r="F247">
        <v>14444444.444444399</v>
      </c>
      <c r="H247" s="24">
        <f>_xlfn.CEILING.MATH(('analog-mvmu-specs'!B$14)/(D247*10^6))</f>
        <v>1</v>
      </c>
      <c r="I247" s="36">
        <f t="shared" si="24"/>
        <v>2</v>
      </c>
      <c r="J247" s="24">
        <f t="shared" si="24"/>
        <v>4</v>
      </c>
      <c r="L247">
        <f t="shared" si="25"/>
        <v>16384</v>
      </c>
      <c r="M247" s="1">
        <f>(32*16*16)*L247*'analog-mvmu-specs'!J$24</f>
        <v>314069.48352000001</v>
      </c>
      <c r="N247" s="1">
        <f t="shared" si="26"/>
        <v>12956932.544378635</v>
      </c>
      <c r="O247" s="38">
        <f t="shared" si="27"/>
        <v>809.99768236685998</v>
      </c>
      <c r="Q247" s="1">
        <f t="shared" si="28"/>
        <v>8861.5384615384901</v>
      </c>
      <c r="R247" s="1">
        <f t="shared" si="29"/>
        <v>141784.61538461584</v>
      </c>
      <c r="S247" s="40">
        <f t="shared" si="30"/>
        <v>8.6538461538461817</v>
      </c>
      <c r="U247" s="1">
        <f t="shared" si="31"/>
        <v>2.3665845492281234</v>
      </c>
    </row>
    <row r="248" spans="1:21" x14ac:dyDescent="0.25">
      <c r="A248">
        <v>0</v>
      </c>
      <c r="B248">
        <v>164</v>
      </c>
      <c r="C248" s="29">
        <v>14</v>
      </c>
      <c r="D248">
        <v>0.45500000000000002</v>
      </c>
      <c r="E248">
        <v>143.75</v>
      </c>
      <c r="F248">
        <v>400000000</v>
      </c>
      <c r="H248" s="24">
        <f>_xlfn.CEILING.MATH(('analog-mvmu-specs'!B$14)/(D248*10^6))</f>
        <v>1</v>
      </c>
      <c r="I248" s="36">
        <f t="shared" si="24"/>
        <v>2</v>
      </c>
      <c r="J248" s="24">
        <f t="shared" si="24"/>
        <v>4</v>
      </c>
      <c r="L248">
        <f t="shared" si="25"/>
        <v>16384</v>
      </c>
      <c r="M248" s="1">
        <f>(32*16*16)*L248*'analog-mvmu-specs'!J$24</f>
        <v>314069.48352000001</v>
      </c>
      <c r="N248" s="1">
        <f t="shared" si="26"/>
        <v>1177600</v>
      </c>
      <c r="O248" s="38">
        <f t="shared" si="27"/>
        <v>91.044280000000001</v>
      </c>
      <c r="Q248" s="1">
        <f t="shared" si="28"/>
        <v>320</v>
      </c>
      <c r="R248" s="1">
        <f t="shared" si="29"/>
        <v>5120</v>
      </c>
      <c r="S248" s="40">
        <f t="shared" si="30"/>
        <v>0.3125</v>
      </c>
      <c r="U248" s="1">
        <f t="shared" si="31"/>
        <v>21.054897682753932</v>
      </c>
    </row>
    <row r="249" spans="1:21" x14ac:dyDescent="0.25">
      <c r="A249">
        <v>0</v>
      </c>
      <c r="B249">
        <v>238</v>
      </c>
      <c r="C249" s="29">
        <v>14</v>
      </c>
      <c r="D249">
        <v>3.5595703125000003E-2</v>
      </c>
      <c r="E249">
        <v>1186.5234375</v>
      </c>
      <c r="F249">
        <v>4740.74074074074</v>
      </c>
      <c r="H249" s="24">
        <f>_xlfn.CEILING.MATH(('analog-mvmu-specs'!B$14)/(D249*10^6))</f>
        <v>1</v>
      </c>
      <c r="I249" s="36">
        <f t="shared" si="24"/>
        <v>2</v>
      </c>
      <c r="J249" s="24">
        <f t="shared" si="24"/>
        <v>4</v>
      </c>
      <c r="L249">
        <f t="shared" si="25"/>
        <v>16384</v>
      </c>
      <c r="M249" s="1">
        <f>(32*16*16)*L249*'analog-mvmu-specs'!J$24</f>
        <v>314069.48352000001</v>
      </c>
      <c r="N249" s="1">
        <f t="shared" si="26"/>
        <v>9720000</v>
      </c>
      <c r="O249" s="38">
        <f t="shared" si="27"/>
        <v>612.43099874999996</v>
      </c>
      <c r="Q249" s="1">
        <f t="shared" si="28"/>
        <v>27000000.000000004</v>
      </c>
      <c r="R249" s="1">
        <f t="shared" si="29"/>
        <v>432000000.00000006</v>
      </c>
      <c r="S249" s="40">
        <f t="shared" si="30"/>
        <v>26367.187500000004</v>
      </c>
      <c r="U249" s="1">
        <f t="shared" si="31"/>
        <v>3.1300309813065295</v>
      </c>
    </row>
    <row r="250" spans="1:21" x14ac:dyDescent="0.25">
      <c r="A250">
        <v>0</v>
      </c>
      <c r="B250">
        <v>245</v>
      </c>
      <c r="C250" s="29">
        <v>14</v>
      </c>
      <c r="D250">
        <v>12.413609467455601</v>
      </c>
      <c r="E250">
        <v>1145.50295857988</v>
      </c>
      <c r="F250">
        <v>7222222222.2222204</v>
      </c>
      <c r="H250" s="24">
        <f>_xlfn.CEILING.MATH(('analog-mvmu-specs'!B$14)/(D250*10^6))</f>
        <v>1</v>
      </c>
      <c r="I250" s="36">
        <f t="shared" si="24"/>
        <v>2</v>
      </c>
      <c r="J250" s="24">
        <f t="shared" si="24"/>
        <v>4</v>
      </c>
      <c r="L250">
        <f t="shared" si="25"/>
        <v>16384</v>
      </c>
      <c r="M250" s="1">
        <f>(32*16*16)*L250*'analog-mvmu-specs'!J$24</f>
        <v>314069.48352000001</v>
      </c>
      <c r="N250" s="1">
        <f t="shared" si="26"/>
        <v>9383960.2366863769</v>
      </c>
      <c r="O250" s="38">
        <f t="shared" si="27"/>
        <v>591.92075928993995</v>
      </c>
      <c r="Q250" s="1">
        <f t="shared" si="28"/>
        <v>17.723076923076928</v>
      </c>
      <c r="R250" s="1">
        <f t="shared" si="29"/>
        <v>283.56923076923084</v>
      </c>
      <c r="S250" s="40">
        <f t="shared" si="30"/>
        <v>1.7307692307692312E-2</v>
      </c>
      <c r="U250" s="1">
        <f t="shared" si="31"/>
        <v>3.2384875338711225</v>
      </c>
    </row>
    <row r="251" spans="1:21" x14ac:dyDescent="0.25">
      <c r="A251">
        <v>0</v>
      </c>
      <c r="B251">
        <v>248</v>
      </c>
      <c r="C251" s="29">
        <v>14</v>
      </c>
      <c r="D251">
        <v>0.26360946745562103</v>
      </c>
      <c r="E251">
        <v>186.323964497041</v>
      </c>
      <c r="F251">
        <v>115555555.555555</v>
      </c>
      <c r="H251" s="24">
        <f>_xlfn.CEILING.MATH(('analog-mvmu-specs'!B$14)/(D251*10^6))</f>
        <v>1</v>
      </c>
      <c r="I251" s="36">
        <f t="shared" si="24"/>
        <v>2</v>
      </c>
      <c r="J251" s="24">
        <f t="shared" si="24"/>
        <v>4</v>
      </c>
      <c r="L251">
        <f t="shared" si="25"/>
        <v>16384</v>
      </c>
      <c r="M251" s="1">
        <f>(32*16*16)*L251*'analog-mvmu-specs'!J$24</f>
        <v>314069.48352000001</v>
      </c>
      <c r="N251" s="1">
        <f t="shared" si="26"/>
        <v>1526365.9171597599</v>
      </c>
      <c r="O251" s="38">
        <f t="shared" si="27"/>
        <v>112.3312622485205</v>
      </c>
      <c r="Q251" s="1">
        <f t="shared" si="28"/>
        <v>1107.6923076923131</v>
      </c>
      <c r="R251" s="1">
        <f t="shared" si="29"/>
        <v>17723.076923077009</v>
      </c>
      <c r="S251" s="40">
        <f t="shared" si="30"/>
        <v>1.0817307692307745</v>
      </c>
      <c r="U251" s="1">
        <f t="shared" si="31"/>
        <v>17.064955575403477</v>
      </c>
    </row>
    <row r="252" spans="1:21" x14ac:dyDescent="0.25">
      <c r="A252">
        <v>0</v>
      </c>
      <c r="B252">
        <v>249</v>
      </c>
      <c r="C252" s="29">
        <v>14</v>
      </c>
      <c r="D252">
        <v>8.6272189349112405E-2</v>
      </c>
      <c r="E252">
        <v>5.2721893491124199</v>
      </c>
      <c r="F252">
        <v>46222.222222222197</v>
      </c>
      <c r="H252" s="24">
        <f>_xlfn.CEILING.MATH(('analog-mvmu-specs'!B$14)/(D252*10^6))</f>
        <v>1</v>
      </c>
      <c r="I252" s="36">
        <f t="shared" si="24"/>
        <v>2</v>
      </c>
      <c r="J252" s="24">
        <f t="shared" si="24"/>
        <v>4</v>
      </c>
      <c r="L252">
        <f t="shared" si="25"/>
        <v>16384</v>
      </c>
      <c r="M252" s="1">
        <f>(32*16*16)*L252*'analog-mvmu-specs'!J$24</f>
        <v>314069.48352000001</v>
      </c>
      <c r="N252" s="1">
        <f t="shared" si="26"/>
        <v>43189.775147928944</v>
      </c>
      <c r="O252" s="38">
        <f t="shared" si="27"/>
        <v>21.805374674556212</v>
      </c>
      <c r="Q252" s="1">
        <f t="shared" si="28"/>
        <v>2769230.7692307709</v>
      </c>
      <c r="R252" s="1">
        <f t="shared" si="29"/>
        <v>44307692.307692334</v>
      </c>
      <c r="S252" s="40">
        <f t="shared" si="30"/>
        <v>2704.3269230769247</v>
      </c>
      <c r="U252" s="1">
        <f t="shared" si="31"/>
        <v>87.910803121249913</v>
      </c>
    </row>
    <row r="253" spans="1:21" x14ac:dyDescent="0.25">
      <c r="A253">
        <v>0</v>
      </c>
      <c r="B253">
        <v>263</v>
      </c>
      <c r="C253" s="29">
        <v>14</v>
      </c>
      <c r="D253">
        <v>8.6272189349112391</v>
      </c>
      <c r="E253">
        <v>575.14792899408201</v>
      </c>
      <c r="F253">
        <v>1444444444.4444399</v>
      </c>
      <c r="H253" s="24">
        <f>_xlfn.CEILING.MATH(('analog-mvmu-specs'!B$14)/(D253*10^6))</f>
        <v>1</v>
      </c>
      <c r="I253" s="36">
        <f t="shared" si="24"/>
        <v>2</v>
      </c>
      <c r="J253" s="24">
        <f t="shared" si="24"/>
        <v>4</v>
      </c>
      <c r="L253">
        <f t="shared" si="25"/>
        <v>16384</v>
      </c>
      <c r="M253" s="1">
        <f>(32*16*16)*L253*'analog-mvmu-specs'!J$24</f>
        <v>314069.48352000001</v>
      </c>
      <c r="N253" s="1">
        <f t="shared" si="26"/>
        <v>4711611.8343195198</v>
      </c>
      <c r="O253" s="38">
        <f t="shared" si="27"/>
        <v>306.74324449704102</v>
      </c>
      <c r="Q253" s="1">
        <f t="shared" si="28"/>
        <v>88.615384615384897</v>
      </c>
      <c r="R253" s="1">
        <f t="shared" si="29"/>
        <v>1417.8461538461584</v>
      </c>
      <c r="S253" s="40">
        <f t="shared" si="30"/>
        <v>8.6538461538461814E-2</v>
      </c>
      <c r="U253" s="1">
        <f t="shared" si="31"/>
        <v>6.2492916613147829</v>
      </c>
    </row>
    <row r="254" spans="1:21" x14ac:dyDescent="0.25">
      <c r="A254">
        <v>0</v>
      </c>
      <c r="B254">
        <v>270</v>
      </c>
      <c r="C254" s="29">
        <v>14</v>
      </c>
      <c r="D254">
        <v>0.29868749999999999</v>
      </c>
      <c r="E254">
        <v>1970.75892857142</v>
      </c>
      <c r="F254">
        <v>31111111.111111101</v>
      </c>
      <c r="H254" s="24">
        <f>_xlfn.CEILING.MATH(('analog-mvmu-specs'!B$14)/(D254*10^6))</f>
        <v>1</v>
      </c>
      <c r="I254" s="36">
        <f t="shared" si="24"/>
        <v>2</v>
      </c>
      <c r="J254" s="24">
        <f t="shared" si="24"/>
        <v>4</v>
      </c>
      <c r="L254">
        <f t="shared" si="25"/>
        <v>16384</v>
      </c>
      <c r="M254" s="1">
        <f>(32*16*16)*L254*'analog-mvmu-specs'!J$24</f>
        <v>314069.48352000001</v>
      </c>
      <c r="N254" s="1">
        <f t="shared" si="26"/>
        <v>16144457.142857073</v>
      </c>
      <c r="O254" s="38">
        <f t="shared" si="27"/>
        <v>1004.54874428571</v>
      </c>
      <c r="Q254" s="1">
        <f t="shared" si="28"/>
        <v>4114.2857142857156</v>
      </c>
      <c r="R254" s="1">
        <f t="shared" si="29"/>
        <v>65828.571428571449</v>
      </c>
      <c r="S254" s="40">
        <f t="shared" si="30"/>
        <v>4.0178571428571441</v>
      </c>
      <c r="U254" s="1">
        <f t="shared" si="31"/>
        <v>1.908247868412839</v>
      </c>
    </row>
    <row r="255" spans="1:21" x14ac:dyDescent="0.25">
      <c r="A255">
        <v>0</v>
      </c>
      <c r="B255">
        <v>271</v>
      </c>
      <c r="C255" s="29">
        <v>14</v>
      </c>
      <c r="D255">
        <v>0.15625</v>
      </c>
      <c r="E255">
        <v>68.75</v>
      </c>
      <c r="F255">
        <v>2000000000</v>
      </c>
      <c r="H255" s="24">
        <f>_xlfn.CEILING.MATH(('analog-mvmu-specs'!B$14)/(D255*10^6))</f>
        <v>1</v>
      </c>
      <c r="I255" s="36">
        <f t="shared" si="24"/>
        <v>2</v>
      </c>
      <c r="J255" s="24">
        <f t="shared" si="24"/>
        <v>4</v>
      </c>
      <c r="L255">
        <f t="shared" si="25"/>
        <v>16384</v>
      </c>
      <c r="M255" s="1">
        <f>(32*16*16)*L255*'analog-mvmu-specs'!J$24</f>
        <v>314069.48352000001</v>
      </c>
      <c r="N255" s="1">
        <f t="shared" si="26"/>
        <v>563200</v>
      </c>
      <c r="O255" s="38">
        <f t="shared" si="27"/>
        <v>53.544280000000001</v>
      </c>
      <c r="Q255" s="1">
        <f t="shared" si="28"/>
        <v>64</v>
      </c>
      <c r="R255" s="1">
        <f t="shared" si="29"/>
        <v>1024</v>
      </c>
      <c r="S255" s="40">
        <f t="shared" si="30"/>
        <v>6.25E-2</v>
      </c>
      <c r="U255" s="1">
        <f t="shared" si="31"/>
        <v>35.800798890189576</v>
      </c>
    </row>
    <row r="256" spans="1:21" x14ac:dyDescent="0.25">
      <c r="A256">
        <v>1</v>
      </c>
      <c r="B256">
        <v>9</v>
      </c>
      <c r="C256" s="29">
        <v>14</v>
      </c>
      <c r="D256">
        <v>3.5639999999999998E-2</v>
      </c>
      <c r="E256">
        <v>810</v>
      </c>
      <c r="F256">
        <v>11111111.111111101</v>
      </c>
      <c r="H256" s="24">
        <f>_xlfn.CEILING.MATH(('analog-mvmu-specs'!B$14)/(D256*10^6))</f>
        <v>1</v>
      </c>
      <c r="I256" s="36">
        <f t="shared" si="24"/>
        <v>2</v>
      </c>
      <c r="J256" s="24">
        <f t="shared" si="24"/>
        <v>4</v>
      </c>
      <c r="L256">
        <f t="shared" si="25"/>
        <v>16384</v>
      </c>
      <c r="M256" s="1">
        <f>(32*16*16)*L256*'analog-mvmu-specs'!J$24</f>
        <v>314069.48352000001</v>
      </c>
      <c r="N256" s="1">
        <f t="shared" si="26"/>
        <v>6635520</v>
      </c>
      <c r="O256" s="38">
        <f t="shared" si="27"/>
        <v>424.16928000000001</v>
      </c>
      <c r="Q256" s="1">
        <f t="shared" si="28"/>
        <v>11520.000000000011</v>
      </c>
      <c r="R256" s="1">
        <f t="shared" si="29"/>
        <v>184320.00000000017</v>
      </c>
      <c r="S256" s="40">
        <f t="shared" si="30"/>
        <v>11.250000000000011</v>
      </c>
      <c r="U256" s="1">
        <f t="shared" si="31"/>
        <v>4.5192523136046061</v>
      </c>
    </row>
    <row r="257" spans="1:21" x14ac:dyDescent="0.25">
      <c r="A257">
        <v>1</v>
      </c>
      <c r="B257">
        <v>36</v>
      </c>
      <c r="C257" s="29">
        <v>14</v>
      </c>
      <c r="D257">
        <v>7.1874999999999994E-2</v>
      </c>
      <c r="E257">
        <v>105.3125</v>
      </c>
      <c r="F257">
        <v>80000000</v>
      </c>
      <c r="H257" s="24">
        <f>_xlfn.CEILING.MATH(('analog-mvmu-specs'!B$14)/(D257*10^6))</f>
        <v>1</v>
      </c>
      <c r="I257" s="36">
        <f t="shared" si="24"/>
        <v>2</v>
      </c>
      <c r="J257" s="24">
        <f t="shared" si="24"/>
        <v>4</v>
      </c>
      <c r="L257">
        <f t="shared" si="25"/>
        <v>16384</v>
      </c>
      <c r="M257" s="1">
        <f>(32*16*16)*L257*'analog-mvmu-specs'!J$24</f>
        <v>314069.48352000001</v>
      </c>
      <c r="N257" s="1">
        <f t="shared" si="26"/>
        <v>862720</v>
      </c>
      <c r="O257" s="38">
        <f t="shared" si="27"/>
        <v>71.825530000000001</v>
      </c>
      <c r="Q257" s="1">
        <f t="shared" si="28"/>
        <v>1600</v>
      </c>
      <c r="R257" s="1">
        <f t="shared" si="29"/>
        <v>25600</v>
      </c>
      <c r="S257" s="40">
        <f t="shared" si="30"/>
        <v>1.5625</v>
      </c>
      <c r="U257" s="1">
        <f t="shared" si="31"/>
        <v>26.688671841335527</v>
      </c>
    </row>
    <row r="258" spans="1:21" x14ac:dyDescent="0.25">
      <c r="A258">
        <v>1</v>
      </c>
      <c r="B258">
        <v>52</v>
      </c>
      <c r="C258" s="29">
        <v>14</v>
      </c>
      <c r="D258">
        <v>0.25919999999999999</v>
      </c>
      <c r="E258">
        <v>110.16</v>
      </c>
      <c r="F258">
        <v>166666666.666666</v>
      </c>
      <c r="H258" s="24">
        <f>_xlfn.CEILING.MATH(('analog-mvmu-specs'!B$14)/(D258*10^6))</f>
        <v>1</v>
      </c>
      <c r="I258" s="36">
        <f t="shared" si="24"/>
        <v>2</v>
      </c>
      <c r="J258" s="24">
        <f t="shared" si="24"/>
        <v>4</v>
      </c>
      <c r="L258">
        <f t="shared" si="25"/>
        <v>16384</v>
      </c>
      <c r="M258" s="1">
        <f>(32*16*16)*L258*'analog-mvmu-specs'!J$24</f>
        <v>314069.48352000001</v>
      </c>
      <c r="N258" s="1">
        <f t="shared" si="26"/>
        <v>902430.71999999997</v>
      </c>
      <c r="O258" s="38">
        <f t="shared" si="27"/>
        <v>74.249279999999999</v>
      </c>
      <c r="Q258" s="1">
        <f t="shared" si="28"/>
        <v>768.00000000000307</v>
      </c>
      <c r="R258" s="1">
        <f t="shared" si="29"/>
        <v>12288.000000000049</v>
      </c>
      <c r="S258" s="40">
        <f t="shared" si="30"/>
        <v>0.750000000000003</v>
      </c>
      <c r="U258" s="1">
        <f t="shared" si="31"/>
        <v>25.817462472363367</v>
      </c>
    </row>
    <row r="259" spans="1:21" x14ac:dyDescent="0.25">
      <c r="A259">
        <v>1</v>
      </c>
      <c r="B259">
        <v>61</v>
      </c>
      <c r="C259" s="29">
        <v>14</v>
      </c>
      <c r="D259">
        <v>0.25</v>
      </c>
      <c r="E259">
        <v>625</v>
      </c>
      <c r="F259">
        <v>200000000</v>
      </c>
      <c r="H259" s="24">
        <f>_xlfn.CEILING.MATH(('analog-mvmu-specs'!B$14)/(D259*10^6))</f>
        <v>1</v>
      </c>
      <c r="I259" s="36">
        <f t="shared" si="24"/>
        <v>2</v>
      </c>
      <c r="J259" s="24">
        <f t="shared" si="24"/>
        <v>4</v>
      </c>
      <c r="L259">
        <f t="shared" si="25"/>
        <v>16384</v>
      </c>
      <c r="M259" s="1">
        <f>(32*16*16)*L259*'analog-mvmu-specs'!J$24</f>
        <v>314069.48352000001</v>
      </c>
      <c r="N259" s="1">
        <f t="shared" si="26"/>
        <v>5120000</v>
      </c>
      <c r="O259" s="38">
        <f t="shared" si="27"/>
        <v>331.66928000000001</v>
      </c>
      <c r="Q259" s="1">
        <f t="shared" si="28"/>
        <v>640</v>
      </c>
      <c r="R259" s="1">
        <f t="shared" si="29"/>
        <v>10240</v>
      </c>
      <c r="S259" s="40">
        <f t="shared" si="30"/>
        <v>0.625</v>
      </c>
      <c r="U259" s="1">
        <f t="shared" si="31"/>
        <v>5.7796368720069582</v>
      </c>
    </row>
    <row r="260" spans="1:21" x14ac:dyDescent="0.25">
      <c r="A260">
        <v>1</v>
      </c>
      <c r="B260">
        <v>69</v>
      </c>
      <c r="C260" s="29">
        <v>14</v>
      </c>
      <c r="D260">
        <v>3.125E-2</v>
      </c>
      <c r="E260">
        <v>130.434782608695</v>
      </c>
      <c r="F260">
        <v>92000000</v>
      </c>
      <c r="H260" s="24">
        <f>_xlfn.CEILING.MATH(('analog-mvmu-specs'!B$14)/(D260*10^6))</f>
        <v>1</v>
      </c>
      <c r="I260" s="36">
        <f t="shared" ref="I260:J279" si="32">2*H260</f>
        <v>2</v>
      </c>
      <c r="J260" s="24">
        <f t="shared" si="32"/>
        <v>4</v>
      </c>
      <c r="L260">
        <f t="shared" ref="L260:L279" si="33">2^C260</f>
        <v>16384</v>
      </c>
      <c r="M260" s="1">
        <f>(32*16*16)*L260*'analog-mvmu-specs'!J$24</f>
        <v>314069.48352000001</v>
      </c>
      <c r="N260" s="1">
        <f t="shared" ref="N260:N279" si="34">(32*16)*16*E260</f>
        <v>1068521.7391304295</v>
      </c>
      <c r="O260" s="38">
        <f t="shared" ref="O260:O279" si="35">SUM(M260:N260)/L260</f>
        <v>84.386671304347502</v>
      </c>
      <c r="Q260" s="1">
        <f t="shared" ref="Q260:Q279" si="36">32*16*(10^9/F260)/J260</f>
        <v>1391.304347826087</v>
      </c>
      <c r="R260" s="1">
        <f t="shared" ref="R260:R279" si="37">16*Q260</f>
        <v>22260.869565217392</v>
      </c>
      <c r="S260" s="40">
        <f t="shared" ref="S260:S279" si="38">R260/L260</f>
        <v>1.3586956521739131</v>
      </c>
      <c r="U260" s="1">
        <f t="shared" ref="U260:U279" si="39">M260/(M260+N260)*100</f>
        <v>22.71600443968741</v>
      </c>
    </row>
    <row r="261" spans="1:21" x14ac:dyDescent="0.25">
      <c r="A261">
        <v>0</v>
      </c>
      <c r="B261">
        <v>5</v>
      </c>
      <c r="C261" s="29">
        <v>15</v>
      </c>
      <c r="D261">
        <v>2.8184693877551001E-2</v>
      </c>
      <c r="E261">
        <v>26.862244897959101</v>
      </c>
      <c r="F261">
        <v>155555555.55555499</v>
      </c>
      <c r="H261" s="24">
        <f>_xlfn.CEILING.MATH(('analog-mvmu-specs'!B$14)/(D261*10^6))</f>
        <v>1</v>
      </c>
      <c r="I261" s="36">
        <f t="shared" si="32"/>
        <v>2</v>
      </c>
      <c r="J261" s="24">
        <f t="shared" si="32"/>
        <v>4</v>
      </c>
      <c r="L261">
        <f t="shared" si="33"/>
        <v>32768</v>
      </c>
      <c r="M261" s="1">
        <f>(32*16*16)*L261*'analog-mvmu-specs'!J$24</f>
        <v>628138.96704000002</v>
      </c>
      <c r="N261" s="1">
        <f t="shared" si="34"/>
        <v>220055.51020408096</v>
      </c>
      <c r="O261" s="38">
        <f t="shared" si="35"/>
        <v>25.884841224489776</v>
      </c>
      <c r="Q261" s="1">
        <f t="shared" si="36"/>
        <v>822.85714285714585</v>
      </c>
      <c r="R261" s="1">
        <f t="shared" si="37"/>
        <v>13165.714285714334</v>
      </c>
      <c r="S261" s="40">
        <f t="shared" si="38"/>
        <v>0.40178571428571574</v>
      </c>
      <c r="U261" s="1">
        <f t="shared" si="39"/>
        <v>74.056007660050284</v>
      </c>
    </row>
    <row r="262" spans="1:21" x14ac:dyDescent="0.25">
      <c r="A262">
        <v>0</v>
      </c>
      <c r="B262">
        <v>100</v>
      </c>
      <c r="C262" s="29">
        <v>15</v>
      </c>
      <c r="D262">
        <v>1.25</v>
      </c>
      <c r="E262">
        <v>615.625</v>
      </c>
      <c r="F262">
        <v>160000000</v>
      </c>
      <c r="H262" s="24">
        <f>_xlfn.CEILING.MATH(('analog-mvmu-specs'!B$14)/(D262*10^6))</f>
        <v>1</v>
      </c>
      <c r="I262" s="36">
        <f t="shared" si="32"/>
        <v>2</v>
      </c>
      <c r="J262" s="24">
        <f t="shared" si="32"/>
        <v>4</v>
      </c>
      <c r="L262">
        <f t="shared" si="33"/>
        <v>32768</v>
      </c>
      <c r="M262" s="1">
        <f>(32*16*16)*L262*'analog-mvmu-specs'!J$24</f>
        <v>628138.96704000002</v>
      </c>
      <c r="N262" s="1">
        <f t="shared" si="34"/>
        <v>5043200</v>
      </c>
      <c r="O262" s="38">
        <f t="shared" si="35"/>
        <v>173.07553000000001</v>
      </c>
      <c r="Q262" s="1">
        <f t="shared" si="36"/>
        <v>800</v>
      </c>
      <c r="R262" s="1">
        <f t="shared" si="37"/>
        <v>12800</v>
      </c>
      <c r="S262" s="40">
        <f t="shared" si="38"/>
        <v>0.390625</v>
      </c>
      <c r="U262" s="1">
        <f t="shared" si="39"/>
        <v>11.075673146862528</v>
      </c>
    </row>
    <row r="263" spans="1:21" x14ac:dyDescent="0.25">
      <c r="A263">
        <v>0</v>
      </c>
      <c r="B263">
        <v>101</v>
      </c>
      <c r="C263" s="29">
        <v>15</v>
      </c>
      <c r="D263">
        <v>0.70125000000000004</v>
      </c>
      <c r="E263">
        <v>728.125</v>
      </c>
      <c r="F263">
        <v>80000000</v>
      </c>
      <c r="H263" s="24">
        <f>_xlfn.CEILING.MATH(('analog-mvmu-specs'!B$14)/(D263*10^6))</f>
        <v>1</v>
      </c>
      <c r="I263" s="36">
        <f t="shared" si="32"/>
        <v>2</v>
      </c>
      <c r="J263" s="24">
        <f t="shared" si="32"/>
        <v>4</v>
      </c>
      <c r="L263">
        <f t="shared" si="33"/>
        <v>32768</v>
      </c>
      <c r="M263" s="1">
        <f>(32*16*16)*L263*'analog-mvmu-specs'!J$24</f>
        <v>628138.96704000002</v>
      </c>
      <c r="N263" s="1">
        <f t="shared" si="34"/>
        <v>5964800</v>
      </c>
      <c r="O263" s="38">
        <f t="shared" si="35"/>
        <v>201.20053000000001</v>
      </c>
      <c r="Q263" s="1">
        <f t="shared" si="36"/>
        <v>1600</v>
      </c>
      <c r="R263" s="1">
        <f t="shared" si="37"/>
        <v>25600</v>
      </c>
      <c r="S263" s="40">
        <f t="shared" si="38"/>
        <v>0.78125</v>
      </c>
      <c r="U263" s="1">
        <f t="shared" si="39"/>
        <v>9.5274500519456886</v>
      </c>
    </row>
    <row r="264" spans="1:21" x14ac:dyDescent="0.25">
      <c r="A264">
        <v>0</v>
      </c>
      <c r="B264">
        <v>254</v>
      </c>
      <c r="C264" s="29">
        <v>15</v>
      </c>
      <c r="D264">
        <v>0.115329142011834</v>
      </c>
      <c r="E264">
        <v>53.920118343195199</v>
      </c>
      <c r="F264">
        <v>138666666.666666</v>
      </c>
      <c r="H264" s="24">
        <f>_xlfn.CEILING.MATH(('analog-mvmu-specs'!B$14)/(D264*10^6))</f>
        <v>1</v>
      </c>
      <c r="I264" s="36">
        <f t="shared" si="32"/>
        <v>2</v>
      </c>
      <c r="J264" s="24">
        <f t="shared" si="32"/>
        <v>4</v>
      </c>
      <c r="L264">
        <f t="shared" si="33"/>
        <v>32768</v>
      </c>
      <c r="M264" s="1">
        <f>(32*16*16)*L264*'analog-mvmu-specs'!J$24</f>
        <v>628138.96704000002</v>
      </c>
      <c r="N264" s="1">
        <f t="shared" si="34"/>
        <v>441713.60946745507</v>
      </c>
      <c r="O264" s="38">
        <f t="shared" si="35"/>
        <v>32.649309585798804</v>
      </c>
      <c r="Q264" s="1">
        <f t="shared" si="36"/>
        <v>923.07692307692753</v>
      </c>
      <c r="R264" s="1">
        <f t="shared" si="37"/>
        <v>14769.23076923084</v>
      </c>
      <c r="S264" s="40">
        <f t="shared" si="38"/>
        <v>0.45072115384615602</v>
      </c>
      <c r="U264" s="1">
        <f t="shared" si="39"/>
        <v>58.712665729194782</v>
      </c>
    </row>
    <row r="265" spans="1:21" x14ac:dyDescent="0.25">
      <c r="A265">
        <v>1</v>
      </c>
      <c r="B265">
        <v>179</v>
      </c>
      <c r="C265" s="29">
        <v>15</v>
      </c>
      <c r="D265">
        <v>0.39867187500000001</v>
      </c>
      <c r="E265">
        <v>74.0390625</v>
      </c>
      <c r="F265">
        <v>17777.777777777701</v>
      </c>
      <c r="H265" s="24">
        <f>_xlfn.CEILING.MATH(('analog-mvmu-specs'!B$14)/(D265*10^6))</f>
        <v>1</v>
      </c>
      <c r="I265" s="36">
        <f t="shared" si="32"/>
        <v>2</v>
      </c>
      <c r="J265" s="24">
        <f t="shared" si="32"/>
        <v>4</v>
      </c>
      <c r="L265">
        <f t="shared" si="33"/>
        <v>32768</v>
      </c>
      <c r="M265" s="1">
        <f>(32*16*16)*L265*'analog-mvmu-specs'!J$24</f>
        <v>628138.96704000002</v>
      </c>
      <c r="N265" s="1">
        <f t="shared" si="34"/>
        <v>606528</v>
      </c>
      <c r="O265" s="38">
        <f t="shared" si="35"/>
        <v>37.679045625000001</v>
      </c>
      <c r="Q265" s="1">
        <f t="shared" si="36"/>
        <v>7200000.0000000307</v>
      </c>
      <c r="R265" s="1">
        <f t="shared" si="37"/>
        <v>115200000.00000049</v>
      </c>
      <c r="S265" s="40">
        <f t="shared" si="38"/>
        <v>3515.625000000015</v>
      </c>
      <c r="U265" s="1">
        <f t="shared" si="39"/>
        <v>50.875173938273022</v>
      </c>
    </row>
    <row r="266" spans="1:21" x14ac:dyDescent="0.25">
      <c r="A266">
        <v>1</v>
      </c>
      <c r="B266">
        <v>192</v>
      </c>
      <c r="C266" s="29">
        <v>15</v>
      </c>
      <c r="D266">
        <v>8.60625E-2</v>
      </c>
      <c r="E266">
        <v>29.109374999999901</v>
      </c>
      <c r="F266">
        <v>88888888.888888806</v>
      </c>
      <c r="H266" s="24">
        <f>_xlfn.CEILING.MATH(('analog-mvmu-specs'!B$14)/(D266*10^6))</f>
        <v>1</v>
      </c>
      <c r="I266" s="36">
        <f t="shared" si="32"/>
        <v>2</v>
      </c>
      <c r="J266" s="24">
        <f t="shared" si="32"/>
        <v>4</v>
      </c>
      <c r="L266">
        <f t="shared" si="33"/>
        <v>32768</v>
      </c>
      <c r="M266" s="1">
        <f>(32*16*16)*L266*'analog-mvmu-specs'!J$24</f>
        <v>628138.96704000002</v>
      </c>
      <c r="N266" s="1">
        <f t="shared" si="34"/>
        <v>238463.99999999919</v>
      </c>
      <c r="O266" s="38">
        <f t="shared" si="35"/>
        <v>26.446623749999976</v>
      </c>
      <c r="Q266" s="1">
        <f t="shared" si="36"/>
        <v>1440.0000000000014</v>
      </c>
      <c r="R266" s="1">
        <f t="shared" si="37"/>
        <v>23040.000000000022</v>
      </c>
      <c r="S266" s="40">
        <f t="shared" si="38"/>
        <v>0.70312500000000067</v>
      </c>
      <c r="U266" s="1">
        <f t="shared" si="39"/>
        <v>72.482900581969446</v>
      </c>
    </row>
    <row r="267" spans="1:21" x14ac:dyDescent="0.25">
      <c r="A267">
        <v>0</v>
      </c>
      <c r="B267">
        <v>6</v>
      </c>
      <c r="C267" s="29">
        <v>16</v>
      </c>
      <c r="D267">
        <v>0.17887500000000001</v>
      </c>
      <c r="E267">
        <v>1237.5</v>
      </c>
      <c r="F267">
        <v>33333333.333333299</v>
      </c>
      <c r="H267" s="24">
        <f>_xlfn.CEILING.MATH(('analog-mvmu-specs'!B$14)/(D267*10^6))</f>
        <v>1</v>
      </c>
      <c r="I267" s="36">
        <f t="shared" si="32"/>
        <v>2</v>
      </c>
      <c r="J267" s="24">
        <f t="shared" si="32"/>
        <v>4</v>
      </c>
      <c r="L267">
        <f t="shared" si="33"/>
        <v>65536</v>
      </c>
      <c r="M267" s="1">
        <f>(32*16*16)*L267*'analog-mvmu-specs'!J$24</f>
        <v>1256277.93408</v>
      </c>
      <c r="N267" s="1">
        <f t="shared" si="34"/>
        <v>10137600</v>
      </c>
      <c r="O267" s="38">
        <f t="shared" si="35"/>
        <v>173.85678000000001</v>
      </c>
      <c r="Q267" s="1">
        <f t="shared" si="36"/>
        <v>3840.0000000000041</v>
      </c>
      <c r="R267" s="1">
        <f t="shared" si="37"/>
        <v>61440.000000000065</v>
      </c>
      <c r="S267" s="40">
        <f t="shared" si="38"/>
        <v>0.937500000000001</v>
      </c>
      <c r="U267" s="1">
        <f t="shared" si="39"/>
        <v>11.025903045023611</v>
      </c>
    </row>
    <row r="268" spans="1:21" x14ac:dyDescent="0.25">
      <c r="A268">
        <v>0</v>
      </c>
      <c r="B268">
        <v>185</v>
      </c>
      <c r="C268" s="29">
        <v>16</v>
      </c>
      <c r="D268">
        <v>0.625</v>
      </c>
      <c r="E268">
        <v>192.5</v>
      </c>
      <c r="F268">
        <v>500000000</v>
      </c>
      <c r="H268" s="24">
        <f>_xlfn.CEILING.MATH(('analog-mvmu-specs'!B$14)/(D268*10^6))</f>
        <v>1</v>
      </c>
      <c r="I268" s="36">
        <f t="shared" si="32"/>
        <v>2</v>
      </c>
      <c r="J268" s="24">
        <f t="shared" si="32"/>
        <v>4</v>
      </c>
      <c r="L268">
        <f t="shared" si="33"/>
        <v>65536</v>
      </c>
      <c r="M268" s="1">
        <f>(32*16*16)*L268*'analog-mvmu-specs'!J$24</f>
        <v>1256277.93408</v>
      </c>
      <c r="N268" s="1">
        <f t="shared" si="34"/>
        <v>1576960</v>
      </c>
      <c r="O268" s="38">
        <f t="shared" si="35"/>
        <v>43.231780000000001</v>
      </c>
      <c r="Q268" s="1">
        <f t="shared" si="36"/>
        <v>256</v>
      </c>
      <c r="R268" s="1">
        <f t="shared" si="37"/>
        <v>4096</v>
      </c>
      <c r="S268" s="40">
        <f t="shared" si="38"/>
        <v>6.25E-2</v>
      </c>
      <c r="U268" s="1">
        <f t="shared" si="39"/>
        <v>44.34071416906729</v>
      </c>
    </row>
    <row r="269" spans="1:21" x14ac:dyDescent="0.25">
      <c r="A269">
        <v>0</v>
      </c>
      <c r="B269">
        <v>195</v>
      </c>
      <c r="C269" s="29">
        <v>16</v>
      </c>
      <c r="D269">
        <v>3.125</v>
      </c>
      <c r="E269">
        <v>212.5</v>
      </c>
      <c r="F269">
        <v>1000000000</v>
      </c>
      <c r="H269" s="24">
        <f>_xlfn.CEILING.MATH(('analog-mvmu-specs'!B$14)/(D269*10^6))</f>
        <v>1</v>
      </c>
      <c r="I269" s="36">
        <f t="shared" si="32"/>
        <v>2</v>
      </c>
      <c r="J269" s="24">
        <f t="shared" si="32"/>
        <v>4</v>
      </c>
      <c r="L269">
        <f t="shared" si="33"/>
        <v>65536</v>
      </c>
      <c r="M269" s="1">
        <f>(32*16*16)*L269*'analog-mvmu-specs'!J$24</f>
        <v>1256277.93408</v>
      </c>
      <c r="N269" s="1">
        <f t="shared" si="34"/>
        <v>1740800</v>
      </c>
      <c r="O269" s="38">
        <f t="shared" si="35"/>
        <v>45.731780000000001</v>
      </c>
      <c r="Q269" s="1">
        <f t="shared" si="36"/>
        <v>128</v>
      </c>
      <c r="R269" s="1">
        <f t="shared" si="37"/>
        <v>2048</v>
      </c>
      <c r="S269" s="40">
        <f t="shared" si="38"/>
        <v>3.125E-2</v>
      </c>
      <c r="U269" s="1">
        <f t="shared" si="39"/>
        <v>41.916758980297729</v>
      </c>
    </row>
    <row r="270" spans="1:21" x14ac:dyDescent="0.25">
      <c r="A270">
        <v>0</v>
      </c>
      <c r="B270">
        <v>211</v>
      </c>
      <c r="C270" s="29">
        <v>16</v>
      </c>
      <c r="D270">
        <v>0.61875000000000002</v>
      </c>
      <c r="E270">
        <v>78.125</v>
      </c>
      <c r="F270">
        <v>320000000</v>
      </c>
      <c r="H270" s="24">
        <f>_xlfn.CEILING.MATH(('analog-mvmu-specs'!B$14)/(D270*10^6))</f>
        <v>1</v>
      </c>
      <c r="I270" s="36">
        <f t="shared" si="32"/>
        <v>2</v>
      </c>
      <c r="J270" s="24">
        <f t="shared" si="32"/>
        <v>4</v>
      </c>
      <c r="L270">
        <f t="shared" si="33"/>
        <v>65536</v>
      </c>
      <c r="M270" s="1">
        <f>(32*16*16)*L270*'analog-mvmu-specs'!J$24</f>
        <v>1256277.93408</v>
      </c>
      <c r="N270" s="1">
        <f t="shared" si="34"/>
        <v>640000</v>
      </c>
      <c r="O270" s="38">
        <f t="shared" si="35"/>
        <v>28.934905000000001</v>
      </c>
      <c r="Q270" s="1">
        <f t="shared" si="36"/>
        <v>400</v>
      </c>
      <c r="R270" s="1">
        <f t="shared" si="37"/>
        <v>6400</v>
      </c>
      <c r="S270" s="40">
        <f t="shared" si="38"/>
        <v>9.765625E-2</v>
      </c>
      <c r="U270" s="1">
        <f t="shared" si="39"/>
        <v>66.249673188835416</v>
      </c>
    </row>
    <row r="271" spans="1:21" x14ac:dyDescent="0.25">
      <c r="A271">
        <v>0</v>
      </c>
      <c r="B271">
        <v>331</v>
      </c>
      <c r="C271" s="29">
        <v>16</v>
      </c>
      <c r="D271">
        <v>1</v>
      </c>
      <c r="E271">
        <v>40.8333333333333</v>
      </c>
      <c r="F271">
        <v>60000000</v>
      </c>
      <c r="H271" s="24">
        <f>_xlfn.CEILING.MATH(('analog-mvmu-specs'!B$14)/(D271*10^6))</f>
        <v>1</v>
      </c>
      <c r="I271" s="36">
        <f t="shared" si="32"/>
        <v>2</v>
      </c>
      <c r="J271" s="24">
        <f t="shared" si="32"/>
        <v>4</v>
      </c>
      <c r="L271">
        <f t="shared" si="33"/>
        <v>65536</v>
      </c>
      <c r="M271" s="1">
        <f>(32*16*16)*L271*'analog-mvmu-specs'!J$24</f>
        <v>1256277.93408</v>
      </c>
      <c r="N271" s="1">
        <f t="shared" si="34"/>
        <v>334506.6666666664</v>
      </c>
      <c r="O271" s="38">
        <f t="shared" si="35"/>
        <v>24.273446666666665</v>
      </c>
      <c r="Q271" s="1">
        <f t="shared" si="36"/>
        <v>2133.3333333333335</v>
      </c>
      <c r="R271" s="1">
        <f t="shared" si="37"/>
        <v>34133.333333333336</v>
      </c>
      <c r="S271" s="40">
        <f t="shared" si="38"/>
        <v>0.52083333333333337</v>
      </c>
      <c r="U271" s="1">
        <f t="shared" si="39"/>
        <v>78.972221222806709</v>
      </c>
    </row>
    <row r="272" spans="1:21" x14ac:dyDescent="0.25">
      <c r="A272">
        <v>1</v>
      </c>
      <c r="B272">
        <v>19</v>
      </c>
      <c r="C272" s="29">
        <v>16</v>
      </c>
      <c r="D272">
        <v>5.9911242603550199E-2</v>
      </c>
      <c r="E272">
        <v>1437.8698224852001</v>
      </c>
      <c r="F272">
        <v>1444444.4444444401</v>
      </c>
      <c r="H272" s="24">
        <f>_xlfn.CEILING.MATH(('analog-mvmu-specs'!B$14)/(D272*10^6))</f>
        <v>1</v>
      </c>
      <c r="I272" s="36">
        <f t="shared" si="32"/>
        <v>2</v>
      </c>
      <c r="J272" s="24">
        <f t="shared" si="32"/>
        <v>4</v>
      </c>
      <c r="L272">
        <f t="shared" si="33"/>
        <v>65536</v>
      </c>
      <c r="M272" s="1">
        <f>(32*16*16)*L272*'analog-mvmu-specs'!J$24</f>
        <v>1256277.93408</v>
      </c>
      <c r="N272" s="1">
        <f t="shared" si="34"/>
        <v>11779029.585798759</v>
      </c>
      <c r="O272" s="38">
        <f t="shared" si="35"/>
        <v>198.90300781065002</v>
      </c>
      <c r="Q272" s="1">
        <f t="shared" si="36"/>
        <v>88615.384615384886</v>
      </c>
      <c r="R272" s="1">
        <f t="shared" si="37"/>
        <v>1417846.1538461582</v>
      </c>
      <c r="S272" s="40">
        <f t="shared" si="38"/>
        <v>21.634615384615451</v>
      </c>
      <c r="U272" s="1">
        <f t="shared" si="39"/>
        <v>9.6375013183554312</v>
      </c>
    </row>
    <row r="273" spans="1:21" x14ac:dyDescent="0.25">
      <c r="A273">
        <v>1</v>
      </c>
      <c r="B273">
        <v>200</v>
      </c>
      <c r="C273" s="29">
        <v>16</v>
      </c>
      <c r="D273">
        <v>0.368181818181818</v>
      </c>
      <c r="E273">
        <v>681.97314049586703</v>
      </c>
      <c r="F273">
        <v>19555555.5555555</v>
      </c>
      <c r="H273" s="24">
        <f>_xlfn.CEILING.MATH(('analog-mvmu-specs'!B$14)/(D273*10^6))</f>
        <v>1</v>
      </c>
      <c r="I273" s="36">
        <f t="shared" si="32"/>
        <v>2</v>
      </c>
      <c r="J273" s="24">
        <f t="shared" si="32"/>
        <v>4</v>
      </c>
      <c r="L273">
        <f t="shared" si="33"/>
        <v>65536</v>
      </c>
      <c r="M273" s="1">
        <f>(32*16*16)*L273*'analog-mvmu-specs'!J$24</f>
        <v>1256277.93408</v>
      </c>
      <c r="N273" s="1">
        <f t="shared" si="34"/>
        <v>5586723.9669421427</v>
      </c>
      <c r="O273" s="38">
        <f t="shared" si="35"/>
        <v>104.41592256198338</v>
      </c>
      <c r="Q273" s="1">
        <f t="shared" si="36"/>
        <v>6545.4545454545641</v>
      </c>
      <c r="R273" s="1">
        <f t="shared" si="37"/>
        <v>104727.27272727303</v>
      </c>
      <c r="S273" s="40">
        <f t="shared" si="38"/>
        <v>1.5980113636363682</v>
      </c>
      <c r="U273" s="1">
        <f t="shared" si="39"/>
        <v>18.358579352321225</v>
      </c>
    </row>
    <row r="274" spans="1:21" x14ac:dyDescent="0.25">
      <c r="A274">
        <v>0</v>
      </c>
      <c r="B274">
        <v>201</v>
      </c>
      <c r="C274" s="29">
        <v>18</v>
      </c>
      <c r="D274">
        <v>0.14579999999999901</v>
      </c>
      <c r="E274">
        <v>272.159999999999</v>
      </c>
      <c r="F274">
        <v>69444444.444444403</v>
      </c>
      <c r="H274" s="24">
        <f>_xlfn.CEILING.MATH(('analog-mvmu-specs'!B$14)/(D274*10^6))</f>
        <v>1</v>
      </c>
      <c r="I274" s="36">
        <f t="shared" si="32"/>
        <v>2</v>
      </c>
      <c r="J274" s="24">
        <f t="shared" si="32"/>
        <v>4</v>
      </c>
      <c r="L274">
        <f t="shared" si="33"/>
        <v>262144</v>
      </c>
      <c r="M274" s="1">
        <f>(32*16*16)*L274*'analog-mvmu-specs'!J$24</f>
        <v>5025111.7363200001</v>
      </c>
      <c r="N274" s="1">
        <f t="shared" si="34"/>
        <v>2229534.7199999918</v>
      </c>
      <c r="O274" s="38">
        <f t="shared" si="35"/>
        <v>27.674279999999968</v>
      </c>
      <c r="Q274" s="1">
        <f t="shared" si="36"/>
        <v>1843.2000000000012</v>
      </c>
      <c r="R274" s="1">
        <f t="shared" si="37"/>
        <v>29491.200000000019</v>
      </c>
      <c r="S274" s="40">
        <f t="shared" si="38"/>
        <v>0.11250000000000007</v>
      </c>
      <c r="U274" s="1">
        <f t="shared" si="39"/>
        <v>69.267493138032947</v>
      </c>
    </row>
    <row r="275" spans="1:21" x14ac:dyDescent="0.25">
      <c r="A275">
        <v>1</v>
      </c>
      <c r="B275">
        <v>143</v>
      </c>
      <c r="C275" s="29">
        <v>18</v>
      </c>
      <c r="D275">
        <v>0.35875000000000001</v>
      </c>
      <c r="E275">
        <v>381.5</v>
      </c>
      <c r="F275">
        <v>20000000</v>
      </c>
      <c r="H275" s="24">
        <f>_xlfn.CEILING.MATH(('analog-mvmu-specs'!B$14)/(D275*10^6))</f>
        <v>1</v>
      </c>
      <c r="I275" s="36">
        <f t="shared" si="32"/>
        <v>2</v>
      </c>
      <c r="J275" s="24">
        <f t="shared" si="32"/>
        <v>4</v>
      </c>
      <c r="L275">
        <f t="shared" si="33"/>
        <v>262144</v>
      </c>
      <c r="M275" s="1">
        <f>(32*16*16)*L275*'analog-mvmu-specs'!J$24</f>
        <v>5025111.7363200001</v>
      </c>
      <c r="N275" s="1">
        <f t="shared" si="34"/>
        <v>3125248</v>
      </c>
      <c r="O275" s="38">
        <f t="shared" si="35"/>
        <v>31.091155000000001</v>
      </c>
      <c r="Q275" s="1">
        <f t="shared" si="36"/>
        <v>6400</v>
      </c>
      <c r="R275" s="1">
        <f t="shared" si="37"/>
        <v>102400</v>
      </c>
      <c r="S275" s="40">
        <f t="shared" si="38"/>
        <v>0.390625</v>
      </c>
      <c r="U275" s="1">
        <f t="shared" si="39"/>
        <v>61.655091295257449</v>
      </c>
    </row>
    <row r="276" spans="1:21" x14ac:dyDescent="0.25">
      <c r="A276">
        <v>1</v>
      </c>
      <c r="B276">
        <v>199</v>
      </c>
      <c r="C276" s="29">
        <v>18</v>
      </c>
      <c r="D276">
        <v>0.2420671875</v>
      </c>
      <c r="E276">
        <v>354.6875</v>
      </c>
      <c r="F276">
        <v>8000000</v>
      </c>
      <c r="H276" s="24">
        <f>_xlfn.CEILING.MATH(('analog-mvmu-specs'!B$14)/(D276*10^6))</f>
        <v>1</v>
      </c>
      <c r="I276" s="36">
        <f t="shared" si="32"/>
        <v>2</v>
      </c>
      <c r="J276" s="24">
        <f t="shared" si="32"/>
        <v>4</v>
      </c>
      <c r="L276">
        <f t="shared" si="33"/>
        <v>262144</v>
      </c>
      <c r="M276" s="1">
        <f>(32*16*16)*L276*'analog-mvmu-specs'!J$24</f>
        <v>5025111.7363200001</v>
      </c>
      <c r="N276" s="1">
        <f t="shared" si="34"/>
        <v>2905600</v>
      </c>
      <c r="O276" s="38">
        <f t="shared" si="35"/>
        <v>30.253264375000001</v>
      </c>
      <c r="Q276" s="1">
        <f t="shared" si="36"/>
        <v>16000</v>
      </c>
      <c r="R276" s="1">
        <f t="shared" si="37"/>
        <v>256000</v>
      </c>
      <c r="S276" s="40">
        <f t="shared" si="38"/>
        <v>0.9765625</v>
      </c>
      <c r="U276" s="1">
        <f t="shared" si="39"/>
        <v>63.362682989808761</v>
      </c>
    </row>
    <row r="277" spans="1:21" x14ac:dyDescent="0.25">
      <c r="A277">
        <v>0</v>
      </c>
      <c r="B277">
        <v>319</v>
      </c>
      <c r="C277" s="29">
        <v>20</v>
      </c>
      <c r="D277">
        <v>0.25</v>
      </c>
      <c r="E277">
        <v>1231.24999999999</v>
      </c>
      <c r="F277">
        <v>4000000</v>
      </c>
      <c r="H277" s="24">
        <f>_xlfn.CEILING.MATH(('analog-mvmu-specs'!B$14)/(D277*10^6))</f>
        <v>1</v>
      </c>
      <c r="I277" s="36">
        <f t="shared" si="32"/>
        <v>2</v>
      </c>
      <c r="J277" s="24">
        <f t="shared" si="32"/>
        <v>4</v>
      </c>
      <c r="L277">
        <f t="shared" si="33"/>
        <v>1048576</v>
      </c>
      <c r="M277" s="1">
        <f>(32*16*16)*L277*'analog-mvmu-specs'!J$24</f>
        <v>20100446.945280001</v>
      </c>
      <c r="N277" s="1">
        <f t="shared" si="34"/>
        <v>10086399.999999918</v>
      </c>
      <c r="O277" s="38">
        <f t="shared" si="35"/>
        <v>28.788420624999922</v>
      </c>
      <c r="Q277" s="1">
        <f t="shared" si="36"/>
        <v>32000</v>
      </c>
      <c r="R277" s="1">
        <f t="shared" si="37"/>
        <v>512000</v>
      </c>
      <c r="S277" s="40">
        <f t="shared" si="38"/>
        <v>0.48828125</v>
      </c>
      <c r="U277" s="1">
        <f t="shared" si="39"/>
        <v>66.586771986210863</v>
      </c>
    </row>
    <row r="278" spans="1:21" x14ac:dyDescent="0.25">
      <c r="A278">
        <v>0</v>
      </c>
      <c r="B278">
        <v>239</v>
      </c>
      <c r="C278" s="29">
        <v>21</v>
      </c>
      <c r="D278">
        <v>2.96630859375E-2</v>
      </c>
      <c r="E278">
        <v>19933.593749999902</v>
      </c>
      <c r="F278">
        <v>88.8888888888888</v>
      </c>
      <c r="H278" s="24">
        <f>_xlfn.CEILING.MATH(('analog-mvmu-specs'!B$14)/(D278*10^6))</f>
        <v>1</v>
      </c>
      <c r="I278" s="36">
        <f t="shared" si="32"/>
        <v>2</v>
      </c>
      <c r="J278" s="24">
        <f t="shared" si="32"/>
        <v>4</v>
      </c>
      <c r="L278">
        <f t="shared" si="33"/>
        <v>2097152</v>
      </c>
      <c r="M278" s="1">
        <f>(32*16*16)*L278*'analog-mvmu-specs'!J$24</f>
        <v>40200893.890560001</v>
      </c>
      <c r="N278" s="1">
        <f t="shared" si="34"/>
        <v>163295999.9999992</v>
      </c>
      <c r="O278" s="38">
        <f t="shared" si="35"/>
        <v>97.034880585937117</v>
      </c>
      <c r="Q278" s="1">
        <f t="shared" si="36"/>
        <v>1440000000.0000014</v>
      </c>
      <c r="R278" s="1">
        <f t="shared" si="37"/>
        <v>23040000000.000023</v>
      </c>
      <c r="S278" s="40">
        <f t="shared" si="38"/>
        <v>10986.328125000011</v>
      </c>
      <c r="U278" s="1">
        <f t="shared" si="39"/>
        <v>19.755040542378048</v>
      </c>
    </row>
    <row r="279" spans="1:21" x14ac:dyDescent="0.25">
      <c r="A279">
        <v>0</v>
      </c>
      <c r="B279">
        <v>288</v>
      </c>
      <c r="C279" s="29">
        <v>22</v>
      </c>
      <c r="D279">
        <v>0.18977142857142801</v>
      </c>
      <c r="E279">
        <v>104969.387755102</v>
      </c>
      <c r="F279">
        <v>15555.5555555555</v>
      </c>
      <c r="H279" s="24">
        <f>_xlfn.CEILING.MATH(('analog-mvmu-specs'!B$14)/(D279*10^6))</f>
        <v>1</v>
      </c>
      <c r="I279" s="36">
        <f t="shared" si="32"/>
        <v>2</v>
      </c>
      <c r="J279" s="24">
        <f t="shared" si="32"/>
        <v>4</v>
      </c>
      <c r="L279">
        <f t="shared" si="33"/>
        <v>4194304</v>
      </c>
      <c r="M279" s="1">
        <f>(32*16*16)*L279*'analog-mvmu-specs'!J$24</f>
        <v>80401787.781120002</v>
      </c>
      <c r="N279" s="1">
        <f t="shared" si="34"/>
        <v>859909224.48979557</v>
      </c>
      <c r="O279" s="38">
        <f t="shared" si="35"/>
        <v>224.18761545918358</v>
      </c>
      <c r="Q279" s="1">
        <f t="shared" si="36"/>
        <v>8228571.428571458</v>
      </c>
      <c r="R279" s="1">
        <f t="shared" si="37"/>
        <v>131657142.85714333</v>
      </c>
      <c r="S279" s="40">
        <f t="shared" si="38"/>
        <v>31.389508928571541</v>
      </c>
      <c r="U279" s="1">
        <f t="shared" si="39"/>
        <v>8.550552607795602</v>
      </c>
    </row>
  </sheetData>
  <sortState ref="A3:F279">
    <sortCondition ref="C1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Normal="100" workbookViewId="0">
      <selection activeCell="I14" sqref="I14"/>
    </sheetView>
  </sheetViews>
  <sheetFormatPr defaultRowHeight="15" x14ac:dyDescent="0.25"/>
  <cols>
    <col min="1" max="1" width="29" customWidth="1"/>
    <col min="2" max="11" width="12.7109375" customWidth="1"/>
    <col min="12" max="12" width="34.42578125" customWidth="1"/>
    <col min="13" max="18" width="12.7109375" customWidth="1"/>
  </cols>
  <sheetData>
    <row r="1" spans="1:14" x14ac:dyDescent="0.25">
      <c r="A1" s="56" t="s">
        <v>38</v>
      </c>
      <c r="B1" s="56"/>
      <c r="C1" s="16" t="s">
        <v>30</v>
      </c>
      <c r="D1" s="12"/>
      <c r="E1" s="12"/>
      <c r="F1" s="12"/>
      <c r="G1" s="12"/>
      <c r="K1" s="17"/>
      <c r="L1" s="56" t="s">
        <v>39</v>
      </c>
      <c r="M1" s="56"/>
      <c r="N1" s="15"/>
    </row>
    <row r="2" spans="1:14" x14ac:dyDescent="0.25">
      <c r="A2" s="23" t="s">
        <v>34</v>
      </c>
      <c r="B2" s="14">
        <f>45/15*(10^-6)</f>
        <v>3.0000000000000001E-6</v>
      </c>
      <c r="C2" s="13"/>
      <c r="D2" s="13"/>
      <c r="E2" s="13"/>
      <c r="F2" s="13"/>
      <c r="G2" s="13"/>
      <c r="L2" s="23" t="s">
        <v>17</v>
      </c>
      <c r="M2" s="13">
        <v>3.2</v>
      </c>
      <c r="N2" s="5"/>
    </row>
    <row r="3" spans="1:14" x14ac:dyDescent="0.25">
      <c r="A3" s="16" t="s">
        <v>29</v>
      </c>
      <c r="B3" s="12">
        <v>0.65</v>
      </c>
      <c r="C3" s="12"/>
      <c r="D3" s="12"/>
      <c r="E3" s="12"/>
      <c r="F3" s="12"/>
      <c r="G3" s="12"/>
      <c r="L3" s="16" t="s">
        <v>18</v>
      </c>
      <c r="M3" s="12">
        <v>5</v>
      </c>
      <c r="N3" s="5"/>
    </row>
    <row r="4" spans="1:14" x14ac:dyDescent="0.25">
      <c r="A4" s="16" t="s">
        <v>37</v>
      </c>
      <c r="B4" s="12">
        <v>45</v>
      </c>
      <c r="C4" s="12"/>
      <c r="D4" s="12"/>
      <c r="E4" s="12"/>
      <c r="F4" s="12"/>
      <c r="G4" s="12"/>
      <c r="L4" s="16" t="s">
        <v>43</v>
      </c>
      <c r="M4" s="12">
        <v>4</v>
      </c>
      <c r="N4" s="5"/>
    </row>
    <row r="5" spans="1:14" x14ac:dyDescent="0.25">
      <c r="A5" s="16" t="s">
        <v>31</v>
      </c>
      <c r="B5" s="12">
        <v>1.2</v>
      </c>
      <c r="C5" s="12" t="s">
        <v>35</v>
      </c>
      <c r="D5" s="12"/>
      <c r="E5" s="12"/>
      <c r="F5" s="12"/>
      <c r="G5" s="12"/>
      <c r="L5" s="16" t="s">
        <v>44</v>
      </c>
      <c r="M5" s="12">
        <v>1.5</v>
      </c>
      <c r="N5" s="5"/>
    </row>
    <row r="6" spans="1:14" x14ac:dyDescent="0.25">
      <c r="A6" s="16" t="s">
        <v>33</v>
      </c>
      <c r="B6" s="18">
        <f>10^9</f>
        <v>1000000000</v>
      </c>
      <c r="C6" s="12" t="s">
        <v>36</v>
      </c>
      <c r="D6" s="12"/>
      <c r="E6" s="12"/>
      <c r="F6" s="12"/>
      <c r="G6" s="12"/>
    </row>
    <row r="7" spans="1:14" x14ac:dyDescent="0.25">
      <c r="A7" s="16" t="s">
        <v>45</v>
      </c>
      <c r="B7" s="19">
        <f>(185*(B4^2))*10^-6</f>
        <v>0.37462499999999999</v>
      </c>
      <c r="C7" s="19" t="s">
        <v>46</v>
      </c>
      <c r="D7" s="19"/>
      <c r="E7" s="19"/>
      <c r="F7" s="19"/>
      <c r="G7" s="19"/>
      <c r="H7" s="10"/>
      <c r="I7" s="10"/>
      <c r="J7" s="10"/>
      <c r="K7" s="10"/>
      <c r="L7" s="10"/>
    </row>
    <row r="8" spans="1:14" x14ac:dyDescent="0.25">
      <c r="A8" s="12"/>
      <c r="B8" s="19"/>
      <c r="C8" s="19"/>
      <c r="D8" s="19"/>
      <c r="E8" s="19"/>
      <c r="F8" s="19"/>
      <c r="G8" s="19"/>
      <c r="H8" s="10"/>
      <c r="I8" s="10"/>
      <c r="J8" s="10"/>
      <c r="K8" s="10"/>
      <c r="L8" s="10"/>
    </row>
    <row r="9" spans="1:14" x14ac:dyDescent="0.25">
      <c r="A9" s="12"/>
      <c r="B9" s="19"/>
      <c r="C9" s="19"/>
      <c r="D9" s="19"/>
      <c r="E9" s="19"/>
      <c r="F9" s="19"/>
      <c r="G9" s="19"/>
      <c r="H9" s="10"/>
      <c r="I9" s="10"/>
      <c r="J9" s="10"/>
      <c r="K9" s="10"/>
      <c r="L9" s="10"/>
    </row>
    <row r="10" spans="1:14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4" x14ac:dyDescent="0.25">
      <c r="A11" s="22" t="s">
        <v>63</v>
      </c>
      <c r="B11" s="19">
        <v>0.7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4" x14ac:dyDescent="0.25">
      <c r="A12" s="22" t="s">
        <v>57</v>
      </c>
      <c r="B12" s="21">
        <f>32*1024*8*B7 /B11</f>
        <v>140293.85142857142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4" x14ac:dyDescent="0.25">
      <c r="A13" s="22" t="s">
        <v>56</v>
      </c>
      <c r="B13" s="21">
        <f>4*B12</f>
        <v>561175.40571428568</v>
      </c>
      <c r="C13" s="10" t="s">
        <v>58</v>
      </c>
      <c r="D13" s="10"/>
      <c r="E13" s="10"/>
      <c r="F13" s="10"/>
      <c r="G13" s="10"/>
      <c r="H13" s="10"/>
      <c r="I13" s="10"/>
      <c r="J13" s="10"/>
      <c r="K13" s="10"/>
      <c r="L13" s="10"/>
    </row>
    <row r="14" spans="1:14" x14ac:dyDescent="0.25">
      <c r="A14" s="22" t="s">
        <v>48</v>
      </c>
      <c r="B14" s="21">
        <f>0.05*B13</f>
        <v>28058.770285714287</v>
      </c>
      <c r="C14" s="10" t="s">
        <v>59</v>
      </c>
      <c r="D14" s="10"/>
      <c r="E14" s="10"/>
      <c r="F14" s="10"/>
      <c r="G14" s="10"/>
      <c r="H14" s="10"/>
      <c r="I14" s="10"/>
      <c r="J14" s="10"/>
      <c r="K14" s="10"/>
      <c r="L14" s="10"/>
    </row>
    <row r="15" spans="1:14" x14ac:dyDescent="0.25">
      <c r="A15" s="22" t="s">
        <v>47</v>
      </c>
      <c r="B15" s="21">
        <f>0.1*B13</f>
        <v>56117.540571428573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4" x14ac:dyDescent="0.25">
      <c r="A16" s="22" t="s">
        <v>55</v>
      </c>
      <c r="B16" s="21">
        <f>0.2*B13</f>
        <v>112235.08114285715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8" x14ac:dyDescent="0.25">
      <c r="A17" s="10"/>
      <c r="B17" s="11"/>
      <c r="C17" s="10"/>
      <c r="D17" s="10"/>
      <c r="E17" s="10"/>
      <c r="F17" s="10"/>
      <c r="G17" s="10"/>
      <c r="H17" s="10"/>
      <c r="I17" s="10"/>
      <c r="J17" s="10"/>
      <c r="K17" s="10"/>
      <c r="L17" s="10"/>
      <c r="N17" s="4"/>
    </row>
    <row r="18" spans="1:18" x14ac:dyDescent="0.25">
      <c r="A18" s="22" t="s">
        <v>89</v>
      </c>
      <c r="B18" s="19">
        <v>0.1</v>
      </c>
    </row>
    <row r="19" spans="1:18" x14ac:dyDescent="0.25">
      <c r="A19" s="10"/>
      <c r="B19" s="11"/>
      <c r="C19" s="10"/>
      <c r="D19" s="10"/>
      <c r="E19" s="10"/>
      <c r="F19" s="10"/>
      <c r="G19" s="10"/>
      <c r="H19" s="10"/>
      <c r="I19" s="10"/>
      <c r="J19" s="10"/>
      <c r="K19" s="10"/>
      <c r="L19" s="10"/>
      <c r="N19" s="4"/>
    </row>
    <row r="20" spans="1:18" x14ac:dyDescent="0.25">
      <c r="A20" s="22" t="s">
        <v>40</v>
      </c>
      <c r="B20" s="50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19"/>
      <c r="K20" t="s">
        <v>90</v>
      </c>
    </row>
    <row r="21" spans="1:18" x14ac:dyDescent="0.25">
      <c r="A21" s="22" t="s">
        <v>42</v>
      </c>
      <c r="B21" s="45">
        <f>4.096/1024</f>
        <v>4.0000000000000001E-3</v>
      </c>
      <c r="C21" s="45">
        <f t="shared" ref="C21:I21" si="0">B21*2/((C20+1)/(B20+1))</f>
        <v>5.3333333333333332E-3</v>
      </c>
      <c r="D21" s="45">
        <f t="shared" si="0"/>
        <v>8.0000000000000002E-3</v>
      </c>
      <c r="E21" s="45">
        <f t="shared" si="0"/>
        <v>1.2800000000000001E-2</v>
      </c>
      <c r="F21" s="45">
        <f t="shared" si="0"/>
        <v>2.1333333333333336E-2</v>
      </c>
      <c r="G21" s="45">
        <f t="shared" si="0"/>
        <v>3.6571428571428574E-2</v>
      </c>
      <c r="H21" s="45">
        <f t="shared" si="0"/>
        <v>6.4000000000000015E-2</v>
      </c>
      <c r="I21" s="45">
        <f t="shared" si="0"/>
        <v>0.11377777777777781</v>
      </c>
      <c r="J21" s="45"/>
      <c r="K21" s="10" t="s">
        <v>91</v>
      </c>
      <c r="L21" s="10"/>
    </row>
    <row r="22" spans="1:18" x14ac:dyDescent="0.25">
      <c r="A22" s="49"/>
      <c r="B22" s="11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8" x14ac:dyDescent="0.25">
      <c r="A23" s="22" t="s">
        <v>32</v>
      </c>
      <c r="B23" s="22">
        <f>256</f>
        <v>256</v>
      </c>
      <c r="C23" s="22">
        <v>128</v>
      </c>
      <c r="D23" s="22">
        <v>64</v>
      </c>
      <c r="E23" s="22">
        <v>32</v>
      </c>
      <c r="F23" s="22">
        <v>16</v>
      </c>
      <c r="G23" s="22">
        <v>8</v>
      </c>
      <c r="H23" s="22">
        <v>4</v>
      </c>
      <c r="I23" s="22">
        <v>2</v>
      </c>
      <c r="J23" s="22">
        <v>1</v>
      </c>
      <c r="K23" s="10"/>
      <c r="L23" s="10"/>
    </row>
    <row r="24" spans="1:18" x14ac:dyDescent="0.25">
      <c r="A24" s="22" t="s">
        <v>41</v>
      </c>
      <c r="B24" s="45">
        <f t="shared" ref="B24:J24" si="1">(((B23*$B2)*$B3/$B6)/10^-12)*$B5</f>
        <v>0.59904000000000002</v>
      </c>
      <c r="C24" s="45">
        <f t="shared" si="1"/>
        <v>0.29952000000000001</v>
      </c>
      <c r="D24" s="45">
        <f t="shared" si="1"/>
        <v>0.14976</v>
      </c>
      <c r="E24" s="45">
        <f t="shared" si="1"/>
        <v>7.4880000000000002E-2</v>
      </c>
      <c r="F24" s="45">
        <f t="shared" si="1"/>
        <v>3.7440000000000001E-2</v>
      </c>
      <c r="G24" s="45">
        <f t="shared" si="1"/>
        <v>1.8720000000000001E-2</v>
      </c>
      <c r="H24" s="45">
        <f t="shared" si="1"/>
        <v>9.3600000000000003E-3</v>
      </c>
      <c r="I24" s="45">
        <f t="shared" si="1"/>
        <v>4.6800000000000001E-3</v>
      </c>
      <c r="J24" s="45">
        <f t="shared" si="1"/>
        <v>2.3400000000000001E-3</v>
      </c>
      <c r="K24" s="10"/>
      <c r="L24" s="10"/>
    </row>
    <row r="25" spans="1:18" x14ac:dyDescent="0.25">
      <c r="A25" s="20"/>
    </row>
    <row r="26" spans="1:18" x14ac:dyDescent="0.25">
      <c r="A26" s="22" t="s">
        <v>92</v>
      </c>
      <c r="B26" s="22">
        <v>1</v>
      </c>
      <c r="C26" s="22">
        <v>2</v>
      </c>
      <c r="D26" s="22">
        <v>3</v>
      </c>
      <c r="E26" s="22">
        <v>4</v>
      </c>
      <c r="F26" s="22">
        <v>5</v>
      </c>
      <c r="G26" s="22">
        <v>6</v>
      </c>
      <c r="H26" s="22">
        <v>7</v>
      </c>
      <c r="I26" s="22">
        <v>8</v>
      </c>
    </row>
    <row r="27" spans="1:18" x14ac:dyDescent="0.25">
      <c r="A27" s="22" t="s">
        <v>93</v>
      </c>
      <c r="B27" s="45">
        <f>J24</f>
        <v>2.3400000000000001E-3</v>
      </c>
      <c r="C27" s="45">
        <f>(2^C26-1)*$B27</f>
        <v>7.0200000000000002E-3</v>
      </c>
      <c r="D27" s="45">
        <f t="shared" ref="D27:I27" si="2">(2^D26-1)*$B27</f>
        <v>1.6379999999999999E-2</v>
      </c>
      <c r="E27" s="45">
        <f t="shared" si="2"/>
        <v>3.5099999999999999E-2</v>
      </c>
      <c r="F27" s="45">
        <f t="shared" si="2"/>
        <v>7.2540000000000007E-2</v>
      </c>
      <c r="G27" s="45">
        <f t="shared" si="2"/>
        <v>0.14742</v>
      </c>
      <c r="H27" s="45">
        <f t="shared" si="2"/>
        <v>0.29718</v>
      </c>
      <c r="I27" s="45">
        <f t="shared" si="2"/>
        <v>0.59670000000000001</v>
      </c>
    </row>
    <row r="29" spans="1:18" x14ac:dyDescent="0.25">
      <c r="A29" s="51" t="s">
        <v>95</v>
      </c>
      <c r="B29" s="51">
        <v>5</v>
      </c>
      <c r="C29" s="51">
        <v>6</v>
      </c>
      <c r="D29" s="51">
        <v>7</v>
      </c>
      <c r="E29" s="51">
        <v>8</v>
      </c>
      <c r="F29" s="51">
        <v>9</v>
      </c>
      <c r="G29" s="51">
        <v>10</v>
      </c>
      <c r="H29" s="51">
        <v>11</v>
      </c>
      <c r="I29" s="51">
        <v>12</v>
      </c>
      <c r="J29" s="51">
        <v>13</v>
      </c>
      <c r="K29" t="s">
        <v>97</v>
      </c>
      <c r="L29" s="10"/>
      <c r="M29" s="10"/>
      <c r="N29" s="10"/>
      <c r="O29" s="10"/>
      <c r="P29" s="10"/>
      <c r="Q29" s="10"/>
      <c r="R29" s="10"/>
    </row>
    <row r="30" spans="1:18" x14ac:dyDescent="0.25">
      <c r="A30" s="51" t="s">
        <v>96</v>
      </c>
      <c r="B30" s="52">
        <v>0.314285714285714</v>
      </c>
      <c r="C30" s="52">
        <v>1.5946875</v>
      </c>
      <c r="D30" s="52">
        <v>0.222499999999999</v>
      </c>
      <c r="E30" s="52">
        <v>1.16038617253192</v>
      </c>
      <c r="F30" s="52">
        <v>2.5499999999999998</v>
      </c>
      <c r="G30" s="52">
        <v>1.1023668639053199</v>
      </c>
      <c r="H30" s="52">
        <v>29.9556213017751</v>
      </c>
      <c r="I30" s="52">
        <v>11.2932692307692</v>
      </c>
      <c r="J30" s="52">
        <v>35</v>
      </c>
    </row>
    <row r="32" spans="1:18" x14ac:dyDescent="0.25">
      <c r="A32" s="20" t="s">
        <v>94</v>
      </c>
    </row>
  </sheetData>
  <mergeCells count="2">
    <mergeCell ref="A1:B1"/>
    <mergeCell ref="L1:M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2"/>
  <sheetViews>
    <sheetView zoomScaleNormal="100" workbookViewId="0">
      <selection activeCell="AN50" sqref="AN50"/>
    </sheetView>
  </sheetViews>
  <sheetFormatPr defaultRowHeight="15" x14ac:dyDescent="0.25"/>
  <cols>
    <col min="1" max="13" width="12.7109375" customWidth="1"/>
    <col min="15" max="15" width="13.5703125" customWidth="1"/>
  </cols>
  <sheetData>
    <row r="1" spans="1:7" s="42" customFormat="1" x14ac:dyDescent="0.25">
      <c r="A1" s="41" t="s">
        <v>78</v>
      </c>
    </row>
    <row r="2" spans="1:7" x14ac:dyDescent="0.25">
      <c r="A2" s="25" t="s">
        <v>54</v>
      </c>
      <c r="B2" s="25" t="s">
        <v>49</v>
      </c>
      <c r="C2" s="43" t="s">
        <v>75</v>
      </c>
      <c r="D2" s="43" t="s">
        <v>76</v>
      </c>
      <c r="E2" s="43" t="s">
        <v>77</v>
      </c>
      <c r="F2" s="43" t="s">
        <v>79</v>
      </c>
      <c r="G2" s="48"/>
    </row>
    <row r="3" spans="1:7" x14ac:dyDescent="0.25">
      <c r="A3" s="26">
        <v>2</v>
      </c>
      <c r="B3" s="26">
        <v>1</v>
      </c>
      <c r="C3" s="44">
        <v>682685.83589999995</v>
      </c>
      <c r="D3" s="44">
        <v>8533.3333330000005</v>
      </c>
      <c r="E3" s="44">
        <v>5825585800</v>
      </c>
      <c r="F3" s="26">
        <v>2.80792115357401E-3</v>
      </c>
    </row>
    <row r="4" spans="1:7" x14ac:dyDescent="0.25">
      <c r="A4" s="26">
        <v>3</v>
      </c>
      <c r="B4" s="26">
        <v>4</v>
      </c>
      <c r="C4" s="44">
        <v>277.21728000000002</v>
      </c>
      <c r="D4" s="44">
        <v>12.8</v>
      </c>
      <c r="E4" s="44">
        <v>3548.3811839999998</v>
      </c>
      <c r="F4" s="26">
        <v>6.9148936170212698</v>
      </c>
    </row>
    <row r="5" spans="1:7" x14ac:dyDescent="0.25">
      <c r="A5" s="26">
        <v>9</v>
      </c>
      <c r="B5" s="26">
        <v>5</v>
      </c>
      <c r="C5" s="44">
        <v>99.626422860000005</v>
      </c>
      <c r="D5" s="44">
        <v>2.6122448980000001</v>
      </c>
      <c r="E5" s="44">
        <v>260.24861479999998</v>
      </c>
      <c r="F5" s="26">
        <v>19.241160577939599</v>
      </c>
    </row>
    <row r="6" spans="1:7" x14ac:dyDescent="0.25">
      <c r="A6" s="26">
        <v>33</v>
      </c>
      <c r="B6" s="26">
        <v>6</v>
      </c>
      <c r="C6" s="44">
        <v>223.28927999999999</v>
      </c>
      <c r="D6" s="44">
        <v>0.92307692299999999</v>
      </c>
      <c r="E6" s="44">
        <v>206.1131815</v>
      </c>
      <c r="F6" s="26">
        <v>8.5849531155279806</v>
      </c>
    </row>
    <row r="7" spans="1:7" x14ac:dyDescent="0.25">
      <c r="A7" s="26">
        <v>53</v>
      </c>
      <c r="B7" s="26">
        <v>7</v>
      </c>
      <c r="C7" s="44">
        <v>33.409280000000003</v>
      </c>
      <c r="D7" s="44">
        <v>26.666666670000001</v>
      </c>
      <c r="E7" s="44">
        <v>890.9141333</v>
      </c>
      <c r="F7" s="26">
        <v>57.377111988046501</v>
      </c>
    </row>
    <row r="8" spans="1:7" x14ac:dyDescent="0.25">
      <c r="A8" s="46">
        <v>95</v>
      </c>
      <c r="B8" s="46">
        <v>8</v>
      </c>
      <c r="C8" s="47">
        <v>56.30163752</v>
      </c>
      <c r="D8" s="47">
        <v>0.64777327900000004</v>
      </c>
      <c r="E8" s="47">
        <v>36.470696369999999</v>
      </c>
      <c r="F8" s="46">
        <v>34.047464414943001</v>
      </c>
    </row>
    <row r="9" spans="1:7" x14ac:dyDescent="0.25">
      <c r="A9" s="26">
        <v>102</v>
      </c>
      <c r="B9" s="26">
        <v>9</v>
      </c>
      <c r="C9" s="44">
        <v>59.969279999999998</v>
      </c>
      <c r="D9" s="44">
        <v>2.6666666669999999</v>
      </c>
      <c r="E9" s="44">
        <v>159.91808</v>
      </c>
      <c r="F9" s="26">
        <v>31.9651661650765</v>
      </c>
    </row>
    <row r="10" spans="1:7" x14ac:dyDescent="0.25">
      <c r="A10" s="26">
        <v>157</v>
      </c>
      <c r="B10" s="26">
        <v>10</v>
      </c>
      <c r="C10" s="44">
        <v>27.98821491</v>
      </c>
      <c r="D10" s="44">
        <v>1.730769231</v>
      </c>
      <c r="E10" s="44">
        <v>48.441141190000003</v>
      </c>
      <c r="F10" s="26">
        <v>68.490541682599101</v>
      </c>
    </row>
    <row r="11" spans="1:7" x14ac:dyDescent="0.25">
      <c r="A11" s="26">
        <v>172</v>
      </c>
      <c r="B11" s="26">
        <v>11</v>
      </c>
      <c r="C11" s="44">
        <v>138.9917652</v>
      </c>
      <c r="D11" s="44">
        <v>0.34615384599999999</v>
      </c>
      <c r="E11" s="44">
        <v>48.112534109999999</v>
      </c>
      <c r="F11" s="26">
        <v>13.791665982108601</v>
      </c>
    </row>
    <row r="12" spans="1:7" x14ac:dyDescent="0.25">
      <c r="A12" s="26">
        <v>218</v>
      </c>
      <c r="B12" s="26">
        <v>12</v>
      </c>
      <c r="C12" s="44">
        <v>41.75581846</v>
      </c>
      <c r="D12" s="44">
        <v>0.21634615400000001</v>
      </c>
      <c r="E12" s="44">
        <v>9.0337107250000006</v>
      </c>
      <c r="F12" s="26">
        <v>45.9080451689791</v>
      </c>
    </row>
    <row r="13" spans="1:7" x14ac:dyDescent="0.25">
      <c r="A13" s="26">
        <v>234</v>
      </c>
      <c r="B13" s="26">
        <v>13</v>
      </c>
      <c r="C13" s="44">
        <v>54.169280000000001</v>
      </c>
      <c r="D13" s="44">
        <v>0.25</v>
      </c>
      <c r="E13" s="44">
        <v>13.54232</v>
      </c>
      <c r="F13" s="26">
        <v>35.387732678004902</v>
      </c>
    </row>
    <row r="14" spans="1:7" x14ac:dyDescent="0.25">
      <c r="A14" s="26">
        <v>254</v>
      </c>
      <c r="B14" s="26">
        <v>14</v>
      </c>
      <c r="C14" s="44">
        <v>53.544280000000001</v>
      </c>
      <c r="D14" s="44">
        <v>6.25E-2</v>
      </c>
      <c r="E14" s="44">
        <v>3.3465175</v>
      </c>
      <c r="F14" s="26">
        <v>35.800798890189498</v>
      </c>
    </row>
    <row r="15" spans="1:7" x14ac:dyDescent="0.25">
      <c r="A15" s="26">
        <v>260</v>
      </c>
      <c r="B15" s="26">
        <v>15</v>
      </c>
      <c r="C15" s="44">
        <v>25.884841219999998</v>
      </c>
      <c r="D15" s="44">
        <v>0.40178571400000002</v>
      </c>
      <c r="E15" s="44">
        <v>10.40015942</v>
      </c>
      <c r="F15" s="26">
        <v>74.056007660050199</v>
      </c>
    </row>
    <row r="16" spans="1:7" x14ac:dyDescent="0.25">
      <c r="A16" s="26">
        <v>268</v>
      </c>
      <c r="B16" s="26">
        <v>16</v>
      </c>
      <c r="C16" s="44">
        <v>45.731780000000001</v>
      </c>
      <c r="D16" s="44">
        <v>3.125E-2</v>
      </c>
      <c r="E16" s="44">
        <v>1.429118125</v>
      </c>
      <c r="F16" s="26">
        <v>41.916758980297701</v>
      </c>
    </row>
    <row r="17" spans="1:12" x14ac:dyDescent="0.25">
      <c r="A17" s="26">
        <v>273</v>
      </c>
      <c r="B17" s="26">
        <v>18</v>
      </c>
      <c r="C17" s="44">
        <v>27.67428</v>
      </c>
      <c r="D17" s="44">
        <v>0.1125</v>
      </c>
      <c r="E17" s="44">
        <v>3.1133565000000001</v>
      </c>
      <c r="F17" s="26">
        <v>69.267493138032904</v>
      </c>
    </row>
    <row r="18" spans="1:12" x14ac:dyDescent="0.25">
      <c r="A18" s="26">
        <v>276</v>
      </c>
      <c r="B18" s="26">
        <v>20</v>
      </c>
      <c r="C18" s="44">
        <v>28.78842062</v>
      </c>
      <c r="D18" s="44">
        <v>0.48828125</v>
      </c>
      <c r="E18" s="44">
        <v>14.056846009999999</v>
      </c>
      <c r="F18" s="26">
        <v>66.586771986210806</v>
      </c>
    </row>
    <row r="19" spans="1:12" x14ac:dyDescent="0.25">
      <c r="A19" s="26">
        <v>277</v>
      </c>
      <c r="B19" s="26">
        <v>21</v>
      </c>
      <c r="C19" s="44">
        <v>97.03488059</v>
      </c>
      <c r="D19" s="44">
        <v>10986.32813</v>
      </c>
      <c r="E19" s="44">
        <v>1066057.0379999999</v>
      </c>
      <c r="F19" s="26">
        <v>19.755040542378001</v>
      </c>
    </row>
    <row r="20" spans="1:12" x14ac:dyDescent="0.25">
      <c r="A20" s="26">
        <v>278</v>
      </c>
      <c r="B20" s="26">
        <v>22</v>
      </c>
      <c r="C20" s="44">
        <v>224.18761549999999</v>
      </c>
      <c r="D20" s="44">
        <v>31.389508930000002</v>
      </c>
      <c r="E20" s="44">
        <v>7037.1391569999996</v>
      </c>
      <c r="F20" s="26">
        <v>8.5505526077956002</v>
      </c>
    </row>
    <row r="25" spans="1:12" s="42" customFormat="1" x14ac:dyDescent="0.25">
      <c r="A25" s="41" t="s">
        <v>104</v>
      </c>
    </row>
    <row r="26" spans="1:12" x14ac:dyDescent="0.25">
      <c r="A26" s="20" t="s">
        <v>88</v>
      </c>
      <c r="B26">
        <v>8</v>
      </c>
    </row>
    <row r="27" spans="1:12" x14ac:dyDescent="0.25">
      <c r="A27" s="20" t="s">
        <v>100</v>
      </c>
      <c r="B27">
        <f>(16*32)/64</f>
        <v>8</v>
      </c>
    </row>
    <row r="28" spans="1:12" x14ac:dyDescent="0.25">
      <c r="A28" s="20" t="s">
        <v>101</v>
      </c>
      <c r="B28">
        <f>32*16</f>
        <v>512</v>
      </c>
      <c r="C28" t="s">
        <v>102</v>
      </c>
    </row>
    <row r="29" spans="1:12" x14ac:dyDescent="0.25">
      <c r="A29" s="20" t="s">
        <v>81</v>
      </c>
      <c r="B29" s="20" t="s">
        <v>98</v>
      </c>
      <c r="C29" s="20" t="s">
        <v>99</v>
      </c>
      <c r="D29" s="20" t="s">
        <v>83</v>
      </c>
      <c r="E29" s="20" t="s">
        <v>82</v>
      </c>
      <c r="F29" s="20" t="s">
        <v>84</v>
      </c>
      <c r="G29" s="20" t="s">
        <v>85</v>
      </c>
      <c r="H29" s="20" t="s">
        <v>75</v>
      </c>
      <c r="J29" s="20" t="s">
        <v>86</v>
      </c>
      <c r="K29" s="20" t="s">
        <v>87</v>
      </c>
      <c r="L29" s="20" t="s">
        <v>77</v>
      </c>
    </row>
    <row r="30" spans="1:12" x14ac:dyDescent="0.25">
      <c r="A30">
        <v>1</v>
      </c>
      <c r="B30">
        <f>_xlfn.CEILING.MATH(16/A30)</f>
        <v>16</v>
      </c>
      <c r="C30">
        <f>_xlfn.FLOOR.MATH(2^(B$8)/(2^A30-1))</f>
        <v>256</v>
      </c>
      <c r="D30" s="1">
        <f>B30*C$30*'analog-mvmu-specs'!B$21*((2^A30)/((A30+1)/A$30))*B$27</f>
        <v>131.072</v>
      </c>
      <c r="E30" s="1">
        <f>B30*B$28*C$30*'analog-mvmu-specs'!B$27</f>
        <v>4907.3356800000001</v>
      </c>
      <c r="F30" s="1">
        <f>B30*_xlfn.CEILING.MATH(C$30/C30)*B$28*'analog-mvmu-specs'!E$30</f>
        <v>9505.8835253814887</v>
      </c>
      <c r="G30" s="1">
        <f>B30*_xlfn.CEILING.MATH(C$30/C30)*B$28*'analog-mvmu-specs'!B$18</f>
        <v>819.2</v>
      </c>
      <c r="H30" s="1">
        <f>SUM(D30:G30)/C$30</f>
        <v>60.013637521021444</v>
      </c>
      <c r="J30" s="1">
        <f>_xlfn.CEILING.MATH(C$30/C30)*B30*adc_stats_norm45!Q$96</f>
        <v>165.82995951417033</v>
      </c>
      <c r="K30" s="1">
        <f>J30/C$30</f>
        <v>0.64777327935222784</v>
      </c>
      <c r="L30" s="1">
        <f>H30*K30</f>
        <v>38.875230782847964</v>
      </c>
    </row>
    <row r="31" spans="1:12" x14ac:dyDescent="0.25">
      <c r="A31">
        <v>2</v>
      </c>
      <c r="B31">
        <f t="shared" ref="B31:B37" si="0">_xlfn.CEILING.MATH(16/A31)</f>
        <v>8</v>
      </c>
      <c r="C31">
        <f>_xlfn.FLOOR.MATH(2^(B$8)/(2^A31-1))</f>
        <v>85</v>
      </c>
      <c r="D31" s="1">
        <f>B31*C$30*'analog-mvmu-specs'!B$21*((2^A31)/((A31+1)/A$30))*B$27</f>
        <v>87.38133333333333</v>
      </c>
      <c r="E31" s="1">
        <f>B31*B$28*C$30*'analog-mvmu-specs'!B$27</f>
        <v>2453.6678400000001</v>
      </c>
      <c r="F31" s="1">
        <f>B31*_xlfn.CEILING.MATH(C$30/C31)*B$28*'analog-mvmu-specs'!E$30</f>
        <v>19011.767050762977</v>
      </c>
      <c r="G31" s="1">
        <f>B31*_xlfn.CEILING.MATH(C$30/C31)*B$28*'analog-mvmu-specs'!B$18</f>
        <v>1638.4</v>
      </c>
      <c r="H31" s="1">
        <f t="shared" ref="H31:H37" si="1">SUM(D31:G31)/C$30</f>
        <v>90.590688375376217</v>
      </c>
      <c r="J31" s="1">
        <f>_xlfn.CEILING.MATH(C$30/C31)*B31*adc_stats_norm45!Q$96</f>
        <v>331.65991902834065</v>
      </c>
      <c r="K31" s="1">
        <f t="shared" ref="K31:K37" si="2">J31/C$30</f>
        <v>1.2955465587044557</v>
      </c>
      <c r="L31" s="1">
        <f t="shared" ref="L31:L37" si="3">H31*K31</f>
        <v>117.36445457538639</v>
      </c>
    </row>
    <row r="32" spans="1:12" x14ac:dyDescent="0.25">
      <c r="A32">
        <v>3</v>
      </c>
      <c r="B32">
        <f t="shared" si="0"/>
        <v>6</v>
      </c>
      <c r="C32">
        <f t="shared" ref="C32:C37" si="4">_xlfn.FLOOR.MATH(2^(B$8)/(2^A32-1))</f>
        <v>36</v>
      </c>
      <c r="D32" s="1">
        <f>B32*C$30*'analog-mvmu-specs'!B$21*((2^A32)/((A32+1)/A$30))*B$27</f>
        <v>98.304000000000002</v>
      </c>
      <c r="E32" s="1">
        <f>B32*B$28*C$30*'analog-mvmu-specs'!B$27</f>
        <v>1840.2508800000001</v>
      </c>
      <c r="F32" s="1">
        <f>B32*_xlfn.CEILING.MATH(C$30/C32)*B$28*'analog-mvmu-specs'!E$30</f>
        <v>28517.650576144464</v>
      </c>
      <c r="G32" s="1">
        <f>B32*_xlfn.CEILING.MATH(C$30/C32)*B$28*'analog-mvmu-specs'!B$18</f>
        <v>2457.6000000000004</v>
      </c>
      <c r="H32" s="1">
        <f t="shared" si="1"/>
        <v>128.56955256306432</v>
      </c>
      <c r="J32" s="1">
        <f>_xlfn.CEILING.MATH(C$30/C32)*B32*adc_stats_norm45!Q$96</f>
        <v>497.48987854251095</v>
      </c>
      <c r="K32" s="1">
        <f t="shared" si="2"/>
        <v>1.9433198380566834</v>
      </c>
      <c r="L32" s="1">
        <f t="shared" si="3"/>
        <v>249.8517620658744</v>
      </c>
    </row>
    <row r="33" spans="1:12" x14ac:dyDescent="0.25">
      <c r="A33">
        <v>4</v>
      </c>
      <c r="B33">
        <f t="shared" si="0"/>
        <v>4</v>
      </c>
      <c r="C33">
        <f t="shared" si="4"/>
        <v>17</v>
      </c>
      <c r="D33" s="1">
        <f>B33*C$30*'analog-mvmu-specs'!B$21*((2^A33)/((A33+1)/A$30))*B$27</f>
        <v>104.85760000000001</v>
      </c>
      <c r="E33" s="1">
        <f>B33*B$28*C$30*'analog-mvmu-specs'!B$27</f>
        <v>1226.83392</v>
      </c>
      <c r="F33" s="1">
        <f>B33*_xlfn.CEILING.MATH(C$30/C33)*B$28*'analog-mvmu-specs'!E$30</f>
        <v>38023.534101525955</v>
      </c>
      <c r="G33" s="1">
        <f>B33*_xlfn.CEILING.MATH(C$30/C33)*B$28*'analog-mvmu-specs'!B$18</f>
        <v>3276.8</v>
      </c>
      <c r="H33" s="1">
        <f t="shared" si="1"/>
        <v>166.53135008408577</v>
      </c>
      <c r="J33" s="1">
        <f>_xlfn.CEILING.MATH(C$30/C33)*B33*adc_stats_norm45!Q$96</f>
        <v>663.31983805668131</v>
      </c>
      <c r="K33" s="1">
        <f t="shared" si="2"/>
        <v>2.5910931174089114</v>
      </c>
      <c r="L33" s="1">
        <f t="shared" si="3"/>
        <v>431.49823503568859</v>
      </c>
    </row>
    <row r="34" spans="1:12" x14ac:dyDescent="0.25">
      <c r="A34">
        <v>5</v>
      </c>
      <c r="B34">
        <f t="shared" si="0"/>
        <v>4</v>
      </c>
      <c r="C34">
        <f t="shared" si="4"/>
        <v>8</v>
      </c>
      <c r="D34" s="1">
        <f>B34*C$30*'analog-mvmu-specs'!B$21*((2^A34)/((A34+1)/A$30))*B$27</f>
        <v>174.76266666666666</v>
      </c>
      <c r="E34" s="1">
        <f>B34*B$28*C$30*'analog-mvmu-specs'!B$27</f>
        <v>1226.83392</v>
      </c>
      <c r="F34" s="1">
        <f>B34*_xlfn.CEILING.MATH(C$30/C34)*B$28*'analog-mvmu-specs'!E$30</f>
        <v>76047.068203051909</v>
      </c>
      <c r="G34" s="1">
        <f>B34*_xlfn.CEILING.MATH(C$30/C34)*B$28*'analog-mvmu-specs'!B$18</f>
        <v>6553.6</v>
      </c>
      <c r="H34" s="1">
        <f t="shared" si="1"/>
        <v>328.13384683483821</v>
      </c>
      <c r="J34" s="1">
        <f>_xlfn.CEILING.MATH(C$30/C34)*B34*adc_stats_norm45!Q$96</f>
        <v>1326.6396761133626</v>
      </c>
      <c r="K34" s="1">
        <f t="shared" si="2"/>
        <v>5.1821862348178227</v>
      </c>
      <c r="L34" s="1">
        <f t="shared" si="3"/>
        <v>1700.4507042453183</v>
      </c>
    </row>
    <row r="35" spans="1:12" x14ac:dyDescent="0.25">
      <c r="A35">
        <v>6</v>
      </c>
      <c r="B35">
        <f t="shared" si="0"/>
        <v>3</v>
      </c>
      <c r="C35">
        <f t="shared" si="4"/>
        <v>4</v>
      </c>
      <c r="D35" s="1">
        <f>B35*C$30*'analog-mvmu-specs'!B$21*((2^A35)/((A35+1)/A$30))*B$27</f>
        <v>224.69485714285713</v>
      </c>
      <c r="E35" s="1">
        <f>B35*B$28*C$30*'analog-mvmu-specs'!B$27</f>
        <v>920.12544000000003</v>
      </c>
      <c r="F35" s="1">
        <f>B35*_xlfn.CEILING.MATH(C$30/C35)*B$28*'analog-mvmu-specs'!E$30</f>
        <v>114070.60230457786</v>
      </c>
      <c r="G35" s="1">
        <f>B35*_xlfn.CEILING.MATH(C$30/C35)*B$28*'analog-mvmu-specs'!B$18</f>
        <v>9830.4000000000015</v>
      </c>
      <c r="H35" s="1">
        <f t="shared" si="1"/>
        <v>488.46024453797156</v>
      </c>
      <c r="J35" s="1">
        <f>_xlfn.CEILING.MATH(C$30/C35)*B35*adc_stats_norm45!Q$96</f>
        <v>1989.9595141700438</v>
      </c>
      <c r="K35" s="1">
        <f t="shared" si="2"/>
        <v>7.7732793522267336</v>
      </c>
      <c r="L35" s="1">
        <f t="shared" si="3"/>
        <v>3796.9379332506355</v>
      </c>
    </row>
    <row r="36" spans="1:12" x14ac:dyDescent="0.25">
      <c r="A36">
        <v>7</v>
      </c>
      <c r="B36">
        <f t="shared" si="0"/>
        <v>3</v>
      </c>
      <c r="C36">
        <f t="shared" si="4"/>
        <v>2</v>
      </c>
      <c r="D36" s="1">
        <f>B36*C$30*'analog-mvmu-specs'!B$21*((2^A36)/((A36+1)/A$30))*B$27</f>
        <v>393.21600000000001</v>
      </c>
      <c r="E36" s="1">
        <f>B36*B$28*C$30*'analog-mvmu-specs'!B$27</f>
        <v>920.12544000000003</v>
      </c>
      <c r="F36" s="1">
        <f>B36*_xlfn.CEILING.MATH(C$30/C36)*B$28*'analog-mvmu-specs'!E$30</f>
        <v>228141.20460915571</v>
      </c>
      <c r="G36" s="1">
        <f>B36*_xlfn.CEILING.MATH(C$30/C36)*B$28*'analog-mvmu-specs'!B$18</f>
        <v>19660.800000000003</v>
      </c>
      <c r="H36" s="1">
        <f t="shared" si="1"/>
        <v>973.10682050451442</v>
      </c>
      <c r="J36" s="1">
        <f>_xlfn.CEILING.MATH(C$30/C36)*B36*adc_stats_norm45!Q$96</f>
        <v>3979.9190283400876</v>
      </c>
      <c r="K36" s="1">
        <f t="shared" si="2"/>
        <v>15.546558704453467</v>
      </c>
      <c r="L36" s="1">
        <f t="shared" si="3"/>
        <v>15128.462310677496</v>
      </c>
    </row>
    <row r="37" spans="1:12" x14ac:dyDescent="0.25">
      <c r="A37">
        <v>8</v>
      </c>
      <c r="B37">
        <f t="shared" si="0"/>
        <v>2</v>
      </c>
      <c r="C37">
        <f t="shared" si="4"/>
        <v>1</v>
      </c>
      <c r="D37" s="1">
        <f>B37*C$30*'analog-mvmu-specs'!B$21*((2^A37)/((A37+1)/A$30))*B$27</f>
        <v>466.03377777777774</v>
      </c>
      <c r="E37" s="1">
        <f>B37*B$28*C$30*'analog-mvmu-specs'!B$27</f>
        <v>613.41696000000002</v>
      </c>
      <c r="F37" s="1">
        <f>B37*_xlfn.CEILING.MATH(C$30/C37)*B$28*'analog-mvmu-specs'!E$30</f>
        <v>304188.27281220764</v>
      </c>
      <c r="G37" s="1">
        <f>B37*_xlfn.CEILING.MATH(C$30/C37)*B$28*'analog-mvmu-specs'!B$18</f>
        <v>26214.400000000001</v>
      </c>
      <c r="H37" s="1">
        <f t="shared" si="1"/>
        <v>1294.8520451171307</v>
      </c>
      <c r="J37" s="1">
        <f>_xlfn.CEILING.MATH(C$30/C37)*B37*adc_stats_norm45!Q$96</f>
        <v>5306.5587044534504</v>
      </c>
      <c r="K37" s="1">
        <f t="shared" si="2"/>
        <v>20.728744939271291</v>
      </c>
      <c r="L37" s="1">
        <f t="shared" si="3"/>
        <v>26840.657777326804</v>
      </c>
    </row>
    <row r="43" spans="1:12" s="42" customFormat="1" x14ac:dyDescent="0.25">
      <c r="A43" s="41" t="s">
        <v>103</v>
      </c>
    </row>
    <row r="44" spans="1:12" x14ac:dyDescent="0.25">
      <c r="A44" s="20" t="s">
        <v>88</v>
      </c>
      <c r="B44">
        <v>8</v>
      </c>
    </row>
    <row r="45" spans="1:12" x14ac:dyDescent="0.25">
      <c r="A45" s="20" t="s">
        <v>100</v>
      </c>
      <c r="B45">
        <f>(16*32)/64</f>
        <v>8</v>
      </c>
    </row>
    <row r="46" spans="1:12" x14ac:dyDescent="0.25">
      <c r="A46" s="20" t="s">
        <v>101</v>
      </c>
      <c r="B46">
        <f>32*16</f>
        <v>512</v>
      </c>
      <c r="C46" t="s">
        <v>102</v>
      </c>
    </row>
    <row r="47" spans="1:12" x14ac:dyDescent="0.25">
      <c r="A47" s="20" t="s">
        <v>105</v>
      </c>
      <c r="B47" s="20" t="s">
        <v>99</v>
      </c>
      <c r="C47" s="20" t="s">
        <v>83</v>
      </c>
      <c r="D47" s="20" t="s">
        <v>82</v>
      </c>
      <c r="E47" s="20" t="s">
        <v>84</v>
      </c>
      <c r="F47" s="20" t="s">
        <v>85</v>
      </c>
      <c r="G47" s="20" t="s">
        <v>75</v>
      </c>
      <c r="I47" s="20" t="s">
        <v>86</v>
      </c>
      <c r="J47" s="20" t="s">
        <v>87</v>
      </c>
      <c r="K47" s="20" t="s">
        <v>77</v>
      </c>
    </row>
    <row r="48" spans="1:12" x14ac:dyDescent="0.25">
      <c r="A48">
        <v>1</v>
      </c>
      <c r="B48">
        <f>_xlfn.FLOOR.MATH(2^(B$8)/(2^A48-1))</f>
        <v>256</v>
      </c>
      <c r="C48" s="1">
        <f>16*B$48*'analog-mvmu-specs'!B$21*B$45</f>
        <v>131.072</v>
      </c>
      <c r="D48" s="1">
        <f>16*(B$46/A48)*B$48*'analog-mvmu-specs'!B$27*(2^A48-1)</f>
        <v>4907.3356800000001</v>
      </c>
      <c r="E48" s="1">
        <f>16*_xlfn.CEILING.MATH(B$48/B48)*(B$46/A48)*'analog-mvmu-specs'!E$30</f>
        <v>9505.8835253814887</v>
      </c>
      <c r="F48" s="1">
        <f>16*_xlfn.CEILING.MATH(B$48/B48)*(B$46/A48)*'analog-mvmu-specs'!B$18</f>
        <v>819.2</v>
      </c>
      <c r="G48" s="1">
        <f>SUM(C48:F48)/B$48</f>
        <v>60.013637521021444</v>
      </c>
      <c r="I48" s="1">
        <f>_xlfn.CEILING.MATH(B$48/B48)*16*(adc_stats_norm45!Q$96/A48)</f>
        <v>165.82995951417033</v>
      </c>
      <c r="J48" s="1">
        <f>I48/B$48</f>
        <v>0.64777327935222784</v>
      </c>
      <c r="K48" s="1">
        <f>G48*J48</f>
        <v>38.875230782847964</v>
      </c>
    </row>
    <row r="49" spans="1:11" x14ac:dyDescent="0.25">
      <c r="A49">
        <v>2</v>
      </c>
      <c r="B49">
        <f t="shared" ref="B49:B55" si="5">_xlfn.FLOOR.MATH(2^(B$8)/(2^A49-1))</f>
        <v>85</v>
      </c>
      <c r="C49" s="1">
        <f>16*B$48*'analog-mvmu-specs'!B$21*B$45</f>
        <v>131.072</v>
      </c>
      <c r="D49" s="1">
        <f>16*(B$46/A49)*B$48*'analog-mvmu-specs'!B$27*(2^A49-1)</f>
        <v>7361.0035200000002</v>
      </c>
      <c r="E49" s="1">
        <f>16*_xlfn.CEILING.MATH(B$48/B49)*(B$46/A49)*'analog-mvmu-specs'!E$30</f>
        <v>19011.767050762977</v>
      </c>
      <c r="F49" s="1">
        <f>16*_xlfn.CEILING.MATH(B$48/B49)*(B$46/A49)*'analog-mvmu-specs'!B$18</f>
        <v>1638.4</v>
      </c>
      <c r="G49" s="1">
        <f t="shared" ref="G49:G55" si="6">SUM(C49:F49)/B$48</f>
        <v>109.93063504204289</v>
      </c>
      <c r="I49" s="1">
        <f>_xlfn.CEILING.MATH(B$48/B49)*16*(adc_stats_norm45!Q$96/A49)</f>
        <v>331.65991902834065</v>
      </c>
      <c r="J49" s="1">
        <f t="shared" ref="J49:J55" si="7">I49/B$48</f>
        <v>1.2955465587044557</v>
      </c>
      <c r="K49" s="1">
        <f t="shared" ref="K49:K55" si="8">G49*J49</f>
        <v>142.42025592491413</v>
      </c>
    </row>
    <row r="50" spans="1:11" x14ac:dyDescent="0.25">
      <c r="A50">
        <v>3</v>
      </c>
      <c r="B50">
        <f t="shared" si="5"/>
        <v>36</v>
      </c>
      <c r="C50" s="1">
        <f>16*B$48*'analog-mvmu-specs'!B$21*B$45</f>
        <v>131.072</v>
      </c>
      <c r="D50" s="1">
        <f>16*(B$46/A50)*B$48*'analog-mvmu-specs'!B$27*(2^A50-1)</f>
        <v>11450.449919999999</v>
      </c>
      <c r="E50" s="1">
        <f>16*_xlfn.CEILING.MATH(B$48/B50)*(B$46/A50)*'analog-mvmu-specs'!E$30</f>
        <v>25349.022734350634</v>
      </c>
      <c r="F50" s="1">
        <f>16*_xlfn.CEILING.MATH(B$48/B50)*(B$46/A50)*'analog-mvmu-specs'!B$18</f>
        <v>2184.5333333333333</v>
      </c>
      <c r="G50" s="1">
        <f t="shared" si="6"/>
        <v>152.79327338939049</v>
      </c>
      <c r="I50" s="1">
        <f>_xlfn.CEILING.MATH(B$48/B50)*16*(adc_stats_norm45!Q$96/A50)</f>
        <v>442.21322537112087</v>
      </c>
      <c r="J50" s="1">
        <f t="shared" si="7"/>
        <v>1.7273954116059409</v>
      </c>
      <c r="K50" s="1">
        <f t="shared" si="8"/>
        <v>263.93439937708524</v>
      </c>
    </row>
    <row r="51" spans="1:11" x14ac:dyDescent="0.25">
      <c r="A51">
        <v>4</v>
      </c>
      <c r="B51">
        <f t="shared" si="5"/>
        <v>17</v>
      </c>
      <c r="C51" s="1">
        <f>16*B$48*'analog-mvmu-specs'!B$21*B$45</f>
        <v>131.072</v>
      </c>
      <c r="D51" s="1">
        <f>16*(B$46/A51)*B$48*'analog-mvmu-specs'!B$27*(2^A51-1)</f>
        <v>18402.5088</v>
      </c>
      <c r="E51" s="1">
        <f>16*_xlfn.CEILING.MATH(B$48/B51)*(B$46/A51)*'analog-mvmu-specs'!E$30</f>
        <v>38023.534101525955</v>
      </c>
      <c r="F51" s="1">
        <f>16*_xlfn.CEILING.MATH(B$48/B51)*(B$46/A51)*'analog-mvmu-specs'!B$18</f>
        <v>3276.8</v>
      </c>
      <c r="G51" s="1">
        <f t="shared" si="6"/>
        <v>233.72623008408578</v>
      </c>
      <c r="I51" s="1">
        <f>_xlfn.CEILING.MATH(B$48/B51)*16*(adc_stats_norm45!Q$96/A51)</f>
        <v>663.31983805668131</v>
      </c>
      <c r="J51" s="1">
        <f t="shared" si="7"/>
        <v>2.5910931174089114</v>
      </c>
      <c r="K51" s="1">
        <f t="shared" si="8"/>
        <v>605.60642612880633</v>
      </c>
    </row>
    <row r="52" spans="1:11" x14ac:dyDescent="0.25">
      <c r="A52">
        <v>5</v>
      </c>
      <c r="B52">
        <f t="shared" si="5"/>
        <v>8</v>
      </c>
      <c r="C52" s="1">
        <f>16*B$48*'analog-mvmu-specs'!B$21*B$45</f>
        <v>131.072</v>
      </c>
      <c r="D52" s="1">
        <f>16*(B$46/A52)*B$48*'analog-mvmu-specs'!B$27*(2^A52-1)</f>
        <v>30425.481216000004</v>
      </c>
      <c r="E52" s="1">
        <f>16*_xlfn.CEILING.MATH(B$48/B52)*(B$46/A52)*'analog-mvmu-specs'!E$30</f>
        <v>60837.65456244153</v>
      </c>
      <c r="F52" s="1">
        <f>16*_xlfn.CEILING.MATH(B$48/B52)*(B$46/A52)*'analog-mvmu-specs'!B$18</f>
        <v>5242.880000000001</v>
      </c>
      <c r="G52" s="1">
        <f t="shared" si="6"/>
        <v>377.48862413453725</v>
      </c>
      <c r="I52" s="1">
        <f>_xlfn.CEILING.MATH(B$48/B52)*16*(adc_stats_norm45!Q$96/A52)</f>
        <v>1061.3117408906901</v>
      </c>
      <c r="J52" s="1">
        <f t="shared" si="7"/>
        <v>4.1457489878542582</v>
      </c>
      <c r="K52" s="1">
        <f t="shared" si="8"/>
        <v>1564.9730814322543</v>
      </c>
    </row>
    <row r="53" spans="1:11" x14ac:dyDescent="0.25">
      <c r="A53">
        <v>6</v>
      </c>
      <c r="B53">
        <f t="shared" si="5"/>
        <v>4</v>
      </c>
      <c r="C53" s="1">
        <f>16*B$48*'analog-mvmu-specs'!B$21*B$45</f>
        <v>131.072</v>
      </c>
      <c r="D53" s="1">
        <f>16*(B$46/A53)*B$48*'analog-mvmu-specs'!B$27*(2^A53-1)</f>
        <v>51527.024639999996</v>
      </c>
      <c r="E53" s="1">
        <f>16*_xlfn.CEILING.MATH(B$48/B53)*(B$46/A53)*'analog-mvmu-specs'!E$30</f>
        <v>101396.09093740254</v>
      </c>
      <c r="F53" s="1">
        <f>16*_xlfn.CEILING.MATH(B$48/B53)*(B$46/A53)*'analog-mvmu-specs'!B$18</f>
        <v>8738.1333333333332</v>
      </c>
      <c r="G53" s="1">
        <f t="shared" si="6"/>
        <v>632.00125355756199</v>
      </c>
      <c r="I53" s="1">
        <f>_xlfn.CEILING.MATH(B$48/B53)*16*(adc_stats_norm45!Q$96/A53)</f>
        <v>1768.8529014844835</v>
      </c>
      <c r="J53" s="1">
        <f t="shared" si="7"/>
        <v>6.9095816464237636</v>
      </c>
      <c r="K53" s="1">
        <f t="shared" si="8"/>
        <v>4366.8642620981418</v>
      </c>
    </row>
    <row r="54" spans="1:11" x14ac:dyDescent="0.25">
      <c r="A54">
        <v>7</v>
      </c>
      <c r="B54">
        <f t="shared" si="5"/>
        <v>2</v>
      </c>
      <c r="C54" s="1">
        <f>16*B$48*'analog-mvmu-specs'!B$21*B$45</f>
        <v>131.072</v>
      </c>
      <c r="D54" s="1">
        <f>16*(B$46/A54)*B$48*'analog-mvmu-specs'!B$27*(2^A54-1)</f>
        <v>89033.090194285702</v>
      </c>
      <c r="E54" s="1">
        <f>16*_xlfn.CEILING.MATH(B$48/B54)*(B$46/A54)*'analog-mvmu-specs'!E$30</f>
        <v>173821.87017840435</v>
      </c>
      <c r="F54" s="1">
        <f>16*_xlfn.CEILING.MATH(B$48/B54)*(B$46/A54)*'analog-mvmu-specs'!B$18</f>
        <v>14979.657142857142</v>
      </c>
      <c r="G54" s="1">
        <f t="shared" si="6"/>
        <v>1085.8034746701062</v>
      </c>
      <c r="I54" s="1">
        <f>_xlfn.CEILING.MATH(B$48/B54)*16*(adc_stats_norm45!Q$96/A54)</f>
        <v>3032.3192596876861</v>
      </c>
      <c r="J54" s="1">
        <f t="shared" si="7"/>
        <v>11.844997108155024</v>
      </c>
      <c r="K54" s="1">
        <f t="shared" si="8"/>
        <v>12861.339017492084</v>
      </c>
    </row>
    <row r="55" spans="1:11" x14ac:dyDescent="0.25">
      <c r="A55">
        <v>8</v>
      </c>
      <c r="B55">
        <f t="shared" si="5"/>
        <v>1</v>
      </c>
      <c r="C55" s="1">
        <f>16*B$48*'analog-mvmu-specs'!B$21*B$45</f>
        <v>131.072</v>
      </c>
      <c r="D55" s="1">
        <f>16*(B$46/A55)*B$48*'analog-mvmu-specs'!B$27*(2^A55-1)</f>
        <v>156421.3248</v>
      </c>
      <c r="E55" s="1">
        <f>16*_xlfn.CEILING.MATH(B$48/B55)*(B$46/A55)*'analog-mvmu-specs'!E$30</f>
        <v>304188.27281220764</v>
      </c>
      <c r="F55" s="1">
        <f>16*_xlfn.CEILING.MATH(B$48/B55)*(B$46/A55)*'analog-mvmu-specs'!B$18</f>
        <v>26214.400000000001</v>
      </c>
      <c r="G55" s="1">
        <f t="shared" si="6"/>
        <v>1902.1682406726861</v>
      </c>
      <c r="I55" s="1">
        <f>_xlfn.CEILING.MATH(B$48/B55)*16*(adc_stats_norm45!Q$96/A55)</f>
        <v>5306.5587044534504</v>
      </c>
      <c r="J55" s="1">
        <f t="shared" si="7"/>
        <v>20.728744939271291</v>
      </c>
      <c r="K55" s="1">
        <f t="shared" si="8"/>
        <v>39429.560292486516</v>
      </c>
    </row>
    <row r="62" spans="1:11" s="10" customFormat="1" x14ac:dyDescent="0.25">
      <c r="A62" s="49"/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selection activeCell="I4" sqref="I4"/>
    </sheetView>
  </sheetViews>
  <sheetFormatPr defaultRowHeight="15" x14ac:dyDescent="0.25"/>
  <cols>
    <col min="1" max="1" width="17.5703125" customWidth="1"/>
    <col min="2" max="9" width="13.28515625" customWidth="1"/>
  </cols>
  <sheetData>
    <row r="1" spans="1:8" x14ac:dyDescent="0.25">
      <c r="A1" s="59" t="s">
        <v>54</v>
      </c>
      <c r="B1" s="59" t="s">
        <v>49</v>
      </c>
      <c r="C1" s="60" t="s">
        <v>75</v>
      </c>
      <c r="D1" s="60" t="s">
        <v>76</v>
      </c>
      <c r="E1" s="60" t="s">
        <v>77</v>
      </c>
      <c r="F1" s="60" t="s">
        <v>79</v>
      </c>
      <c r="G1" s="6"/>
    </row>
    <row r="2" spans="1:8" x14ac:dyDescent="0.25">
      <c r="A2" s="6">
        <v>95</v>
      </c>
      <c r="B2" s="6">
        <v>8</v>
      </c>
      <c r="C2" s="7">
        <v>56.30163752</v>
      </c>
      <c r="D2" s="7">
        <v>0.64777327900000004</v>
      </c>
      <c r="E2" s="7">
        <v>36.470696369999999</v>
      </c>
      <c r="F2" s="6">
        <v>34.047464414943001</v>
      </c>
      <c r="G2" s="6"/>
    </row>
    <row r="3" spans="1:8" x14ac:dyDescent="0.25">
      <c r="A3" s="59" t="s">
        <v>108</v>
      </c>
      <c r="B3" s="6"/>
      <c r="C3" s="6"/>
      <c r="D3" s="6">
        <v>256</v>
      </c>
      <c r="E3" s="6"/>
      <c r="F3" s="6"/>
      <c r="G3" s="6"/>
    </row>
    <row r="4" spans="1:8" x14ac:dyDescent="0.25">
      <c r="A4" s="59" t="s">
        <v>107</v>
      </c>
      <c r="B4" s="6"/>
      <c r="C4" s="6"/>
      <c r="D4" s="6">
        <f>4</f>
        <v>4</v>
      </c>
      <c r="E4" s="6"/>
      <c r="F4" s="6"/>
      <c r="G4" s="6"/>
    </row>
    <row r="5" spans="1:8" s="10" customFormat="1" x14ac:dyDescent="0.25">
      <c r="A5" s="49"/>
    </row>
    <row r="6" spans="1:8" s="10" customFormat="1" x14ac:dyDescent="0.25">
      <c r="A6" s="49"/>
      <c r="B6" s="49" t="s">
        <v>51</v>
      </c>
      <c r="C6" s="49" t="s">
        <v>106</v>
      </c>
    </row>
    <row r="7" spans="1:8" s="10" customFormat="1" x14ac:dyDescent="0.25">
      <c r="A7" s="59" t="s">
        <v>109</v>
      </c>
      <c r="B7" s="6">
        <f>2*('analog-mvmu-specs'!M3/2)+('analog-mvmu-specs'!M2/2)</f>
        <v>6.6</v>
      </c>
      <c r="C7" s="10">
        <v>2</v>
      </c>
    </row>
    <row r="8" spans="1:8" s="10" customFormat="1" x14ac:dyDescent="0.25">
      <c r="A8" s="59" t="s">
        <v>110</v>
      </c>
      <c r="B8" s="6">
        <f>('analog-mvmu-specs'!M3/2)+('analog-mvmu-specs'!M2/2)</f>
        <v>4.0999999999999996</v>
      </c>
      <c r="C8" s="10">
        <v>1.5</v>
      </c>
    </row>
    <row r="9" spans="1:8" s="10" customFormat="1" x14ac:dyDescent="0.25">
      <c r="A9" s="49"/>
    </row>
    <row r="10" spans="1:8" s="10" customFormat="1" x14ac:dyDescent="0.25">
      <c r="A10" s="49"/>
      <c r="B10" s="49" t="s">
        <v>111</v>
      </c>
      <c r="F10" s="49" t="s">
        <v>114</v>
      </c>
    </row>
    <row r="11" spans="1:8" x14ac:dyDescent="0.25">
      <c r="A11" s="20" t="s">
        <v>99</v>
      </c>
      <c r="B11" s="20" t="s">
        <v>112</v>
      </c>
      <c r="C11" s="20" t="s">
        <v>109</v>
      </c>
      <c r="D11" s="20" t="s">
        <v>113</v>
      </c>
      <c r="E11" s="20"/>
      <c r="F11" s="20" t="s">
        <v>112</v>
      </c>
      <c r="G11" s="20" t="s">
        <v>109</v>
      </c>
      <c r="H11" s="20" t="s">
        <v>113</v>
      </c>
    </row>
    <row r="12" spans="1:8" x14ac:dyDescent="0.25">
      <c r="A12">
        <f>64</f>
        <v>64</v>
      </c>
      <c r="B12" s="1">
        <f>A12*'mvmu-design-space-exploration'!H30</f>
        <v>3840.8728013453724</v>
      </c>
      <c r="C12" s="1">
        <f>B$7*A12*32</f>
        <v>13516.8</v>
      </c>
      <c r="D12" s="1">
        <f>A12*32*B$8</f>
        <v>8396.7999999999993</v>
      </c>
      <c r="E12" s="1"/>
      <c r="F12" s="1">
        <f>A12*'mvmu-design-space-exploration'!K30</f>
        <v>41.457489878542582</v>
      </c>
      <c r="G12">
        <f>A12*C$7</f>
        <v>128</v>
      </c>
      <c r="H12">
        <f>A12*C$8</f>
        <v>96</v>
      </c>
    </row>
    <row r="13" spans="1:8" x14ac:dyDescent="0.25">
      <c r="A13">
        <v>32</v>
      </c>
      <c r="B13" s="1">
        <f>A13*'mvmu-design-space-exploration'!H31</f>
        <v>2898.902028012039</v>
      </c>
      <c r="C13" s="1">
        <f t="shared" ref="C13:C18" si="0">B$7*A13*32</f>
        <v>6758.4</v>
      </c>
      <c r="D13" s="1">
        <f t="shared" ref="D13:D18" si="1">A13*32*B$8</f>
        <v>4198.3999999999996</v>
      </c>
      <c r="F13" s="1">
        <f>A13*'mvmu-design-space-exploration'!K31</f>
        <v>41.457489878542582</v>
      </c>
      <c r="G13">
        <f t="shared" ref="G13:G18" si="2">A13*C$7</f>
        <v>64</v>
      </c>
      <c r="H13">
        <f t="shared" ref="H13:H18" si="3">A13*C$8</f>
        <v>48</v>
      </c>
    </row>
    <row r="14" spans="1:8" x14ac:dyDescent="0.25">
      <c r="A14">
        <v>16</v>
      </c>
      <c r="B14" s="1">
        <f>A14*'mvmu-design-space-exploration'!H32</f>
        <v>2057.1128410090291</v>
      </c>
      <c r="C14" s="1">
        <f t="shared" si="0"/>
        <v>3379.2</v>
      </c>
      <c r="D14" s="1">
        <f t="shared" si="1"/>
        <v>2099.1999999999998</v>
      </c>
      <c r="F14" s="1">
        <f>A14*'mvmu-design-space-exploration'!K32</f>
        <v>31.093117408906934</v>
      </c>
      <c r="G14">
        <f t="shared" si="2"/>
        <v>32</v>
      </c>
      <c r="H14">
        <f t="shared" si="3"/>
        <v>24</v>
      </c>
    </row>
    <row r="15" spans="1:8" x14ac:dyDescent="0.25">
      <c r="A15">
        <v>8</v>
      </c>
      <c r="B15" s="1">
        <f>A15*'mvmu-design-space-exploration'!H33</f>
        <v>1332.2508006726862</v>
      </c>
      <c r="C15" s="1">
        <f t="shared" si="0"/>
        <v>1689.6</v>
      </c>
      <c r="D15" s="1">
        <f t="shared" si="1"/>
        <v>1049.5999999999999</v>
      </c>
      <c r="F15" s="1">
        <f>A15*'mvmu-design-space-exploration'!K33</f>
        <v>20.728744939271291</v>
      </c>
      <c r="G15">
        <f t="shared" si="2"/>
        <v>16</v>
      </c>
      <c r="H15">
        <f t="shared" si="3"/>
        <v>12</v>
      </c>
    </row>
    <row r="16" spans="1:8" x14ac:dyDescent="0.25">
      <c r="A16">
        <v>4</v>
      </c>
      <c r="B16" s="1">
        <f>A16*'mvmu-design-space-exploration'!H34</f>
        <v>1312.5353873393528</v>
      </c>
      <c r="C16" s="1">
        <f t="shared" si="0"/>
        <v>844.8</v>
      </c>
      <c r="D16" s="1">
        <f t="shared" si="1"/>
        <v>524.79999999999995</v>
      </c>
      <c r="F16" s="1">
        <f>A16*'mvmu-design-space-exploration'!K34</f>
        <v>20.728744939271291</v>
      </c>
      <c r="G16">
        <f t="shared" si="2"/>
        <v>8</v>
      </c>
      <c r="H16">
        <f t="shared" si="3"/>
        <v>6</v>
      </c>
    </row>
    <row r="17" spans="1:8" x14ac:dyDescent="0.25">
      <c r="A17">
        <v>2</v>
      </c>
      <c r="B17" s="1">
        <f>A17*'mvmu-design-space-exploration'!H35</f>
        <v>976.92048907594312</v>
      </c>
      <c r="C17" s="1">
        <f t="shared" si="0"/>
        <v>422.4</v>
      </c>
      <c r="D17" s="1">
        <f t="shared" si="1"/>
        <v>262.39999999999998</v>
      </c>
      <c r="F17" s="1">
        <f>A17*'mvmu-design-space-exploration'!K35</f>
        <v>15.546558704453467</v>
      </c>
      <c r="G17">
        <f t="shared" si="2"/>
        <v>4</v>
      </c>
      <c r="H17">
        <f t="shared" si="3"/>
        <v>3</v>
      </c>
    </row>
    <row r="18" spans="1:8" x14ac:dyDescent="0.25">
      <c r="A18">
        <v>1</v>
      </c>
      <c r="B18" s="1">
        <f>A18*'mvmu-design-space-exploration'!H36</f>
        <v>973.10682050451442</v>
      </c>
      <c r="C18" s="1">
        <f t="shared" si="0"/>
        <v>211.2</v>
      </c>
      <c r="D18" s="1">
        <f t="shared" si="1"/>
        <v>131.19999999999999</v>
      </c>
      <c r="F18" s="1">
        <f>A18*'mvmu-design-space-exploration'!K36</f>
        <v>15.546558704453467</v>
      </c>
      <c r="G18">
        <f t="shared" si="2"/>
        <v>2</v>
      </c>
      <c r="H18">
        <f t="shared" si="3"/>
        <v>1.5</v>
      </c>
    </row>
    <row r="21" spans="1:8" s="58" customFormat="1" x14ac:dyDescent="0.25">
      <c r="A21" s="57" t="s">
        <v>115</v>
      </c>
    </row>
    <row r="22" spans="1:8" s="10" customFormat="1" x14ac:dyDescent="0.25">
      <c r="A22" s="49"/>
      <c r="B22" s="49" t="s">
        <v>111</v>
      </c>
      <c r="F22" s="49" t="s">
        <v>114</v>
      </c>
    </row>
    <row r="23" spans="1:8" x14ac:dyDescent="0.25">
      <c r="A23" s="20" t="s">
        <v>108</v>
      </c>
      <c r="B23" s="20" t="s">
        <v>112</v>
      </c>
      <c r="C23" s="20" t="s">
        <v>109</v>
      </c>
      <c r="D23" s="20" t="s">
        <v>113</v>
      </c>
      <c r="E23" s="20"/>
      <c r="F23" s="20" t="s">
        <v>112</v>
      </c>
      <c r="G23" s="20" t="s">
        <v>109</v>
      </c>
      <c r="H23" s="20" t="s">
        <v>113</v>
      </c>
    </row>
    <row r="24" spans="1:8" x14ac:dyDescent="0.25">
      <c r="A24" s="20">
        <f>64</f>
        <v>64</v>
      </c>
      <c r="B24" s="1">
        <f>B12/B12</f>
        <v>1</v>
      </c>
      <c r="C24" s="1">
        <f>C12/B12</f>
        <v>3.5192001139077984</v>
      </c>
      <c r="D24" s="1">
        <f>D12/B12</f>
        <v>2.1861697677306018</v>
      </c>
      <c r="F24" s="1">
        <f>F12/F12</f>
        <v>1</v>
      </c>
      <c r="G24" s="1">
        <f>G12/F12</f>
        <v>3.0874999999999946</v>
      </c>
      <c r="H24" s="1">
        <f>H12/F12</f>
        <v>2.3156249999999958</v>
      </c>
    </row>
    <row r="25" spans="1:8" x14ac:dyDescent="0.25">
      <c r="A25" s="20">
        <v>32</v>
      </c>
      <c r="B25" s="1">
        <f t="shared" ref="B25:B30" si="4">B13/B13</f>
        <v>1</v>
      </c>
      <c r="C25" s="1">
        <f t="shared" ref="C25:C30" si="5">C13/B13</f>
        <v>2.3313654392917389</v>
      </c>
      <c r="D25" s="1">
        <f t="shared" ref="D25:D30" si="6">D13/B13</f>
        <v>1.4482724698630498</v>
      </c>
      <c r="F25" s="1">
        <f t="shared" ref="F25:F30" si="7">F13/F13</f>
        <v>1</v>
      </c>
      <c r="G25" s="1">
        <f t="shared" ref="G25:G30" si="8">G13/F13</f>
        <v>1.5437499999999973</v>
      </c>
      <c r="H25" s="1">
        <f t="shared" ref="H25:H30" si="9">H13/F13</f>
        <v>1.1578124999999979</v>
      </c>
    </row>
    <row r="26" spans="1:8" x14ac:dyDescent="0.25">
      <c r="A26" s="20">
        <v>16</v>
      </c>
      <c r="B26" s="1">
        <f t="shared" si="4"/>
        <v>1</v>
      </c>
      <c r="C26" s="1">
        <f t="shared" si="5"/>
        <v>1.6426906354551154</v>
      </c>
      <c r="D26" s="1">
        <f t="shared" si="6"/>
        <v>1.0204593341463595</v>
      </c>
      <c r="F26" s="1">
        <f t="shared" si="7"/>
        <v>1</v>
      </c>
      <c r="G26" s="1">
        <f t="shared" si="8"/>
        <v>1.029166666666665</v>
      </c>
      <c r="H26" s="1">
        <f t="shared" si="9"/>
        <v>0.77187499999999876</v>
      </c>
    </row>
    <row r="27" spans="1:8" x14ac:dyDescent="0.25">
      <c r="A27" s="20">
        <v>8</v>
      </c>
      <c r="B27" s="1">
        <f t="shared" si="4"/>
        <v>1</v>
      </c>
      <c r="C27" s="1">
        <f t="shared" si="5"/>
        <v>1.2682296750333191</v>
      </c>
      <c r="D27" s="1">
        <f t="shared" si="6"/>
        <v>0.78783964661160721</v>
      </c>
      <c r="F27" s="1">
        <f t="shared" si="7"/>
        <v>1</v>
      </c>
      <c r="G27" s="1">
        <f t="shared" si="8"/>
        <v>0.77187499999999865</v>
      </c>
      <c r="H27" s="1">
        <f t="shared" si="9"/>
        <v>0.57890624999999896</v>
      </c>
    </row>
    <row r="28" spans="1:8" x14ac:dyDescent="0.25">
      <c r="A28" s="20">
        <v>4</v>
      </c>
      <c r="B28" s="1">
        <f t="shared" si="4"/>
        <v>1</v>
      </c>
      <c r="C28" s="1">
        <f t="shared" si="5"/>
        <v>0.64363978918122611</v>
      </c>
      <c r="D28" s="1">
        <f t="shared" si="6"/>
        <v>0.39983683873379194</v>
      </c>
      <c r="F28" s="1">
        <f t="shared" si="7"/>
        <v>1</v>
      </c>
      <c r="G28" s="1">
        <f t="shared" si="8"/>
        <v>0.38593749999999932</v>
      </c>
      <c r="H28" s="1">
        <f t="shared" si="9"/>
        <v>0.28945312499999948</v>
      </c>
    </row>
    <row r="29" spans="1:8" x14ac:dyDescent="0.25">
      <c r="A29" s="20">
        <v>2</v>
      </c>
      <c r="B29" s="1">
        <f t="shared" si="4"/>
        <v>1</v>
      </c>
      <c r="C29" s="1">
        <f t="shared" si="5"/>
        <v>0.43237909811835645</v>
      </c>
      <c r="D29" s="1">
        <f t="shared" si="6"/>
        <v>0.26859913670988811</v>
      </c>
      <c r="F29" s="1">
        <f t="shared" si="7"/>
        <v>1</v>
      </c>
      <c r="G29" s="1">
        <f t="shared" si="8"/>
        <v>0.25729166666666625</v>
      </c>
      <c r="H29" s="1">
        <f t="shared" si="9"/>
        <v>0.19296874999999969</v>
      </c>
    </row>
    <row r="30" spans="1:8" x14ac:dyDescent="0.25">
      <c r="A30" s="20">
        <v>1</v>
      </c>
      <c r="B30" s="1">
        <f t="shared" si="4"/>
        <v>1</v>
      </c>
      <c r="C30" s="1">
        <f t="shared" si="5"/>
        <v>0.21703680988537496</v>
      </c>
      <c r="D30" s="1">
        <f t="shared" si="6"/>
        <v>0.13482589705000564</v>
      </c>
      <c r="F30" s="1">
        <f t="shared" si="7"/>
        <v>1</v>
      </c>
      <c r="G30" s="1">
        <f t="shared" si="8"/>
        <v>0.12864583333333313</v>
      </c>
      <c r="H30" s="1">
        <f t="shared" si="9"/>
        <v>9.6484374999999845E-2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preliminary-analysis</vt:lpstr>
      <vt:lpstr>adc_stats_norm45</vt:lpstr>
      <vt:lpstr>analog-mvmu-specs</vt:lpstr>
      <vt:lpstr>mvmu-design-space-exploration</vt:lpstr>
      <vt:lpstr>mvmu-scaling-trends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Chakraborty, Indranil</dc:creator>
  <cp:lastModifiedBy>Ankit, Aayush</cp:lastModifiedBy>
  <dcterms:created xsi:type="dcterms:W3CDTF">2019-09-28T20:50:25Z</dcterms:created>
  <dcterms:modified xsi:type="dcterms:W3CDTF">2019-10-20T18:32:54Z</dcterms:modified>
</cp:coreProperties>
</file>