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00_impulse Drive\00_Running Project 78-79\Bridge\DOLIDAR BRIDGE\1.0 Lambu Khola\Volume IV\"/>
    </mc:Choice>
  </mc:AlternateContent>
  <bookViews>
    <workbookView xWindow="0" yWindow="0" windowWidth="28800" windowHeight="11700" tabRatio="873" firstSheet="1" activeTab="7"/>
  </bookViews>
  <sheets>
    <sheet name="0.Data Sheet" sheetId="73" state="hidden" r:id="rId1"/>
    <sheet name="Table of Content" sheetId="77" r:id="rId2"/>
    <sheet name="1.0Summary of abstract cost" sheetId="39" r:id="rId3"/>
    <sheet name="2.0Abstract of Cost" sheetId="56" r:id="rId4"/>
    <sheet name="3.0Quantity" sheetId="54" r:id="rId5"/>
    <sheet name="4.0Summary of Rates" sheetId="18" r:id="rId6"/>
    <sheet name="Superstructure details" sheetId="70" state="hidden" r:id="rId7"/>
    <sheet name="5.0 District Rate" sheetId="76" r:id="rId8"/>
    <sheet name="6.0 transportation" sheetId="33" r:id="rId9"/>
    <sheet name="6 Transportation Haulage" sheetId="79" state="hidden" r:id="rId10"/>
    <sheet name="7.0 Rates+ Transport" sheetId="21" r:id="rId11"/>
    <sheet name="8.0 Final rate analysis" sheetId="40" r:id="rId12"/>
    <sheet name="Sheet1" sheetId="78" state="hidden" r:id="rId13"/>
    <sheet name="SPECIFICATION " sheetId="74" state="hidden" r:id="rId14"/>
    <sheet name="Veh" sheetId="23" state="hidden" r:id="rId15"/>
  </sheets>
  <functionGroups builtInGroupCount="18"/>
  <externalReferences>
    <externalReference r:id="rId16"/>
  </externalReferences>
  <definedNames>
    <definedName name="_agg10">'7.0 Rates+ Transport'!$G$40</definedName>
    <definedName name="_Agg20">'7.0 Rates+ Transport'!$G$39</definedName>
    <definedName name="_Agg40">'7.0 Rates+ Transport'!$G$38</definedName>
    <definedName name="_Fill" hidden="1">#REF!</definedName>
    <definedName name="_xlnm._FilterDatabase" localSheetId="10" hidden="1">'7.0 Rates+ Transport'!$D$30:$D$48</definedName>
    <definedName name="_gab2">'7.0 Rates+ Transport'!$G$63</definedName>
    <definedName name="ab_b1">'3.0Quantity'!$AB$108</definedName>
    <definedName name="ab_b2">'3.0Quantity'!$AC$108</definedName>
    <definedName name="ab_b3">'3.0Quantity'!$AD$108</definedName>
    <definedName name="ab_b4">'3.0Quantity'!$AE$108</definedName>
    <definedName name="ab_b5">'3.0Quantity'!$AF$108</definedName>
    <definedName name="ab_b6">'3.0Quantity'!$AG$108</definedName>
    <definedName name="ab_b7">'3.0Quantity'!$AH$108</definedName>
    <definedName name="ab_b8">'3.0Quantity'!$AI$108</definedName>
    <definedName name="ab_b9">'3.0Quantity'!$AJ$108</definedName>
    <definedName name="ab_h1">'3.0Quantity'!$AB$105</definedName>
    <definedName name="ab_h2">'3.0Quantity'!$AC$105</definedName>
    <definedName name="ab_h3">'3.0Quantity'!$AD$105</definedName>
    <definedName name="ab_h4">'3.0Quantity'!$AE$105</definedName>
    <definedName name="ab_h5">'3.0Quantity'!$AF$105</definedName>
    <definedName name="ab_h6">'3.0Quantity'!$AG$105</definedName>
    <definedName name="ab_width">'3.0Quantity'!$AC$103</definedName>
    <definedName name="admixtures">'7.0 Rates+ Transport'!$G$44</definedName>
    <definedName name="Anchorage">'7.0 Rates+ Transport'!$G$67</definedName>
    <definedName name="b_1">'3.0Quantity'!$L$107</definedName>
    <definedName name="b_3">'3.0Quantity'!$L$109</definedName>
    <definedName name="b_6_open">'[1]Open Foundation'!$L$27</definedName>
    <definedName name="b_6_pile">'[1]Pile Foundation'!$H$27</definedName>
    <definedName name="b_7_open">'[1]Open Foundation'!$L$28</definedName>
    <definedName name="b_7_pile">'[1]Pile Foundation'!$I$27</definedName>
    <definedName name="b_8_open">'[1]Open Foundation'!$L$29</definedName>
    <definedName name="b_8_pile">'[1]Pile Foundation'!$J$27</definedName>
    <definedName name="b_9_open">'[1]Open Foundation'!$L$30</definedName>
    <definedName name="b_9_pile">'[1]Pile Foundation'!$K$27</definedName>
    <definedName name="ba_h2">'3.0Quantity'!$AC$105</definedName>
    <definedName name="backfilling_granular">'4.0Summary of Rates'!$F$32</definedName>
    <definedName name="backfilling_local">'4.0Summary of Rates'!$F$33</definedName>
    <definedName name="backfilling_sand">'4.0Summary of Rates'!#REF!</definedName>
    <definedName name="baseagg">'7.0 Rates+ Transport'!$H$39</definedName>
    <definedName name="Bearing">'7.0 Rates+ Transport'!$G$59</definedName>
    <definedName name="Bentonite">'7.0 Rates+ Transport'!$G$41</definedName>
    <definedName name="Bentonitepump">'7.0 Rates+ Transport'!$I$20</definedName>
    <definedName name="binding">'7.0 Rates+ Transport'!$G$33</definedName>
    <definedName name="bitumen">'7.0 Rates+ Transport'!$G$50</definedName>
    <definedName name="boiler">'7.0 Rates+ Transport'!$I$18</definedName>
    <definedName name="box_end_abs">'2.0Abstract of Cost'!#REF!</definedName>
    <definedName name="box_quantity_end">'3.0Quantity'!#REF!</definedName>
    <definedName name="box_quantity_start">'3.0Quantity'!#REF!</definedName>
    <definedName name="box_start_abs">'2.0Abstract of Cost'!#REF!</definedName>
    <definedName name="cement">'7.0 Rates+ Transport'!$G$30</definedName>
    <definedName name="Clamp">'7.0 Rates+ Transport'!$G$56</definedName>
    <definedName name="client_1">'0.Data Sheet'!$C$25</definedName>
    <definedName name="compressor">'7.0 Rates+ Transport'!$D$13</definedName>
    <definedName name="conc_sub">'0.Data Sheet'!$C$41</definedName>
    <definedName name="crane">'7.0 Rates+ Transport'!$D$14</definedName>
    <definedName name="diesel">'7.0 Rates+ Transport'!$D$24</definedName>
    <definedName name="driller">'7.0 Rates+ Transport'!$I$22</definedName>
    <definedName name="enamel">'7.0 Rates+ Transport'!$G$45</definedName>
    <definedName name="end_earthwork">'8.0 Final rate analysis'!#REF!</definedName>
    <definedName name="end_formw_shuttering">'8.0 Final rate analysis'!#REF!</definedName>
    <definedName name="end_formw_steel">'8.0 Final rate analysis'!#REF!</definedName>
    <definedName name="end_m20_super_rate">'8.0 Final rate analysis'!#REF!</definedName>
    <definedName name="end_m25_super_rate">'8.0 Final rate analysis'!#REF!</definedName>
    <definedName name="end_m30_super_rate">'8.0 Final rate analysis'!#REF!</definedName>
    <definedName name="end_m35_super_rate">'8.0 Final rate analysis'!#REF!</definedName>
    <definedName name="end_m40_super_rate">'8.0 Final rate analysis'!#REF!</definedName>
    <definedName name="end_m45_super_rate">'8.0 Final rate analysis'!#REF!</definedName>
    <definedName name="end_m50_super_rate">'8.0 Final rate analysis'!#REF!</definedName>
    <definedName name="end_pcc_foundation_rate">'8.0 Final rate analysis'!$Q$314</definedName>
    <definedName name="end_pile_rate">'8.0 Final rate analysis'!#REF!</definedName>
    <definedName name="end_rivertrainig_rate">'8.0 Final rate analysis'!$Q$1001</definedName>
    <definedName name="Engineer">'7.0 Rates+ Transport'!$D$10</definedName>
    <definedName name="exc_3mto6m">'4.0Summary of Rates'!$F$14</definedName>
    <definedName name="exc_hardrock_noblasting">'4.0Summary of Rates'!#REF!</definedName>
    <definedName name="exc_marshysoil">'4.0Summary of Rates'!#REF!</definedName>
    <definedName name="exc_ord_abv6m">'4.0Summary of Rates'!$F$15</definedName>
    <definedName name="exc_ord_rock_noblasting">'4.0Summary of Rates'!#REF!</definedName>
    <definedName name="exc_ord_soil_abv6m">'4.0Summary of Rates'!$F$15</definedName>
    <definedName name="exc_upt3m">'4.0Summary of Rates'!$F$14</definedName>
    <definedName name="excavator">'7.0 Rates+ Transport'!$I$13</definedName>
    <definedName name="expansion_joint">'4.0Summary of Rates'!$F$46</definedName>
    <definedName name="expansionjoint">'7.0 Rates+ Transport'!$G$64</definedName>
    <definedName name="false_3to6_RCC">'4.0Summary of Rates'!$F$44</definedName>
    <definedName name="false_6to9_RCC">'4.0Summary of Rates'!#REF!</definedName>
    <definedName name="false_upto3_RCC">'4.0Summary of Rates'!#REF!</definedName>
    <definedName name="filtermat">'7.0 Rates+ Transport'!$G$42</definedName>
    <definedName name="finish_abs_PSC">'2.0Abstract of Cost'!#REF!</definedName>
    <definedName name="finish_abs_PSC_DESIGNED">'2.0Abstract of Cost'!#REF!</definedName>
    <definedName name="finish_abs_RCC">'2.0Abstract of Cost'!#REF!</definedName>
    <definedName name="finish_abs_RCC_designed">'2.0Abstract of Cost'!$J$48</definedName>
    <definedName name="finish_pile_qunatity">'3.0Quantity'!#REF!</definedName>
    <definedName name="Finish_Quantity_PSC">'3.0Quantity'!$L$159</definedName>
    <definedName name="Finish_Quantity_PSC_DESIGNED">'3.0Quantity'!#REF!</definedName>
    <definedName name="Finish_Quantity_RCC">'3.0Quantity'!#REF!</definedName>
    <definedName name="Finish_Quantity_RCC_designed">'3.0Quantity'!$L$208</definedName>
    <definedName name="formw_arch_F2_nofalsew">'4.0Summary of Rates'!#REF!</definedName>
    <definedName name="formw_circolumn_3mto6m_F3">'4.0Summary of Rates'!#REF!</definedName>
    <definedName name="formw_circolumn_6mto9m_F3">'4.0Summary of Rates'!#REF!</definedName>
    <definedName name="formw_circolumn_upto3m_F3">'4.0Summary of Rates'!#REF!</definedName>
    <definedName name="formw_foundnfooting_F1">'4.0Summary of Rates'!$F$23</definedName>
    <definedName name="formw_slab_F2_nofalsework">'4.0Summary of Rates'!#REF!</definedName>
    <definedName name="formw_slabnbeam_F2_nofalsew">'4.0Summary of Rates'!$F$42</definedName>
    <definedName name="formw_sq.rec_column_3mto6m">'4.0Summary of Rates'!#REF!</definedName>
    <definedName name="formw_sq.rec_column_upto3m_F3">'4.0Summary of Rates'!#REF!</definedName>
    <definedName name="formw_vertcurve_6mto9m_F2">'4.0Summary of Rates'!#REF!</definedName>
    <definedName name="formw_vertcurve_F2_3mto6m">'4.0Summary of Rates'!#REF!</definedName>
    <definedName name="formw_vertcurve_F2_upto5m">'4.0Summary of Rates'!#REF!</definedName>
    <definedName name="formw_vertwal_F2_3mto6m">'4.0Summary of Rates'!#REF!</definedName>
    <definedName name="formw_vertwall_F2_6mto9m">'4.0Summary of Rates'!$F$30</definedName>
    <definedName name="formw_vertwall_F2_upto5m">'4.0Summary of Rates'!#REF!</definedName>
    <definedName name="found_type">'0.Data Sheet'!$C$42</definedName>
    <definedName name="gabion_1x1x1">'4.0Summary of Rates'!$F$52</definedName>
    <definedName name="gabion_2x1x1">'4.0Summary of Rates'!$F$51</definedName>
    <definedName name="gabion_3x1x1">'4.0Summary of Rates'!$F$50</definedName>
    <definedName name="generator">'7.0 Rates+ Transport'!$I$19</definedName>
    <definedName name="geo_textile_rate">'4.0Summary of Rates'!$F$35</definedName>
    <definedName name="Geotextile">'7.0 Rates+ Transport'!$G$55</definedName>
    <definedName name="GIpipe75mm">'7.0 Rates+ Transport'!$G$54</definedName>
    <definedName name="grader">'7.0 Rates+ Transport'!$I$15</definedName>
    <definedName name="granular_soil">'7.0 Rates+ Transport'!$G$43</definedName>
    <definedName name="groutingpump">'7.0 Rates+ Transport'!$D$19</definedName>
    <definedName name="h_2">'3.0Quantity'!$G$109</definedName>
    <definedName name="h_3">'3.0Quantity'!$G$110</definedName>
    <definedName name="hh_1">'3.0Quantity'!$H$575</definedName>
    <definedName name="kerosene">'7.0 Rates+ Transport'!$D$26</definedName>
    <definedName name="l_as">'3.0Quantity'!$K$100</definedName>
    <definedName name="Le">'0.Data Sheet'!$C$26</definedName>
    <definedName name="loader">'7.0 Rates+ Transport'!$I$17</definedName>
    <definedName name="mixer">'7.0 Rates+ Transport'!$I$14</definedName>
    <definedName name="mr">'7.0 Rates+ Transport'!$D$12</definedName>
    <definedName name="MSpipe40">'7.0 Rates+ Transport'!$G$62</definedName>
    <definedName name="mssheetandangle">'7.0 Rates+ Transport'!$G$61</definedName>
    <definedName name="n_girder">'0.Data Sheet'!$C$28</definedName>
    <definedName name="n_span">'0.Data Sheet'!$C$27</definedName>
    <definedName name="nail">'7.0 Rates+ Transport'!$G$47</definedName>
    <definedName name="nspan">'0.Data Sheet'!$C$27</definedName>
    <definedName name="nuts">'7.0 Rates+ Transport'!$G$57</definedName>
    <definedName name="pcc_M10_found">'4.0Summary of Rates'!$F$19</definedName>
    <definedName name="pcc_m15_foundation">'4.0Summary of Rates'!#REF!</definedName>
    <definedName name="pcc_m15_substr">'4.0Summary of Rates'!#REF!</definedName>
    <definedName name="pcc_m15_substr_upto5m">'4.0Summary of Rates'!#REF!</definedName>
    <definedName name="pcc_m20_foundation">'4.0Summary of Rates'!#REF!</definedName>
    <definedName name="pcc_m20_substr">'4.0Summary of Rates'!#REF!</definedName>
    <definedName name="pcc_m25_foundation">'4.0Summary of Rates'!$F$20</definedName>
    <definedName name="pcc_m25_substr">'4.0Summary of Rates'!#REF!</definedName>
    <definedName name="pcc_m25_substr_10mabove">'4.0Summary of Rates'!#REF!</definedName>
    <definedName name="pcc_m25_substr_5mto10m">'4.0Summary of Rates'!#REF!</definedName>
    <definedName name="pcc_m25_substr_upto5m">'4.0Summary of Rates'!#REF!</definedName>
    <definedName name="pcc_m30_foundation">'4.0Summary of Rates'!#REF!</definedName>
    <definedName name="pcc_m30_substr_5mto10m">'4.0Summary of Rates'!#REF!</definedName>
    <definedName name="pcc_m30_substr_above10m">'4.0Summary of Rates'!#REF!</definedName>
    <definedName name="pcc_m30_substr_upto5m">'4.0Summary of Rates'!#REF!</definedName>
    <definedName name="petrol">'7.0 Rates+ Transport'!$D$25</definedName>
    <definedName name="PI_b">'3.0Quantity'!$Z$96</definedName>
    <definedName name="PI_b1">'3.0Quantity'!$AA$96</definedName>
    <definedName name="PI_b2">'3.0Quantity'!$AB$96</definedName>
    <definedName name="PI_b3">'3.0Quantity'!$AC$96</definedName>
    <definedName name="PI_b4">'3.0Quantity'!$AD$96</definedName>
    <definedName name="PI_b5">'3.0Quantity'!$AE$96</definedName>
    <definedName name="PI_b6">'3.0Quantity'!$AF$96</definedName>
    <definedName name="PI_b8">'3.0Quantity'!$AH$96</definedName>
    <definedName name="PI_b9">'3.0Quantity'!$AI$96</definedName>
    <definedName name="Pi_D">'3.0Quantity'!$AA$94</definedName>
    <definedName name="PI_h1">'3.0Quantity'!$AB$94</definedName>
    <definedName name="PI_h2">'3.0Quantity'!$AC$94</definedName>
    <definedName name="PI_h3">'3.0Quantity'!$AD$94</definedName>
    <definedName name="PI_h4">'3.0Quantity'!$AE$94</definedName>
    <definedName name="PI_h5">'3.0Quantity'!$AF$94</definedName>
    <definedName name="Pile_ABS_END">'2.0Abstract of Cost'!#REF!</definedName>
    <definedName name="pile_abs_start">'2.0Abstract of Cost'!#REF!</definedName>
    <definedName name="Pile_dia">'0.Data Sheet'!$C$43</definedName>
    <definedName name="pile_end_sum">'4.0Summary of Rates'!#REF!</definedName>
    <definedName name="pile_rock_1000mmdia">'4.0Summary of Rates'!#REF!</definedName>
    <definedName name="pile_rock_300mmdia">'4.0Summary of Rates'!#REF!</definedName>
    <definedName name="pile_rock_500mmdia">'4.0Summary of Rates'!#REF!</definedName>
    <definedName name="pile_rock_600mmdia">'4.0Summary of Rates'!#REF!</definedName>
    <definedName name="pile_rock_750mmdia">'4.0Summary of Rates'!#REF!</definedName>
    <definedName name="pile_soil_1000mmdia">'4.0Summary of Rates'!#REF!</definedName>
    <definedName name="pile_soil_1200mmdia">'4.0Summary of Rates'!#REF!</definedName>
    <definedName name="pile_soil_500mmdia">'4.0Summary of Rates'!#REF!</definedName>
    <definedName name="pile_soil_500mmdia_extra">'4.0Summary of Rates'!#REF!</definedName>
    <definedName name="pile_soil_600mmdia">'4.0Summary of Rates'!#REF!</definedName>
    <definedName name="pile_soil_750mmdia">'4.0Summary of Rates'!#REF!</definedName>
    <definedName name="pile_start_Sum">'4.0Summary of Rates'!#REF!</definedName>
    <definedName name="pilingrig">'7.0 Rates+ Transport'!$D$20</definedName>
    <definedName name="Ply9mm">'7.0 Rates+ Transport'!$G$48</definedName>
    <definedName name="pot_bearing">'4.0Summary of Rates'!$F$45</definedName>
    <definedName name="primer">'7.0 Rates+ Transport'!$G$46</definedName>
    <definedName name="_xlnm.Print_Area" localSheetId="2">'1.0Summary of abstract cost'!$A$2:$E$29</definedName>
    <definedName name="_xlnm.Print_Area" localSheetId="3">'2.0Abstract of Cost'!$A$1:$I$76</definedName>
    <definedName name="_xlnm.Print_Area" localSheetId="4">'3.0Quantity'!$A$1:$K$236</definedName>
    <definedName name="_xlnm.Print_Area" localSheetId="5">'4.0Summary of Rates'!$A$1:$G$54</definedName>
    <definedName name="_xlnm.Print_Area" localSheetId="7">'5.0 District Rate'!$A$1:$I$54</definedName>
    <definedName name="_xlnm.Print_Area" localSheetId="8">'6.0 transportation'!$A$1:$S$129</definedName>
    <definedName name="_xlnm.Print_Area" localSheetId="10">'7.0 Rates+ Transport'!$A$1:$I$67</definedName>
    <definedName name="_xlnm.Print_Area" localSheetId="11">'8.0 Final rate analysis'!$A$1:$P$1084</definedName>
    <definedName name="_xlnm.Print_Area" localSheetId="1">'Table of Content'!$A$2:$A$23</definedName>
    <definedName name="_xlnm.Print_Area" localSheetId="14">Veh!$A$2:$N$64</definedName>
    <definedName name="_xlnm.Print_Titles" localSheetId="3">'2.0Abstract of Cost'!$1:$10</definedName>
    <definedName name="_xlnm.Print_Titles" localSheetId="4">'3.0Quantity'!$1:$10</definedName>
    <definedName name="_xlnm.Print_Titles" localSheetId="5">'4.0Summary of Rates'!$1:$11</definedName>
    <definedName name="_xlnm.Print_Titles" localSheetId="8">'6.0 transportation'!$1:$8</definedName>
    <definedName name="_xlnm.Print_Titles" localSheetId="10">'7.0 Rates+ Transport'!$1:$7</definedName>
    <definedName name="_xlnm.Print_Titles" localSheetId="11">'8.0 Final rate analysis'!$2:$9</definedName>
    <definedName name="_xlnm.Print_Titles" localSheetId="13">'SPECIFICATION '!$1:$7</definedName>
    <definedName name="PSC">'Superstructure details'!$N$6:$P$72</definedName>
    <definedName name="psc_m40_solid_5mto10m_super">'4.0Summary of Rates'!#REF!</definedName>
    <definedName name="psc_m40_solid_above10m">'4.0Summary of Rates'!#REF!</definedName>
    <definedName name="psc_m40_solid_above5m_super">'4.0Summary of Rates'!#REF!</definedName>
    <definedName name="psc_m40_tbeam_5mto10m_super">'4.0Summary of Rates'!#REF!</definedName>
    <definedName name="psc_m40_tbeam_above10m_super">'4.0Summary of Rates'!#REF!</definedName>
    <definedName name="psc_m40_tbeam_upto5m">'4.0Summary of Rates'!#REF!</definedName>
    <definedName name="psc_m45_solid_5mto10m">'4.0Summary of Rates'!#REF!</definedName>
    <definedName name="psc_m45_solid_above_super">'4.0Summary of Rates'!#REF!</definedName>
    <definedName name="psc_m45_solid_upto5m_super">'4.0Summary of Rates'!#REF!</definedName>
    <definedName name="psc_m45_tbeam_5mto10m_super">'4.0Summary of Rates'!#REF!</definedName>
    <definedName name="psc_m45_tbeam_above10m_super">'4.0Summary of Rates'!#REF!</definedName>
    <definedName name="psc_m45_tbeam_upto5m_super">'4.0Summary of Rates'!#REF!</definedName>
    <definedName name="psc_m50_solid_5mto10m_super">'4.0Summary of Rates'!#REF!</definedName>
    <definedName name="psc_m50_solid_above10m_super">'4.0Summary of Rates'!#REF!</definedName>
    <definedName name="psc_m50_solid_upto5m_super">'4.0Summary of Rates'!#REF!</definedName>
    <definedName name="psc_m50_tbeam_5mto10m_super">'4.0Summary of Rates'!#REF!</definedName>
    <definedName name="psc_m50_tbeam_above10m_super">'4.0Summary of Rates'!#REF!</definedName>
    <definedName name="psc_m50_tbeam_upto5m_super">'4.0Summary of Rates'!#REF!</definedName>
    <definedName name="Rammer">'7.0 Rates+ Transport'!$I$24</definedName>
    <definedName name="rcc_m20_found">'4.0Summary of Rates'!#REF!</definedName>
    <definedName name="rcc_m20_solid_supe_above10m">'4.0Summary of Rates'!#REF!</definedName>
    <definedName name="rcc_m20_solid_super_5mto10m">'4.0Summary of Rates'!#REF!</definedName>
    <definedName name="rcc_m20_solid_super_upto5m">'4.0Summary of Rates'!#REF!</definedName>
    <definedName name="rcc_m20_substr_5mto10m">'4.0Summary of Rates'!#REF!</definedName>
    <definedName name="rcc_m20_substr_above10m">'4.0Summary of Rates'!#REF!</definedName>
    <definedName name="rcc_m20_substr_upto5m">'4.0Summary of Rates'!#REF!</definedName>
    <definedName name="rcc_m20_tbeam_super_5mto10m">'4.0Summary of Rates'!#REF!</definedName>
    <definedName name="rcc_m20_tbeam_super_above10m">'4.0Summary of Rates'!#REF!</definedName>
    <definedName name="rcc_m20_tbeam_super_upto5m">'4.0Summary of Rates'!#REF!</definedName>
    <definedName name="rcc_m25_found">'4.0Summary of Rates'!#REF!</definedName>
    <definedName name="rcc_m25_solid_super_5mto10m">'4.0Summary of Rates'!#REF!</definedName>
    <definedName name="rcc_m25_solid_super_above10m">'4.0Summary of Rates'!$F$39</definedName>
    <definedName name="rcc_m25_solid_super_upto5m">'4.0Summary of Rates'!#REF!</definedName>
    <definedName name="rcc_m25_substr_5mto10m">'4.0Summary of Rates'!$F$26</definedName>
    <definedName name="rcc_m25_substr_above10m">'4.0Summary of Rates'!#REF!</definedName>
    <definedName name="rcc_m25_substr_upto5m">'4.0Summary of Rates'!#REF!</definedName>
    <definedName name="rcc_m25_tbeam_5mto10m_super">'4.0Summary of Rates'!#REF!</definedName>
    <definedName name="rcc_m25_tbeam_above10m_super">'4.0Summary of Rates'!#REF!</definedName>
    <definedName name="rcc_m25_tbeam_super_upto5m">'4.0Summary of Rates'!#REF!</definedName>
    <definedName name="rcc_m30_foundation">'4.0Summary of Rates'!#REF!</definedName>
    <definedName name="rcc_m30_solid_5mto10m_super">'4.0Summary of Rates'!#REF!</definedName>
    <definedName name="rcc_m30_solid_above10m_super">'4.0Summary of Rates'!#REF!</definedName>
    <definedName name="rcc_m30_solid_upto5m_super">'4.0Summary of Rates'!#REF!</definedName>
    <definedName name="rcc_m30_substr_5mto10m">'4.0Summary of Rates'!#REF!</definedName>
    <definedName name="rcc_m30_substr_above10m">'4.0Summary of Rates'!#REF!</definedName>
    <definedName name="rcc_m30_substr_upto5m">'4.0Summary of Rates'!#REF!</definedName>
    <definedName name="rcc_m30_tbeam_5mto10m_super">'4.0Summary of Rates'!#REF!</definedName>
    <definedName name="rcc_m30_tbeam_above_10m_super">'4.0Summary of Rates'!#REF!</definedName>
    <definedName name="rcc_m30_tbeam_upto5m_super">'4.0Summary of Rates'!#REF!</definedName>
    <definedName name="rcc_m35_box_5mto10m_super">'4.0Summary of Rates'!#REF!</definedName>
    <definedName name="rcc_m35_box_above_10m">'4.0Summary of Rates'!#REF!</definedName>
    <definedName name="rcc_m35_box_upto5m_super">'4.0Summary of Rates'!#REF!</definedName>
    <definedName name="rcc_m35_foundation">'4.0Summary of Rates'!#REF!</definedName>
    <definedName name="rcc_m35_solid_above5m_super">'4.0Summary of Rates'!#REF!</definedName>
    <definedName name="rcc_m35_solid_super_5mto10m">'4.0Summary of Rates'!#REF!</definedName>
    <definedName name="rcc_m35_solid_upto5m_super">'4.0Summary of Rates'!#REF!</definedName>
    <definedName name="rcc_m35_sub_5mto10m">'4.0Summary of Rates'!#REF!</definedName>
    <definedName name="rcc_m35_sub_above10m">'4.0Summary of Rates'!#REF!</definedName>
    <definedName name="rcc_m35_sub_upto5m">'4.0Summary of Rates'!#REF!</definedName>
    <definedName name="rcc_m35_tbeam_5mto10m_super">'4.0Summary of Rates'!#REF!</definedName>
    <definedName name="rcc_m35_tbeam_above10m_super">'4.0Summary of Rates'!#REF!</definedName>
    <definedName name="rcc_m35_tbeam_upto5m_super">'4.0Summary of Rates'!#REF!</definedName>
    <definedName name="rcc_m40_solid_above5m_super">'4.0Summary of Rates'!#REF!</definedName>
    <definedName name="RCCS">'Superstructure details'!$E$6:$G$63</definedName>
    <definedName name="RDengine">'7.0 Rates+ Transport'!$I$22</definedName>
    <definedName name="Ready">'0.Data Sheet'!$E$26</definedName>
    <definedName name="reinf_HYSD_foundation">'4.0Summary of Rates'!$F$22</definedName>
    <definedName name="reinf_HYSD_sub">'4.0Summary of Rates'!$F$28</definedName>
    <definedName name="reinf_HYSD_superstr">'4.0Summary of Rates'!$F$40</definedName>
    <definedName name="reinforcement">'7.0 Rates+ Transport'!$G$34</definedName>
    <definedName name="RRM_1_4">'4.0Summary of Rates'!$F$53</definedName>
    <definedName name="sand">'7.0 Rates+ Transport'!$G$35</definedName>
    <definedName name="skilled">'7.0 Rates+ Transport'!$D$11</definedName>
    <definedName name="solver_drv" localSheetId="5" hidden="1">1</definedName>
    <definedName name="solver_est" localSheetId="5" hidden="1">1</definedName>
    <definedName name="solver_itr" localSheetId="5" hidden="1">100</definedName>
    <definedName name="solver_lin" localSheetId="5" hidden="1">0</definedName>
    <definedName name="solver_num" localSheetId="5" hidden="1">0</definedName>
    <definedName name="solver_nwt" localSheetId="5" hidden="1">1</definedName>
    <definedName name="solver_pre" localSheetId="5" hidden="1">0.000001</definedName>
    <definedName name="solver_scl" localSheetId="5" hidden="1">0</definedName>
    <definedName name="solver_sho" localSheetId="5" hidden="1">0</definedName>
    <definedName name="solver_tim" localSheetId="5" hidden="1">100</definedName>
    <definedName name="solver_tol" localSheetId="5" hidden="1">0.05</definedName>
    <definedName name="solver_typ" localSheetId="5" hidden="1">1</definedName>
    <definedName name="solver_val" localSheetId="5" hidden="1">0</definedName>
    <definedName name="sprayer">'7.0 Rates+ Transport'!$D$16</definedName>
    <definedName name="sr">'7.0 Rates+ Transport'!$D$11</definedName>
    <definedName name="star_formw_shuttering">'8.0 Final rate analysis'!#REF!</definedName>
    <definedName name="start_abs_PSC">'2.0Abstract of Cost'!#REF!</definedName>
    <definedName name="Start_abs_PSC_designed">'2.0Abstract of Cost'!#REF!</definedName>
    <definedName name="Start_abs_RCC">'2.0Abstract of Cost'!#REF!</definedName>
    <definedName name="Start_abs_RCC_designed">'2.0Abstract of Cost'!$J$38</definedName>
    <definedName name="start_earthwork">'8.0 Final rate analysis'!$S$10</definedName>
    <definedName name="start_form_plY">'8.0 Final rate analysis'!#REF!</definedName>
    <definedName name="Start_form_timber">'8.0 Final rate analysis'!$Q$811</definedName>
    <definedName name="start_m20_super_rate">'8.0 Final rate analysis'!#REF!</definedName>
    <definedName name="start_m25_super_rate">'8.0 Final rate analysis'!#REF!</definedName>
    <definedName name="start_m30_super_rate">'8.0 Final rate analysis'!#REF!</definedName>
    <definedName name="start_m35_super_rate">'8.0 Final rate analysis'!#REF!</definedName>
    <definedName name="start_m40_super_rate">'8.0 Final rate analysis'!#REF!</definedName>
    <definedName name="start_m45_super_rate">'8.0 Final rate analysis'!#REF!</definedName>
    <definedName name="start_m50_super_rate">'8.0 Final rate analysis'!#REF!</definedName>
    <definedName name="start_pcc_foundation_rate">'8.0 Final rate analysis'!$R$130</definedName>
    <definedName name="Start_pile_qunatity">'3.0Quantity'!#REF!</definedName>
    <definedName name="start_pile_rate">'8.0 Final rate analysis'!#REF!</definedName>
    <definedName name="Start_Quantity_PSC">'3.0Quantity'!#REF!</definedName>
    <definedName name="Start_Quantity_PSC_Designed">'3.0Quantity'!#REF!</definedName>
    <definedName name="Start_Quantity_RCC">'3.0Quantity'!#REF!</definedName>
    <definedName name="Start_Quantity_RCC_Designed">'3.0Quantity'!$L$160</definedName>
    <definedName name="start_rivertraining_rate">'8.0 Final rate analysis'!$Q$916</definedName>
    <definedName name="Steelplate">'7.0 Rates+ Transport'!$G$51</definedName>
    <definedName name="Steeltube">'7.0 Rates+ Transport'!$G$52</definedName>
    <definedName name="stone">'7.0 Rates+ Transport'!$G$36</definedName>
    <definedName name="stone_soling">'4.0Summary of Rates'!$F$17</definedName>
    <definedName name="structural_steel">'7.0 Rates+ Transport'!$G$31</definedName>
    <definedName name="Subbase_material">'4.0Summary of Rates'!$F$54</definedName>
    <definedName name="Super_PSC_DESIGNED">'2.0Abstract of Cost'!#REF!</definedName>
    <definedName name="Super_RCC_DESIGNED">'2.0Abstract of Cost'!$H$48</definedName>
    <definedName name="Super_RCC_DOR">'2.0Abstract of Cost'!#REF!</definedName>
    <definedName name="Super_type">'0.Data Sheet'!$C$44</definedName>
    <definedName name="Technician">'7.0 Rates+ Transport'!$I$10</definedName>
    <definedName name="tendon_prestress">'4.0Summary of Rates'!#REF!</definedName>
    <definedName name="Tendonseath">'7.0 Rates+ Transport'!$G$66</definedName>
    <definedName name="tendonwire">'7.0 Rates+ Transport'!$G$65</definedName>
    <definedName name="timber">'7.0 Rates+ Transport'!$G$32</definedName>
    <definedName name="tractor">'7.0 Rates+ Transport'!$I$23</definedName>
    <definedName name="truck">'7.0 Rates+ Transport'!$I$16</definedName>
    <definedName name="unskilled">'7.0 Rates+ Transport'!$I$11</definedName>
    <definedName name="ur">'7.0 Rates+ Transport'!$I$11</definedName>
    <definedName name="vibratingroller">'7.0 Rates+ Transport'!$D$18</definedName>
    <definedName name="vibrator">'7.0 Rates+ Transport'!$D$15</definedName>
    <definedName name="water">'7.0 Rates+ Transport'!$G$49</definedName>
    <definedName name="waterbowser">'7.0 Rates+ Transport'!$D$17</definedName>
    <definedName name="Z_FBDB0AF8_687A_4D5A_8B45_73AF495418A1_.wvu.PrintArea" localSheetId="5" hidden="1">'4.0Summary of Rates'!$C$7:$F$49</definedName>
    <definedName name="Z_FBDB0AF8_687A_4D5A_8B45_73AF495418A1_.wvu.PrintTitles" localSheetId="5" hidden="1">'4.0Summary of Rates'!$11:$11</definedName>
  </definedNames>
  <calcPr calcId="162913"/>
  <customWorkbookViews>
    <customWorkbookView name="Gopi - Personal View" guid="{9AEF48E1-41C7-11D8-AA8C-0000E85DABF4}" mergeInterval="0" personalView="1" maximized="1" windowWidth="796" windowHeight="411" tabRatio="893" activeSheetId="5"/>
  </customWorkbookViews>
  <webPublishing codePage="1252"/>
</workbook>
</file>

<file path=xl/calcChain.xml><?xml version="1.0" encoding="utf-8"?>
<calcChain xmlns="http://schemas.openxmlformats.org/spreadsheetml/2006/main">
  <c r="F232" i="54" l="1"/>
  <c r="I230" i="54"/>
  <c r="C54" i="56" l="1"/>
  <c r="C52" i="56"/>
  <c r="H19" i="56"/>
  <c r="B26" i="54" l="1"/>
  <c r="C26" i="54"/>
  <c r="D26" i="54"/>
  <c r="D21" i="54"/>
  <c r="D21" i="56"/>
  <c r="G22" i="56"/>
  <c r="B22" i="56"/>
  <c r="C22" i="56"/>
  <c r="A22" i="56"/>
  <c r="A23" i="56" s="1"/>
  <c r="A24" i="56" s="1"/>
  <c r="A25" i="56" s="1"/>
  <c r="A26" i="56" s="1"/>
  <c r="H27" i="54"/>
  <c r="F16" i="18"/>
  <c r="C16" i="18"/>
  <c r="A16" i="18"/>
  <c r="A17" i="18" s="1"/>
  <c r="B64" i="40"/>
  <c r="I62" i="40"/>
  <c r="D60" i="40"/>
  <c r="J54" i="40"/>
  <c r="K54" i="40" s="1"/>
  <c r="K56" i="40" s="1"/>
  <c r="I54" i="40"/>
  <c r="E54" i="40"/>
  <c r="F54" i="40" s="1"/>
  <c r="O52" i="40"/>
  <c r="P52" i="40" s="1"/>
  <c r="P56" i="40" s="1"/>
  <c r="E52" i="40"/>
  <c r="F52" i="40" s="1"/>
  <c r="F56" i="40" s="1"/>
  <c r="G57" i="40" s="1"/>
  <c r="B46" i="40"/>
  <c r="G58" i="40" l="1"/>
  <c r="G59" i="40"/>
  <c r="G60" i="40" l="1"/>
  <c r="G61" i="40" s="1"/>
  <c r="G62" i="40" s="1"/>
  <c r="A30" i="54" l="1"/>
  <c r="A36" i="54" s="1"/>
  <c r="A42" i="54" s="1"/>
  <c r="A47" i="54" s="1"/>
  <c r="A26" i="54"/>
  <c r="L28" i="54"/>
  <c r="I28" i="54"/>
  <c r="G28" i="54"/>
  <c r="F28" i="54"/>
  <c r="E28" i="54"/>
  <c r="D28" i="54"/>
  <c r="G27" i="54"/>
  <c r="F27" i="54"/>
  <c r="I27" i="54" l="1"/>
  <c r="I29" i="54" s="1"/>
  <c r="F22" i="56" s="1"/>
  <c r="H22" i="56" s="1"/>
  <c r="D30" i="76"/>
  <c r="I18" i="76"/>
  <c r="D15" i="76"/>
  <c r="F172" i="54" l="1"/>
  <c r="H167" i="54" l="1"/>
  <c r="H165" i="54"/>
  <c r="F206" i="54" l="1"/>
  <c r="D59" i="21"/>
  <c r="B52" i="18"/>
  <c r="E181" i="54" l="1"/>
  <c r="G164" i="54"/>
  <c r="E164" i="54"/>
  <c r="G171" i="54" l="1"/>
  <c r="G170" i="54"/>
  <c r="G169" i="54"/>
  <c r="E171" i="54"/>
  <c r="E170" i="54"/>
  <c r="E169" i="54"/>
  <c r="B48" i="18" l="1"/>
  <c r="B46" i="56" s="1"/>
  <c r="B47" i="18"/>
  <c r="B45" i="56" s="1"/>
  <c r="C48" i="18"/>
  <c r="C46" i="56" s="1"/>
  <c r="C47" i="18"/>
  <c r="C45" i="56" s="1"/>
  <c r="D48" i="18"/>
  <c r="D47" i="18"/>
  <c r="I1082" i="40"/>
  <c r="J1081" i="40"/>
  <c r="F1081" i="40"/>
  <c r="I1066" i="40"/>
  <c r="F1065" i="40"/>
  <c r="D207" i="54" l="1"/>
  <c r="D204" i="54"/>
  <c r="D200" i="54"/>
  <c r="D197" i="54"/>
  <c r="D183" i="54"/>
  <c r="D175" i="54"/>
  <c r="D15" i="54" l="1"/>
  <c r="A13" i="54"/>
  <c r="A14" i="54" s="1"/>
  <c r="A15" i="54" s="1"/>
  <c r="A16" i="54" s="1"/>
  <c r="A17" i="54" s="1"/>
  <c r="A18" i="54" s="1"/>
  <c r="A13" i="56"/>
  <c r="A14" i="56" s="1"/>
  <c r="A15" i="56" s="1"/>
  <c r="A16" i="56" s="1"/>
  <c r="A17" i="56" s="1"/>
  <c r="A18" i="56" s="1"/>
  <c r="I18" i="54"/>
  <c r="E18" i="54"/>
  <c r="D18" i="54"/>
  <c r="A34" i="56" l="1"/>
  <c r="D25" i="56"/>
  <c r="D42" i="54" s="1"/>
  <c r="H18" i="56"/>
  <c r="H15" i="56"/>
  <c r="C27" i="18" l="1"/>
  <c r="C30" i="56" s="1"/>
  <c r="B43" i="18" l="1"/>
  <c r="C45" i="18" l="1"/>
  <c r="C43" i="56" s="1"/>
  <c r="D43" i="56" l="1"/>
  <c r="D199" i="54" s="1"/>
  <c r="B41" i="18"/>
  <c r="E203" i="54"/>
  <c r="C205" i="54"/>
  <c r="B205" i="54"/>
  <c r="B203" i="54"/>
  <c r="C203" i="54"/>
  <c r="D46" i="56"/>
  <c r="D45" i="56"/>
  <c r="D203" i="54" s="1"/>
  <c r="C21" i="18"/>
  <c r="C25" i="56" s="1"/>
  <c r="C20" i="18"/>
  <c r="D10" i="21" l="1"/>
  <c r="D11" i="21"/>
  <c r="D12" i="21"/>
  <c r="E1074" i="40" l="1"/>
  <c r="F1074" i="40" s="1"/>
  <c r="E1053" i="40"/>
  <c r="F1053" i="40" s="1"/>
  <c r="B34" i="18"/>
  <c r="B60" i="56" s="1"/>
  <c r="C34" i="18"/>
  <c r="C60" i="56" s="1"/>
  <c r="D34" i="18"/>
  <c r="D227" i="54" s="1"/>
  <c r="B54" i="18"/>
  <c r="C54" i="18"/>
  <c r="D54" i="18"/>
  <c r="D232" i="54" s="1"/>
  <c r="I1030" i="40"/>
  <c r="J1029" i="40"/>
  <c r="F1029" i="40"/>
  <c r="P1023" i="40"/>
  <c r="P1022" i="40"/>
  <c r="K1022" i="40"/>
  <c r="E1022" i="40"/>
  <c r="F1022" i="40" s="1"/>
  <c r="N1021" i="40"/>
  <c r="P1021" i="40" s="1"/>
  <c r="I1015" i="40"/>
  <c r="J1014" i="40"/>
  <c r="F1014" i="40"/>
  <c r="P1008" i="40"/>
  <c r="K1008" i="40"/>
  <c r="N1007" i="40"/>
  <c r="P1007" i="40" s="1"/>
  <c r="E1007" i="40"/>
  <c r="F1007" i="40" s="1"/>
  <c r="N1006" i="40"/>
  <c r="P1006" i="40" s="1"/>
  <c r="P1026" i="40" l="1"/>
  <c r="P1011" i="40"/>
  <c r="D100" i="54" l="1"/>
  <c r="L100" i="54"/>
  <c r="D101" i="54"/>
  <c r="E101" i="54"/>
  <c r="I101" i="54"/>
  <c r="L101" i="54"/>
  <c r="D102" i="54"/>
  <c r="E102" i="54"/>
  <c r="I102" i="54"/>
  <c r="L102" i="54"/>
  <c r="D103" i="54"/>
  <c r="I103" i="54"/>
  <c r="L103" i="54"/>
  <c r="G220" i="54" l="1"/>
  <c r="I232" i="54" l="1"/>
  <c r="F61" i="56"/>
  <c r="Q66" i="54" l="1"/>
  <c r="M66" i="54"/>
  <c r="F22" i="54" l="1"/>
  <c r="F23" i="54" s="1"/>
  <c r="C32" i="18" l="1"/>
  <c r="F35" i="76"/>
  <c r="F36" i="76" s="1"/>
  <c r="F37" i="76" s="1"/>
  <c r="F38" i="76" s="1"/>
  <c r="F39" i="76" s="1"/>
  <c r="F40" i="76" s="1"/>
  <c r="F41" i="76" s="1"/>
  <c r="F42" i="76" s="1"/>
  <c r="F43" i="76" s="1"/>
  <c r="F44" i="76" s="1"/>
  <c r="F45" i="76" s="1"/>
  <c r="F46" i="76" s="1"/>
  <c r="F47" i="76" s="1"/>
  <c r="F48" i="76" s="1"/>
  <c r="F49" i="76" s="1"/>
  <c r="F50" i="76" s="1"/>
  <c r="F51" i="76" s="1"/>
  <c r="A23" i="76"/>
  <c r="A24" i="76" s="1"/>
  <c r="A25" i="76" s="1"/>
  <c r="A26" i="76" s="1"/>
  <c r="A27" i="76" s="1"/>
  <c r="A28" i="76" s="1"/>
  <c r="A29" i="76" s="1"/>
  <c r="A30" i="76" s="1"/>
  <c r="A31" i="76" s="1"/>
  <c r="A32" i="76" s="1"/>
  <c r="A33" i="76" s="1"/>
  <c r="F17" i="76"/>
  <c r="A1" i="76"/>
  <c r="A2" i="76"/>
  <c r="A3" i="76"/>
  <c r="A4" i="76"/>
  <c r="A5" i="76"/>
  <c r="F191" i="54" l="1"/>
  <c r="F192" i="54" s="1"/>
  <c r="F167" i="54"/>
  <c r="R130" i="40" l="1"/>
  <c r="S10" i="40"/>
  <c r="H143" i="54" l="1"/>
  <c r="G22" i="54" l="1"/>
  <c r="G23" i="54" s="1"/>
  <c r="C44" i="73" l="1"/>
  <c r="C28" i="73" s="1"/>
  <c r="A223" i="54" l="1"/>
  <c r="F60" i="56"/>
  <c r="A60" i="56"/>
  <c r="A62" i="56" s="1"/>
  <c r="A51" i="56"/>
  <c r="A52" i="56" s="1"/>
  <c r="A53" i="56" s="1"/>
  <c r="A54" i="56" s="1"/>
  <c r="A55" i="56" s="1"/>
  <c r="A56" i="56" s="1"/>
  <c r="I1046" i="40"/>
  <c r="J1045" i="40"/>
  <c r="F1045" i="40"/>
  <c r="N1041" i="40"/>
  <c r="N1038" i="40"/>
  <c r="N1037" i="40"/>
  <c r="H70" i="54" l="1"/>
  <c r="H79" i="54" s="1"/>
  <c r="A14" i="18" l="1"/>
  <c r="A15" i="18" s="1"/>
  <c r="C17" i="18"/>
  <c r="C23" i="56" s="1"/>
  <c r="C30" i="54" s="1"/>
  <c r="B17" i="18"/>
  <c r="B23" i="56" s="1"/>
  <c r="B30" i="54" s="1"/>
  <c r="C22" i="18" l="1"/>
  <c r="B22" i="18"/>
  <c r="B18" i="18"/>
  <c r="C46" i="18"/>
  <c r="B46" i="18"/>
  <c r="B45" i="18"/>
  <c r="C42" i="18"/>
  <c r="C41" i="56" s="1"/>
  <c r="C185" i="54" s="1"/>
  <c r="B41" i="56"/>
  <c r="B185" i="54" s="1"/>
  <c r="C40" i="18"/>
  <c r="B40" i="18"/>
  <c r="C39" i="18"/>
  <c r="C39" i="56" s="1"/>
  <c r="C161" i="54" s="1"/>
  <c r="B38" i="18"/>
  <c r="C35" i="18"/>
  <c r="B35" i="18"/>
  <c r="C35" i="56"/>
  <c r="C151" i="54" s="1"/>
  <c r="C33" i="18"/>
  <c r="C34" i="56" s="1"/>
  <c r="C141" i="54" s="1"/>
  <c r="B31" i="18"/>
  <c r="B34" i="56" s="1"/>
  <c r="B141" i="54" s="1"/>
  <c r="B29" i="18"/>
  <c r="C30" i="18"/>
  <c r="C33" i="56" s="1"/>
  <c r="C105" i="54" s="1"/>
  <c r="C28" i="18"/>
  <c r="C32" i="56" s="1"/>
  <c r="C91" i="54" s="1"/>
  <c r="B28" i="18"/>
  <c r="B32" i="56" s="1"/>
  <c r="B91" i="54" s="1"/>
  <c r="B25" i="18"/>
  <c r="B31" i="56" s="1"/>
  <c r="B87" i="54" s="1"/>
  <c r="C23" i="18"/>
  <c r="C27" i="56" s="1"/>
  <c r="B23" i="18"/>
  <c r="B27" i="56" s="1"/>
  <c r="B52" i="54" l="1"/>
  <c r="C52" i="54"/>
  <c r="B43" i="56"/>
  <c r="B199" i="54" s="1"/>
  <c r="B36" i="56"/>
  <c r="B155" i="54" s="1"/>
  <c r="B56" i="56"/>
  <c r="B223" i="54" s="1"/>
  <c r="C199" i="54"/>
  <c r="C36" i="56"/>
  <c r="C155" i="54" s="1"/>
  <c r="C56" i="56"/>
  <c r="C223" i="54" s="1"/>
  <c r="B25" i="56"/>
  <c r="B42" i="54" s="1"/>
  <c r="B26" i="56"/>
  <c r="B47" i="54" s="1"/>
  <c r="C44" i="56"/>
  <c r="C201" i="54" s="1"/>
  <c r="B33" i="56"/>
  <c r="B105" i="54" s="1"/>
  <c r="B39" i="56"/>
  <c r="B161" i="54" s="1"/>
  <c r="C40" i="56"/>
  <c r="C176" i="54" s="1"/>
  <c r="B40" i="56"/>
  <c r="B176" i="54" s="1"/>
  <c r="B44" i="56"/>
  <c r="B201" i="54" s="1"/>
  <c r="B51" i="56"/>
  <c r="B214" i="54" s="1"/>
  <c r="B24" i="56"/>
  <c r="B36" i="54" s="1"/>
  <c r="C51" i="56"/>
  <c r="C214" i="54" s="1"/>
  <c r="B35" i="56"/>
  <c r="B151" i="54" s="1"/>
  <c r="B30" i="56"/>
  <c r="B62" i="54" s="1"/>
  <c r="C227" i="54" l="1"/>
  <c r="B227" i="54"/>
  <c r="C62" i="56"/>
  <c r="C232" i="54" s="1"/>
  <c r="N996" i="40"/>
  <c r="N994" i="40"/>
  <c r="N993" i="40"/>
  <c r="I1001" i="40"/>
  <c r="F1000" i="40"/>
  <c r="D995" i="40"/>
  <c r="D994" i="40"/>
  <c r="I996" i="40"/>
  <c r="I995" i="40"/>
  <c r="I994" i="40"/>
  <c r="J1000" i="40"/>
  <c r="B62" i="56" l="1"/>
  <c r="B232" i="54" s="1"/>
  <c r="I987" i="40"/>
  <c r="F986" i="40"/>
  <c r="B53" i="18"/>
  <c r="C53" i="18"/>
  <c r="D53" i="18"/>
  <c r="I972" i="40"/>
  <c r="F971" i="40"/>
  <c r="A72" i="56"/>
  <c r="A66" i="56"/>
  <c r="D52" i="18"/>
  <c r="C52" i="18"/>
  <c r="C217" i="54" s="1"/>
  <c r="B51" i="18"/>
  <c r="C51" i="18"/>
  <c r="D51" i="18"/>
  <c r="D216" i="54" s="1"/>
  <c r="C50" i="18"/>
  <c r="C215" i="54" s="1"/>
  <c r="B50" i="18"/>
  <c r="B52" i="56" s="1"/>
  <c r="B215" i="54" s="1"/>
  <c r="D50" i="18"/>
  <c r="I957" i="40"/>
  <c r="F956" i="40"/>
  <c r="P953" i="40"/>
  <c r="I943" i="40"/>
  <c r="F942" i="40"/>
  <c r="P939" i="40"/>
  <c r="D215" i="54" l="1"/>
  <c r="D52" i="56"/>
  <c r="D54" i="56"/>
  <c r="D217" i="54"/>
  <c r="B55" i="56"/>
  <c r="B218" i="54" s="1"/>
  <c r="C53" i="56"/>
  <c r="C216" i="54" s="1"/>
  <c r="C61" i="56"/>
  <c r="C231" i="54" s="1"/>
  <c r="C55" i="56"/>
  <c r="C218" i="54" s="1"/>
  <c r="B53" i="56"/>
  <c r="B54" i="56" s="1"/>
  <c r="B61" i="56"/>
  <c r="B231" i="54" s="1"/>
  <c r="D53" i="56"/>
  <c r="B217" i="54" l="1"/>
  <c r="B216" i="54"/>
  <c r="I928" i="40"/>
  <c r="F927" i="40"/>
  <c r="B13" i="18" l="1"/>
  <c r="P924" i="40"/>
  <c r="B21" i="56" l="1"/>
  <c r="B21" i="54" s="1"/>
  <c r="B59" i="56"/>
  <c r="B226" i="54" s="1"/>
  <c r="B50" i="56"/>
  <c r="B210" i="54" s="1"/>
  <c r="E191" i="54"/>
  <c r="E192" i="54"/>
  <c r="F162" i="54"/>
  <c r="A18" i="18" l="1"/>
  <c r="A19" i="18" s="1"/>
  <c r="E66" i="40"/>
  <c r="F77" i="40"/>
  <c r="P74" i="40"/>
  <c r="F94" i="40"/>
  <c r="I88" i="40"/>
  <c r="D87" i="40"/>
  <c r="D86" i="40"/>
  <c r="I911" i="40"/>
  <c r="F910" i="40"/>
  <c r="I884" i="40"/>
  <c r="P879" i="40"/>
  <c r="P892" i="40"/>
  <c r="G59" i="21"/>
  <c r="C44" i="18"/>
  <c r="C26" i="18"/>
  <c r="C31" i="56" s="1"/>
  <c r="C87" i="54" s="1"/>
  <c r="C19" i="18"/>
  <c r="C24" i="56" s="1"/>
  <c r="C36" i="54" s="1"/>
  <c r="C15" i="18"/>
  <c r="C14" i="18"/>
  <c r="C21" i="56" s="1"/>
  <c r="C21" i="54" s="1"/>
  <c r="F125" i="40"/>
  <c r="F111" i="40"/>
  <c r="I105" i="40"/>
  <c r="D104" i="40"/>
  <c r="D103" i="40"/>
  <c r="I24" i="21"/>
  <c r="O86" i="40" s="1"/>
  <c r="P86" i="40" s="1"/>
  <c r="P91" i="40" s="1"/>
  <c r="D43" i="21"/>
  <c r="G43" i="21" s="1"/>
  <c r="J103" i="40" s="1"/>
  <c r="K103" i="40" s="1"/>
  <c r="C62" i="54" l="1"/>
  <c r="A20" i="18"/>
  <c r="C42" i="54"/>
  <c r="J877" i="40"/>
  <c r="K877" i="40" s="1"/>
  <c r="K879" i="40" s="1"/>
  <c r="B42" i="56"/>
  <c r="B195" i="54" s="1"/>
  <c r="C42" i="56"/>
  <c r="C195" i="54" s="1"/>
  <c r="C59" i="56"/>
  <c r="C226" i="54" s="1"/>
  <c r="C50" i="56"/>
  <c r="C210" i="54" s="1"/>
  <c r="J890" i="40"/>
  <c r="K890" i="40" s="1"/>
  <c r="K892" i="40" s="1"/>
  <c r="A21" i="18" l="1"/>
  <c r="A22" i="18" s="1"/>
  <c r="A23" i="18" s="1"/>
  <c r="A24" i="18" s="1"/>
  <c r="A25" i="18" s="1"/>
  <c r="A26" i="18" s="1"/>
  <c r="P122" i="40"/>
  <c r="A28" i="18" l="1"/>
  <c r="A30" i="18" s="1"/>
  <c r="A32" i="18" s="1"/>
  <c r="A33" i="18" s="1"/>
  <c r="D44" i="21"/>
  <c r="A44" i="21"/>
  <c r="D25" i="21"/>
  <c r="D26" i="21"/>
  <c r="D24" i="21"/>
  <c r="L123" i="33" s="1"/>
  <c r="A34" i="18" l="1"/>
  <c r="A35" i="18" s="1"/>
  <c r="A39" i="18" s="1"/>
  <c r="A40" i="18" s="1"/>
  <c r="A42" i="18" s="1"/>
  <c r="A43" i="18" s="1"/>
  <c r="A44" i="18" s="1"/>
  <c r="A45" i="18" s="1"/>
  <c r="L48" i="33"/>
  <c r="L105" i="33"/>
  <c r="L129" i="33"/>
  <c r="L92" i="33"/>
  <c r="L117" i="33"/>
  <c r="L54" i="33"/>
  <c r="L111" i="33"/>
  <c r="L99" i="33"/>
  <c r="A46" i="18" l="1"/>
  <c r="A47" i="18" l="1"/>
  <c r="A48" i="18" s="1"/>
  <c r="A50" i="18" s="1"/>
  <c r="I897" i="40"/>
  <c r="P905" i="40"/>
  <c r="I871" i="40" l="1"/>
  <c r="F870" i="40"/>
  <c r="P866" i="40"/>
  <c r="I23" i="21"/>
  <c r="O1053" i="40" s="1"/>
  <c r="P1053" i="40" s="1"/>
  <c r="P1061" i="40" s="1"/>
  <c r="I22" i="21"/>
  <c r="C26" i="56" l="1"/>
  <c r="C47" i="54" s="1"/>
  <c r="D20" i="21"/>
  <c r="I20" i="21"/>
  <c r="I856" i="40" l="1"/>
  <c r="F855" i="40"/>
  <c r="P852" i="40"/>
  <c r="J848" i="40"/>
  <c r="K848" i="40" s="1"/>
  <c r="I840" i="40"/>
  <c r="F839" i="40"/>
  <c r="P836" i="40"/>
  <c r="J832" i="40"/>
  <c r="K832" i="40" s="1"/>
  <c r="F824" i="40"/>
  <c r="J817" i="40"/>
  <c r="K817" i="40" s="1"/>
  <c r="I825" i="40"/>
  <c r="P821" i="40"/>
  <c r="I810" i="40"/>
  <c r="F810" i="40"/>
  <c r="P807" i="40"/>
  <c r="P797" i="40"/>
  <c r="I800" i="40"/>
  <c r="F800" i="40"/>
  <c r="F790" i="40"/>
  <c r="I790" i="40"/>
  <c r="P787" i="40"/>
  <c r="F778" i="40"/>
  <c r="O767" i="40"/>
  <c r="P767" i="40" s="1"/>
  <c r="I767" i="40"/>
  <c r="F756" i="40"/>
  <c r="O745" i="40"/>
  <c r="P745" i="40" s="1"/>
  <c r="I745" i="40"/>
  <c r="F734" i="40"/>
  <c r="O723" i="40"/>
  <c r="P723" i="40" s="1"/>
  <c r="I723" i="40"/>
  <c r="F711" i="40"/>
  <c r="O700" i="40"/>
  <c r="P700" i="40" s="1"/>
  <c r="I700" i="40"/>
  <c r="F689" i="40"/>
  <c r="O677" i="40"/>
  <c r="P677" i="40" s="1"/>
  <c r="I677" i="40"/>
  <c r="F667" i="40"/>
  <c r="O655" i="40"/>
  <c r="P655" i="40" s="1"/>
  <c r="I655" i="40"/>
  <c r="F644" i="40"/>
  <c r="O633" i="40"/>
  <c r="P633" i="40" s="1"/>
  <c r="I633" i="40"/>
  <c r="F623" i="40"/>
  <c r="O611" i="40"/>
  <c r="P611" i="40" s="1"/>
  <c r="I611" i="40"/>
  <c r="F601" i="40"/>
  <c r="O589" i="40"/>
  <c r="P589" i="40" s="1"/>
  <c r="I589" i="40"/>
  <c r="F579" i="40"/>
  <c r="O568" i="40"/>
  <c r="P568" i="40" s="1"/>
  <c r="I568" i="40"/>
  <c r="F558" i="40"/>
  <c r="O546" i="40"/>
  <c r="P546" i="40" s="1"/>
  <c r="F536" i="40"/>
  <c r="O524" i="40"/>
  <c r="P524" i="40" s="1"/>
  <c r="F514" i="40"/>
  <c r="O503" i="40"/>
  <c r="P503" i="40" s="1"/>
  <c r="F493" i="40"/>
  <c r="I484" i="40"/>
  <c r="O480" i="40"/>
  <c r="P480" i="40" s="1"/>
  <c r="F470" i="40"/>
  <c r="I461" i="40"/>
  <c r="O457" i="40"/>
  <c r="P457" i="40" s="1"/>
  <c r="F447" i="40"/>
  <c r="I439" i="40"/>
  <c r="O435" i="40"/>
  <c r="P435" i="40" s="1"/>
  <c r="F425" i="40"/>
  <c r="I416" i="40"/>
  <c r="O412" i="40"/>
  <c r="P412" i="40" s="1"/>
  <c r="F402" i="40"/>
  <c r="I393" i="40"/>
  <c r="O389" i="40"/>
  <c r="P389" i="40" s="1"/>
  <c r="F378" i="40"/>
  <c r="I370" i="40"/>
  <c r="O366" i="40"/>
  <c r="P366" i="40" s="1"/>
  <c r="F355" i="40"/>
  <c r="O344" i="40"/>
  <c r="P344" i="40" s="1"/>
  <c r="F334" i="40"/>
  <c r="O323" i="40"/>
  <c r="P323" i="40" s="1"/>
  <c r="F312" i="40"/>
  <c r="O301" i="40"/>
  <c r="P301" i="40" s="1"/>
  <c r="I301" i="40"/>
  <c r="F291" i="40"/>
  <c r="O280" i="40"/>
  <c r="P280" i="40" s="1"/>
  <c r="I280" i="40"/>
  <c r="F270" i="40"/>
  <c r="I262" i="40"/>
  <c r="O258" i="40"/>
  <c r="P258" i="40" s="1"/>
  <c r="F248" i="40"/>
  <c r="O237" i="40"/>
  <c r="P237" i="40" s="1"/>
  <c r="I237" i="40"/>
  <c r="F207" i="40"/>
  <c r="I199" i="40"/>
  <c r="O195" i="40"/>
  <c r="P195" i="40" s="1"/>
  <c r="F227" i="40"/>
  <c r="O216" i="40"/>
  <c r="P216" i="40" s="1"/>
  <c r="F184" i="40"/>
  <c r="O173" i="40"/>
  <c r="P173" i="40" s="1"/>
  <c r="F163" i="40"/>
  <c r="O152" i="40"/>
  <c r="P152" i="40" s="1"/>
  <c r="F142" i="40"/>
  <c r="O134" i="40"/>
  <c r="P134" i="40" s="1"/>
  <c r="I44" i="40"/>
  <c r="D42" i="40"/>
  <c r="I36" i="40"/>
  <c r="B28" i="40"/>
  <c r="I26" i="40"/>
  <c r="D24" i="40"/>
  <c r="I18" i="40"/>
  <c r="L160" i="54" l="1"/>
  <c r="B81" i="40" l="1"/>
  <c r="B98" i="40" s="1"/>
  <c r="B115" i="40" s="1"/>
  <c r="B128" i="40" s="1"/>
  <c r="B19" i="79"/>
  <c r="C19" i="79"/>
  <c r="D19" i="79"/>
  <c r="L25" i="33" s="1"/>
  <c r="B13" i="79"/>
  <c r="H17" i="33" s="1"/>
  <c r="C13" i="79"/>
  <c r="J17" i="33" s="1"/>
  <c r="D13" i="79"/>
  <c r="L17" i="33" s="1"/>
  <c r="B14" i="79"/>
  <c r="H19" i="33" s="1"/>
  <c r="C14" i="79"/>
  <c r="J19" i="33" s="1"/>
  <c r="L19" i="33"/>
  <c r="B15" i="79"/>
  <c r="H21" i="33" s="1"/>
  <c r="C15" i="79"/>
  <c r="J20" i="33" s="1"/>
  <c r="L21" i="33"/>
  <c r="B16" i="79"/>
  <c r="H22" i="33" s="1"/>
  <c r="C16" i="79"/>
  <c r="J21" i="33" s="1"/>
  <c r="L22" i="33"/>
  <c r="B17" i="79"/>
  <c r="H23" i="33" s="1"/>
  <c r="C17" i="79"/>
  <c r="J22" i="33" s="1"/>
  <c r="L23" i="33"/>
  <c r="B18" i="79"/>
  <c r="H24" i="33" s="1"/>
  <c r="C18" i="79"/>
  <c r="J23" i="33" s="1"/>
  <c r="L24" i="33"/>
  <c r="C12" i="79"/>
  <c r="J16" i="33" s="1"/>
  <c r="D12" i="79"/>
  <c r="L16" i="33" s="1"/>
  <c r="B12" i="79"/>
  <c r="H16" i="33" s="1"/>
  <c r="J25" i="33"/>
  <c r="J24" i="33"/>
  <c r="F12" i="21"/>
  <c r="F13" i="21" s="1"/>
  <c r="F14" i="21" s="1"/>
  <c r="B8" i="21"/>
  <c r="C10" i="79"/>
  <c r="A5" i="79"/>
  <c r="A4" i="79"/>
  <c r="A3" i="79"/>
  <c r="A2" i="79"/>
  <c r="A1" i="79"/>
  <c r="B146" i="40" l="1"/>
  <c r="B167" i="40" s="1"/>
  <c r="B189" i="40" s="1"/>
  <c r="B210" i="40" s="1"/>
  <c r="B231" i="40" s="1"/>
  <c r="B252" i="40" s="1"/>
  <c r="B274" i="40" s="1"/>
  <c r="B295" i="40" l="1"/>
  <c r="B316" i="40" s="1"/>
  <c r="B338" i="40" s="1"/>
  <c r="B359" i="40" s="1"/>
  <c r="B382" i="40" s="1"/>
  <c r="B405" i="40" s="1"/>
  <c r="B428" i="40" s="1"/>
  <c r="B450" i="40" s="1"/>
  <c r="B473" i="40" s="1"/>
  <c r="B496" i="40" s="1"/>
  <c r="B517" i="40" s="1"/>
  <c r="B539" i="40" s="1"/>
  <c r="B561" i="40" s="1"/>
  <c r="B582" i="40"/>
  <c r="B626" i="40" s="1"/>
  <c r="B604" i="40" l="1"/>
  <c r="B648" i="40" s="1"/>
  <c r="B670" i="40" s="1"/>
  <c r="B692" i="40" s="1"/>
  <c r="B715" i="40" s="1"/>
  <c r="B737" i="40" s="1"/>
  <c r="B759" i="40" l="1"/>
  <c r="C32" i="73"/>
  <c r="C31" i="73"/>
  <c r="B781" i="40" l="1"/>
  <c r="B791" i="40" s="1"/>
  <c r="B801" i="40" s="1"/>
  <c r="B811" i="40" s="1"/>
  <c r="B826" i="40" s="1"/>
  <c r="B843" i="40" s="1"/>
  <c r="B857" i="40" s="1"/>
  <c r="B886" i="40" l="1"/>
  <c r="B873" i="40"/>
  <c r="B899" i="40"/>
  <c r="B915" i="40" s="1"/>
  <c r="H67" i="56"/>
  <c r="B930" i="40" l="1"/>
  <c r="A1" i="74"/>
  <c r="A1" i="40"/>
  <c r="A1" i="21"/>
  <c r="A1" i="33"/>
  <c r="A1" i="18"/>
  <c r="A1" i="39"/>
  <c r="A1" i="56"/>
  <c r="A1" i="54"/>
  <c r="B944" i="40" l="1"/>
  <c r="B959" i="40" s="1"/>
  <c r="F56" i="54"/>
  <c r="B974" i="40" l="1"/>
  <c r="B989" i="40"/>
  <c r="B1002" i="40" s="1"/>
  <c r="B1017" i="40" s="1"/>
  <c r="G221" i="54"/>
  <c r="B1033" i="40" l="1"/>
  <c r="B1048" i="40" s="1"/>
  <c r="B1069" i="40" s="1"/>
  <c r="G212" i="54"/>
  <c r="H212" i="54"/>
  <c r="F212" i="54"/>
  <c r="F211" i="54"/>
  <c r="I211" i="54" s="1"/>
  <c r="H156" i="54"/>
  <c r="G148" i="54"/>
  <c r="G149" i="54" s="1"/>
  <c r="H148" i="54"/>
  <c r="H149" i="54" s="1"/>
  <c r="E149" i="54"/>
  <c r="F148" i="54"/>
  <c r="E127" i="54"/>
  <c r="I212" i="54" l="1"/>
  <c r="I213" i="54" s="1"/>
  <c r="F214" i="54" s="1"/>
  <c r="I148" i="54"/>
  <c r="F149" i="54"/>
  <c r="I149" i="54" s="1"/>
  <c r="I12" i="21" l="1"/>
  <c r="D41" i="21"/>
  <c r="G41" i="21" s="1"/>
  <c r="A41" i="21"/>
  <c r="A42" i="21" s="1"/>
  <c r="A43" i="21" s="1"/>
  <c r="F15" i="21" l="1"/>
  <c r="F16" i="21" l="1"/>
  <c r="D205" i="54"/>
  <c r="D44" i="56"/>
  <c r="J38" i="56"/>
  <c r="L208" i="54"/>
  <c r="E199" i="54"/>
  <c r="D42" i="56"/>
  <c r="D41" i="56"/>
  <c r="A40" i="56"/>
  <c r="D40" i="56"/>
  <c r="D39" i="56"/>
  <c r="J48" i="56"/>
  <c r="A161" i="54"/>
  <c r="A176" i="54" s="1"/>
  <c r="E201" i="54"/>
  <c r="E196" i="54"/>
  <c r="E177" i="54"/>
  <c r="E186" i="54" s="1"/>
  <c r="H174" i="54"/>
  <c r="F174" i="54"/>
  <c r="E165" i="54"/>
  <c r="E166" i="54" s="1"/>
  <c r="F163" i="54"/>
  <c r="H188" i="54"/>
  <c r="F188" i="54"/>
  <c r="H187" i="54"/>
  <c r="A41" i="56" l="1"/>
  <c r="A42" i="56"/>
  <c r="F165" i="54"/>
  <c r="F166" i="54" s="1"/>
  <c r="F164" i="54"/>
  <c r="I164" i="54" s="1"/>
  <c r="A185" i="54"/>
  <c r="A195" i="54"/>
  <c r="F17" i="21"/>
  <c r="E188" i="54"/>
  <c r="E178" i="54"/>
  <c r="F186" i="54"/>
  <c r="F196" i="54" s="1"/>
  <c r="A43" i="56" l="1"/>
  <c r="A44" i="56" s="1"/>
  <c r="A45" i="56" s="1"/>
  <c r="A46" i="56" s="1"/>
  <c r="A199" i="54"/>
  <c r="A201" i="54" s="1"/>
  <c r="A203" i="54" s="1"/>
  <c r="A205" i="54" s="1"/>
  <c r="F18" i="21"/>
  <c r="E187" i="54"/>
  <c r="F187" i="54"/>
  <c r="F190" i="54"/>
  <c r="F19" i="21" l="1"/>
  <c r="I217" i="54" l="1"/>
  <c r="F54" i="56" l="1"/>
  <c r="I216" i="54"/>
  <c r="E215" i="54"/>
  <c r="F224" i="54" l="1"/>
  <c r="I224" i="54" s="1"/>
  <c r="F56" i="56" s="1"/>
  <c r="F53" i="56"/>
  <c r="I215" i="54"/>
  <c r="E146" i="54"/>
  <c r="G68" i="54"/>
  <c r="F52" i="56" l="1"/>
  <c r="H146" i="54"/>
  <c r="A18" i="77" l="1"/>
  <c r="A19" i="77"/>
  <c r="A20" i="77"/>
  <c r="A21" i="77"/>
  <c r="A22" i="77"/>
  <c r="A23" i="77"/>
  <c r="A17" i="77"/>
  <c r="A16" i="77"/>
  <c r="G66" i="54" l="1"/>
  <c r="G75" i="54" s="1"/>
  <c r="F112" i="54"/>
  <c r="H113" i="54" s="1"/>
  <c r="G69" i="54"/>
  <c r="F69" i="54"/>
  <c r="G67" i="54"/>
  <c r="G76" i="54" s="1"/>
  <c r="G65" i="54"/>
  <c r="G74" i="54" s="1"/>
  <c r="F143" i="54"/>
  <c r="G143" i="54"/>
  <c r="H88" i="54"/>
  <c r="H43" i="54"/>
  <c r="H65" i="54"/>
  <c r="H74" i="54" s="1"/>
  <c r="H110" i="54"/>
  <c r="H67" i="54"/>
  <c r="H76" i="54" s="1"/>
  <c r="H66" i="54"/>
  <c r="H75" i="54" s="1"/>
  <c r="H112" i="54"/>
  <c r="G24" i="54"/>
  <c r="F24" i="54"/>
  <c r="G83" i="54"/>
  <c r="F136" i="54"/>
  <c r="F135" i="54"/>
  <c r="F83" i="54"/>
  <c r="H134" i="54"/>
  <c r="H82" i="54"/>
  <c r="H84" i="54"/>
  <c r="H135" i="54"/>
  <c r="H83" i="54"/>
  <c r="F134" i="54" l="1"/>
  <c r="F82" i="54"/>
  <c r="L159" i="54" l="1"/>
  <c r="L24" i="54" l="1"/>
  <c r="L33" i="54"/>
  <c r="L138" i="54"/>
  <c r="L137" i="54"/>
  <c r="L136" i="54"/>
  <c r="L135" i="54"/>
  <c r="L134" i="54"/>
  <c r="L89" i="54"/>
  <c r="L85" i="54"/>
  <c r="L84" i="54"/>
  <c r="L83" i="54"/>
  <c r="L82" i="54"/>
  <c r="L81" i="54"/>
  <c r="L59" i="54"/>
  <c r="L50" i="54"/>
  <c r="L45" i="54"/>
  <c r="L39" i="54"/>
  <c r="F138" i="54" l="1"/>
  <c r="F137" i="54"/>
  <c r="D138" i="54"/>
  <c r="D137" i="54"/>
  <c r="D136" i="54"/>
  <c r="D135" i="54"/>
  <c r="D134" i="54"/>
  <c r="D133" i="54"/>
  <c r="H89" i="54"/>
  <c r="G89" i="54"/>
  <c r="F89" i="54"/>
  <c r="E89" i="54"/>
  <c r="D89" i="54"/>
  <c r="F84" i="54"/>
  <c r="G85" i="54"/>
  <c r="F85" i="54"/>
  <c r="D85" i="54"/>
  <c r="D84" i="54"/>
  <c r="D83" i="54"/>
  <c r="D82" i="54"/>
  <c r="D81" i="54"/>
  <c r="I89" i="54" l="1"/>
  <c r="H45" i="54"/>
  <c r="H59" i="54" s="1"/>
  <c r="D39" i="54"/>
  <c r="D45" i="54" s="1"/>
  <c r="D59" i="54" s="1"/>
  <c r="H33" i="54"/>
  <c r="D33" i="54"/>
  <c r="G33" i="54"/>
  <c r="F39" i="54"/>
  <c r="E24" i="54"/>
  <c r="E39" i="54" s="1"/>
  <c r="E45" i="54" s="1"/>
  <c r="D24" i="54"/>
  <c r="I24" i="54" l="1"/>
  <c r="E50" i="54"/>
  <c r="F45" i="54"/>
  <c r="F33" i="54"/>
  <c r="E33" i="54"/>
  <c r="G39" i="54"/>
  <c r="G45" i="54" s="1"/>
  <c r="D55" i="54"/>
  <c r="D50" i="54"/>
  <c r="I45" i="54" l="1"/>
  <c r="I33" i="54"/>
  <c r="F55" i="54"/>
  <c r="F59" i="54" s="1"/>
  <c r="E55" i="54"/>
  <c r="I50" i="54"/>
  <c r="E59" i="54" l="1"/>
  <c r="I59" i="54" s="1"/>
  <c r="I10" i="21" l="1"/>
  <c r="I11" i="21"/>
  <c r="E1052" i="40" l="1"/>
  <c r="F1052" i="40" s="1"/>
  <c r="F1061" i="40" s="1"/>
  <c r="E1075" i="40"/>
  <c r="F1075" i="40" s="1"/>
  <c r="F1078" i="40" s="1"/>
  <c r="E1023" i="40"/>
  <c r="F1023" i="40" s="1"/>
  <c r="F1026" i="40" s="1"/>
  <c r="E1008" i="40"/>
  <c r="F1008" i="40" s="1"/>
  <c r="F1011" i="40" s="1"/>
  <c r="E1039" i="40"/>
  <c r="F1039" i="40" s="1"/>
  <c r="E1038" i="40"/>
  <c r="F1038" i="40" s="1"/>
  <c r="E994" i="40"/>
  <c r="F994" i="40" s="1"/>
  <c r="E949" i="40"/>
  <c r="F949" i="40" s="1"/>
  <c r="E964" i="40"/>
  <c r="F964" i="40" s="1"/>
  <c r="E935" i="40"/>
  <c r="F935" i="40" s="1"/>
  <c r="E979" i="40"/>
  <c r="F979" i="40" s="1"/>
  <c r="E920" i="40"/>
  <c r="F920" i="40" s="1"/>
  <c r="E904" i="40"/>
  <c r="F904" i="40" s="1"/>
  <c r="F905" i="40" s="1"/>
  <c r="E995" i="40"/>
  <c r="F995" i="40" s="1"/>
  <c r="E934" i="40"/>
  <c r="F934" i="40" s="1"/>
  <c r="E978" i="40"/>
  <c r="F978" i="40" s="1"/>
  <c r="E963" i="40"/>
  <c r="F963" i="40" s="1"/>
  <c r="E948" i="40"/>
  <c r="F948" i="40" s="1"/>
  <c r="E919" i="40"/>
  <c r="F919" i="40" s="1"/>
  <c r="E903" i="40"/>
  <c r="F903" i="40" s="1"/>
  <c r="E877" i="40"/>
  <c r="F877" i="40" s="1"/>
  <c r="E103" i="40"/>
  <c r="F103" i="40" s="1"/>
  <c r="E69" i="40"/>
  <c r="F69" i="40" s="1"/>
  <c r="E86" i="40"/>
  <c r="F86" i="40" s="1"/>
  <c r="E120" i="40"/>
  <c r="F120" i="40" s="1"/>
  <c r="E70" i="40"/>
  <c r="F70" i="40" s="1"/>
  <c r="E121" i="40"/>
  <c r="F121" i="40" s="1"/>
  <c r="E104" i="40"/>
  <c r="F104" i="40" s="1"/>
  <c r="E87" i="40"/>
  <c r="F87" i="40" s="1"/>
  <c r="E878" i="40"/>
  <c r="F878" i="40" s="1"/>
  <c r="E890" i="40"/>
  <c r="F890" i="40" s="1"/>
  <c r="E891" i="40"/>
  <c r="F891" i="40" s="1"/>
  <c r="E863" i="40"/>
  <c r="F863" i="40" s="1"/>
  <c r="E862" i="40"/>
  <c r="F862" i="40" s="1"/>
  <c r="E832" i="40"/>
  <c r="F832" i="40" s="1"/>
  <c r="E848" i="40"/>
  <c r="F848" i="40" s="1"/>
  <c r="E849" i="40"/>
  <c r="F849" i="40" s="1"/>
  <c r="E833" i="40"/>
  <c r="F833" i="40" s="1"/>
  <c r="E805" i="40"/>
  <c r="F805" i="40" s="1"/>
  <c r="E785" i="40"/>
  <c r="F785" i="40" s="1"/>
  <c r="E817" i="40"/>
  <c r="F817" i="40" s="1"/>
  <c r="E795" i="40"/>
  <c r="F795" i="40" s="1"/>
  <c r="E818" i="40"/>
  <c r="F818" i="40" s="1"/>
  <c r="E796" i="40"/>
  <c r="F796" i="40" s="1"/>
  <c r="E786" i="40"/>
  <c r="F786" i="40" s="1"/>
  <c r="E806" i="40"/>
  <c r="F806" i="40" s="1"/>
  <c r="E676" i="40"/>
  <c r="F676" i="40" s="1"/>
  <c r="E588" i="40"/>
  <c r="F588" i="40" s="1"/>
  <c r="E545" i="40"/>
  <c r="F545" i="40" s="1"/>
  <c r="E411" i="40"/>
  <c r="F411" i="40" s="1"/>
  <c r="E194" i="40"/>
  <c r="F194" i="40" s="1"/>
  <c r="E236" i="40"/>
  <c r="F236" i="40" s="1"/>
  <c r="E632" i="40"/>
  <c r="F632" i="40" s="1"/>
  <c r="E610" i="40"/>
  <c r="F610" i="40" s="1"/>
  <c r="E567" i="40"/>
  <c r="F567" i="40" s="1"/>
  <c r="E479" i="40"/>
  <c r="F479" i="40" s="1"/>
  <c r="E434" i="40"/>
  <c r="F434" i="40" s="1"/>
  <c r="E300" i="40"/>
  <c r="F300" i="40" s="1"/>
  <c r="E172" i="40"/>
  <c r="F172" i="40" s="1"/>
  <c r="E34" i="40"/>
  <c r="F34" i="40" s="1"/>
  <c r="E215" i="40"/>
  <c r="F215" i="40" s="1"/>
  <c r="E744" i="40"/>
  <c r="F744" i="40" s="1"/>
  <c r="E722" i="40"/>
  <c r="F722" i="40" s="1"/>
  <c r="E699" i="40"/>
  <c r="F699" i="40" s="1"/>
  <c r="E654" i="40"/>
  <c r="F654" i="40" s="1"/>
  <c r="E523" i="40"/>
  <c r="F523" i="40" s="1"/>
  <c r="E502" i="40"/>
  <c r="F502" i="40" s="1"/>
  <c r="E456" i="40"/>
  <c r="F456" i="40" s="1"/>
  <c r="E365" i="40"/>
  <c r="F365" i="40" s="1"/>
  <c r="E322" i="40"/>
  <c r="F322" i="40" s="1"/>
  <c r="E279" i="40"/>
  <c r="F279" i="40" s="1"/>
  <c r="E766" i="40"/>
  <c r="F766" i="40" s="1"/>
  <c r="E388" i="40"/>
  <c r="F388" i="40" s="1"/>
  <c r="E133" i="40"/>
  <c r="F133" i="40" s="1"/>
  <c r="E16" i="40"/>
  <c r="F16" i="40" s="1"/>
  <c r="E257" i="40"/>
  <c r="F257" i="40" s="1"/>
  <c r="E151" i="40"/>
  <c r="F151" i="40" s="1"/>
  <c r="E343" i="40"/>
  <c r="F343" i="40" s="1"/>
  <c r="E677" i="40"/>
  <c r="F677" i="40" s="1"/>
  <c r="E633" i="40"/>
  <c r="F633" i="40" s="1"/>
  <c r="E568" i="40"/>
  <c r="F568" i="40" s="1"/>
  <c r="E480" i="40"/>
  <c r="F480" i="40" s="1"/>
  <c r="E412" i="40"/>
  <c r="F412" i="40" s="1"/>
  <c r="E195" i="40"/>
  <c r="F195" i="40" s="1"/>
  <c r="E745" i="40"/>
  <c r="F745" i="40" s="1"/>
  <c r="E723" i="40"/>
  <c r="F723" i="40" s="1"/>
  <c r="E700" i="40"/>
  <c r="F700" i="40" s="1"/>
  <c r="E655" i="40"/>
  <c r="F655" i="40" s="1"/>
  <c r="E611" i="40"/>
  <c r="F611" i="40" s="1"/>
  <c r="E435" i="40"/>
  <c r="F435" i="40" s="1"/>
  <c r="E301" i="40"/>
  <c r="F301" i="40" s="1"/>
  <c r="E237" i="40"/>
  <c r="F237" i="40" s="1"/>
  <c r="E216" i="40"/>
  <c r="F216" i="40" s="1"/>
  <c r="E134" i="40"/>
  <c r="F134" i="40" s="1"/>
  <c r="E18" i="40"/>
  <c r="F18" i="40" s="1"/>
  <c r="E524" i="40"/>
  <c r="F524" i="40" s="1"/>
  <c r="E457" i="40"/>
  <c r="F457" i="40" s="1"/>
  <c r="E366" i="40"/>
  <c r="F366" i="40" s="1"/>
  <c r="E344" i="40"/>
  <c r="F344" i="40" s="1"/>
  <c r="E280" i="40"/>
  <c r="F280" i="40" s="1"/>
  <c r="E173" i="40"/>
  <c r="F173" i="40" s="1"/>
  <c r="E767" i="40"/>
  <c r="F767" i="40" s="1"/>
  <c r="E589" i="40"/>
  <c r="F589" i="40" s="1"/>
  <c r="E546" i="40"/>
  <c r="F546" i="40" s="1"/>
  <c r="E503" i="40"/>
  <c r="F503" i="40" s="1"/>
  <c r="E389" i="40"/>
  <c r="F389" i="40" s="1"/>
  <c r="E152" i="40"/>
  <c r="F152" i="40" s="1"/>
  <c r="E323" i="40"/>
  <c r="F323" i="40" s="1"/>
  <c r="E36" i="40"/>
  <c r="F36" i="40" s="1"/>
  <c r="E258" i="40"/>
  <c r="F258" i="40" s="1"/>
  <c r="D66" i="21"/>
  <c r="G66" i="21" s="1"/>
  <c r="D67" i="21"/>
  <c r="G67" i="21" s="1"/>
  <c r="D65" i="21"/>
  <c r="D64" i="21"/>
  <c r="D63" i="21"/>
  <c r="D62" i="21"/>
  <c r="D60" i="21"/>
  <c r="D58" i="21"/>
  <c r="D57" i="21"/>
  <c r="D56" i="21"/>
  <c r="D55" i="21"/>
  <c r="D54" i="21"/>
  <c r="D52" i="21"/>
  <c r="D51" i="21"/>
  <c r="D50" i="21"/>
  <c r="D49" i="21"/>
  <c r="D48" i="21"/>
  <c r="D47" i="21"/>
  <c r="D45" i="21"/>
  <c r="D46" i="21"/>
  <c r="D42" i="21"/>
  <c r="D39" i="21"/>
  <c r="D40" i="21"/>
  <c r="D38" i="21"/>
  <c r="D36" i="21"/>
  <c r="D33" i="21"/>
  <c r="D32" i="21"/>
  <c r="D31" i="21"/>
  <c r="D30" i="21"/>
  <c r="I13" i="21"/>
  <c r="D14" i="21"/>
  <c r="I14" i="21"/>
  <c r="D15" i="21"/>
  <c r="I15" i="21"/>
  <c r="D16" i="21"/>
  <c r="I16" i="21"/>
  <c r="D17" i="21"/>
  <c r="I17" i="21"/>
  <c r="D18" i="21"/>
  <c r="I18" i="21"/>
  <c r="D19" i="21"/>
  <c r="D13" i="21"/>
  <c r="F1042" i="40" l="1"/>
  <c r="F924" i="40"/>
  <c r="F983" i="40"/>
  <c r="F968" i="40"/>
  <c r="O993" i="40"/>
  <c r="P993" i="40" s="1"/>
  <c r="O1037" i="40"/>
  <c r="P1037" i="40" s="1"/>
  <c r="O996" i="40"/>
  <c r="P996" i="40" s="1"/>
  <c r="O1041" i="40"/>
  <c r="P1041" i="40" s="1"/>
  <c r="O994" i="40"/>
  <c r="P994" i="40" s="1"/>
  <c r="O1038" i="40"/>
  <c r="P1038" i="40" s="1"/>
  <c r="F953" i="40"/>
  <c r="F108" i="40"/>
  <c r="P103" i="40" s="1"/>
  <c r="P108" i="40" s="1"/>
  <c r="F939" i="40"/>
  <c r="O963" i="40"/>
  <c r="P963" i="40" s="1"/>
  <c r="P968" i="40" s="1"/>
  <c r="O978" i="40"/>
  <c r="P978" i="40" s="1"/>
  <c r="P983" i="40" s="1"/>
  <c r="F997" i="40"/>
  <c r="F122" i="40"/>
  <c r="F91" i="40"/>
  <c r="F74" i="40"/>
  <c r="F879" i="40"/>
  <c r="G880" i="40" s="1"/>
  <c r="G881" i="40" s="1"/>
  <c r="G882" i="40" s="1"/>
  <c r="G883" i="40" s="1"/>
  <c r="G884" i="40" s="1"/>
  <c r="F45" i="18" s="1"/>
  <c r="F892" i="40"/>
  <c r="F866" i="40"/>
  <c r="F852" i="40"/>
  <c r="F836" i="40"/>
  <c r="F807" i="40"/>
  <c r="F787" i="40"/>
  <c r="F821" i="40"/>
  <c r="F797" i="40"/>
  <c r="F330" i="40"/>
  <c r="F531" i="40"/>
  <c r="F223" i="40"/>
  <c r="F180" i="40"/>
  <c r="F575" i="40"/>
  <c r="F203" i="40"/>
  <c r="F684" i="40"/>
  <c r="F266" i="40"/>
  <c r="F397" i="40"/>
  <c r="F287" i="40"/>
  <c r="F510" i="40"/>
  <c r="F488" i="40"/>
  <c r="F244" i="40"/>
  <c r="F596" i="40"/>
  <c r="O16" i="40"/>
  <c r="P16" i="40" s="1"/>
  <c r="P20" i="40" s="1"/>
  <c r="O34" i="40"/>
  <c r="P34" i="40" s="1"/>
  <c r="P38" i="40" s="1"/>
  <c r="O744" i="40"/>
  <c r="P744" i="40" s="1"/>
  <c r="P752" i="40" s="1"/>
  <c r="O722" i="40"/>
  <c r="P722" i="40" s="1"/>
  <c r="P730" i="40" s="1"/>
  <c r="O699" i="40"/>
  <c r="P699" i="40" s="1"/>
  <c r="P707" i="40" s="1"/>
  <c r="O654" i="40"/>
  <c r="P654" i="40" s="1"/>
  <c r="P662" i="40" s="1"/>
  <c r="O610" i="40"/>
  <c r="P610" i="40" s="1"/>
  <c r="P618" i="40" s="1"/>
  <c r="O523" i="40"/>
  <c r="P523" i="40" s="1"/>
  <c r="P531" i="40" s="1"/>
  <c r="O236" i="40"/>
  <c r="P236" i="40" s="1"/>
  <c r="P244" i="40" s="1"/>
  <c r="O215" i="40"/>
  <c r="P215" i="40" s="1"/>
  <c r="P223" i="40" s="1"/>
  <c r="O172" i="40"/>
  <c r="P172" i="40" s="1"/>
  <c r="P180" i="40" s="1"/>
  <c r="O133" i="40"/>
  <c r="P133" i="40" s="1"/>
  <c r="P139" i="40" s="1"/>
  <c r="O194" i="40"/>
  <c r="P194" i="40" s="1"/>
  <c r="P203" i="40" s="1"/>
  <c r="O502" i="40"/>
  <c r="P502" i="40" s="1"/>
  <c r="P510" i="40" s="1"/>
  <c r="O456" i="40"/>
  <c r="P456" i="40" s="1"/>
  <c r="P465" i="40" s="1"/>
  <c r="O388" i="40"/>
  <c r="P388" i="40" s="1"/>
  <c r="P397" i="40" s="1"/>
  <c r="O365" i="40"/>
  <c r="P365" i="40" s="1"/>
  <c r="P374" i="40" s="1"/>
  <c r="O343" i="40"/>
  <c r="P343" i="40" s="1"/>
  <c r="P351" i="40" s="1"/>
  <c r="O322" i="40"/>
  <c r="P322" i="40" s="1"/>
  <c r="P330" i="40" s="1"/>
  <c r="O279" i="40"/>
  <c r="P279" i="40" s="1"/>
  <c r="P287" i="40" s="1"/>
  <c r="O151" i="40"/>
  <c r="P151" i="40" s="1"/>
  <c r="P159" i="40" s="1"/>
  <c r="O766" i="40"/>
  <c r="P766" i="40" s="1"/>
  <c r="P774" i="40" s="1"/>
  <c r="O588" i="40"/>
  <c r="P588" i="40" s="1"/>
  <c r="P596" i="40" s="1"/>
  <c r="O545" i="40"/>
  <c r="P545" i="40" s="1"/>
  <c r="P553" i="40" s="1"/>
  <c r="O257" i="40"/>
  <c r="P257" i="40" s="1"/>
  <c r="P266" i="40" s="1"/>
  <c r="O676" i="40"/>
  <c r="P676" i="40" s="1"/>
  <c r="P684" i="40" s="1"/>
  <c r="O632" i="40"/>
  <c r="P632" i="40" s="1"/>
  <c r="P640" i="40" s="1"/>
  <c r="O567" i="40"/>
  <c r="P567" i="40" s="1"/>
  <c r="P575" i="40" s="1"/>
  <c r="O479" i="40"/>
  <c r="P479" i="40" s="1"/>
  <c r="P488" i="40" s="1"/>
  <c r="O434" i="40"/>
  <c r="P434" i="40" s="1"/>
  <c r="P443" i="40" s="1"/>
  <c r="O411" i="40"/>
  <c r="P411" i="40" s="1"/>
  <c r="P420" i="40" s="1"/>
  <c r="O300" i="40"/>
  <c r="P300" i="40" s="1"/>
  <c r="P308" i="40" s="1"/>
  <c r="F159" i="40"/>
  <c r="F139" i="40"/>
  <c r="F465" i="40"/>
  <c r="F730" i="40"/>
  <c r="F752" i="40"/>
  <c r="F443" i="40"/>
  <c r="F640" i="40"/>
  <c r="F553" i="40"/>
  <c r="F351" i="40"/>
  <c r="F20" i="40"/>
  <c r="F774" i="40"/>
  <c r="F374" i="40"/>
  <c r="F662" i="40"/>
  <c r="F707" i="40"/>
  <c r="F38" i="40"/>
  <c r="F308" i="40"/>
  <c r="F618" i="40"/>
  <c r="F420" i="40"/>
  <c r="L20" i="33"/>
  <c r="J18" i="33"/>
  <c r="H25" i="33"/>
  <c r="H18" i="33"/>
  <c r="H20" i="33" s="1"/>
  <c r="P129" i="33"/>
  <c r="H129" i="33"/>
  <c r="I129" i="33" s="1"/>
  <c r="P105" i="33"/>
  <c r="M17" i="33"/>
  <c r="M18" i="33" s="1"/>
  <c r="M19" i="33" s="1"/>
  <c r="M20" i="33" s="1"/>
  <c r="M21" i="33" s="1"/>
  <c r="M22" i="33" s="1"/>
  <c r="M23" i="33" s="1"/>
  <c r="M24" i="33" s="1"/>
  <c r="M25" i="33" s="1"/>
  <c r="M26" i="33" s="1"/>
  <c r="M27" i="33" s="1"/>
  <c r="K17" i="33"/>
  <c r="K18" i="33" s="1"/>
  <c r="K19" i="33" s="1"/>
  <c r="K20" i="33" s="1"/>
  <c r="K21" i="33" s="1"/>
  <c r="K22" i="33" s="1"/>
  <c r="K23" i="33" s="1"/>
  <c r="K24" i="33" s="1"/>
  <c r="K25" i="33" s="1"/>
  <c r="K26" i="33" s="1"/>
  <c r="K27" i="33" s="1"/>
  <c r="I17" i="33"/>
  <c r="I18" i="33" s="1"/>
  <c r="I19" i="33" s="1"/>
  <c r="I20" i="33" s="1"/>
  <c r="I21" i="33" s="1"/>
  <c r="I22" i="33" s="1"/>
  <c r="I23" i="33" s="1"/>
  <c r="I24" i="33" s="1"/>
  <c r="I25" i="33" s="1"/>
  <c r="I26" i="33" s="1"/>
  <c r="D35" i="21"/>
  <c r="P42" i="33"/>
  <c r="D42" i="33"/>
  <c r="E42" i="33" s="1"/>
  <c r="P997" i="40" l="1"/>
  <c r="P1042" i="40"/>
  <c r="I27" i="33"/>
  <c r="D34" i="21"/>
  <c r="H26" i="33"/>
  <c r="P25" i="33"/>
  <c r="J26" i="33"/>
  <c r="L18" i="33"/>
  <c r="H27" i="33" l="1"/>
  <c r="L27" i="33" l="1"/>
  <c r="L26" i="33"/>
  <c r="P26" i="33" l="1"/>
  <c r="N26" i="33"/>
  <c r="H111" i="33"/>
  <c r="I111" i="33" s="1"/>
  <c r="H117" i="33"/>
  <c r="I117" i="33" s="1"/>
  <c r="H123" i="33"/>
  <c r="I123" i="33" s="1"/>
  <c r="J27" i="33" l="1"/>
  <c r="P16" i="33"/>
  <c r="P17" i="33"/>
  <c r="O48" i="33" s="1"/>
  <c r="N16" i="33"/>
  <c r="K36" i="33" l="1"/>
  <c r="K42" i="33"/>
  <c r="O42" i="33"/>
  <c r="Q42" i="33" s="1"/>
  <c r="O36" i="33"/>
  <c r="A36" i="33"/>
  <c r="P18" i="33"/>
  <c r="O54" i="33" s="1"/>
  <c r="N17" i="33"/>
  <c r="K48" i="33" s="1"/>
  <c r="N18" i="33"/>
  <c r="K54" i="33" s="1"/>
  <c r="A48" i="33" l="1"/>
  <c r="A54" i="33"/>
  <c r="P19" i="33"/>
  <c r="O60" i="33" s="1"/>
  <c r="N19" i="33"/>
  <c r="P20" i="33" l="1"/>
  <c r="O66" i="33" s="1"/>
  <c r="N20" i="33"/>
  <c r="A60" i="33" l="1"/>
  <c r="K66" i="33"/>
  <c r="A66" i="33"/>
  <c r="K60" i="33"/>
  <c r="P21" i="33"/>
  <c r="O72" i="33" s="1"/>
  <c r="N21" i="33"/>
  <c r="N23" i="33" l="1"/>
  <c r="K85" i="33" s="1"/>
  <c r="P23" i="33"/>
  <c r="O85" i="33" s="1"/>
  <c r="K72" i="33"/>
  <c r="A72" i="33"/>
  <c r="P22" i="33"/>
  <c r="N22" i="33"/>
  <c r="O78" i="33" l="1"/>
  <c r="O92" i="33"/>
  <c r="K92" i="33"/>
  <c r="A42" i="33"/>
  <c r="A78" i="33"/>
  <c r="K78" i="33"/>
  <c r="P24" i="33"/>
  <c r="N24" i="33"/>
  <c r="A123" i="33" s="1"/>
  <c r="A117" i="33" s="1"/>
  <c r="A111" i="33" s="1"/>
  <c r="A92" i="33" l="1"/>
  <c r="K117" i="33"/>
  <c r="K111" i="33"/>
  <c r="K123" i="33"/>
  <c r="O129" i="33"/>
  <c r="Q129" i="33" s="1"/>
  <c r="N25" i="33"/>
  <c r="K129" i="33" l="1"/>
  <c r="M129" i="33" s="1"/>
  <c r="A129" i="33"/>
  <c r="O123" i="33"/>
  <c r="O117" i="33"/>
  <c r="O111" i="33"/>
  <c r="N27" i="33"/>
  <c r="P27" i="33"/>
  <c r="O99" i="33" s="1"/>
  <c r="O105" i="33"/>
  <c r="Q105" i="33" s="1"/>
  <c r="A105" i="33" l="1"/>
  <c r="K105" i="33"/>
  <c r="M105" i="33" s="1"/>
  <c r="K99" i="33"/>
  <c r="A99" i="33"/>
  <c r="A45" i="21"/>
  <c r="A46" i="21" s="1"/>
  <c r="B28" i="21"/>
  <c r="A47" i="21" l="1"/>
  <c r="A48" i="21" s="1"/>
  <c r="A49" i="21" s="1"/>
  <c r="A50" i="21" s="1"/>
  <c r="A51" i="21" s="1"/>
  <c r="A52" i="21" s="1"/>
  <c r="G64" i="21"/>
  <c r="J904" i="40" s="1"/>
  <c r="K904" i="40" s="1"/>
  <c r="K905" i="40" s="1"/>
  <c r="G906" i="40" s="1"/>
  <c r="G62" i="21"/>
  <c r="G893" i="40"/>
  <c r="G58" i="21"/>
  <c r="G57" i="21"/>
  <c r="G56" i="21"/>
  <c r="G55" i="21"/>
  <c r="J120" i="40" s="1"/>
  <c r="K120" i="40" s="1"/>
  <c r="K122" i="40" s="1"/>
  <c r="G123" i="40" s="1"/>
  <c r="G124" i="40" s="1"/>
  <c r="G125" i="40" s="1"/>
  <c r="G126" i="40" s="1"/>
  <c r="G127" i="40" s="1"/>
  <c r="F35" i="18" s="1"/>
  <c r="G56" i="56" s="1"/>
  <c r="H56" i="56" s="1"/>
  <c r="G52" i="21"/>
  <c r="G51" i="21"/>
  <c r="G46" i="21"/>
  <c r="G45" i="21"/>
  <c r="J1074" i="40" s="1"/>
  <c r="K1074" i="40" s="1"/>
  <c r="F75" i="56"/>
  <c r="F70" i="56"/>
  <c r="F73" i="56" s="1"/>
  <c r="F74" i="56" s="1"/>
  <c r="A51" i="18"/>
  <c r="A52" i="18" s="1"/>
  <c r="A53" i="18" s="1"/>
  <c r="A54" i="18" s="1"/>
  <c r="A35" i="56"/>
  <c r="D31" i="56"/>
  <c r="N9" i="54"/>
  <c r="R6" i="70"/>
  <c r="R8" i="70" s="1"/>
  <c r="R55" i="70" s="1"/>
  <c r="R44" i="70"/>
  <c r="R45" i="70" s="1"/>
  <c r="R36" i="70"/>
  <c r="R26" i="70"/>
  <c r="R32" i="70" s="1"/>
  <c r="R25" i="70"/>
  <c r="R21" i="70"/>
  <c r="R20" i="70"/>
  <c r="R17" i="70"/>
  <c r="R16" i="70"/>
  <c r="R15" i="70"/>
  <c r="R12" i="70"/>
  <c r="H157" i="54"/>
  <c r="G36" i="56" l="1"/>
  <c r="G907" i="40"/>
  <c r="G908" i="40" s="1"/>
  <c r="G894" i="40"/>
  <c r="G895" i="40" s="1"/>
  <c r="G896" i="40" s="1"/>
  <c r="G897" i="40" s="1"/>
  <c r="J865" i="40"/>
  <c r="K865" i="40" s="1"/>
  <c r="J863" i="40"/>
  <c r="K863" i="40" s="1"/>
  <c r="J864" i="40"/>
  <c r="K864" i="40" s="1"/>
  <c r="J819" i="40"/>
  <c r="K819" i="40" s="1"/>
  <c r="J850" i="40"/>
  <c r="K850" i="40" s="1"/>
  <c r="J834" i="40"/>
  <c r="K834" i="40" s="1"/>
  <c r="J820" i="40"/>
  <c r="K820" i="40" s="1"/>
  <c r="J851" i="40"/>
  <c r="K851" i="40" s="1"/>
  <c r="J835" i="40"/>
  <c r="K835" i="40" s="1"/>
  <c r="J818" i="40"/>
  <c r="K818" i="40" s="1"/>
  <c r="J849" i="40"/>
  <c r="K849" i="40" s="1"/>
  <c r="J833" i="40"/>
  <c r="K833" i="40" s="1"/>
  <c r="J660" i="40"/>
  <c r="K660" i="40" s="1"/>
  <c r="J594" i="40"/>
  <c r="K594" i="40" s="1"/>
  <c r="J573" i="40"/>
  <c r="K573" i="40" s="1"/>
  <c r="J372" i="40"/>
  <c r="K372" i="40" s="1"/>
  <c r="J18" i="40"/>
  <c r="K18" i="40" s="1"/>
  <c r="K20" i="40" s="1"/>
  <c r="G21" i="40" s="1"/>
  <c r="J529" i="40"/>
  <c r="K529" i="40" s="1"/>
  <c r="J395" i="40"/>
  <c r="K395" i="40" s="1"/>
  <c r="J221" i="40"/>
  <c r="K221" i="40" s="1"/>
  <c r="J157" i="40"/>
  <c r="K157" i="40" s="1"/>
  <c r="J36" i="40"/>
  <c r="K36" i="40" s="1"/>
  <c r="K38" i="40" s="1"/>
  <c r="G39" i="40" s="1"/>
  <c r="J772" i="40"/>
  <c r="K772" i="40" s="1"/>
  <c r="J705" i="40"/>
  <c r="K705" i="40" s="1"/>
  <c r="J682" i="40"/>
  <c r="K682" i="40" s="1"/>
  <c r="J638" i="40"/>
  <c r="K638" i="40" s="1"/>
  <c r="J616" i="40"/>
  <c r="K616" i="40" s="1"/>
  <c r="J551" i="40"/>
  <c r="K551" i="40" s="1"/>
  <c r="J508" i="40"/>
  <c r="K508" i="40" s="1"/>
  <c r="J486" i="40"/>
  <c r="K486" i="40" s="1"/>
  <c r="J463" i="40"/>
  <c r="K463" i="40" s="1"/>
  <c r="J418" i="40"/>
  <c r="K418" i="40" s="1"/>
  <c r="J306" i="40"/>
  <c r="K306" i="40" s="1"/>
  <c r="J285" i="40"/>
  <c r="K285" i="40" s="1"/>
  <c r="J264" i="40"/>
  <c r="K264" i="40" s="1"/>
  <c r="J201" i="40"/>
  <c r="K201" i="40" s="1"/>
  <c r="J178" i="40"/>
  <c r="K178" i="40" s="1"/>
  <c r="J750" i="40"/>
  <c r="K750" i="40" s="1"/>
  <c r="J728" i="40"/>
  <c r="K728" i="40" s="1"/>
  <c r="J441" i="40"/>
  <c r="K441" i="40" s="1"/>
  <c r="J349" i="40"/>
  <c r="K349" i="40" s="1"/>
  <c r="J328" i="40"/>
  <c r="K328" i="40" s="1"/>
  <c r="J242" i="40"/>
  <c r="K242" i="40" s="1"/>
  <c r="J137" i="40"/>
  <c r="K137" i="40" s="1"/>
  <c r="J771" i="40"/>
  <c r="K771" i="40" s="1"/>
  <c r="J528" i="40"/>
  <c r="K528" i="40" s="1"/>
  <c r="J507" i="40"/>
  <c r="K507" i="40" s="1"/>
  <c r="J417" i="40"/>
  <c r="K417" i="40" s="1"/>
  <c r="J394" i="40"/>
  <c r="K394" i="40" s="1"/>
  <c r="J220" i="40"/>
  <c r="K220" i="40" s="1"/>
  <c r="J156" i="40"/>
  <c r="K156" i="40" s="1"/>
  <c r="J749" i="40"/>
  <c r="K749" i="40" s="1"/>
  <c r="J704" i="40"/>
  <c r="K704" i="40" s="1"/>
  <c r="J681" i="40"/>
  <c r="K681" i="40" s="1"/>
  <c r="J637" i="40"/>
  <c r="K637" i="40" s="1"/>
  <c r="J615" i="40"/>
  <c r="K615" i="40" s="1"/>
  <c r="J550" i="40"/>
  <c r="K550" i="40" s="1"/>
  <c r="J485" i="40"/>
  <c r="K485" i="40" s="1"/>
  <c r="J462" i="40"/>
  <c r="K462" i="40" s="1"/>
  <c r="J305" i="40"/>
  <c r="K305" i="40" s="1"/>
  <c r="J284" i="40"/>
  <c r="K284" i="40" s="1"/>
  <c r="J263" i="40"/>
  <c r="K263" i="40" s="1"/>
  <c r="J241" i="40"/>
  <c r="K241" i="40" s="1"/>
  <c r="J200" i="40"/>
  <c r="K200" i="40" s="1"/>
  <c r="J177" i="40"/>
  <c r="K177" i="40" s="1"/>
  <c r="J727" i="40"/>
  <c r="K727" i="40" s="1"/>
  <c r="J659" i="40"/>
  <c r="K659" i="40" s="1"/>
  <c r="J593" i="40"/>
  <c r="K593" i="40" s="1"/>
  <c r="J440" i="40"/>
  <c r="K440" i="40" s="1"/>
  <c r="J348" i="40"/>
  <c r="K348" i="40" s="1"/>
  <c r="J327" i="40"/>
  <c r="K327" i="40" s="1"/>
  <c r="J572" i="40"/>
  <c r="K572" i="40" s="1"/>
  <c r="J371" i="40"/>
  <c r="K371" i="40" s="1"/>
  <c r="J136" i="40"/>
  <c r="K136" i="40" s="1"/>
  <c r="A53" i="21"/>
  <c r="L42" i="33"/>
  <c r="M42" i="33" s="1"/>
  <c r="R42" i="33" s="1"/>
  <c r="F71" i="56"/>
  <c r="G909" i="40" l="1"/>
  <c r="G910" i="40" s="1"/>
  <c r="G911" i="40" s="1"/>
  <c r="F46" i="18" s="1"/>
  <c r="K866" i="40"/>
  <c r="G867" i="40" s="1"/>
  <c r="G869" i="40" s="1"/>
  <c r="K852" i="40"/>
  <c r="G853" i="40" s="1"/>
  <c r="K821" i="40"/>
  <c r="G822" i="40" s="1"/>
  <c r="G823" i="40" s="1"/>
  <c r="G824" i="40" s="1"/>
  <c r="G825" i="40" s="1"/>
  <c r="F23" i="18" s="1"/>
  <c r="G27" i="56" s="1"/>
  <c r="K836" i="40"/>
  <c r="G837" i="40" s="1"/>
  <c r="G838" i="40" s="1"/>
  <c r="G839" i="40" s="1"/>
  <c r="G840" i="40" s="1"/>
  <c r="F30" i="18" s="1"/>
  <c r="G41" i="40"/>
  <c r="G40" i="40"/>
  <c r="G23" i="40"/>
  <c r="G22" i="40"/>
  <c r="J1055" i="40" s="1"/>
  <c r="K1055" i="40" s="1"/>
  <c r="A55" i="21"/>
  <c r="A56" i="21" s="1"/>
  <c r="A57" i="21" s="1"/>
  <c r="A58" i="21" s="1"/>
  <c r="A59" i="21" s="1"/>
  <c r="F152" i="54"/>
  <c r="G854" i="40" l="1"/>
  <c r="G855" i="40" s="1"/>
  <c r="G856" i="40" s="1"/>
  <c r="F42" i="18" s="1"/>
  <c r="G41" i="56" s="1"/>
  <c r="G33" i="56"/>
  <c r="G44" i="56"/>
  <c r="G868" i="40"/>
  <c r="G870" i="40" s="1"/>
  <c r="G871" i="40" s="1"/>
  <c r="F44" i="18" s="1"/>
  <c r="G42" i="40"/>
  <c r="G43" i="40" s="1"/>
  <c r="G44" i="40" s="1"/>
  <c r="F15" i="18" s="1"/>
  <c r="G21" i="56" s="1"/>
  <c r="G24" i="40"/>
  <c r="G25" i="40" s="1"/>
  <c r="G26" i="40" s="1"/>
  <c r="F14" i="18" s="1"/>
  <c r="F144" i="54"/>
  <c r="G42" i="56" l="1"/>
  <c r="G50" i="56"/>
  <c r="G59" i="56"/>
  <c r="E130" i="54" l="1"/>
  <c r="D122" i="54"/>
  <c r="D123" i="54"/>
  <c r="D124" i="54"/>
  <c r="D125" i="54"/>
  <c r="D126" i="54"/>
  <c r="D127" i="54"/>
  <c r="D128" i="54"/>
  <c r="D129" i="54"/>
  <c r="D130" i="54"/>
  <c r="D131" i="54"/>
  <c r="D132" i="54"/>
  <c r="D121" i="54"/>
  <c r="F118" i="54"/>
  <c r="F132" i="54" s="1"/>
  <c r="E88" i="54"/>
  <c r="F126" i="54" l="1"/>
  <c r="H116" i="54"/>
  <c r="H130" i="54" s="1"/>
  <c r="D30" i="56"/>
  <c r="D38" i="54"/>
  <c r="D44" i="54" s="1"/>
  <c r="D37" i="54"/>
  <c r="D43" i="54" s="1"/>
  <c r="H152" i="54"/>
  <c r="H153" i="54" s="1"/>
  <c r="H127" i="54" l="1"/>
  <c r="H126" i="54"/>
  <c r="D57" i="54"/>
  <c r="D48" i="54"/>
  <c r="D53" i="54"/>
  <c r="D49" i="54"/>
  <c r="D54" i="54"/>
  <c r="D58" i="54"/>
  <c r="A5" i="74" l="1"/>
  <c r="A4" i="74"/>
  <c r="A3" i="74"/>
  <c r="G40" i="54" l="1"/>
  <c r="C33" i="73"/>
  <c r="AC103" i="54" s="1"/>
  <c r="F170" i="54" l="1"/>
  <c r="I170" i="54" s="1"/>
  <c r="H206" i="54"/>
  <c r="I206" i="54" s="1"/>
  <c r="F173" i="54"/>
  <c r="E172" i="54" s="1"/>
  <c r="F169" i="54"/>
  <c r="I169" i="54" s="1"/>
  <c r="F201" i="54"/>
  <c r="A2" i="74"/>
  <c r="C36" i="73"/>
  <c r="H37" i="54"/>
  <c r="H124" i="54"/>
  <c r="F171" i="54" l="1"/>
  <c r="I171" i="54" s="1"/>
  <c r="I172" i="54"/>
  <c r="F203" i="54"/>
  <c r="G174" i="54"/>
  <c r="G189" i="54" s="1"/>
  <c r="G162" i="54"/>
  <c r="G173" i="54" s="1"/>
  <c r="F107" i="54"/>
  <c r="F113" i="54" s="1"/>
  <c r="F111" i="54"/>
  <c r="F125" i="54" s="1"/>
  <c r="F110" i="54"/>
  <c r="F124" i="54" s="1"/>
  <c r="F65" i="54"/>
  <c r="F74" i="54" s="1"/>
  <c r="F40" i="54"/>
  <c r="D66" i="56"/>
  <c r="G144" i="54" l="1"/>
  <c r="G78" i="54" l="1"/>
  <c r="H44" i="54" l="1"/>
  <c r="H58" i="54" s="1"/>
  <c r="H8" i="56" l="1"/>
  <c r="N10" i="54"/>
  <c r="A2" i="33"/>
  <c r="A3" i="33"/>
  <c r="A4" i="33"/>
  <c r="A5" i="33"/>
  <c r="A2" i="40"/>
  <c r="A3" i="40"/>
  <c r="A4" i="40"/>
  <c r="A5" i="40"/>
  <c r="A2" i="18"/>
  <c r="A3" i="18"/>
  <c r="A4" i="18"/>
  <c r="A5" i="18"/>
  <c r="A2" i="21"/>
  <c r="A3" i="21"/>
  <c r="A4" i="21"/>
  <c r="A5" i="21"/>
  <c r="A2" i="54"/>
  <c r="A3" i="54"/>
  <c r="A4" i="54"/>
  <c r="A5" i="54"/>
  <c r="A9" i="54"/>
  <c r="A8" i="76" s="1"/>
  <c r="A2" i="56"/>
  <c r="A3" i="56"/>
  <c r="A4" i="56"/>
  <c r="A5" i="56"/>
  <c r="A2" i="39"/>
  <c r="A3" i="39"/>
  <c r="A4" i="39"/>
  <c r="A5" i="39"/>
  <c r="I203" i="54" l="1"/>
  <c r="I204" i="54" s="1"/>
  <c r="F45" i="56" s="1"/>
  <c r="I180" i="54"/>
  <c r="H9" i="56"/>
  <c r="H8" i="76" s="1"/>
  <c r="I177" i="54"/>
  <c r="I173" i="54"/>
  <c r="I167" i="54"/>
  <c r="I162" i="54"/>
  <c r="I174" i="54"/>
  <c r="I181" i="54"/>
  <c r="I166" i="54"/>
  <c r="I201" i="54"/>
  <c r="F44" i="56" s="1"/>
  <c r="I179" i="54"/>
  <c r="I165" i="54"/>
  <c r="I199" i="54"/>
  <c r="I200" i="54" s="1"/>
  <c r="F43" i="56" s="1"/>
  <c r="I178" i="54"/>
  <c r="I163" i="54"/>
  <c r="E32" i="54"/>
  <c r="E31" i="54"/>
  <c r="F49" i="54"/>
  <c r="F98" i="54"/>
  <c r="I214" i="54"/>
  <c r="F51" i="56" s="1"/>
  <c r="D55" i="56"/>
  <c r="I220" i="54"/>
  <c r="F50" i="56"/>
  <c r="I221" i="54"/>
  <c r="F59" i="56"/>
  <c r="D62" i="56"/>
  <c r="D60" i="56"/>
  <c r="D59" i="56"/>
  <c r="F62" i="56"/>
  <c r="A227" i="54"/>
  <c r="A232" i="54" s="1"/>
  <c r="F97" i="54"/>
  <c r="A36" i="56"/>
  <c r="O25" i="70"/>
  <c r="O17" i="70"/>
  <c r="O12" i="70"/>
  <c r="N25" i="70"/>
  <c r="N17" i="70"/>
  <c r="N12" i="70"/>
  <c r="E27" i="70"/>
  <c r="G153" i="54"/>
  <c r="E152" i="54"/>
  <c r="E156" i="54" s="1"/>
  <c r="E157" i="54" s="1"/>
  <c r="E144" i="54"/>
  <c r="I207" i="54" s="1"/>
  <c r="F46" i="56" s="1"/>
  <c r="I23" i="54"/>
  <c r="F38" i="54"/>
  <c r="F44" i="54" s="1"/>
  <c r="A9" i="56"/>
  <c r="A8" i="79" s="1"/>
  <c r="D23" i="56"/>
  <c r="D35" i="56"/>
  <c r="D34" i="56"/>
  <c r="P12" i="70"/>
  <c r="P44" i="70"/>
  <c r="P45" i="70" s="1"/>
  <c r="O44" i="70"/>
  <c r="O45" i="70" s="1"/>
  <c r="N44" i="70"/>
  <c r="N45" i="70" s="1"/>
  <c r="G40" i="70"/>
  <c r="F40" i="70"/>
  <c r="E40" i="70"/>
  <c r="P36" i="70"/>
  <c r="O36" i="70"/>
  <c r="N36" i="70"/>
  <c r="G31" i="70"/>
  <c r="F31" i="70"/>
  <c r="E31" i="70"/>
  <c r="P26" i="70"/>
  <c r="P32" i="70" s="1"/>
  <c r="O26" i="70"/>
  <c r="O32" i="70" s="1"/>
  <c r="N26" i="70"/>
  <c r="N32" i="70" s="1"/>
  <c r="G22" i="70"/>
  <c r="F22" i="70"/>
  <c r="E22" i="70"/>
  <c r="P21" i="70"/>
  <c r="O21" i="70"/>
  <c r="N21" i="70"/>
  <c r="P20" i="70"/>
  <c r="O20" i="70"/>
  <c r="N20" i="70"/>
  <c r="P16" i="70"/>
  <c r="O16" i="70"/>
  <c r="N16" i="70"/>
  <c r="G16" i="70"/>
  <c r="F16" i="70"/>
  <c r="E16" i="70"/>
  <c r="P15" i="70"/>
  <c r="O15" i="70"/>
  <c r="N15" i="70"/>
  <c r="P8" i="70"/>
  <c r="P55" i="70" s="1"/>
  <c r="O8" i="70"/>
  <c r="O55" i="70" s="1"/>
  <c r="N8" i="70"/>
  <c r="N55" i="70" s="1"/>
  <c r="G8" i="70"/>
  <c r="G12" i="70" s="1"/>
  <c r="F8" i="70"/>
  <c r="F12" i="70" s="1"/>
  <c r="E8" i="70"/>
  <c r="E12" i="70" s="1"/>
  <c r="K7" i="70"/>
  <c r="K8" i="70" s="1"/>
  <c r="K9" i="70" s="1"/>
  <c r="K10" i="70" s="1"/>
  <c r="K11" i="70" s="1"/>
  <c r="K12" i="70" s="1"/>
  <c r="K13" i="70" s="1"/>
  <c r="K14" i="70" s="1"/>
  <c r="K15" i="70" s="1"/>
  <c r="K16" i="70" s="1"/>
  <c r="K17" i="70" s="1"/>
  <c r="K18" i="70" s="1"/>
  <c r="K19" i="70" s="1"/>
  <c r="K20" i="70" s="1"/>
  <c r="K21" i="70" s="1"/>
  <c r="K22" i="70" s="1"/>
  <c r="K23" i="70" s="1"/>
  <c r="K24" i="70" s="1"/>
  <c r="K25" i="70" s="1"/>
  <c r="K26" i="70" s="1"/>
  <c r="K27" i="70" s="1"/>
  <c r="K28" i="70" s="1"/>
  <c r="K29" i="70" s="1"/>
  <c r="K30" i="70" s="1"/>
  <c r="K31" i="70" s="1"/>
  <c r="K32" i="70" s="1"/>
  <c r="K33" i="70" s="1"/>
  <c r="K34" i="70" s="1"/>
  <c r="K35" i="70" s="1"/>
  <c r="K36" i="70" s="1"/>
  <c r="K37" i="70" s="1"/>
  <c r="K38" i="70" s="1"/>
  <c r="K39" i="70" s="1"/>
  <c r="K40" i="70" s="1"/>
  <c r="K41" i="70" s="1"/>
  <c r="K42" i="70" s="1"/>
  <c r="K43" i="70" s="1"/>
  <c r="K44" i="70" s="1"/>
  <c r="K45" i="70" s="1"/>
  <c r="K46" i="70" s="1"/>
  <c r="K47" i="70" s="1"/>
  <c r="K48" i="70" s="1"/>
  <c r="K49" i="70" s="1"/>
  <c r="K50" i="70" s="1"/>
  <c r="K51" i="70" s="1"/>
  <c r="K52" i="70" s="1"/>
  <c r="K53" i="70" s="1"/>
  <c r="K54" i="70" s="1"/>
  <c r="K55" i="70" s="1"/>
  <c r="K56" i="70" s="1"/>
  <c r="K57" i="70" s="1"/>
  <c r="K58" i="70" s="1"/>
  <c r="K59" i="70" s="1"/>
  <c r="K60" i="70" s="1"/>
  <c r="B7" i="70"/>
  <c r="F156" i="54"/>
  <c r="H118" i="54"/>
  <c r="H132" i="54" s="1"/>
  <c r="F115" i="54"/>
  <c r="F99" i="54"/>
  <c r="I88" i="54"/>
  <c r="I90" i="54" s="1"/>
  <c r="F31" i="56" s="1"/>
  <c r="F68" i="54"/>
  <c r="F77" i="54" s="1"/>
  <c r="F71" i="54"/>
  <c r="F80" i="54" s="1"/>
  <c r="F78" i="54"/>
  <c r="H107" i="54"/>
  <c r="H121" i="54" s="1"/>
  <c r="F109" i="54"/>
  <c r="F123" i="54" s="1"/>
  <c r="H32" i="54"/>
  <c r="H57" i="54"/>
  <c r="H38" i="54"/>
  <c r="H39" i="54" s="1"/>
  <c r="G31" i="54"/>
  <c r="F31" i="54"/>
  <c r="E38" i="54"/>
  <c r="E44" i="54" s="1"/>
  <c r="E49" i="54" s="1"/>
  <c r="I234" i="54"/>
  <c r="G71" i="54"/>
  <c r="G80" i="54" s="1"/>
  <c r="F70" i="54"/>
  <c r="F79" i="54" s="1"/>
  <c r="A214" i="54"/>
  <c r="A215" i="54" s="1"/>
  <c r="A216" i="54" s="1"/>
  <c r="A217" i="54" s="1"/>
  <c r="A218" i="54" s="1"/>
  <c r="A9" i="18"/>
  <c r="A52" i="54"/>
  <c r="G75" i="56"/>
  <c r="H75" i="56" s="1"/>
  <c r="G74" i="56"/>
  <c r="H74" i="56" s="1"/>
  <c r="G73" i="56"/>
  <c r="H73" i="56" s="1"/>
  <c r="G71" i="56"/>
  <c r="H71" i="56" s="1"/>
  <c r="G70" i="56"/>
  <c r="H70" i="56" s="1"/>
  <c r="I13" i="54"/>
  <c r="I14" i="54"/>
  <c r="I16" i="54"/>
  <c r="I17" i="54"/>
  <c r="I12" i="54"/>
  <c r="A87" i="54"/>
  <c r="A91" i="54" s="1"/>
  <c r="D46" i="18"/>
  <c r="D36" i="33"/>
  <c r="E36" i="33" s="1"/>
  <c r="P36" i="33"/>
  <c r="D48" i="33"/>
  <c r="E48" i="33" s="1"/>
  <c r="P48" i="33"/>
  <c r="Q48" i="33" s="1"/>
  <c r="P54" i="33"/>
  <c r="P60" i="33"/>
  <c r="P66" i="33"/>
  <c r="P72" i="33"/>
  <c r="P78" i="33"/>
  <c r="P92" i="33"/>
  <c r="P99" i="33"/>
  <c r="P111" i="33"/>
  <c r="P117" i="33"/>
  <c r="P123" i="33"/>
  <c r="D85" i="33"/>
  <c r="E85" i="33" s="1"/>
  <c r="P85" i="33"/>
  <c r="F8" i="23"/>
  <c r="G8" i="23"/>
  <c r="H8" i="23"/>
  <c r="M8" i="23"/>
  <c r="N8" i="23"/>
  <c r="F12" i="23"/>
  <c r="L12" i="23"/>
  <c r="I19" i="23"/>
  <c r="I29" i="23" s="1"/>
  <c r="J19" i="23"/>
  <c r="J25" i="23" s="1"/>
  <c r="K19" i="23"/>
  <c r="K28" i="23" s="1"/>
  <c r="L19" i="23"/>
  <c r="L29" i="23" s="1"/>
  <c r="C24" i="23"/>
  <c r="D24" i="23"/>
  <c r="E24" i="23"/>
  <c r="F24" i="23"/>
  <c r="G24" i="23"/>
  <c r="H24" i="23"/>
  <c r="I24" i="23"/>
  <c r="J24" i="23"/>
  <c r="K24" i="23"/>
  <c r="L24" i="23"/>
  <c r="M24" i="23"/>
  <c r="N24" i="23"/>
  <c r="C25" i="23"/>
  <c r="C26" i="23" s="1"/>
  <c r="C27" i="23" s="1"/>
  <c r="D25" i="23"/>
  <c r="E25" i="23"/>
  <c r="F25" i="23"/>
  <c r="G25" i="23"/>
  <c r="H25" i="23"/>
  <c r="M25" i="23"/>
  <c r="N25" i="23"/>
  <c r="C28" i="23"/>
  <c r="D28" i="23"/>
  <c r="E28" i="23"/>
  <c r="F28" i="23"/>
  <c r="G28" i="23"/>
  <c r="H28" i="23"/>
  <c r="M28" i="23"/>
  <c r="N28" i="23"/>
  <c r="C29" i="23"/>
  <c r="C50" i="23" s="1"/>
  <c r="D29" i="23"/>
  <c r="D49" i="23" s="1"/>
  <c r="E29" i="23"/>
  <c r="E50" i="23" s="1"/>
  <c r="F29" i="23"/>
  <c r="F50" i="23" s="1"/>
  <c r="G29" i="23"/>
  <c r="G49" i="23" s="1"/>
  <c r="H29" i="23"/>
  <c r="H49" i="23" s="1"/>
  <c r="M29" i="23"/>
  <c r="M50" i="23" s="1"/>
  <c r="N29" i="23"/>
  <c r="N49" i="23" s="1"/>
  <c r="C30" i="23"/>
  <c r="D30" i="23"/>
  <c r="E30" i="23"/>
  <c r="F30" i="23"/>
  <c r="G30" i="23"/>
  <c r="H30" i="23"/>
  <c r="I30" i="23"/>
  <c r="J30" i="23"/>
  <c r="K30" i="23"/>
  <c r="L30" i="23"/>
  <c r="M30" i="23"/>
  <c r="N30" i="23"/>
  <c r="C33" i="23"/>
  <c r="D33" i="23"/>
  <c r="E33" i="23"/>
  <c r="F33" i="23"/>
  <c r="G33" i="23"/>
  <c r="H33" i="23"/>
  <c r="I33" i="23"/>
  <c r="J33" i="23"/>
  <c r="K33" i="23"/>
  <c r="L33" i="23"/>
  <c r="M33" i="23"/>
  <c r="N33" i="23"/>
  <c r="C37" i="23"/>
  <c r="D37" i="23"/>
  <c r="E37" i="23"/>
  <c r="F37" i="23"/>
  <c r="G37" i="23"/>
  <c r="H37" i="23"/>
  <c r="I37" i="23"/>
  <c r="J37" i="23"/>
  <c r="K37" i="23"/>
  <c r="L37" i="23"/>
  <c r="M37" i="23"/>
  <c r="N37" i="23"/>
  <c r="C38" i="23"/>
  <c r="D38" i="23"/>
  <c r="E38" i="23"/>
  <c r="F38" i="23"/>
  <c r="G38" i="23"/>
  <c r="H38" i="23"/>
  <c r="I38" i="23"/>
  <c r="J38" i="23"/>
  <c r="K38" i="23"/>
  <c r="L38" i="23"/>
  <c r="M38" i="23"/>
  <c r="N38" i="23"/>
  <c r="C39" i="23"/>
  <c r="D39" i="23"/>
  <c r="E39" i="23"/>
  <c r="F39" i="23"/>
  <c r="G39" i="23"/>
  <c r="H39" i="23"/>
  <c r="I39" i="23"/>
  <c r="J39" i="23"/>
  <c r="K39" i="23"/>
  <c r="L39" i="23"/>
  <c r="M39" i="23"/>
  <c r="N39" i="23"/>
  <c r="C48" i="23"/>
  <c r="D48" i="23"/>
  <c r="E48" i="23"/>
  <c r="F48" i="23"/>
  <c r="G48" i="23"/>
  <c r="H48" i="23"/>
  <c r="I48" i="23"/>
  <c r="J48" i="23"/>
  <c r="K48" i="23"/>
  <c r="L48" i="23"/>
  <c r="M48" i="23"/>
  <c r="N48" i="23"/>
  <c r="C51" i="23"/>
  <c r="D51" i="23"/>
  <c r="E51" i="23"/>
  <c r="F51" i="23"/>
  <c r="G51" i="23"/>
  <c r="H51" i="23"/>
  <c r="I51" i="23"/>
  <c r="J51" i="23"/>
  <c r="K51" i="23"/>
  <c r="L51" i="23"/>
  <c r="M51" i="23"/>
  <c r="N51" i="23"/>
  <c r="C52" i="23"/>
  <c r="D52" i="23"/>
  <c r="E52" i="23"/>
  <c r="F52" i="23"/>
  <c r="G52" i="23"/>
  <c r="H52" i="23"/>
  <c r="I52" i="23"/>
  <c r="J52" i="23"/>
  <c r="K52" i="23"/>
  <c r="L52" i="23"/>
  <c r="M52" i="23"/>
  <c r="N52" i="23"/>
  <c r="L66" i="33"/>
  <c r="L36" i="33"/>
  <c r="M36" i="33" s="1"/>
  <c r="L85" i="33"/>
  <c r="H111" i="54"/>
  <c r="H125" i="54" s="1"/>
  <c r="G37" i="54"/>
  <c r="G43" i="54" s="1"/>
  <c r="E40" i="54"/>
  <c r="E37" i="54"/>
  <c r="E43" i="54" s="1"/>
  <c r="E48" i="54" s="1"/>
  <c r="F37" i="54"/>
  <c r="A105" i="54" l="1"/>
  <c r="A141" i="54"/>
  <c r="F40" i="23"/>
  <c r="J40" i="23"/>
  <c r="B8" i="70"/>
  <c r="B9" i="70" s="1"/>
  <c r="B10" i="70" s="1"/>
  <c r="B11" i="70" s="1"/>
  <c r="B12" i="70" s="1"/>
  <c r="B13" i="70" s="1"/>
  <c r="B14" i="70" s="1"/>
  <c r="B15" i="70" s="1"/>
  <c r="B16" i="70" s="1"/>
  <c r="B17" i="70" s="1"/>
  <c r="B18" i="70" s="1"/>
  <c r="B19" i="70" s="1"/>
  <c r="B20" i="70" s="1"/>
  <c r="B21" i="70" s="1"/>
  <c r="B22" i="70" s="1"/>
  <c r="B23" i="70" s="1"/>
  <c r="B24" i="70" s="1"/>
  <c r="B25" i="70" s="1"/>
  <c r="F26" i="23"/>
  <c r="F27" i="23" s="1"/>
  <c r="L40" i="23"/>
  <c r="J26" i="23"/>
  <c r="J27" i="23" s="1"/>
  <c r="G50" i="70"/>
  <c r="H26" i="23"/>
  <c r="H27" i="23" s="1"/>
  <c r="I25" i="23"/>
  <c r="I26" i="23" s="1"/>
  <c r="I27" i="23" s="1"/>
  <c r="D50" i="23"/>
  <c r="D55" i="23" s="1"/>
  <c r="D59" i="23" s="1"/>
  <c r="N26" i="23"/>
  <c r="N27" i="23" s="1"/>
  <c r="L25" i="23"/>
  <c r="L26" i="23" s="1"/>
  <c r="L27" i="23" s="1"/>
  <c r="H76" i="56"/>
  <c r="C17" i="39" s="1"/>
  <c r="I175" i="54"/>
  <c r="H50" i="23"/>
  <c r="H55" i="23" s="1"/>
  <c r="D34" i="23"/>
  <c r="D35" i="23" s="1"/>
  <c r="E40" i="23"/>
  <c r="E50" i="70"/>
  <c r="I28" i="23"/>
  <c r="L28" i="23"/>
  <c r="G34" i="23"/>
  <c r="G35" i="23" s="1"/>
  <c r="K25" i="23"/>
  <c r="K26" i="23" s="1"/>
  <c r="K27" i="23" s="1"/>
  <c r="G50" i="23"/>
  <c r="G55" i="23" s="1"/>
  <c r="F34" i="23"/>
  <c r="F35" i="23" s="1"/>
  <c r="D26" i="23"/>
  <c r="D27" i="23" s="1"/>
  <c r="C49" i="23"/>
  <c r="C55" i="23" s="1"/>
  <c r="C57" i="23" s="1"/>
  <c r="K29" i="23"/>
  <c r="K50" i="23" s="1"/>
  <c r="M26" i="23"/>
  <c r="M27" i="23" s="1"/>
  <c r="C34" i="23"/>
  <c r="C35" i="23" s="1"/>
  <c r="H40" i="23"/>
  <c r="D40" i="23"/>
  <c r="G40" i="23"/>
  <c r="L49" i="23"/>
  <c r="L34" i="23"/>
  <c r="L35" i="23" s="1"/>
  <c r="I50" i="23"/>
  <c r="I49" i="23"/>
  <c r="N50" i="23"/>
  <c r="N55" i="23" s="1"/>
  <c r="F49" i="23"/>
  <c r="F55" i="23" s="1"/>
  <c r="K40" i="23"/>
  <c r="J29" i="23"/>
  <c r="J49" i="23" s="1"/>
  <c r="N40" i="23"/>
  <c r="E49" i="23"/>
  <c r="E55" i="23" s="1"/>
  <c r="J28" i="23"/>
  <c r="G26" i="23"/>
  <c r="G27" i="23" s="1"/>
  <c r="B26" i="70"/>
  <c r="B27" i="70" s="1"/>
  <c r="B28" i="70" s="1"/>
  <c r="B29" i="70" s="1"/>
  <c r="B30" i="70" s="1"/>
  <c r="B31" i="70" s="1"/>
  <c r="B32" i="70" s="1"/>
  <c r="B33" i="70" s="1"/>
  <c r="B34" i="70" s="1"/>
  <c r="C40" i="23"/>
  <c r="E34" i="23"/>
  <c r="E35" i="23" s="1"/>
  <c r="L50" i="23"/>
  <c r="L55" i="23" s="1"/>
  <c r="L56" i="23" s="1"/>
  <c r="I34" i="23"/>
  <c r="I35" i="23" s="1"/>
  <c r="H34" i="23"/>
  <c r="M40" i="23"/>
  <c r="I40" i="23"/>
  <c r="M34" i="23"/>
  <c r="M35" i="23" s="1"/>
  <c r="M49" i="23"/>
  <c r="M55" i="23" s="1"/>
  <c r="M57" i="23" s="1"/>
  <c r="N34" i="23"/>
  <c r="N35" i="23" s="1"/>
  <c r="E26" i="23"/>
  <c r="E27" i="23" s="1"/>
  <c r="I49" i="54"/>
  <c r="E53" i="54"/>
  <c r="E57" i="54" s="1"/>
  <c r="I48" i="54"/>
  <c r="I182" i="54"/>
  <c r="I222" i="54"/>
  <c r="F55" i="56" s="1"/>
  <c r="F17" i="56"/>
  <c r="H17" i="56" s="1"/>
  <c r="F16" i="56"/>
  <c r="H16" i="56" s="1"/>
  <c r="F14" i="56"/>
  <c r="F12" i="56"/>
  <c r="H12" i="56" s="1"/>
  <c r="F13" i="56"/>
  <c r="H13" i="56" s="1"/>
  <c r="H55" i="54"/>
  <c r="I39" i="54"/>
  <c r="D54" i="33"/>
  <c r="E54" i="33" s="1"/>
  <c r="D92" i="33"/>
  <c r="E92" i="33" s="1"/>
  <c r="L78" i="33"/>
  <c r="D60" i="33"/>
  <c r="E60" i="33" s="1"/>
  <c r="A151" i="54"/>
  <c r="A155" i="54" s="1"/>
  <c r="F129" i="54"/>
  <c r="F146" i="54"/>
  <c r="F117" i="54"/>
  <c r="F131" i="54" s="1"/>
  <c r="F127" i="54"/>
  <c r="F121" i="54"/>
  <c r="G77" i="54"/>
  <c r="F116" i="54"/>
  <c r="F130" i="54" s="1"/>
  <c r="H109" i="54"/>
  <c r="H123" i="54" s="1"/>
  <c r="F67" i="54"/>
  <c r="F66" i="54"/>
  <c r="F75" i="54" s="1"/>
  <c r="F108" i="54"/>
  <c r="F122" i="54" s="1"/>
  <c r="F53" i="54"/>
  <c r="F57" i="54" s="1"/>
  <c r="F32" i="54"/>
  <c r="H108" i="54"/>
  <c r="H122" i="54" s="1"/>
  <c r="I22" i="54"/>
  <c r="I25" i="54" s="1"/>
  <c r="E153" i="54"/>
  <c r="M54" i="33"/>
  <c r="Q78" i="33"/>
  <c r="Q66" i="33"/>
  <c r="D66" i="33"/>
  <c r="E66" i="33" s="1"/>
  <c r="L72" i="33"/>
  <c r="D99" i="33"/>
  <c r="E99" i="33" s="1"/>
  <c r="Q72" i="33"/>
  <c r="Q60" i="33"/>
  <c r="M92" i="33"/>
  <c r="L60" i="33"/>
  <c r="M66" i="33"/>
  <c r="Q99" i="33"/>
  <c r="M48" i="33"/>
  <c r="R48" i="33" s="1"/>
  <c r="M99" i="33"/>
  <c r="Q123" i="33"/>
  <c r="M117" i="33"/>
  <c r="Q117" i="33"/>
  <c r="Q54" i="33"/>
  <c r="Q36" i="33"/>
  <c r="Q92" i="33"/>
  <c r="A8" i="40"/>
  <c r="A8" i="39"/>
  <c r="A7" i="21"/>
  <c r="K61" i="70"/>
  <c r="D72" i="33"/>
  <c r="E72" i="33" s="1"/>
  <c r="D78" i="33"/>
  <c r="E78" i="33" s="1"/>
  <c r="I31" i="54"/>
  <c r="F50" i="70"/>
  <c r="H53" i="54"/>
  <c r="G38" i="54"/>
  <c r="G44" i="54" s="1"/>
  <c r="I44" i="54" s="1"/>
  <c r="G32" i="54"/>
  <c r="D8" i="39"/>
  <c r="I9" i="54"/>
  <c r="F9" i="18" s="1"/>
  <c r="F7" i="21" s="1"/>
  <c r="F153" i="54"/>
  <c r="H54" i="54"/>
  <c r="E54" i="54"/>
  <c r="F43" i="54"/>
  <c r="I43" i="54" s="1"/>
  <c r="I37" i="54"/>
  <c r="D17" i="39"/>
  <c r="D19" i="39"/>
  <c r="H14" i="56" l="1"/>
  <c r="E15" i="54"/>
  <c r="I51" i="54"/>
  <c r="F26" i="56" s="1"/>
  <c r="L59" i="23"/>
  <c r="C41" i="23"/>
  <c r="C43" i="23" s="1"/>
  <c r="C54" i="23" s="1"/>
  <c r="D56" i="23"/>
  <c r="D58" i="23" s="1"/>
  <c r="G41" i="23"/>
  <c r="G43" i="23" s="1"/>
  <c r="G54" i="23" s="1"/>
  <c r="K49" i="23"/>
  <c r="K55" i="23" s="1"/>
  <c r="K56" i="23" s="1"/>
  <c r="K34" i="23"/>
  <c r="K35" i="23" s="1"/>
  <c r="F41" i="23"/>
  <c r="F42" i="23" s="1"/>
  <c r="D41" i="23"/>
  <c r="D42" i="23" s="1"/>
  <c r="I183" i="54"/>
  <c r="F40" i="56" s="1"/>
  <c r="J50" i="23"/>
  <c r="J55" i="23" s="1"/>
  <c r="J57" i="23" s="1"/>
  <c r="F57" i="23"/>
  <c r="F59" i="23"/>
  <c r="C59" i="23"/>
  <c r="C63" i="23" s="1"/>
  <c r="C66" i="23" s="1"/>
  <c r="C68" i="23" s="1"/>
  <c r="F43" i="23"/>
  <c r="F54" i="23" s="1"/>
  <c r="I55" i="23"/>
  <c r="I56" i="23" s="1"/>
  <c r="L57" i="23"/>
  <c r="C44" i="23"/>
  <c r="C53" i="23" s="1"/>
  <c r="J34" i="23"/>
  <c r="J35" i="23" s="1"/>
  <c r="D57" i="23"/>
  <c r="E65" i="54"/>
  <c r="D8" i="79"/>
  <c r="Q9" i="33"/>
  <c r="L41" i="23"/>
  <c r="N57" i="23"/>
  <c r="N59" i="23"/>
  <c r="E57" i="23"/>
  <c r="E56" i="23"/>
  <c r="E60" i="23" s="1"/>
  <c r="E59" i="23"/>
  <c r="F56" i="23"/>
  <c r="F58" i="23" s="1"/>
  <c r="M56" i="23"/>
  <c r="M58" i="23" s="1"/>
  <c r="I41" i="23"/>
  <c r="M41" i="23"/>
  <c r="M44" i="23" s="1"/>
  <c r="M53" i="23" s="1"/>
  <c r="M59" i="23"/>
  <c r="E41" i="23"/>
  <c r="E43" i="23" s="1"/>
  <c r="E54" i="23" s="1"/>
  <c r="C56" i="23"/>
  <c r="C60" i="23" s="1"/>
  <c r="N56" i="23"/>
  <c r="N60" i="23" s="1"/>
  <c r="H59" i="23"/>
  <c r="H57" i="23"/>
  <c r="H56" i="23"/>
  <c r="B35" i="70"/>
  <c r="B36" i="70" s="1"/>
  <c r="B37" i="70" s="1"/>
  <c r="B38" i="70" s="1"/>
  <c r="B39" i="70" s="1"/>
  <c r="B40" i="70" s="1"/>
  <c r="B41" i="70" s="1"/>
  <c r="B42" i="70" s="1"/>
  <c r="B43" i="70" s="1"/>
  <c r="B44" i="70" s="1"/>
  <c r="B45" i="70" s="1"/>
  <c r="B46" i="70" s="1"/>
  <c r="B47" i="70" s="1"/>
  <c r="B48" i="70" s="1"/>
  <c r="B49" i="70" s="1"/>
  <c r="B50" i="70" s="1"/>
  <c r="B51" i="70" s="1"/>
  <c r="B52" i="70" s="1"/>
  <c r="B53" i="70" s="1"/>
  <c r="B54" i="70" s="1"/>
  <c r="B55" i="70" s="1"/>
  <c r="B56" i="70" s="1"/>
  <c r="B57" i="70" s="1"/>
  <c r="B58" i="70" s="1"/>
  <c r="B59" i="70" s="1"/>
  <c r="B60" i="70" s="1"/>
  <c r="B61" i="70" s="1"/>
  <c r="B62" i="70" s="1"/>
  <c r="B63" i="70" s="1"/>
  <c r="G57" i="23"/>
  <c r="G56" i="23"/>
  <c r="G59" i="23"/>
  <c r="H35" i="23"/>
  <c r="H41" i="23"/>
  <c r="N41" i="23"/>
  <c r="C10" i="39"/>
  <c r="D105" i="33"/>
  <c r="E105" i="33" s="1"/>
  <c r="R105" i="33" s="1"/>
  <c r="F35" i="21"/>
  <c r="G35" i="21" s="1"/>
  <c r="R92" i="33"/>
  <c r="R93" i="33" s="1"/>
  <c r="F54" i="21" s="1"/>
  <c r="M78" i="33"/>
  <c r="R78" i="33" s="1"/>
  <c r="F65" i="21" s="1"/>
  <c r="H50" i="56"/>
  <c r="I146" i="54"/>
  <c r="F54" i="54"/>
  <c r="F58" i="54" s="1"/>
  <c r="I46" i="54"/>
  <c r="F25" i="56" s="1"/>
  <c r="I40" i="54"/>
  <c r="H144" i="54"/>
  <c r="F76" i="54"/>
  <c r="F21" i="56"/>
  <c r="I38" i="54"/>
  <c r="I32" i="54"/>
  <c r="R36" i="33"/>
  <c r="R54" i="33"/>
  <c r="M72" i="33"/>
  <c r="R72" i="33" s="1"/>
  <c r="R66" i="33"/>
  <c r="Q111" i="33"/>
  <c r="M60" i="33"/>
  <c r="R60" i="33" s="1"/>
  <c r="R99" i="33"/>
  <c r="M111" i="33"/>
  <c r="D111" i="33"/>
  <c r="D117" i="33" s="1"/>
  <c r="M123" i="33"/>
  <c r="A9" i="33"/>
  <c r="I59" i="23"/>
  <c r="K62" i="70"/>
  <c r="E44" i="23"/>
  <c r="E53" i="23" s="1"/>
  <c r="L60" i="23"/>
  <c r="L58" i="23"/>
  <c r="F157" i="54"/>
  <c r="H56" i="54"/>
  <c r="E58" i="54"/>
  <c r="D10" i="39"/>
  <c r="I34" i="54" l="1"/>
  <c r="F23" i="56" s="1"/>
  <c r="D44" i="23"/>
  <c r="D53" i="23" s="1"/>
  <c r="D61" i="23" s="1"/>
  <c r="C42" i="23"/>
  <c r="F44" i="23"/>
  <c r="F53" i="23" s="1"/>
  <c r="G44" i="23"/>
  <c r="G53" i="23" s="1"/>
  <c r="G42" i="23"/>
  <c r="E61" i="23"/>
  <c r="D60" i="23"/>
  <c r="D65" i="23" s="1"/>
  <c r="D67" i="23" s="1"/>
  <c r="D69" i="23" s="1"/>
  <c r="K57" i="23"/>
  <c r="N58" i="23"/>
  <c r="E74" i="54"/>
  <c r="E68" i="54"/>
  <c r="I68" i="54" s="1"/>
  <c r="K60" i="23"/>
  <c r="K58" i="23"/>
  <c r="K59" i="23"/>
  <c r="J59" i="23"/>
  <c r="J41" i="23"/>
  <c r="J43" i="23" s="1"/>
  <c r="J54" i="23" s="1"/>
  <c r="J56" i="23"/>
  <c r="K41" i="23"/>
  <c r="K42" i="23" s="1"/>
  <c r="E63" i="23"/>
  <c r="E66" i="23" s="1"/>
  <c r="E68" i="23" s="1"/>
  <c r="I57" i="23"/>
  <c r="C61" i="23"/>
  <c r="J980" i="40"/>
  <c r="K980" i="40" s="1"/>
  <c r="J965" i="40"/>
  <c r="K965" i="40" s="1"/>
  <c r="D43" i="23"/>
  <c r="D54" i="23" s="1"/>
  <c r="D63" i="23" s="1"/>
  <c r="D66" i="23" s="1"/>
  <c r="D68" i="23" s="1"/>
  <c r="E42" i="23"/>
  <c r="E58" i="23"/>
  <c r="M43" i="23"/>
  <c r="M54" i="23" s="1"/>
  <c r="M63" i="23" s="1"/>
  <c r="M66" i="23" s="1"/>
  <c r="M68" i="23" s="1"/>
  <c r="M60" i="23"/>
  <c r="F63" i="23"/>
  <c r="F66" i="23" s="1"/>
  <c r="F68" i="23" s="1"/>
  <c r="E71" i="54"/>
  <c r="F61" i="23"/>
  <c r="M61" i="23"/>
  <c r="E67" i="54"/>
  <c r="I67" i="54" s="1"/>
  <c r="J748" i="40"/>
  <c r="K748" i="40" s="1"/>
  <c r="J726" i="40"/>
  <c r="K726" i="40" s="1"/>
  <c r="J703" i="40"/>
  <c r="K703" i="40" s="1"/>
  <c r="J680" i="40"/>
  <c r="K680" i="40" s="1"/>
  <c r="J614" i="40"/>
  <c r="K614" i="40" s="1"/>
  <c r="J549" i="40"/>
  <c r="K549" i="40" s="1"/>
  <c r="J369" i="40"/>
  <c r="K369" i="40" s="1"/>
  <c r="J326" i="40"/>
  <c r="K326" i="40" s="1"/>
  <c r="J283" i="40"/>
  <c r="K283" i="40" s="1"/>
  <c r="J240" i="40"/>
  <c r="K240" i="40" s="1"/>
  <c r="J658" i="40"/>
  <c r="K658" i="40" s="1"/>
  <c r="J592" i="40"/>
  <c r="K592" i="40" s="1"/>
  <c r="J415" i="40"/>
  <c r="K415" i="40" s="1"/>
  <c r="J392" i="40"/>
  <c r="K392" i="40" s="1"/>
  <c r="J347" i="40"/>
  <c r="K347" i="40" s="1"/>
  <c r="J261" i="40"/>
  <c r="K261" i="40" s="1"/>
  <c r="J135" i="40"/>
  <c r="K135" i="40" s="1"/>
  <c r="J198" i="40"/>
  <c r="K198" i="40" s="1"/>
  <c r="J571" i="40"/>
  <c r="K571" i="40" s="1"/>
  <c r="J483" i="40"/>
  <c r="K483" i="40" s="1"/>
  <c r="J460" i="40"/>
  <c r="K460" i="40" s="1"/>
  <c r="J219" i="40"/>
  <c r="K219" i="40" s="1"/>
  <c r="J770" i="40"/>
  <c r="K770" i="40" s="1"/>
  <c r="J636" i="40"/>
  <c r="K636" i="40" s="1"/>
  <c r="J527" i="40"/>
  <c r="K527" i="40" s="1"/>
  <c r="J506" i="40"/>
  <c r="K506" i="40" s="1"/>
  <c r="J438" i="40"/>
  <c r="K438" i="40" s="1"/>
  <c r="J176" i="40"/>
  <c r="K176" i="40" s="1"/>
  <c r="J304" i="40"/>
  <c r="K304" i="40" s="1"/>
  <c r="J155" i="40"/>
  <c r="K155" i="40" s="1"/>
  <c r="I65" i="54"/>
  <c r="E69" i="54"/>
  <c r="E78" i="54" s="1"/>
  <c r="I78" i="54" s="1"/>
  <c r="E70" i="54"/>
  <c r="E66" i="54"/>
  <c r="I66" i="54" s="1"/>
  <c r="G65" i="21"/>
  <c r="F63" i="21"/>
  <c r="L44" i="23"/>
  <c r="L53" i="23" s="1"/>
  <c r="L61" i="23" s="1"/>
  <c r="L43" i="23"/>
  <c r="L54" i="23" s="1"/>
  <c r="L63" i="23" s="1"/>
  <c r="L66" i="23" s="1"/>
  <c r="L68" i="23" s="1"/>
  <c r="L42" i="23"/>
  <c r="C58" i="23"/>
  <c r="F60" i="23"/>
  <c r="F65" i="23" s="1"/>
  <c r="F67" i="23" s="1"/>
  <c r="F69" i="23" s="1"/>
  <c r="M42" i="23"/>
  <c r="I42" i="23"/>
  <c r="I43" i="23"/>
  <c r="I54" i="23" s="1"/>
  <c r="I63" i="23" s="1"/>
  <c r="I66" i="23" s="1"/>
  <c r="I68" i="23" s="1"/>
  <c r="I44" i="23"/>
  <c r="I53" i="23" s="1"/>
  <c r="I61" i="23" s="1"/>
  <c r="G58" i="23"/>
  <c r="G60" i="23"/>
  <c r="N43" i="23"/>
  <c r="N54" i="23" s="1"/>
  <c r="N63" i="23" s="1"/>
  <c r="N66" i="23" s="1"/>
  <c r="N68" i="23" s="1"/>
  <c r="N44" i="23"/>
  <c r="N53" i="23" s="1"/>
  <c r="N61" i="23" s="1"/>
  <c r="N42" i="23"/>
  <c r="G63" i="23"/>
  <c r="G66" i="23" s="1"/>
  <c r="G68" i="23" s="1"/>
  <c r="G61" i="23"/>
  <c r="H58" i="23"/>
  <c r="H60" i="23"/>
  <c r="H43" i="23"/>
  <c r="H54" i="23" s="1"/>
  <c r="H63" i="23" s="1"/>
  <c r="H66" i="23" s="1"/>
  <c r="H68" i="23" s="1"/>
  <c r="H44" i="23"/>
  <c r="H53" i="23" s="1"/>
  <c r="H61" i="23" s="1"/>
  <c r="H42" i="23"/>
  <c r="G186" i="54"/>
  <c r="F41" i="56" s="1"/>
  <c r="F39" i="56"/>
  <c r="F48" i="21"/>
  <c r="G48" i="21" s="1"/>
  <c r="F32" i="21"/>
  <c r="G32" i="21" s="1"/>
  <c r="F36" i="21"/>
  <c r="G36" i="21" s="1"/>
  <c r="F34" i="21"/>
  <c r="G34" i="21" s="1"/>
  <c r="F33" i="21"/>
  <c r="G54" i="21"/>
  <c r="J1053" i="40" s="1"/>
  <c r="K1053" i="40" s="1"/>
  <c r="F31" i="21"/>
  <c r="G31" i="21" s="1"/>
  <c r="H21" i="56"/>
  <c r="I41" i="54"/>
  <c r="F24" i="56" s="1"/>
  <c r="F42" i="21"/>
  <c r="F40" i="21"/>
  <c r="G40" i="21" s="1"/>
  <c r="F39" i="21"/>
  <c r="G39" i="21" s="1"/>
  <c r="F38" i="21"/>
  <c r="E111" i="33"/>
  <c r="R111" i="33" s="1"/>
  <c r="F30" i="21"/>
  <c r="E117" i="33"/>
  <c r="R117" i="33" s="1"/>
  <c r="D123" i="33"/>
  <c r="Q85" i="33"/>
  <c r="A85" i="33"/>
  <c r="M85" i="33"/>
  <c r="M65" i="23"/>
  <c r="M67" i="23" s="1"/>
  <c r="M69" i="23" s="1"/>
  <c r="M62" i="23"/>
  <c r="C62" i="23"/>
  <c r="C65" i="23"/>
  <c r="C67" i="23" s="1"/>
  <c r="C69" i="23" s="1"/>
  <c r="K63" i="70"/>
  <c r="N65" i="23"/>
  <c r="N67" i="23" s="1"/>
  <c r="N69" i="23" s="1"/>
  <c r="J58" i="23"/>
  <c r="J60" i="23"/>
  <c r="K65" i="23"/>
  <c r="K67" i="23" s="1"/>
  <c r="K69" i="23" s="1"/>
  <c r="L65" i="23"/>
  <c r="L67" i="23" s="1"/>
  <c r="L69" i="23" s="1"/>
  <c r="E65" i="23"/>
  <c r="E67" i="23" s="1"/>
  <c r="E69" i="23" s="1"/>
  <c r="E62" i="23"/>
  <c r="I58" i="23"/>
  <c r="I60" i="23"/>
  <c r="I143" i="54"/>
  <c r="I144" i="54"/>
  <c r="E82" i="54"/>
  <c r="H59" i="56"/>
  <c r="E77" i="54" l="1"/>
  <c r="E80" i="54"/>
  <c r="I80" i="54" s="1"/>
  <c r="D62" i="23"/>
  <c r="J42" i="23"/>
  <c r="J63" i="23"/>
  <c r="J66" i="23" s="1"/>
  <c r="J68" i="23" s="1"/>
  <c r="F62" i="23"/>
  <c r="J44" i="23"/>
  <c r="J53" i="23" s="1"/>
  <c r="J61" i="23" s="1"/>
  <c r="E93" i="54"/>
  <c r="E94" i="54" s="1"/>
  <c r="E75" i="54"/>
  <c r="I75" i="54" s="1"/>
  <c r="I74" i="54"/>
  <c r="E107" i="54"/>
  <c r="E121" i="54" s="1"/>
  <c r="I71" i="54"/>
  <c r="E76" i="54"/>
  <c r="I76" i="54" s="1"/>
  <c r="L62" i="23"/>
  <c r="K44" i="23"/>
  <c r="K53" i="23" s="1"/>
  <c r="K43" i="23"/>
  <c r="K54" i="23" s="1"/>
  <c r="K63" i="23" s="1"/>
  <c r="K66" i="23" s="1"/>
  <c r="K68" i="23" s="1"/>
  <c r="E79" i="54"/>
  <c r="I79" i="54" s="1"/>
  <c r="I70" i="54"/>
  <c r="J69" i="40"/>
  <c r="K69" i="40" s="1"/>
  <c r="K74" i="40" s="1"/>
  <c r="G75" i="40" s="1"/>
  <c r="G76" i="40" s="1"/>
  <c r="G77" i="40" s="1"/>
  <c r="G78" i="40" s="1"/>
  <c r="G79" i="40" s="1"/>
  <c r="F17" i="18" s="1"/>
  <c r="G23" i="56" s="1"/>
  <c r="J978" i="40"/>
  <c r="K978" i="40" s="1"/>
  <c r="J937" i="40"/>
  <c r="K937" i="40" s="1"/>
  <c r="J951" i="40"/>
  <c r="K951" i="40" s="1"/>
  <c r="J963" i="40"/>
  <c r="K963" i="40" s="1"/>
  <c r="J922" i="40"/>
  <c r="K922" i="40" s="1"/>
  <c r="G43" i="56"/>
  <c r="H43" i="56" s="1"/>
  <c r="G30" i="21"/>
  <c r="J1039" i="40" s="1"/>
  <c r="K1039" i="40" s="1"/>
  <c r="F44" i="21"/>
  <c r="G44" i="21" s="1"/>
  <c r="J795" i="40"/>
  <c r="K795" i="40" s="1"/>
  <c r="J785" i="40"/>
  <c r="K785" i="40" s="1"/>
  <c r="J805" i="40"/>
  <c r="K805" i="40" s="1"/>
  <c r="J591" i="40"/>
  <c r="K591" i="40" s="1"/>
  <c r="J459" i="40"/>
  <c r="K459" i="40" s="1"/>
  <c r="J414" i="40"/>
  <c r="K414" i="40" s="1"/>
  <c r="J391" i="40"/>
  <c r="K391" i="40" s="1"/>
  <c r="J769" i="40"/>
  <c r="K769" i="40" s="1"/>
  <c r="J570" i="40"/>
  <c r="K570" i="40" s="1"/>
  <c r="J482" i="40"/>
  <c r="K482" i="40" s="1"/>
  <c r="J197" i="40"/>
  <c r="K197" i="40" s="1"/>
  <c r="J218" i="40"/>
  <c r="K218" i="40" s="1"/>
  <c r="J175" i="40"/>
  <c r="K175" i="40" s="1"/>
  <c r="J635" i="40"/>
  <c r="K635" i="40" s="1"/>
  <c r="J526" i="40"/>
  <c r="K526" i="40" s="1"/>
  <c r="J505" i="40"/>
  <c r="K505" i="40" s="1"/>
  <c r="J437" i="40"/>
  <c r="K437" i="40" s="1"/>
  <c r="J368" i="40"/>
  <c r="K368" i="40" s="1"/>
  <c r="J303" i="40"/>
  <c r="K303" i="40" s="1"/>
  <c r="J154" i="40"/>
  <c r="K154" i="40" s="1"/>
  <c r="J747" i="40"/>
  <c r="K747" i="40" s="1"/>
  <c r="J725" i="40"/>
  <c r="K725" i="40" s="1"/>
  <c r="J702" i="40"/>
  <c r="K702" i="40" s="1"/>
  <c r="J679" i="40"/>
  <c r="K679" i="40" s="1"/>
  <c r="J657" i="40"/>
  <c r="K657" i="40" s="1"/>
  <c r="J613" i="40"/>
  <c r="K613" i="40" s="1"/>
  <c r="J548" i="40"/>
  <c r="K548" i="40" s="1"/>
  <c r="J346" i="40"/>
  <c r="K346" i="40" s="1"/>
  <c r="J260" i="40"/>
  <c r="K260" i="40" s="1"/>
  <c r="J282" i="40"/>
  <c r="K282" i="40" s="1"/>
  <c r="J239" i="40"/>
  <c r="K239" i="40" s="1"/>
  <c r="J325" i="40"/>
  <c r="K325" i="40" s="1"/>
  <c r="J768" i="40"/>
  <c r="K768" i="40" s="1"/>
  <c r="J634" i="40"/>
  <c r="K634" i="40" s="1"/>
  <c r="J569" i="40"/>
  <c r="K569" i="40" s="1"/>
  <c r="J196" i="40"/>
  <c r="K196" i="40" s="1"/>
  <c r="J525" i="40"/>
  <c r="K525" i="40" s="1"/>
  <c r="J504" i="40"/>
  <c r="K504" i="40" s="1"/>
  <c r="J436" i="40"/>
  <c r="K436" i="40" s="1"/>
  <c r="J367" i="40"/>
  <c r="K367" i="40" s="1"/>
  <c r="J302" i="40"/>
  <c r="K302" i="40" s="1"/>
  <c r="J174" i="40"/>
  <c r="K174" i="40" s="1"/>
  <c r="J153" i="40"/>
  <c r="K153" i="40" s="1"/>
  <c r="J746" i="40"/>
  <c r="K746" i="40" s="1"/>
  <c r="J724" i="40"/>
  <c r="K724" i="40" s="1"/>
  <c r="J701" i="40"/>
  <c r="K701" i="40" s="1"/>
  <c r="J678" i="40"/>
  <c r="K678" i="40" s="1"/>
  <c r="J656" i="40"/>
  <c r="K656" i="40" s="1"/>
  <c r="J612" i="40"/>
  <c r="K612" i="40" s="1"/>
  <c r="J547" i="40"/>
  <c r="K547" i="40" s="1"/>
  <c r="J345" i="40"/>
  <c r="K345" i="40" s="1"/>
  <c r="J324" i="40"/>
  <c r="K324" i="40" s="1"/>
  <c r="J281" i="40"/>
  <c r="K281" i="40" s="1"/>
  <c r="J259" i="40"/>
  <c r="K259" i="40" s="1"/>
  <c r="J238" i="40"/>
  <c r="K238" i="40" s="1"/>
  <c r="J590" i="40"/>
  <c r="K590" i="40" s="1"/>
  <c r="J481" i="40"/>
  <c r="K481" i="40" s="1"/>
  <c r="J458" i="40"/>
  <c r="K458" i="40" s="1"/>
  <c r="J413" i="40"/>
  <c r="K413" i="40" s="1"/>
  <c r="J390" i="40"/>
  <c r="K390" i="40" s="1"/>
  <c r="J217" i="40"/>
  <c r="K217" i="40" s="1"/>
  <c r="I69" i="54"/>
  <c r="N62" i="23"/>
  <c r="G62" i="23"/>
  <c r="G65" i="23"/>
  <c r="G67" i="23" s="1"/>
  <c r="G69" i="23" s="1"/>
  <c r="H62" i="23"/>
  <c r="H65" i="23"/>
  <c r="H67" i="23" s="1"/>
  <c r="H69" i="23" s="1"/>
  <c r="H44" i="56"/>
  <c r="G196" i="54"/>
  <c r="G42" i="21"/>
  <c r="J1038" i="40" s="1"/>
  <c r="K1038" i="40" s="1"/>
  <c r="E83" i="54"/>
  <c r="I83" i="54" s="1"/>
  <c r="I82" i="54"/>
  <c r="E84" i="54"/>
  <c r="I84" i="54" s="1"/>
  <c r="E85" i="54"/>
  <c r="I85" i="54" s="1"/>
  <c r="E123" i="33"/>
  <c r="R123" i="33" s="1"/>
  <c r="D129" i="33"/>
  <c r="E129" i="33" s="1"/>
  <c r="R129" i="33" s="1"/>
  <c r="F49" i="21" s="1"/>
  <c r="G49" i="21" s="1"/>
  <c r="G33" i="21"/>
  <c r="F47" i="21"/>
  <c r="G47" i="21" s="1"/>
  <c r="G38" i="21"/>
  <c r="R85" i="33"/>
  <c r="K64" i="70"/>
  <c r="J62" i="23"/>
  <c r="J65" i="23"/>
  <c r="J67" i="23" s="1"/>
  <c r="J69" i="23" s="1"/>
  <c r="I62" i="23"/>
  <c r="I65" i="23"/>
  <c r="I67" i="23" s="1"/>
  <c r="I69" i="23" s="1"/>
  <c r="I157" i="54"/>
  <c r="I153" i="54"/>
  <c r="I156" i="54"/>
  <c r="I152" i="54"/>
  <c r="E95" i="54"/>
  <c r="I77" i="54"/>
  <c r="E125" i="54"/>
  <c r="F27" i="56"/>
  <c r="J1077" i="40" l="1"/>
  <c r="K1077" i="40" s="1"/>
  <c r="K1078" i="40" s="1"/>
  <c r="P1073" i="40" s="1"/>
  <c r="P1078" i="40" s="1"/>
  <c r="G1079" i="40" s="1"/>
  <c r="J1023" i="40"/>
  <c r="K1023" i="40" s="1"/>
  <c r="J1007" i="40"/>
  <c r="K1007" i="40" s="1"/>
  <c r="I86" i="54"/>
  <c r="J1041" i="40"/>
  <c r="K1041" i="40" s="1"/>
  <c r="J1025" i="40"/>
  <c r="K1025" i="40" s="1"/>
  <c r="K1026" i="40" s="1"/>
  <c r="G1027" i="40" s="1"/>
  <c r="G1028" i="40" s="1"/>
  <c r="G1029" i="40" s="1"/>
  <c r="G1030" i="40" s="1"/>
  <c r="F54" i="18" s="1"/>
  <c r="J1010" i="40"/>
  <c r="K1010" i="40" s="1"/>
  <c r="J215" i="40"/>
  <c r="K215" i="40" s="1"/>
  <c r="J434" i="40"/>
  <c r="K434" i="40" s="1"/>
  <c r="J654" i="40"/>
  <c r="K654" i="40" s="1"/>
  <c r="J632" i="40"/>
  <c r="K632" i="40" s="1"/>
  <c r="J194" i="40"/>
  <c r="K194" i="40" s="1"/>
  <c r="J257" i="40"/>
  <c r="K257" i="40" s="1"/>
  <c r="J676" i="40"/>
  <c r="K676" i="40" s="1"/>
  <c r="J388" i="40"/>
  <c r="K388" i="40" s="1"/>
  <c r="I93" i="54"/>
  <c r="K1042" i="40"/>
  <c r="G1043" i="40" s="1"/>
  <c r="G1044" i="40" s="1"/>
  <c r="G1045" i="40" s="1"/>
  <c r="G1046" i="40" s="1"/>
  <c r="E97" i="54"/>
  <c r="I97" i="54" s="1"/>
  <c r="E108" i="54"/>
  <c r="E122" i="54" s="1"/>
  <c r="E118" i="54"/>
  <c r="E115" i="54"/>
  <c r="E129" i="54" s="1"/>
  <c r="E117" i="54"/>
  <c r="E131" i="54" s="1"/>
  <c r="E112" i="54"/>
  <c r="E126" i="54" s="1"/>
  <c r="E110" i="54"/>
  <c r="E109" i="54"/>
  <c r="E123" i="54" s="1"/>
  <c r="K61" i="23"/>
  <c r="K62" i="23"/>
  <c r="J950" i="40"/>
  <c r="K950" i="40" s="1"/>
  <c r="J936" i="40"/>
  <c r="K936" i="40" s="1"/>
  <c r="J921" i="40"/>
  <c r="K921" i="40" s="1"/>
  <c r="J995" i="40"/>
  <c r="K995" i="40" s="1"/>
  <c r="J979" i="40"/>
  <c r="K979" i="40" s="1"/>
  <c r="J964" i="40"/>
  <c r="K964" i="40" s="1"/>
  <c r="J88" i="40"/>
  <c r="K88" i="40" s="1"/>
  <c r="J996" i="40"/>
  <c r="K996" i="40" s="1"/>
  <c r="J966" i="40"/>
  <c r="K966" i="40" s="1"/>
  <c r="J981" i="40"/>
  <c r="K981" i="40" s="1"/>
  <c r="J86" i="40"/>
  <c r="K86" i="40" s="1"/>
  <c r="J994" i="40"/>
  <c r="K994" i="40" s="1"/>
  <c r="J236" i="40"/>
  <c r="K236" i="40" s="1"/>
  <c r="J744" i="40"/>
  <c r="K744" i="40" s="1"/>
  <c r="J479" i="40"/>
  <c r="K479" i="40" s="1"/>
  <c r="J172" i="40"/>
  <c r="K172" i="40" s="1"/>
  <c r="J456" i="40"/>
  <c r="K456" i="40" s="1"/>
  <c r="J699" i="40"/>
  <c r="K699" i="40" s="1"/>
  <c r="J567" i="40"/>
  <c r="K567" i="40" s="1"/>
  <c r="J545" i="40"/>
  <c r="K545" i="40" s="1"/>
  <c r="J322" i="40"/>
  <c r="K322" i="40" s="1"/>
  <c r="J365" i="40"/>
  <c r="K365" i="40" s="1"/>
  <c r="J411" i="40"/>
  <c r="K411" i="40" s="1"/>
  <c r="J279" i="40"/>
  <c r="K279" i="40" s="1"/>
  <c r="J502" i="40"/>
  <c r="K502" i="40" s="1"/>
  <c r="J766" i="40"/>
  <c r="K766" i="40" s="1"/>
  <c r="J133" i="40"/>
  <c r="K133" i="40" s="1"/>
  <c r="J523" i="40"/>
  <c r="K523" i="40" s="1"/>
  <c r="J722" i="40"/>
  <c r="K722" i="40" s="1"/>
  <c r="J300" i="40"/>
  <c r="K300" i="40" s="1"/>
  <c r="J610" i="40"/>
  <c r="K610" i="40" s="1"/>
  <c r="J588" i="40"/>
  <c r="K588" i="40" s="1"/>
  <c r="J151" i="40"/>
  <c r="K151" i="40" s="1"/>
  <c r="J343" i="40"/>
  <c r="K343" i="40" s="1"/>
  <c r="J17" i="18"/>
  <c r="H23" i="56"/>
  <c r="J105" i="40"/>
  <c r="K105" i="40" s="1"/>
  <c r="K108" i="40" s="1"/>
  <c r="G109" i="40" s="1"/>
  <c r="G110" i="40" s="1"/>
  <c r="G111" i="40" s="1"/>
  <c r="G112" i="40" s="1"/>
  <c r="J767" i="40"/>
  <c r="K767" i="40" s="1"/>
  <c r="J745" i="40"/>
  <c r="K745" i="40" s="1"/>
  <c r="J723" i="40"/>
  <c r="K723" i="40" s="1"/>
  <c r="J700" i="40"/>
  <c r="K700" i="40" s="1"/>
  <c r="J677" i="40"/>
  <c r="K677" i="40" s="1"/>
  <c r="J655" i="40"/>
  <c r="K655" i="40" s="1"/>
  <c r="J633" i="40"/>
  <c r="K633" i="40" s="1"/>
  <c r="J611" i="40"/>
  <c r="K611" i="40" s="1"/>
  <c r="J589" i="40"/>
  <c r="K589" i="40" s="1"/>
  <c r="J568" i="40"/>
  <c r="K568" i="40" s="1"/>
  <c r="J484" i="40"/>
  <c r="K484" i="40" s="1"/>
  <c r="J461" i="40"/>
  <c r="K461" i="40" s="1"/>
  <c r="J439" i="40"/>
  <c r="K439" i="40" s="1"/>
  <c r="J416" i="40"/>
  <c r="K416" i="40" s="1"/>
  <c r="J393" i="40"/>
  <c r="K393" i="40" s="1"/>
  <c r="J370" i="40"/>
  <c r="K370" i="40" s="1"/>
  <c r="J262" i="40"/>
  <c r="K262" i="40" s="1"/>
  <c r="J199" i="40"/>
  <c r="K199" i="40" s="1"/>
  <c r="J301" i="40"/>
  <c r="K301" i="40" s="1"/>
  <c r="J280" i="40"/>
  <c r="K280" i="40" s="1"/>
  <c r="J237" i="40"/>
  <c r="K237" i="40" s="1"/>
  <c r="J786" i="40"/>
  <c r="K786" i="40" s="1"/>
  <c r="K787" i="40" s="1"/>
  <c r="G788" i="40" s="1"/>
  <c r="G789" i="40" s="1"/>
  <c r="G790" i="40" s="1"/>
  <c r="F22" i="18" s="1"/>
  <c r="J796" i="40"/>
  <c r="K796" i="40" s="1"/>
  <c r="K797" i="40" s="1"/>
  <c r="G798" i="40" s="1"/>
  <c r="J806" i="40"/>
  <c r="K806" i="40" s="1"/>
  <c r="K807" i="40" s="1"/>
  <c r="G808" i="40" s="1"/>
  <c r="G809" i="40" s="1"/>
  <c r="G810" i="40" s="1"/>
  <c r="F40" i="18" s="1"/>
  <c r="J457" i="40"/>
  <c r="K457" i="40" s="1"/>
  <c r="J389" i="40"/>
  <c r="K389" i="40" s="1"/>
  <c r="J323" i="40"/>
  <c r="K323" i="40" s="1"/>
  <c r="J258" i="40"/>
  <c r="K258" i="40" s="1"/>
  <c r="J480" i="40"/>
  <c r="K480" i="40" s="1"/>
  <c r="J412" i="40"/>
  <c r="K412" i="40" s="1"/>
  <c r="J195" i="40"/>
  <c r="K195" i="40" s="1"/>
  <c r="J435" i="40"/>
  <c r="K435" i="40" s="1"/>
  <c r="J366" i="40"/>
  <c r="K366" i="40" s="1"/>
  <c r="J344" i="40"/>
  <c r="K344" i="40" s="1"/>
  <c r="J152" i="40"/>
  <c r="K152" i="40" s="1"/>
  <c r="J134" i="40"/>
  <c r="K134" i="40" s="1"/>
  <c r="J173" i="40"/>
  <c r="K173" i="40" s="1"/>
  <c r="J751" i="40"/>
  <c r="K751" i="40" s="1"/>
  <c r="J706" i="40"/>
  <c r="K706" i="40" s="1"/>
  <c r="J639" i="40"/>
  <c r="K639" i="40" s="1"/>
  <c r="J487" i="40"/>
  <c r="K487" i="40" s="1"/>
  <c r="J442" i="40"/>
  <c r="K442" i="40" s="1"/>
  <c r="J350" i="40"/>
  <c r="K350" i="40" s="1"/>
  <c r="J307" i="40"/>
  <c r="K307" i="40" s="1"/>
  <c r="J265" i="40"/>
  <c r="K265" i="40" s="1"/>
  <c r="J243" i="40"/>
  <c r="K243" i="40" s="1"/>
  <c r="J179" i="40"/>
  <c r="K179" i="40" s="1"/>
  <c r="J138" i="40"/>
  <c r="K138" i="40" s="1"/>
  <c r="J729" i="40"/>
  <c r="K729" i="40" s="1"/>
  <c r="J661" i="40"/>
  <c r="K661" i="40" s="1"/>
  <c r="J595" i="40"/>
  <c r="K595" i="40" s="1"/>
  <c r="J574" i="40"/>
  <c r="K574" i="40" s="1"/>
  <c r="J373" i="40"/>
  <c r="K373" i="40" s="1"/>
  <c r="J329" i="40"/>
  <c r="K329" i="40" s="1"/>
  <c r="J222" i="40"/>
  <c r="K222" i="40" s="1"/>
  <c r="J530" i="40"/>
  <c r="K530" i="40" s="1"/>
  <c r="J396" i="40"/>
  <c r="K396" i="40" s="1"/>
  <c r="J773" i="40"/>
  <c r="K773" i="40" s="1"/>
  <c r="J683" i="40"/>
  <c r="K683" i="40" s="1"/>
  <c r="J617" i="40"/>
  <c r="K617" i="40" s="1"/>
  <c r="J552" i="40"/>
  <c r="K552" i="40" s="1"/>
  <c r="J509" i="40"/>
  <c r="K509" i="40" s="1"/>
  <c r="J464" i="40"/>
  <c r="K464" i="40" s="1"/>
  <c r="J419" i="40"/>
  <c r="K419" i="40" s="1"/>
  <c r="J202" i="40"/>
  <c r="K202" i="40" s="1"/>
  <c r="J286" i="40"/>
  <c r="K286" i="40" s="1"/>
  <c r="J158" i="40"/>
  <c r="K158" i="40" s="1"/>
  <c r="I196" i="54"/>
  <c r="I197" i="54" s="1"/>
  <c r="E134" i="54"/>
  <c r="F50" i="21"/>
  <c r="G50" i="21" s="1"/>
  <c r="I158" i="54"/>
  <c r="K65" i="70"/>
  <c r="I154" i="54"/>
  <c r="F35" i="56" s="1"/>
  <c r="I94" i="54"/>
  <c r="E98" i="54"/>
  <c r="I98" i="54" s="1"/>
  <c r="I95" i="54"/>
  <c r="E99" i="54"/>
  <c r="I99" i="54" s="1"/>
  <c r="K1011" i="40" l="1"/>
  <c r="G1012" i="40" s="1"/>
  <c r="G1013" i="40" s="1"/>
  <c r="G1014" i="40" s="1"/>
  <c r="G1015" i="40" s="1"/>
  <c r="F34" i="18" s="1"/>
  <c r="G60" i="56" s="1"/>
  <c r="J1056" i="40"/>
  <c r="G1080" i="40"/>
  <c r="G1081" i="40" s="1"/>
  <c r="G1082" i="40" s="1"/>
  <c r="K223" i="40"/>
  <c r="G224" i="40" s="1"/>
  <c r="G226" i="40" s="1"/>
  <c r="K91" i="40"/>
  <c r="G92" i="40" s="1"/>
  <c r="G93" i="40" s="1"/>
  <c r="G94" i="40" s="1"/>
  <c r="G95" i="40" s="1"/>
  <c r="G96" i="40" s="1"/>
  <c r="F32" i="18" s="1"/>
  <c r="G35" i="56" s="1"/>
  <c r="H35" i="56" s="1"/>
  <c r="K159" i="40"/>
  <c r="G160" i="40" s="1"/>
  <c r="K510" i="40"/>
  <c r="G511" i="40" s="1"/>
  <c r="G512" i="40" s="1"/>
  <c r="E132" i="54"/>
  <c r="E124" i="54"/>
  <c r="G26" i="56"/>
  <c r="H26" i="56" s="1"/>
  <c r="G40" i="56"/>
  <c r="H40" i="56" s="1"/>
  <c r="K997" i="40"/>
  <c r="G998" i="40" s="1"/>
  <c r="G999" i="40" s="1"/>
  <c r="G1000" i="40" s="1"/>
  <c r="G1001" i="40" s="1"/>
  <c r="G62" i="56" s="1"/>
  <c r="H62" i="56" s="1"/>
  <c r="K553" i="40"/>
  <c r="G554" i="40" s="1"/>
  <c r="G555" i="40" s="1"/>
  <c r="K531" i="40"/>
  <c r="G532" i="40" s="1"/>
  <c r="G533" i="40" s="1"/>
  <c r="K983" i="40"/>
  <c r="G984" i="40" s="1"/>
  <c r="G985" i="40" s="1"/>
  <c r="G986" i="40" s="1"/>
  <c r="G987" i="40" s="1"/>
  <c r="K968" i="40"/>
  <c r="G969" i="40" s="1"/>
  <c r="G970" i="40" s="1"/>
  <c r="G971" i="40" s="1"/>
  <c r="G972" i="40" s="1"/>
  <c r="F53" i="18" s="1"/>
  <c r="G113" i="40"/>
  <c r="F33" i="18"/>
  <c r="K287" i="40"/>
  <c r="G288" i="40" s="1"/>
  <c r="G290" i="40" s="1"/>
  <c r="K730" i="40"/>
  <c r="G731" i="40" s="1"/>
  <c r="G733" i="40" s="1"/>
  <c r="K640" i="40"/>
  <c r="G641" i="40" s="1"/>
  <c r="G643" i="40" s="1"/>
  <c r="K618" i="40"/>
  <c r="G619" i="40" s="1"/>
  <c r="G622" i="40" s="1"/>
  <c r="K707" i="40"/>
  <c r="G708" i="40" s="1"/>
  <c r="G710" i="40" s="1"/>
  <c r="K774" i="40"/>
  <c r="G775" i="40" s="1"/>
  <c r="G777" i="40" s="1"/>
  <c r="K596" i="40"/>
  <c r="G597" i="40" s="1"/>
  <c r="G599" i="40" s="1"/>
  <c r="K752" i="40"/>
  <c r="G753" i="40" s="1"/>
  <c r="G754" i="40" s="1"/>
  <c r="K684" i="40"/>
  <c r="G685" i="40" s="1"/>
  <c r="G687" i="40" s="1"/>
  <c r="K308" i="40"/>
  <c r="G309" i="40" s="1"/>
  <c r="G311" i="40" s="1"/>
  <c r="K575" i="40"/>
  <c r="G576" i="40" s="1"/>
  <c r="G578" i="40" s="1"/>
  <c r="K244" i="40"/>
  <c r="G245" i="40" s="1"/>
  <c r="G246" i="40" s="1"/>
  <c r="K662" i="40"/>
  <c r="G663" i="40" s="1"/>
  <c r="G665" i="40" s="1"/>
  <c r="K330" i="40"/>
  <c r="G331" i="40" s="1"/>
  <c r="G332" i="40" s="1"/>
  <c r="K180" i="40"/>
  <c r="G181" i="40" s="1"/>
  <c r="G183" i="40" s="1"/>
  <c r="K465" i="40"/>
  <c r="G466" i="40" s="1"/>
  <c r="G469" i="40" s="1"/>
  <c r="G799" i="40"/>
  <c r="G800" i="40" s="1"/>
  <c r="F28" i="18" s="1"/>
  <c r="G32" i="56" s="1"/>
  <c r="K351" i="40"/>
  <c r="G352" i="40" s="1"/>
  <c r="G353" i="40" s="1"/>
  <c r="K139" i="40"/>
  <c r="G140" i="40" s="1"/>
  <c r="K443" i="40"/>
  <c r="G444" i="40" s="1"/>
  <c r="G446" i="40" s="1"/>
  <c r="K266" i="40"/>
  <c r="G267" i="40" s="1"/>
  <c r="G268" i="40" s="1"/>
  <c r="K374" i="40"/>
  <c r="G375" i="40" s="1"/>
  <c r="G377" i="40" s="1"/>
  <c r="K488" i="40"/>
  <c r="G489" i="40" s="1"/>
  <c r="G492" i="40" s="1"/>
  <c r="K420" i="40"/>
  <c r="G421" i="40" s="1"/>
  <c r="G423" i="40" s="1"/>
  <c r="K397" i="40"/>
  <c r="G398" i="40" s="1"/>
  <c r="G400" i="40" s="1"/>
  <c r="K203" i="40"/>
  <c r="G204" i="40" s="1"/>
  <c r="G206" i="40" s="1"/>
  <c r="F42" i="56"/>
  <c r="E137" i="54"/>
  <c r="I137" i="54" s="1"/>
  <c r="E135" i="54"/>
  <c r="I135" i="54" s="1"/>
  <c r="I134" i="54"/>
  <c r="E136" i="54"/>
  <c r="I136" i="54" s="1"/>
  <c r="E138" i="54"/>
  <c r="I138" i="54" s="1"/>
  <c r="F36" i="56"/>
  <c r="H36" i="56" s="1"/>
  <c r="H27" i="56"/>
  <c r="G63" i="21"/>
  <c r="I145" i="54"/>
  <c r="I150" i="54" s="1"/>
  <c r="C16" i="39"/>
  <c r="K66" i="70"/>
  <c r="K67" i="70" s="1"/>
  <c r="F30" i="56"/>
  <c r="D16" i="39"/>
  <c r="H60" i="56" l="1"/>
  <c r="G225" i="40"/>
  <c r="G227" i="40" s="1"/>
  <c r="G228" i="40" s="1"/>
  <c r="G229" i="40" s="1"/>
  <c r="K1056" i="40"/>
  <c r="F48" i="18"/>
  <c r="G46" i="56" s="1"/>
  <c r="H46" i="56" s="1"/>
  <c r="G161" i="40"/>
  <c r="J1054" i="40" s="1"/>
  <c r="K1054" i="40" s="1"/>
  <c r="J1057" i="40"/>
  <c r="K1057" i="40" s="1"/>
  <c r="G141" i="40"/>
  <c r="G142" i="40" s="1"/>
  <c r="G143" i="40" s="1"/>
  <c r="G144" i="40" s="1"/>
  <c r="F19" i="18" s="1"/>
  <c r="G24" i="56" s="1"/>
  <c r="H24" i="56" s="1"/>
  <c r="G534" i="40"/>
  <c r="G162" i="40"/>
  <c r="G513" i="40"/>
  <c r="G514" i="40" s="1"/>
  <c r="G515" i="40" s="1"/>
  <c r="G516" i="40" s="1"/>
  <c r="G556" i="40"/>
  <c r="G557" i="40"/>
  <c r="G535" i="40"/>
  <c r="G55" i="56"/>
  <c r="J948" i="40"/>
  <c r="J934" i="40"/>
  <c r="J919" i="40"/>
  <c r="G776" i="40"/>
  <c r="G778" i="40" s="1"/>
  <c r="G779" i="40" s="1"/>
  <c r="G780" i="40" s="1"/>
  <c r="G732" i="40"/>
  <c r="G734" i="40" s="1"/>
  <c r="G735" i="40" s="1"/>
  <c r="G736" i="40" s="1"/>
  <c r="F39" i="18" s="1"/>
  <c r="G39" i="56" s="1"/>
  <c r="G34" i="56"/>
  <c r="G51" i="56"/>
  <c r="H51" i="56" s="1"/>
  <c r="G621" i="40"/>
  <c r="G620" i="40"/>
  <c r="G289" i="40"/>
  <c r="G291" i="40" s="1"/>
  <c r="G292" i="40" s="1"/>
  <c r="G293" i="40" s="1"/>
  <c r="F21" i="18" s="1"/>
  <c r="G25" i="56" s="1"/>
  <c r="G642" i="40"/>
  <c r="G644" i="40" s="1"/>
  <c r="G645" i="40" s="1"/>
  <c r="G646" i="40" s="1"/>
  <c r="G709" i="40"/>
  <c r="G711" i="40" s="1"/>
  <c r="G712" i="40" s="1"/>
  <c r="G713" i="40" s="1"/>
  <c r="G600" i="40"/>
  <c r="G247" i="40"/>
  <c r="G248" i="40" s="1"/>
  <c r="G249" i="40" s="1"/>
  <c r="G250" i="40" s="1"/>
  <c r="F20" i="18" s="1"/>
  <c r="G310" i="40"/>
  <c r="G312" i="40" s="1"/>
  <c r="G313" i="40" s="1"/>
  <c r="G314" i="40" s="1"/>
  <c r="G755" i="40"/>
  <c r="G756" i="40" s="1"/>
  <c r="G757" i="40" s="1"/>
  <c r="G758" i="40" s="1"/>
  <c r="G577" i="40"/>
  <c r="G579" i="40" s="1"/>
  <c r="G580" i="40" s="1"/>
  <c r="G581" i="40" s="1"/>
  <c r="G598" i="40"/>
  <c r="G686" i="40"/>
  <c r="G688" i="40"/>
  <c r="G664" i="40"/>
  <c r="G666" i="40"/>
  <c r="G182" i="40"/>
  <c r="G184" i="40" s="1"/>
  <c r="G185" i="40" s="1"/>
  <c r="G186" i="40" s="1"/>
  <c r="G333" i="40"/>
  <c r="G334" i="40" s="1"/>
  <c r="G335" i="40" s="1"/>
  <c r="G336" i="40" s="1"/>
  <c r="G401" i="40"/>
  <c r="G205" i="40"/>
  <c r="G207" i="40" s="1"/>
  <c r="G208" i="40" s="1"/>
  <c r="G209" i="40" s="1"/>
  <c r="G354" i="40"/>
  <c r="G355" i="40" s="1"/>
  <c r="G356" i="40" s="1"/>
  <c r="G357" i="40" s="1"/>
  <c r="G376" i="40"/>
  <c r="G378" i="40" s="1"/>
  <c r="G379" i="40" s="1"/>
  <c r="G380" i="40" s="1"/>
  <c r="G468" i="40"/>
  <c r="G467" i="40"/>
  <c r="G422" i="40"/>
  <c r="G399" i="40"/>
  <c r="G269" i="40"/>
  <c r="G270" i="40" s="1"/>
  <c r="G271" i="40" s="1"/>
  <c r="G272" i="40" s="1"/>
  <c r="G424" i="40"/>
  <c r="G491" i="40"/>
  <c r="G445" i="40"/>
  <c r="G447" i="40" s="1"/>
  <c r="G448" i="40" s="1"/>
  <c r="G449" i="40" s="1"/>
  <c r="G490" i="40"/>
  <c r="H42" i="56"/>
  <c r="F34" i="56"/>
  <c r="I104" i="54"/>
  <c r="K68" i="70"/>
  <c r="K69" i="70" s="1"/>
  <c r="K70" i="70" s="1"/>
  <c r="G163" i="40" l="1"/>
  <c r="G164" i="40" s="1"/>
  <c r="K1061" i="40"/>
  <c r="G1063" i="40" s="1"/>
  <c r="G536" i="40"/>
  <c r="G537" i="40" s="1"/>
  <c r="G538" i="40" s="1"/>
  <c r="G558" i="40"/>
  <c r="G559" i="40" s="1"/>
  <c r="G560" i="40" s="1"/>
  <c r="K948" i="40"/>
  <c r="J949" i="40"/>
  <c r="K949" i="40" s="1"/>
  <c r="H34" i="56"/>
  <c r="J920" i="40"/>
  <c r="K920" i="40" s="1"/>
  <c r="K919" i="40"/>
  <c r="J935" i="40"/>
  <c r="K935" i="40" s="1"/>
  <c r="K934" i="40"/>
  <c r="G623" i="40"/>
  <c r="G624" i="40" s="1"/>
  <c r="G625" i="40" s="1"/>
  <c r="G689" i="40"/>
  <c r="G690" i="40" s="1"/>
  <c r="G691" i="40" s="1"/>
  <c r="G165" i="40"/>
  <c r="G601" i="40"/>
  <c r="G602" i="40" s="1"/>
  <c r="G603" i="40" s="1"/>
  <c r="F26" i="18" s="1"/>
  <c r="G667" i="40"/>
  <c r="G668" i="40" s="1"/>
  <c r="G669" i="40" s="1"/>
  <c r="F27" i="18" s="1"/>
  <c r="G402" i="40"/>
  <c r="G403" i="40" s="1"/>
  <c r="G404" i="40" s="1"/>
  <c r="G425" i="40"/>
  <c r="G426" i="40" s="1"/>
  <c r="G427" i="40" s="1"/>
  <c r="G470" i="40"/>
  <c r="G471" i="40" s="1"/>
  <c r="G472" i="40" s="1"/>
  <c r="G493" i="40"/>
  <c r="G494" i="40" s="1"/>
  <c r="G495" i="40" s="1"/>
  <c r="H41" i="56"/>
  <c r="H55" i="56"/>
  <c r="F32" i="56"/>
  <c r="H32" i="56" s="1"/>
  <c r="K71" i="70"/>
  <c r="K72" i="70" s="1"/>
  <c r="G1064" i="40" l="1"/>
  <c r="G1065" i="40" s="1"/>
  <c r="G1066" i="40" s="1"/>
  <c r="F47" i="18" s="1"/>
  <c r="G45" i="56" s="1"/>
  <c r="H45" i="56" s="1"/>
  <c r="G30" i="56"/>
  <c r="G31" i="56"/>
  <c r="H31" i="56" s="1"/>
  <c r="K953" i="40"/>
  <c r="G954" i="40" s="1"/>
  <c r="G955" i="40" s="1"/>
  <c r="G956" i="40" s="1"/>
  <c r="G957" i="40" s="1"/>
  <c r="F52" i="18" s="1"/>
  <c r="K924" i="40"/>
  <c r="G925" i="40" s="1"/>
  <c r="G926" i="40" s="1"/>
  <c r="G927" i="40" s="1"/>
  <c r="G928" i="40" s="1"/>
  <c r="F50" i="18" s="1"/>
  <c r="G54" i="56" s="1"/>
  <c r="K939" i="40"/>
  <c r="G940" i="40" s="1"/>
  <c r="H39" i="56"/>
  <c r="H54" i="56" l="1"/>
  <c r="G52" i="56"/>
  <c r="H48" i="56"/>
  <c r="G941" i="40"/>
  <c r="G942" i="40" s="1"/>
  <c r="G943" i="40" s="1"/>
  <c r="F51" i="18" s="1"/>
  <c r="H25" i="56"/>
  <c r="H30" i="56"/>
  <c r="G61" i="56" l="1"/>
  <c r="G53" i="56"/>
  <c r="H53" i="56" s="1"/>
  <c r="H28" i="56"/>
  <c r="F33" i="56"/>
  <c r="H33" i="56" s="1"/>
  <c r="H37" i="56" s="1"/>
  <c r="C13" i="39" l="1"/>
  <c r="C11" i="39"/>
  <c r="H52" i="56"/>
  <c r="H57" i="56" s="1"/>
  <c r="C14" i="39" s="1"/>
  <c r="C12" i="39"/>
  <c r="D13" i="39"/>
  <c r="D11" i="39"/>
  <c r="D12" i="39"/>
  <c r="H61" i="56" l="1"/>
  <c r="H63" i="56" s="1"/>
  <c r="C15" i="39" s="1"/>
  <c r="C18" i="39" s="1"/>
  <c r="C29" i="39" s="1"/>
  <c r="D14" i="39"/>
  <c r="C28" i="39" l="1"/>
  <c r="D28" i="39"/>
  <c r="D18" i="39"/>
  <c r="D29" i="39"/>
  <c r="D15" i="39"/>
  <c r="C20" i="39" l="1"/>
  <c r="C22" i="39" s="1"/>
  <c r="C21" i="39" l="1"/>
  <c r="C23" i="39" s="1"/>
  <c r="D22" i="39"/>
  <c r="D20" i="39"/>
  <c r="C24" i="39" l="1"/>
  <c r="C25" i="39"/>
  <c r="D23" i="39"/>
  <c r="D25" i="39"/>
  <c r="D24" i="39"/>
  <c r="D21" i="39"/>
  <c r="C26" i="39" l="1"/>
  <c r="C27" i="39" s="1"/>
  <c r="D26" i="39"/>
  <c r="D27" i="39"/>
</calcChain>
</file>

<file path=xl/sharedStrings.xml><?xml version="1.0" encoding="utf-8"?>
<sst xmlns="http://schemas.openxmlformats.org/spreadsheetml/2006/main" count="6307" uniqueCount="1780">
  <si>
    <t>Unit</t>
  </si>
  <si>
    <t>Rate</t>
  </si>
  <si>
    <t>Amount</t>
  </si>
  <si>
    <t>rm</t>
  </si>
  <si>
    <t>m²</t>
  </si>
  <si>
    <t>Quantity</t>
  </si>
  <si>
    <t>kg</t>
  </si>
  <si>
    <t>kg.</t>
  </si>
  <si>
    <t>no.</t>
  </si>
  <si>
    <t>Cement</t>
  </si>
  <si>
    <t>Timber</t>
  </si>
  <si>
    <t>Enamel</t>
  </si>
  <si>
    <t>Description of Item :</t>
  </si>
  <si>
    <t>Unit :</t>
  </si>
  <si>
    <t>mt</t>
  </si>
  <si>
    <t>Labour</t>
  </si>
  <si>
    <t>Materials</t>
  </si>
  <si>
    <t>Equipment</t>
  </si>
  <si>
    <t>Category</t>
  </si>
  <si>
    <t>Type</t>
  </si>
  <si>
    <t xml:space="preserve"> </t>
  </si>
  <si>
    <t>Unskilled</t>
  </si>
  <si>
    <t>Truck</t>
  </si>
  <si>
    <t>hr.</t>
  </si>
  <si>
    <t>Total Cost :</t>
  </si>
  <si>
    <t>MT</t>
  </si>
  <si>
    <t>ton</t>
  </si>
  <si>
    <t>R.A. No. :</t>
  </si>
  <si>
    <t>hr</t>
  </si>
  <si>
    <t>Direct Cost :</t>
  </si>
  <si>
    <t>per</t>
  </si>
  <si>
    <t>Contractor's Overheads (15% ) :</t>
  </si>
  <si>
    <t>Skilled</t>
  </si>
  <si>
    <t>Contractor's Overheads (15%) :</t>
  </si>
  <si>
    <t>Binding wire</t>
  </si>
  <si>
    <t>Water</t>
  </si>
  <si>
    <t>SUMMARY OF UNIT RATES FOR CONSTRUCTION WORKS</t>
  </si>
  <si>
    <t>Description</t>
  </si>
  <si>
    <t>m³</t>
  </si>
  <si>
    <t>Total Labour Component</t>
  </si>
  <si>
    <t>Total Material Component</t>
  </si>
  <si>
    <t>Total Equipment</t>
  </si>
  <si>
    <t>m</t>
  </si>
  <si>
    <t>Diesel</t>
  </si>
  <si>
    <t>Lit.</t>
  </si>
  <si>
    <t>Coarse Sand</t>
  </si>
  <si>
    <t>md</t>
  </si>
  <si>
    <t>Petrol</t>
  </si>
  <si>
    <t>Sub-base agg.</t>
  </si>
  <si>
    <t>Vat =</t>
  </si>
  <si>
    <t xml:space="preserve">per </t>
  </si>
  <si>
    <t>water</t>
  </si>
  <si>
    <t>Grader</t>
  </si>
  <si>
    <t>Vibrator Roller</t>
  </si>
  <si>
    <t>Loader</t>
  </si>
  <si>
    <t>Transportation</t>
  </si>
  <si>
    <t>S.N</t>
  </si>
  <si>
    <t>Basic Rates</t>
  </si>
  <si>
    <t>Adopted Rates incl. transportation</t>
  </si>
  <si>
    <t xml:space="preserve">Remarks </t>
  </si>
  <si>
    <t>cum</t>
  </si>
  <si>
    <t xml:space="preserve">Sand </t>
  </si>
  <si>
    <t>Rubble stone</t>
  </si>
  <si>
    <t>Crushed Aggregate</t>
  </si>
  <si>
    <t>a</t>
  </si>
  <si>
    <t>20-40mm</t>
  </si>
  <si>
    <t>b</t>
  </si>
  <si>
    <t>10-20mm</t>
  </si>
  <si>
    <t>c</t>
  </si>
  <si>
    <t>5-10mm</t>
  </si>
  <si>
    <t>lt</t>
  </si>
  <si>
    <t>Kerosene</t>
  </si>
  <si>
    <t>ltr</t>
  </si>
  <si>
    <t>lit</t>
  </si>
  <si>
    <t>Primer</t>
  </si>
  <si>
    <t>Nail</t>
  </si>
  <si>
    <t>sq.m</t>
  </si>
  <si>
    <t>Steel Plate (2mm thick)</t>
  </si>
  <si>
    <t>Steel tube (60mm dia)</t>
  </si>
  <si>
    <t>Geotextile</t>
  </si>
  <si>
    <t>Air Compressor</t>
  </si>
  <si>
    <t>Concrete Mixer</t>
  </si>
  <si>
    <t>Concrete Vibrator</t>
  </si>
  <si>
    <t>Water bowser</t>
  </si>
  <si>
    <t>Vibrating Roller</t>
  </si>
  <si>
    <t>River Gravel (chips)</t>
  </si>
  <si>
    <t>Gravel</t>
  </si>
  <si>
    <t>Remarks</t>
  </si>
  <si>
    <t>Expansion Joint</t>
  </si>
  <si>
    <t>Do not Change this cell</t>
  </si>
  <si>
    <t>Semiskilled</t>
  </si>
  <si>
    <t>Stone</t>
  </si>
  <si>
    <t>Crane</t>
  </si>
  <si>
    <t>Table: R1</t>
  </si>
  <si>
    <t>Table: R2</t>
  </si>
  <si>
    <t>Sprayer</t>
  </si>
  <si>
    <t>Rm</t>
  </si>
  <si>
    <t>Excavator</t>
  </si>
  <si>
    <t>Particulars</t>
  </si>
  <si>
    <t>Mahendra Scorpio, AC</t>
  </si>
  <si>
    <t>Mahendra, Bolero GLX-75, AC</t>
  </si>
  <si>
    <t>Mahendra, Bolero LX-std, Non-AC</t>
  </si>
  <si>
    <t>Tata, SUMO Turbo, King-size, non AC</t>
  </si>
  <si>
    <t>Tata, SAFARI LX, AC</t>
  </si>
  <si>
    <t>Tata, SAFARI EX, AC</t>
  </si>
  <si>
    <t>TECHNICAL</t>
  </si>
  <si>
    <t>Cost in Nepal</t>
  </si>
  <si>
    <t>Gross Vehicle Weight (GVW) in kg</t>
  </si>
  <si>
    <t>Engine</t>
  </si>
  <si>
    <t>SZ 2600 Turbo DI; 4 stroke</t>
  </si>
  <si>
    <t>XD-3P F IDI Diesel</t>
  </si>
  <si>
    <t>483 DL TCIC Diesel</t>
  </si>
  <si>
    <t>483 DL Turbo</t>
  </si>
  <si>
    <t>Engine Capacity in cc</t>
  </si>
  <si>
    <t>Max Gross Power in BHP</t>
  </si>
  <si>
    <t>Suspension</t>
  </si>
  <si>
    <t>Front</t>
  </si>
  <si>
    <t>Independent, Torsion Bar</t>
  </si>
  <si>
    <t>Semi-elliptical Leaf type, Stabilizer bar</t>
  </si>
  <si>
    <t xml:space="preserve"> Independent, Torsion Bar </t>
  </si>
  <si>
    <t>Double wishbone type with torsion bar</t>
  </si>
  <si>
    <t>Rear</t>
  </si>
  <si>
    <t>Leaf Spring</t>
  </si>
  <si>
    <t>Semi-elliptical Leaf type</t>
  </si>
  <si>
    <t>5 link suspension with coil spring</t>
  </si>
  <si>
    <t>Turning Circle Radius in meter</t>
  </si>
  <si>
    <t>Ground Clearance in mm</t>
  </si>
  <si>
    <t>Seat capacity including Driver in nos.</t>
  </si>
  <si>
    <t>Wheel size (Rim)</t>
  </si>
  <si>
    <t>5.5 J X 15</t>
  </si>
  <si>
    <t>6J X 15</t>
  </si>
  <si>
    <t>Wheel base in mm</t>
  </si>
  <si>
    <t>Max. Gradeability at rated GVW in %</t>
  </si>
  <si>
    <t>FINANCIAL</t>
  </si>
  <si>
    <t>Cost of Vehicle including one time taxes</t>
  </si>
  <si>
    <t>Weight of equipment, Kg (for resale Purpose)</t>
  </si>
  <si>
    <t>Municipality Tax</t>
  </si>
  <si>
    <t>Pollution Test Charge</t>
  </si>
  <si>
    <t>Vehicle  Tax</t>
  </si>
  <si>
    <t>Sub-Total Taxes</t>
  </si>
  <si>
    <t>Insurance; @ 2% of (cost of vehicle minus one hundred thousand for vehicle) plus Rs. 2340 for upto 1000cc, Rs. 2510 for 1000cc to 16000cc and Rs. 2580 for 1600 to 3000cc for vehicle;  Rs. 1000 for third party insurance.</t>
  </si>
  <si>
    <t>Total of Insurance and Taxes</t>
  </si>
  <si>
    <t>Average Interest  on capital Investment on insurance and Taxes @ 10%</t>
  </si>
  <si>
    <t>Average Interest  on capital Investment on vehicle @ 10%</t>
  </si>
  <si>
    <t>Vehicle  cost-tire cost ,Rs</t>
  </si>
  <si>
    <t>Salvage value, Rs/Kg (for resale purpose) @ Rs. 15 per kg</t>
  </si>
  <si>
    <t>Life of Vehicle, Yrs.</t>
  </si>
  <si>
    <t>Estimated Annual Usage, KM</t>
  </si>
  <si>
    <t>Estimated Total KM run in life time of the Vehicle @ 30,000 km per year</t>
  </si>
  <si>
    <t>Depreciation ( straight line method= initial cost-cost of tires-salvage value/life of vehicle)</t>
  </si>
  <si>
    <t>Depreciation per km</t>
  </si>
  <si>
    <t>Number of Driver</t>
  </si>
  <si>
    <t>Salary of Driver, Rs/year @ 5000 per month</t>
  </si>
  <si>
    <t>Out staion allowances for the driver assuming average 10 days out stay per month and @ Rs. 150 per day. (Annual)</t>
  </si>
  <si>
    <t>Over time allowances, assuming 20 hours overtime in a month</t>
  </si>
  <si>
    <t>Driver's wages with allowances per annum</t>
  </si>
  <si>
    <t>Total Fixed Cost (Annual)</t>
  </si>
  <si>
    <t>Total Fixed Cost (Monthly)</t>
  </si>
  <si>
    <t>Total Fixed Cost (Monthly) without depreciation</t>
  </si>
  <si>
    <t>Fixed Cost per km</t>
  </si>
  <si>
    <t>No of tires considering 4 nos. of tires replaced at a time</t>
  </si>
  <si>
    <t>Price of tire, Rs/Unit</t>
  </si>
  <si>
    <t>Life of tire, KM</t>
  </si>
  <si>
    <t>Cost of tires</t>
  </si>
  <si>
    <t>Major repair and Overhaul cost @ 5 % of the cost of the vehicle without tire cost</t>
  </si>
  <si>
    <t>Preventive Maintenance &amp; Minor repair cost  @ 2 % of the cost of the vehicle without tire cost</t>
  </si>
  <si>
    <t>Fuel cost for the estimated use per year @ 10 Km per liter consumption and purchase rate @ Rs. 46.00 Per liter</t>
  </si>
  <si>
    <t>Toll Tax; assuming two trips in a month</t>
  </si>
  <si>
    <t>Fixed Cost per km without Depreciation</t>
  </si>
  <si>
    <t>Operating cost, Rs per year with fuel</t>
  </si>
  <si>
    <t>Operating cost, Rs per year without fuel</t>
  </si>
  <si>
    <t>Operating cost, Rs per month, with fuel</t>
  </si>
  <si>
    <t>Operating cost, Rs per month without fuel</t>
  </si>
  <si>
    <t>Operating cost, Rs per km with fuel</t>
  </si>
  <si>
    <t>Operating cost, Rs per km without fuel</t>
  </si>
  <si>
    <t>Rate for the extra run of the vehicle to be paid to the supplier with fuel (= operating cost + depriciation per km)</t>
  </si>
  <si>
    <t>Rate for the extra run of the vehicle to be paid to the supplier without  fuel (= operating cost + depriciation per km)</t>
  </si>
  <si>
    <t>Profit ( 20% on average investment)</t>
  </si>
  <si>
    <t>Toyota Land cruiser</t>
  </si>
  <si>
    <t xml:space="preserve">Nissan Petrol, ST </t>
  </si>
  <si>
    <t>Mitshubishi, Pajero</t>
  </si>
  <si>
    <t>Toyota Prado</t>
  </si>
  <si>
    <t>201 HP/150KW</t>
  </si>
  <si>
    <t>195 HP/145 KW</t>
  </si>
  <si>
    <t>125 HP/92  KW</t>
  </si>
  <si>
    <t>129 HP/96 KW</t>
  </si>
  <si>
    <t>Vehicle HIRE RATE for one Month (Minimum 2000 Km operation per month) with fuel ( = operating cost per km X1000 +fixed cost per month with depreciation for only 1000km)</t>
  </si>
  <si>
    <t>Total Fixed Cost (Monthly) with depreciation for only 2000 km</t>
  </si>
  <si>
    <t>Bitumen</t>
  </si>
  <si>
    <t>LS</t>
  </si>
  <si>
    <t>Kg</t>
  </si>
  <si>
    <t>Nuts &amp; Bolts</t>
  </si>
  <si>
    <t>Structural Steel</t>
  </si>
  <si>
    <t>SN</t>
  </si>
  <si>
    <t>Total</t>
  </si>
  <si>
    <t>No</t>
  </si>
  <si>
    <t>Length</t>
  </si>
  <si>
    <t>m3</t>
  </si>
  <si>
    <t>Cum</t>
  </si>
  <si>
    <t>Item No.</t>
  </si>
  <si>
    <t>Description of works</t>
  </si>
  <si>
    <t>unit</t>
  </si>
  <si>
    <t>skilled</t>
  </si>
  <si>
    <t>nos</t>
  </si>
  <si>
    <t xml:space="preserve"> RATE ANALYSIS</t>
  </si>
  <si>
    <t>Intermediate Cross Girder</t>
  </si>
  <si>
    <t xml:space="preserve">TRANSPORTATION RATES  </t>
  </si>
  <si>
    <t>Transportation by Truck</t>
  </si>
  <si>
    <t>Unit :1 cu.m</t>
  </si>
  <si>
    <t>Unskilled labour</t>
  </si>
  <si>
    <t>skilled labour</t>
  </si>
  <si>
    <t>Cost</t>
  </si>
  <si>
    <t>Remark</t>
  </si>
  <si>
    <t>Unit :1 ton</t>
  </si>
  <si>
    <t>Unit :m3</t>
  </si>
  <si>
    <t>Unit :m</t>
  </si>
  <si>
    <t>General</t>
  </si>
  <si>
    <t>m2</t>
  </si>
  <si>
    <r>
      <t>m</t>
    </r>
    <r>
      <rPr>
        <vertAlign val="superscript"/>
        <sz val="10"/>
        <rFont val="Arial"/>
        <family val="2"/>
      </rPr>
      <t>2</t>
    </r>
  </si>
  <si>
    <t>Left Abutment</t>
  </si>
  <si>
    <t>Right Abutment</t>
  </si>
  <si>
    <t>t</t>
  </si>
  <si>
    <t>Clamp</t>
  </si>
  <si>
    <t>no</t>
  </si>
  <si>
    <t xml:space="preserve"> QUANTITY CALCULATION </t>
  </si>
  <si>
    <t>Length
(m)</t>
  </si>
  <si>
    <t>Breadth
(m)</t>
  </si>
  <si>
    <t>Height
(m)</t>
  </si>
  <si>
    <t>Deduction for filter materials</t>
  </si>
  <si>
    <t>Below RCC Approach Slabs</t>
  </si>
  <si>
    <t>Approach slab</t>
  </si>
  <si>
    <t>PART 03: SUB STRUCTURE</t>
  </si>
  <si>
    <t>Return Walls</t>
  </si>
  <si>
    <t>Stoppers at Abutments</t>
  </si>
  <si>
    <t>Abutments Stem front side</t>
  </si>
  <si>
    <t>Stem back side</t>
  </si>
  <si>
    <t>Stem end sides</t>
  </si>
  <si>
    <t>PART 05: RIVER TRAINING / SCOUR PROTECTION WORKS</t>
  </si>
  <si>
    <t>PART 06: APPROACH ROAD WORKS</t>
  </si>
  <si>
    <t>Anti- Stripping</t>
  </si>
  <si>
    <t>75 mm</t>
  </si>
  <si>
    <t>GI Pipe Medium class</t>
  </si>
  <si>
    <t>Spec .cl.No:907</t>
  </si>
  <si>
    <t>Spec .cl.No:2000</t>
  </si>
  <si>
    <t>Providing and laying reinforcement including Cutting, bending, binding, fixing in position and lead 30m etc all complete as per specification and drawing. (diameter above 8mm upto 16mm).</t>
  </si>
  <si>
    <t>Spec .cl.No:1804,1805</t>
  </si>
  <si>
    <t>Spec .cl.No:1803</t>
  </si>
  <si>
    <t>Spec .cl.No:1901</t>
  </si>
  <si>
    <t>Spec .cl.No:1902</t>
  </si>
  <si>
    <t>Spec .cl.No:1201</t>
  </si>
  <si>
    <t>Providing and installing safety barrier of guard rail (steel w-beam with concrete posts) and painting of rails as per drawing and specification, all complete</t>
  </si>
  <si>
    <t>Backfilling with common filters material in layers in foundation pits, trenches etc. including compaction and watering, all complete(ss/sp-908)</t>
  </si>
  <si>
    <t>Providing and laying Reinforcement bars  TMT (Fe 500) including cutting, bending, binding, fixing in position etc, all complete(ss/sp-2000)</t>
  </si>
  <si>
    <t>Boiler</t>
  </si>
  <si>
    <t>Excavation in foundation in all types of  soil including haulage, dewatering and disposal up to 1 km at appropriate location(SS/SP-907)</t>
  </si>
  <si>
    <t>job</t>
  </si>
  <si>
    <t>PS</t>
  </si>
  <si>
    <t>PART 02: FOUNDATION</t>
  </si>
  <si>
    <t>MS pipes 40-50 mm dia</t>
  </si>
  <si>
    <t>Mt</t>
  </si>
  <si>
    <t>Unit :1 Ton</t>
  </si>
  <si>
    <t>S.No</t>
  </si>
  <si>
    <t>Foundation Works</t>
  </si>
  <si>
    <t>Sub-Structural Works</t>
  </si>
  <si>
    <t>Super-Structural Works</t>
  </si>
  <si>
    <t>River Training Works</t>
  </si>
  <si>
    <t>Miscellaneous Works</t>
  </si>
  <si>
    <t>petrol</t>
  </si>
  <si>
    <t>diesel</t>
  </si>
  <si>
    <t>PART01: FOUNDATION</t>
  </si>
  <si>
    <t>PART02: SUB-STRUCTURE</t>
  </si>
  <si>
    <t>PART03: SUPER-STRUCTURE</t>
  </si>
  <si>
    <t>-</t>
  </si>
  <si>
    <t>Activity  No:</t>
  </si>
  <si>
    <t>RM</t>
  </si>
  <si>
    <t>MD</t>
  </si>
  <si>
    <t>Backfilling with the common material in layers in foundation pits, trenches etc. with necessary watering and compaction.(ss/sp-908)</t>
  </si>
  <si>
    <t>cu.m.</t>
  </si>
  <si>
    <t>Unit:</t>
  </si>
  <si>
    <t>Provision of Insurances as specified in the Contract Documents, as per specification.</t>
  </si>
  <si>
    <t>Provide, operate and maintain Quality Control laboratory including equipment, accessories and consumables for both field testing facilities and off-site tests with manpower as per specification.</t>
  </si>
  <si>
    <t>Relocation of services/minor infrastructures,as per specification.</t>
  </si>
  <si>
    <t>Provide photographs of the works, as per specification.</t>
  </si>
  <si>
    <t>mth</t>
  </si>
  <si>
    <t>ABSTRACT OF COST</t>
  </si>
  <si>
    <t>SS/SP Clause Ref.</t>
  </si>
  <si>
    <t>1. General</t>
  </si>
  <si>
    <t>No.</t>
  </si>
  <si>
    <t>Sub Total 1</t>
  </si>
  <si>
    <t>2. Foundation Works</t>
  </si>
  <si>
    <t>Sqm.</t>
  </si>
  <si>
    <t>Sub Total 2</t>
  </si>
  <si>
    <t>3. Sub Structural Works</t>
  </si>
  <si>
    <t>Sub Total 3</t>
  </si>
  <si>
    <t>Sub Total 4</t>
  </si>
  <si>
    <t>5. River Training Works</t>
  </si>
  <si>
    <t xml:space="preserve"> 6. Approach Road</t>
  </si>
  <si>
    <t>Sub Total 5</t>
  </si>
  <si>
    <t>Sub Total 8</t>
  </si>
  <si>
    <t>a) Skilled labour (Mason, Carpenter, mechanics etc.)</t>
  </si>
  <si>
    <t>b) Unskilled labour (Including Unskilled, helpers, assistant operators etc.)</t>
  </si>
  <si>
    <t>a) Tipper Truck (5~10 cum)</t>
  </si>
  <si>
    <t>Hr.</t>
  </si>
  <si>
    <t>b) Loader (1.5~2 cum)</t>
  </si>
  <si>
    <t>c) Excavator (0.5~1.0 cum)</t>
  </si>
  <si>
    <t>Provisional Sum</t>
  </si>
  <si>
    <t xml:space="preserve"> Total excluding P.S.</t>
  </si>
  <si>
    <t>VAT @ 13% of Total</t>
  </si>
  <si>
    <t>Grand Total including VAT, contigencies</t>
  </si>
  <si>
    <t>Day Works</t>
  </si>
  <si>
    <t>Rate NRs.</t>
  </si>
  <si>
    <t>Boulder/stone</t>
  </si>
  <si>
    <t>S No</t>
  </si>
  <si>
    <t>Providing , Preparing and Installing form work [Class F2 finish] including necessary supports and removing after completion  for Substructure, all complete.(ss/sp-1804,1805)</t>
  </si>
  <si>
    <t>PART 08: MISCELLANEOUS WORKS</t>
  </si>
  <si>
    <t>502, 504</t>
  </si>
  <si>
    <t xml:space="preserve">Providing and assembling in position falsework for the construction of RCC superstructure and removing after completion all complete using steel as per drawing and specification. </t>
  </si>
  <si>
    <t>Lower area of bridge</t>
  </si>
  <si>
    <t>Summary of Cost Estimate</t>
  </si>
  <si>
    <t>Approach Road</t>
  </si>
  <si>
    <t>16) a) RCC Hume Pipe (900mm Dia)</t>
  </si>
  <si>
    <t>16) b)  RCC Hume Pipe (750mm Dia)</t>
  </si>
  <si>
    <t>16) c) RCC Hume Pipe (600mm Dia)</t>
  </si>
  <si>
    <t>Provide, installation and demolition after completion of work of project signboard with size of 1.8*1.2m as per specification.</t>
  </si>
  <si>
    <t>Abutment stems, Cap, Dirt Wall</t>
  </si>
  <si>
    <t>Bearing Pedestral on abutments, Long sides</t>
  </si>
  <si>
    <t>a) For River Training work</t>
  </si>
  <si>
    <t>Fillet Vertical</t>
  </si>
  <si>
    <t>Fillet Horizontal</t>
  </si>
  <si>
    <t>Return Wall outer faces</t>
  </si>
  <si>
    <t>Return Wall inner faces</t>
  </si>
  <si>
    <t>Engineer</t>
  </si>
  <si>
    <t>Technician</t>
  </si>
  <si>
    <t>Tendon sheath</t>
  </si>
  <si>
    <t>Grouting pump</t>
  </si>
  <si>
    <t>Anchorage assembly</t>
  </si>
  <si>
    <t>Tendon Wire</t>
  </si>
  <si>
    <t>Span=</t>
  </si>
  <si>
    <t>No. of spans=</t>
  </si>
  <si>
    <t xml:space="preserve">Left Abutment </t>
  </si>
  <si>
    <t>h1</t>
  </si>
  <si>
    <t>h2</t>
  </si>
  <si>
    <t>h3</t>
  </si>
  <si>
    <t>h4</t>
  </si>
  <si>
    <t>h5</t>
  </si>
  <si>
    <t>b1</t>
  </si>
  <si>
    <t>Abutment width</t>
  </si>
  <si>
    <t>b1'</t>
  </si>
  <si>
    <t>h1'</t>
  </si>
  <si>
    <t>h2'</t>
  </si>
  <si>
    <t>D</t>
  </si>
  <si>
    <t>Providing and laying dry stone soling works all complete as directed by the engineer.(SS/SP 2600)</t>
  </si>
  <si>
    <t>Supply and place machine mixed lean concrete Grade M10/40 including dewatering, mixing, laying,compacting, curing and testing, all complete(ss/sp-2000).</t>
  </si>
  <si>
    <t xml:space="preserve">Abutment stem </t>
  </si>
  <si>
    <t xml:space="preserve">Right Abutment </t>
  </si>
  <si>
    <t>Abutment Cap</t>
  </si>
  <si>
    <t>Abutment Stopper</t>
  </si>
  <si>
    <t>b1"</t>
  </si>
  <si>
    <t>b2"</t>
  </si>
  <si>
    <t>h1"</t>
  </si>
  <si>
    <t>h2"</t>
  </si>
  <si>
    <t>RCC T-Girder Superstructure</t>
  </si>
  <si>
    <t>Prestressed Concrete Superstructure</t>
  </si>
  <si>
    <t>Superstructure Particulars</t>
  </si>
  <si>
    <t>Span</t>
  </si>
  <si>
    <t>Main Girder</t>
  </si>
  <si>
    <t>Full Height</t>
  </si>
  <si>
    <t>Width</t>
  </si>
  <si>
    <t>In-to-In spacing between main girders</t>
  </si>
  <si>
    <t>Vertical Side of bulb</t>
  </si>
  <si>
    <t>Sloping Sides of bulb</t>
  </si>
  <si>
    <t>Vertical Side of Web between deck slab and bulb</t>
  </si>
  <si>
    <t>mm</t>
  </si>
  <si>
    <t>Splayed Part</t>
  </si>
  <si>
    <t>End part</t>
  </si>
  <si>
    <t>Clear Depth</t>
  </si>
  <si>
    <t>Slanted Length</t>
  </si>
  <si>
    <t>Cantilever Vertical Face Area</t>
  </si>
  <si>
    <t>C/C Spacing</t>
  </si>
  <si>
    <t>In-to-In Spacing</t>
  </si>
  <si>
    <t>Clear Height</t>
  </si>
  <si>
    <t>End Cross Girder</t>
  </si>
  <si>
    <t>C/C Spacing off the intermediate girder</t>
  </si>
  <si>
    <t>In-to-In Spacing off the intermediate girder</t>
  </si>
  <si>
    <t>Deck</t>
  </si>
  <si>
    <t>Total Width</t>
  </si>
  <si>
    <t>Depth at Edge</t>
  </si>
  <si>
    <t>Depth at Ends</t>
  </si>
  <si>
    <t>Along the soffit of interior panel</t>
  </si>
  <si>
    <t>Along the soffit of cantilever panel</t>
  </si>
  <si>
    <t>Extension off the end cross girder</t>
  </si>
  <si>
    <t>No of RCC Parapet Posts</t>
  </si>
  <si>
    <t>No. of Precast Footpath Slabs</t>
  </si>
  <si>
    <t>Length of Precast Footpath Slab</t>
  </si>
  <si>
    <t>Width of Precast Footpath Slab</t>
  </si>
  <si>
    <t>Quantities</t>
  </si>
  <si>
    <t>M35 in RC, 2-Webbed slab deck</t>
  </si>
  <si>
    <t>M35 in Precast RC Footpath Slabs, Kerbs, Railing Posts and their bases</t>
  </si>
  <si>
    <t>Reinforcemnt Bars, HYSD, TMT, minimum 0.2% proof stress Fe500</t>
  </si>
  <si>
    <t>T</t>
  </si>
  <si>
    <t>Expansion Joint 20mm</t>
  </si>
  <si>
    <t>POT Fixed Bearings</t>
  </si>
  <si>
    <t>Asphaltic Wearing Course 62.5 mm</t>
  </si>
  <si>
    <t>M45 in RC, 2-Webbed slab deck</t>
  </si>
  <si>
    <t>75mm dia. GI Pipe</t>
  </si>
  <si>
    <t>Drainage spouts each 450mm long, 100mm dia. GI Pipe</t>
  </si>
  <si>
    <t>Untensioned Reinforcement Bars, HYSD, TMT, minimum 0.2% proof stress Fe500</t>
  </si>
  <si>
    <t>Prestressing mutistranded cables</t>
  </si>
  <si>
    <t>Sheathing, corrugated "HDPE" type, 90 mm internal dia.</t>
  </si>
  <si>
    <t>Anchorages for 19-stranded multistoried cables</t>
  </si>
  <si>
    <t>sets</t>
  </si>
  <si>
    <t>POT - PTFE Free Bearing</t>
  </si>
  <si>
    <t>Central Bulb part (Length c/c)</t>
  </si>
  <si>
    <t>Exterior Bulb part (Length c/c)</t>
  </si>
  <si>
    <t>Web Width</t>
  </si>
  <si>
    <t>Web width</t>
  </si>
  <si>
    <t>No. of railing posts</t>
  </si>
  <si>
    <t>Desccription of Item:</t>
  </si>
  <si>
    <t>Bulb part (Length c/c)Section 3-3)</t>
  </si>
  <si>
    <t>End part (Section 2-2)</t>
  </si>
  <si>
    <r>
      <t>mixer (0.28/0.2 m</t>
    </r>
    <r>
      <rPr>
        <vertAlign val="superscript"/>
        <sz val="10"/>
        <rFont val="Calibri"/>
        <family val="2"/>
      </rPr>
      <t>3</t>
    </r>
    <r>
      <rPr>
        <sz val="10"/>
        <rFont val="Calibri"/>
        <family val="2"/>
      </rPr>
      <t>)</t>
    </r>
  </si>
  <si>
    <r>
      <t>m</t>
    </r>
    <r>
      <rPr>
        <vertAlign val="superscript"/>
        <sz val="10"/>
        <rFont val="Calibri"/>
        <family val="2"/>
      </rPr>
      <t>3</t>
    </r>
  </si>
  <si>
    <t>RIGHT ABUTMENT</t>
  </si>
  <si>
    <t>Behind Left abutment</t>
  </si>
  <si>
    <t>Deduction for return wall</t>
  </si>
  <si>
    <t>Behind Right Abutment</t>
  </si>
  <si>
    <t>Left abutment</t>
  </si>
  <si>
    <t>Provision of Insurances as specified in the Contract Documents, as per specification. [SS-100]</t>
  </si>
  <si>
    <t>Provide, operate and maintain Quality Control laboratory including equipment, accessories and consumables for both field testing facilities and off-site tests with manpower as per specification. [SS/SP-511]</t>
  </si>
  <si>
    <t>Relocation of services/minor infrastructures,as per specification. [SS/SP-103]</t>
  </si>
  <si>
    <r>
      <t xml:space="preserve">Providing and Laying  </t>
    </r>
    <r>
      <rPr>
        <b/>
        <sz val="10"/>
        <rFont val="Arial"/>
        <family val="2"/>
      </rPr>
      <t>Reinforcement</t>
    </r>
    <r>
      <rPr>
        <sz val="10"/>
        <rFont val="Arial"/>
        <family val="2"/>
      </rPr>
      <t xml:space="preserve"> </t>
    </r>
    <r>
      <rPr>
        <b/>
        <sz val="10"/>
        <rFont val="Arial"/>
        <family val="2"/>
      </rPr>
      <t xml:space="preserve"> bars TMT (Fe 500)</t>
    </r>
    <r>
      <rPr>
        <sz val="10"/>
        <rFont val="Arial"/>
        <family val="2"/>
      </rPr>
      <t xml:space="preserve"> including cutting, bending, binding,  fixing in position and required lead etc. all complete as per drawing and specification.[2000]</t>
    </r>
  </si>
  <si>
    <r>
      <t xml:space="preserve">Providing , Preparing and Installing form work </t>
    </r>
    <r>
      <rPr>
        <b/>
        <sz val="10"/>
        <rFont val="Arial"/>
        <family val="2"/>
      </rPr>
      <t>[Class F2 finish]</t>
    </r>
    <r>
      <rPr>
        <sz val="10"/>
        <rFont val="Arial"/>
        <family val="2"/>
      </rPr>
      <t xml:space="preserve"> including necessary supports and removing after completion  for Substructure, all complete as per drawing and specification..[1804,1805]</t>
    </r>
  </si>
  <si>
    <t>Backfilling with graded filter material in layer behind the structures including compaction and watering, all complete(ss/sp-2400)</t>
  </si>
  <si>
    <t>Backfilling  with the common material in layers in foundation pits, trenches etc. inclunding necessary watering and compaction, all complete, as per drawing and specification.[900]</t>
  </si>
  <si>
    <t>Providing , laying and fixing of geotextile (filter fabrics) all complete as per drawing and specification. [2400]</t>
  </si>
  <si>
    <t>Providing , Laying and Fixing of geotextile (filter fabrics) all complete as per drawing and specification. [2400]</t>
  </si>
  <si>
    <t>Excavation in Filling for Embankment</t>
  </si>
  <si>
    <t>Sub Total 6</t>
  </si>
  <si>
    <t xml:space="preserve">Wing Wall </t>
  </si>
  <si>
    <t>12mm th. plywood</t>
  </si>
  <si>
    <t xml:space="preserve">Span of bridge </t>
  </si>
  <si>
    <t xml:space="preserve">Total Number of span </t>
  </si>
  <si>
    <t xml:space="preserve">Client Name </t>
  </si>
  <si>
    <t>Ministry</t>
  </si>
  <si>
    <t xml:space="preserve">Location </t>
  </si>
  <si>
    <t>Amount
(NRs)</t>
  </si>
  <si>
    <t>Rate
(NRs)</t>
  </si>
  <si>
    <t>Name of Bridge</t>
  </si>
  <si>
    <t xml:space="preserve">Type of bridge </t>
  </si>
  <si>
    <t>Number of Girder</t>
  </si>
  <si>
    <t>Providing , Preparing and Installing form work  [Class F1 finish] including necessary supports and removing after completion  for Substructure.(ss/sp-1804,1805)</t>
  </si>
  <si>
    <t>Providing Elastomeric Slab Seal type  expansion joint  as per drawing and specification all complete.</t>
  </si>
  <si>
    <t>h1 (m)</t>
  </si>
  <si>
    <t>h2 (m)</t>
  </si>
  <si>
    <t>h3(m)</t>
  </si>
  <si>
    <t>h4(m)</t>
  </si>
  <si>
    <t>h5(m)</t>
  </si>
  <si>
    <t>h6 (m)</t>
  </si>
  <si>
    <t>b1(m)</t>
  </si>
  <si>
    <t>b2 (m)</t>
  </si>
  <si>
    <t>b3 (m)</t>
  </si>
  <si>
    <t>b4(m)</t>
  </si>
  <si>
    <t>b5 (m)</t>
  </si>
  <si>
    <t>b6 (m)</t>
  </si>
  <si>
    <t>b7 (m)</t>
  </si>
  <si>
    <t>b8 (m)</t>
  </si>
  <si>
    <t>b9 (m)</t>
  </si>
  <si>
    <t xml:space="preserve">Filling for road </t>
  </si>
  <si>
    <t>Enviromental protection works/Project manager as stated in specification/Special provisions[109]</t>
  </si>
  <si>
    <t xml:space="preserve">Client </t>
  </si>
  <si>
    <t>Width of carriageway</t>
  </si>
  <si>
    <t>=</t>
  </si>
  <si>
    <t>Width of Footpath</t>
  </si>
  <si>
    <t>Total width of bridge</t>
  </si>
  <si>
    <t xml:space="preserve">Approach Slab </t>
  </si>
  <si>
    <t xml:space="preserve">Width </t>
  </si>
  <si>
    <t xml:space="preserve">Depth </t>
  </si>
  <si>
    <t xml:space="preserve">Length </t>
  </si>
  <si>
    <t>Grade of Concerete for sub Structure</t>
  </si>
  <si>
    <t xml:space="preserve">Foundation Type </t>
  </si>
  <si>
    <t xml:space="preserve">Bridge type </t>
  </si>
  <si>
    <t>31-7</t>
  </si>
  <si>
    <t>FILTER MATERIALS</t>
  </si>
  <si>
    <t>WEEP HOLES</t>
  </si>
  <si>
    <t>31-6</t>
  </si>
  <si>
    <t>UTILITY FACILITIES</t>
  </si>
  <si>
    <t>31-5</t>
  </si>
  <si>
    <t>DRAINAGE SPOUTS</t>
  </si>
  <si>
    <t>APPROACH SLAB</t>
  </si>
  <si>
    <t>31-3</t>
  </si>
  <si>
    <t>RAILINGS</t>
  </si>
  <si>
    <t>31-2</t>
  </si>
  <si>
    <t>WEARING COAT</t>
  </si>
  <si>
    <t>31-1</t>
  </si>
  <si>
    <t>OPEN JOINT, FILLED JOINTS, BOARD FILLERS AND SHEET PACKING</t>
  </si>
  <si>
    <t>PRECAST MEMBERS</t>
  </si>
  <si>
    <t>SCOPE</t>
  </si>
  <si>
    <t>SECTION 3100: MISCELLANEOUS WORKS</t>
  </si>
  <si>
    <t>30-11</t>
  </si>
  <si>
    <t>PAYMENT</t>
  </si>
  <si>
    <t>MEASUREMENT</t>
  </si>
  <si>
    <t>CONCLUSIONS AND RECOMMENDATIONS</t>
  </si>
  <si>
    <t>WATER SAMPLES</t>
  </si>
  <si>
    <t>30-10</t>
  </si>
  <si>
    <t>LABORATORY TESTING</t>
  </si>
  <si>
    <t>30-2</t>
  </si>
  <si>
    <t>METHOD OF EXPLORATIONS</t>
  </si>
  <si>
    <t>30-1</t>
  </si>
  <si>
    <t>FIELD INVESTIGATION</t>
  </si>
  <si>
    <t>SECTION 3000: SUB- SURFACE GEOTECHNICAL INVESTIGATION</t>
  </si>
  <si>
    <t>29-22</t>
  </si>
  <si>
    <t>PERFORMANCE -BASED MAINTENANCE OF ROAD</t>
  </si>
  <si>
    <t>RESTORATION OF RAIN CUTS</t>
  </si>
  <si>
    <t>29-21</t>
  </si>
  <si>
    <t>MINOR MAINTENANCE/ REPAIR OF ROAD FURNITURE</t>
  </si>
  <si>
    <t>29-19</t>
  </si>
  <si>
    <t>MINOR MAINTENANCE/ REPAIR OF STRUCTURE</t>
  </si>
  <si>
    <t>MAINTENANCE OF EARTHEN SHOULDERS</t>
  </si>
  <si>
    <t>29-18</t>
  </si>
  <si>
    <t>REPAIR OF BRICK SHOULDERS/FOOTPATHS</t>
  </si>
  <si>
    <t>29-17</t>
  </si>
  <si>
    <t>MAINTENANCE OF GRAVEL SHOULDERS AND GRAVEL CARRIAGEWAY</t>
  </si>
  <si>
    <t>29-6</t>
  </si>
  <si>
    <t>BITUMINOUS WORK FOR MAINTENANCE AND REPAIR</t>
  </si>
  <si>
    <t>29-3</t>
  </si>
  <si>
    <t>ROUTINE / REGULAR MAINTENANCE</t>
  </si>
  <si>
    <t>29-1</t>
  </si>
  <si>
    <t>SECTION 2900: MAINTENANCE OF ROADS</t>
  </si>
  <si>
    <t>28-39</t>
  </si>
  <si>
    <t>TURFING WITH SODS</t>
  </si>
  <si>
    <t>28-38</t>
  </si>
  <si>
    <t>SITE AFTERCARE AND MAINTENANCE</t>
  </si>
  <si>
    <t>28-35</t>
  </si>
  <si>
    <t>SITE PROTECTION</t>
  </si>
  <si>
    <t>28-32</t>
  </si>
  <si>
    <t>GABION WIRE BOLSTERS, SUB-SOIL DRAINS AND WIRE NETTING</t>
  </si>
  <si>
    <t>28-29</t>
  </si>
  <si>
    <t>JUTE NETTING WORKS</t>
  </si>
  <si>
    <t>28-17</t>
  </si>
  <si>
    <t>SITE PLANTING AND SOWING</t>
  </si>
  <si>
    <t>28-15</t>
  </si>
  <si>
    <t>FINAL SLOPE PREPARATION FOR BI-ENGINEERING</t>
  </si>
  <si>
    <t>28-11</t>
  </si>
  <si>
    <t>NURSERY OPERATION AND MANAGEMENT</t>
  </si>
  <si>
    <t>28-8</t>
  </si>
  <si>
    <t>NURSERY CONSTRUCTION</t>
  </si>
  <si>
    <t>28-3</t>
  </si>
  <si>
    <t>PROVISION OF PLANT CUTTINGS</t>
  </si>
  <si>
    <t>28-1</t>
  </si>
  <si>
    <t>PROVISION OF SEEDS</t>
  </si>
  <si>
    <t>SECTION 2800: BIO ENGINEERING WORKS</t>
  </si>
  <si>
    <t>27-28</t>
  </si>
  <si>
    <t>REPAIR OF STEEL BEARINGS</t>
  </si>
  <si>
    <t>27-27</t>
  </si>
  <si>
    <t>PROTECTION OF STEEL STRUCTURES AGAINST CORROSION</t>
  </si>
  <si>
    <t>27-21</t>
  </si>
  <si>
    <t>PAINTING OF STEEL BRIDES</t>
  </si>
  <si>
    <t>27-20</t>
  </si>
  <si>
    <t>REPAIR AND REPLACEMENT OF WEARING COAT</t>
  </si>
  <si>
    <t>REPLACEMENT/RECTIFICATION OF BEARING</t>
  </si>
  <si>
    <t>27-18</t>
  </si>
  <si>
    <t>GUNITING/SHOTCRETE</t>
  </si>
  <si>
    <t>27-16</t>
  </si>
  <si>
    <t>CEMENT GROUTING</t>
  </si>
  <si>
    <t>27-15</t>
  </si>
  <si>
    <t>EPOXY BONDING OF NEW CONCRETE TO OLD CONCRETE</t>
  </si>
  <si>
    <t>EPOXY MORTAR /POLYMER MORTAR FOR REPLACEMENT OF SPALLED CONCRETE</t>
  </si>
  <si>
    <t>27-7</t>
  </si>
  <si>
    <t>SEALING OF CRACKS BY INJECTION OF EPOXY RESIN</t>
  </si>
  <si>
    <t>27-3</t>
  </si>
  <si>
    <t xml:space="preserve"> REPLACEMENT CONCRETE FOR THE SIDES AND SOFFITS OF DIAPHRAGMS, AND SOFFITS OF DECKS</t>
  </si>
  <si>
    <t>27-2</t>
  </si>
  <si>
    <t xml:space="preserve"> PLACEMENT OF CONCRETE FOR BRIDGE DECKS</t>
  </si>
  <si>
    <t>27-1</t>
  </si>
  <si>
    <t xml:space="preserve"> REPAIR OF MINOR DEFECT IN REINFORCED CONCRETE</t>
  </si>
  <si>
    <t xml:space="preserve"> GENERAL</t>
  </si>
  <si>
    <t xml:space="preserve"> SCOPE</t>
  </si>
  <si>
    <t>SECTION 2700: REPAIR OF STRUCTURES</t>
  </si>
  <si>
    <t>26-42</t>
  </si>
  <si>
    <t xml:space="preserve"> PAYMENT</t>
  </si>
  <si>
    <t>26-4</t>
  </si>
  <si>
    <t xml:space="preserve"> MEASUREMENT</t>
  </si>
  <si>
    <t xml:space="preserve"> TEST AND STANDARD OF ACCEPTANCE</t>
  </si>
  <si>
    <t xml:space="preserve"> COMPOSITE RANDOM RUBBLE</t>
  </si>
  <si>
    <t xml:space="preserve"> DRY RANDOM RUBBLE</t>
  </si>
  <si>
    <t>26-3</t>
  </si>
  <si>
    <t xml:space="preserve"> RANDOM RUBBLE-COURSED OR UNCOURSED</t>
  </si>
  <si>
    <t xml:space="preserve"> SQUARE RUBBLE-COURSED OR BROKEN COURSE</t>
  </si>
  <si>
    <t xml:space="preserve"> BLOCK-IN-COURSE</t>
  </si>
  <si>
    <t xml:space="preserve"> ASHLAR</t>
  </si>
  <si>
    <t>26-1</t>
  </si>
  <si>
    <t xml:space="preserve"> CONSTRUCTION</t>
  </si>
  <si>
    <t xml:space="preserve"> MATERIALS</t>
  </si>
  <si>
    <t>SECTION 2600: MASONRY FOR STRUCTURES</t>
  </si>
  <si>
    <t>25-4</t>
  </si>
  <si>
    <t>25-3</t>
  </si>
  <si>
    <t xml:space="preserve"> FINISHING OF SURFACES</t>
  </si>
  <si>
    <t xml:space="preserve"> CONDITION OF EQUIPMENT</t>
  </si>
  <si>
    <t xml:space="preserve"> SCAFFOLDING</t>
  </si>
  <si>
    <t xml:space="preserve"> CURING</t>
  </si>
  <si>
    <t>25-2</t>
  </si>
  <si>
    <t xml:space="preserve"> JOINTING WITH EXISTING STRUCTURES</t>
  </si>
  <si>
    <t xml:space="preserve"> JOINTS</t>
  </si>
  <si>
    <t xml:space="preserve"> LAYING OF BRICKS</t>
  </si>
  <si>
    <t xml:space="preserve"> SOAKING OF BRICKS</t>
  </si>
  <si>
    <t>25-1</t>
  </si>
  <si>
    <t>MATERIALS</t>
  </si>
  <si>
    <t>SECTION 2500: BRICKWORKS FOR STRUCTURES</t>
  </si>
  <si>
    <t>24 - 56</t>
  </si>
  <si>
    <t>. SCOUR PROTECTION AND RIVER TRAINING WORKS</t>
  </si>
  <si>
    <t>DRILLED SUB-SURFACE DRAINS</t>
  </si>
  <si>
    <t>24 - 52</t>
  </si>
  <si>
    <t>SUB-SURFACE DRAINS</t>
  </si>
  <si>
    <t>24 - 46</t>
  </si>
  <si>
    <t>SLOPE STABILISATION AND SURFACE EROSION PROTECTION</t>
  </si>
  <si>
    <t>24 - 44</t>
  </si>
  <si>
    <t>CRIB WALLS</t>
  </si>
  <si>
    <t>24 - 33</t>
  </si>
  <si>
    <t>SOIL NAILING SYSTEM (WITH SEMI-FLEXIBLE D GALVANIZED STEEL MAT) FOR SLOPE PROTECTION</t>
  </si>
  <si>
    <t>24 - 29</t>
  </si>
  <si>
    <t>PAVING FABRICS/GLASS GRIDS</t>
  </si>
  <si>
    <t>24 – 28</t>
  </si>
  <si>
    <t>NATURAL GEOTEXTILE</t>
  </si>
  <si>
    <t>24 – 26</t>
  </si>
  <si>
    <t>GEOSYNTHETIC MAT</t>
  </si>
  <si>
    <t>24 -25</t>
  </si>
  <si>
    <t>GEOCELL FOR SLOPE PROTECTION</t>
  </si>
  <si>
    <t>24 - 22</t>
  </si>
  <si>
    <t>GEO - COMPOSITE DRAINS</t>
  </si>
  <si>
    <t>24 - 21</t>
  </si>
  <si>
    <t>GEOGRID</t>
  </si>
  <si>
    <t>24 - 18</t>
  </si>
  <si>
    <t>GEOTEXTILES FOR FILTRATION, DRAINAGE, AND SEPARATION</t>
  </si>
  <si>
    <t>24 - 14</t>
  </si>
  <si>
    <t>GEOSYNTHETICS FOR ROAD AND BRIDGE WORKS</t>
  </si>
  <si>
    <t>24 - 5</t>
  </si>
  <si>
    <t>MECHANICALLY WOVEN CRATES (GABIONS AND MATTRESS)</t>
  </si>
  <si>
    <t>24 - 1</t>
  </si>
  <si>
    <t>MANUAL WOVEN GABIONS</t>
  </si>
  <si>
    <t>SECTION 2400 – RIVER TRAINING AND PROTECTION WORKS</t>
  </si>
  <si>
    <t>23-3</t>
  </si>
  <si>
    <t>23-2</t>
  </si>
  <si>
    <t>. TESTS AND STANDARDS OF ACCEPTANCE</t>
  </si>
  <si>
    <t>CONSTRUCTION</t>
  </si>
  <si>
    <t>23-1</t>
  </si>
  <si>
    <t>SECTION 2300 –TIMBER CONSTRUCTION</t>
  </si>
  <si>
    <t>22-33</t>
  </si>
  <si>
    <t>22-32</t>
  </si>
  <si>
    <t>22-27</t>
  </si>
  <si>
    <t xml:space="preserve"> PAINTING</t>
  </si>
  <si>
    <t>22-19</t>
  </si>
  <si>
    <t xml:space="preserve"> ERECTION</t>
  </si>
  <si>
    <t>22-4</t>
  </si>
  <si>
    <t xml:space="preserve"> FABRICATION</t>
  </si>
  <si>
    <t>22-1</t>
  </si>
  <si>
    <t>SECTION 2200: STRUCTURAL STEEL WORK</t>
  </si>
  <si>
    <t>21-23</t>
  </si>
  <si>
    <t>21-22</t>
  </si>
  <si>
    <t xml:space="preserve"> TESTS AND STANDARDS OF ACCEPTANCE</t>
  </si>
  <si>
    <t xml:space="preserve"> TOLERANCES</t>
  </si>
  <si>
    <t>21-21</t>
  </si>
  <si>
    <t xml:space="preserve"> TRANSPORTATION STORAGE AND HANDLING OF PRECAST GIRDERS</t>
  </si>
  <si>
    <t xml:space="preserve"> SURFACE PREPARATION</t>
  </si>
  <si>
    <t xml:space="preserve"> SAFETY PRECAUTIONS DURING TENSIONING</t>
  </si>
  <si>
    <t>21-20</t>
  </si>
  <si>
    <t xml:space="preserve"> PROTECTION OF ENDS</t>
  </si>
  <si>
    <t>21-17</t>
  </si>
  <si>
    <t xml:space="preserve"> PRE-TENSIONING</t>
  </si>
  <si>
    <t>21-9</t>
  </si>
  <si>
    <t xml:space="preserve"> GROUTING OF PRE- STRESSED TENDONS</t>
  </si>
  <si>
    <t>21-8</t>
  </si>
  <si>
    <t xml:space="preserve"> POST-TENSIONING</t>
  </si>
  <si>
    <t>21-7</t>
  </si>
  <si>
    <t xml:space="preserve"> TENSIONING EQUIPMENT</t>
  </si>
  <si>
    <t xml:space="preserve"> SUPERVISION</t>
  </si>
  <si>
    <t>21-4</t>
  </si>
  <si>
    <t xml:space="preserve"> WORKING PROCEDURE</t>
  </si>
  <si>
    <t xml:space="preserve"> TESTING OF PRE-STRESSING STEEL AND ANCHORAGES</t>
  </si>
  <si>
    <t>21-1</t>
  </si>
  <si>
    <t>SECTION 2100: PRE-STRESSING</t>
  </si>
  <si>
    <t>20-27</t>
  </si>
  <si>
    <t>20-26</t>
  </si>
  <si>
    <t>20-23</t>
  </si>
  <si>
    <t xml:space="preserve"> EARLY LOADING</t>
  </si>
  <si>
    <t>20-22</t>
  </si>
  <si>
    <t xml:space="preserve"> CONCRETE FOR SECONDARY PURPOSES</t>
  </si>
  <si>
    <t>20-20</t>
  </si>
  <si>
    <t xml:space="preserve"> REINFORCEMENT</t>
  </si>
  <si>
    <t xml:space="preserve"> RECORDS OF CONCRETE PLACING</t>
  </si>
  <si>
    <t>20-19</t>
  </si>
  <si>
    <t xml:space="preserve"> CONSTRUCTION JOINTS</t>
  </si>
  <si>
    <t>20-18</t>
  </si>
  <si>
    <t xml:space="preserve"> CONCRETING IN HOT WEATHER</t>
  </si>
  <si>
    <t xml:space="preserve"> PROTECTION OF FRESH CONCRETE</t>
  </si>
  <si>
    <t>20-17</t>
  </si>
  <si>
    <t xml:space="preserve"> CURING OF CONCRETE</t>
  </si>
  <si>
    <t>20-16</t>
  </si>
  <si>
    <t xml:space="preserve"> COMPACTION OF CONCRETE</t>
  </si>
  <si>
    <t>20-14</t>
  </si>
  <si>
    <t xml:space="preserve"> PLACING OF CONCRETE</t>
  </si>
  <si>
    <t>20-13</t>
  </si>
  <si>
    <t xml:space="preserve"> TRANSPORTATION OF CONCRETE</t>
  </si>
  <si>
    <t>20-12</t>
  </si>
  <si>
    <t xml:space="preserve"> MIXING CONCRETE</t>
  </si>
  <si>
    <t>20-6</t>
  </si>
  <si>
    <t xml:space="preserve"> DESIGN OF CONCRETE MIXES</t>
  </si>
  <si>
    <t>20-1</t>
  </si>
  <si>
    <t xml:space="preserve"> MATERIAL FOR CONCRETE</t>
  </si>
  <si>
    <t xml:space="preserve"> DEFINITIONS</t>
  </si>
  <si>
    <t>SECTION 2000 – CONCRETE FOR STRUCTURES</t>
  </si>
  <si>
    <t>9-11</t>
  </si>
  <si>
    <t xml:space="preserve"> BEARINGS</t>
  </si>
  <si>
    <t>19-1</t>
  </si>
  <si>
    <t xml:space="preserve"> EXPANSION JOINTS</t>
  </si>
  <si>
    <t>SECTION 1900 – BEARINGS AND EXPANSION JOINTS</t>
  </si>
  <si>
    <t>18-11</t>
  </si>
  <si>
    <t xml:space="preserve"> REMEDIAL WORK TO DEFECTIVE SURFACES</t>
  </si>
  <si>
    <t>18-9</t>
  </si>
  <si>
    <t xml:space="preserve"> FINISHES ON UNFORMED SURFACES</t>
  </si>
  <si>
    <t>18-8</t>
  </si>
  <si>
    <t xml:space="preserve"> SURFACE FINISH ON FORMED SURFACES</t>
  </si>
  <si>
    <t>18-5</t>
  </si>
  <si>
    <t>FORMWORK FOR CONCRETE</t>
  </si>
  <si>
    <t>18-1</t>
  </si>
  <si>
    <t>FALSEWORK</t>
  </si>
  <si>
    <t>GENERAL</t>
  </si>
  <si>
    <t>SCOPE AND DEFINITIONS</t>
  </si>
  <si>
    <t>SECTION 1800: FLASEWORK, FORMWORK AND SURFACE FINISH FOR CONCRETE STRUCTURES</t>
  </si>
  <si>
    <t>17-6</t>
  </si>
  <si>
    <t>17-5</t>
  </si>
  <si>
    <t>TOLERANCE</t>
  </si>
  <si>
    <t>TOP PLUG</t>
  </si>
  <si>
    <t>17-4</t>
  </si>
  <si>
    <t>SAND FILLING</t>
  </si>
  <si>
    <t>BOTTOM PLUGGING</t>
  </si>
  <si>
    <t>17-2</t>
  </si>
  <si>
    <t>SINKING</t>
  </si>
  <si>
    <t>17-1</t>
  </si>
  <si>
    <t>STEINING</t>
  </si>
  <si>
    <t>CUTTING EDGE AND CURB</t>
  </si>
  <si>
    <t>SECTION 1700: WELL FOUNDATION</t>
  </si>
  <si>
    <t>16-18</t>
  </si>
  <si>
    <t>16-17</t>
  </si>
  <si>
    <t>TOLERANCES</t>
  </si>
  <si>
    <t>16-16</t>
  </si>
  <si>
    <t>FILLING EXISTING WATER COURSES</t>
  </si>
  <si>
    <t>16-14</t>
  </si>
  <si>
    <t>PILE TESTS</t>
  </si>
  <si>
    <t>16-12</t>
  </si>
  <si>
    <t>DRIVEN SHELL CAST IN-SITU PILES</t>
  </si>
  <si>
    <t>16-5</t>
  </si>
  <si>
    <t>BORED AND CAST IN-SITU PILES</t>
  </si>
  <si>
    <t>CAST-IN-SITU PILES</t>
  </si>
  <si>
    <t>PILE HEAVE</t>
  </si>
  <si>
    <t>CUTTING AND LENGTHENING OF PILES</t>
  </si>
  <si>
    <t>16-3</t>
  </si>
  <si>
    <t>PILE DRIVING</t>
  </si>
  <si>
    <t>16-2</t>
  </si>
  <si>
    <t>DRIVING EQUIPMENT</t>
  </si>
  <si>
    <t>DELIVERY, HANDLING AND STORAGE OF PILES</t>
  </si>
  <si>
    <t>16-1</t>
  </si>
  <si>
    <t>EXCAVATION IN CUTTING</t>
  </si>
  <si>
    <t>PENETRATION AND BEARING VALUE</t>
  </si>
  <si>
    <t>TYPE OF PILES</t>
  </si>
  <si>
    <t>SECTION 1600 – PILING FOR STRUCTURES</t>
  </si>
  <si>
    <t>15-26</t>
  </si>
  <si>
    <t>STEEL CRASH BARRIER</t>
  </si>
  <si>
    <t>15-24</t>
  </si>
  <si>
    <t>CONCRETE CRASH BARRIER</t>
  </si>
  <si>
    <t>15-23</t>
  </si>
  <si>
    <t>TUBULAR STEEL RAILING</t>
  </si>
  <si>
    <t>15-22</t>
  </si>
  <si>
    <t>BOUNDARY STONE</t>
  </si>
  <si>
    <t>15-21</t>
  </si>
  <si>
    <t>DELINEATOR POSTS</t>
  </si>
  <si>
    <t>15-20</t>
  </si>
  <si>
    <t>ROAD MARKER STONE</t>
  </si>
  <si>
    <t>15-17</t>
  </si>
  <si>
    <t>REFLECTIVE PAVEMENT MARKERS (ROAD STUDS) AND SOLAR POWERED ROAD MARKERS (SOLAR STUDS)</t>
  </si>
  <si>
    <t>15-12</t>
  </si>
  <si>
    <t>THERMOPLASTIC ROAD MARKING</t>
  </si>
  <si>
    <t>15-9</t>
  </si>
  <si>
    <t>ROAD MARKINGS</t>
  </si>
  <si>
    <t>15-6</t>
  </si>
  <si>
    <t>OVERHEAD SIGN</t>
  </si>
  <si>
    <t>15-1</t>
  </si>
  <si>
    <t>PERMANENT TRAFFIC SIGNS</t>
  </si>
  <si>
    <t>SECTION 1500: TRAFFIC SIGNS, ROAD MARKING, ROAD MARKER STONES AND DELINEATORS</t>
  </si>
  <si>
    <t>14-5</t>
  </si>
  <si>
    <t>CYCLE TRACKS</t>
  </si>
  <si>
    <t>14-4</t>
  </si>
  <si>
    <t>BITUMINOUS FOOTPATHS</t>
  </si>
  <si>
    <t>14-3</t>
  </si>
  <si>
    <t>BRICK PAVING IN FOOTPATHS</t>
  </si>
  <si>
    <t>14-2</t>
  </si>
  <si>
    <t>CONCRETE/STONE FOOTPATHS</t>
  </si>
  <si>
    <t>14-1</t>
  </si>
  <si>
    <t>CONCRETE KERBS</t>
  </si>
  <si>
    <t>SECTION 1400-KERBS AND FOOTPATHS</t>
  </si>
  <si>
    <t>13-80</t>
  </si>
  <si>
    <t xml:space="preserve"> OTTA SEAL</t>
  </si>
  <si>
    <t>13-73</t>
  </si>
  <si>
    <t xml:space="preserve"> WARM MIX ASPHALT</t>
  </si>
  <si>
    <t>13-72</t>
  </si>
  <si>
    <t xml:space="preserve"> RECIPE COLD MIX</t>
  </si>
  <si>
    <t>13-68</t>
  </si>
  <si>
    <t xml:space="preserve"> BITUMINOUS COLD MIX</t>
  </si>
  <si>
    <t>13-62</t>
  </si>
  <si>
    <t xml:space="preserve"> BITUMINOUS COLD MIX BITUMINOUS MACADAM (INCLUDING COLD MIXED SEMI DENSE BITUMINOUS CONCRETE)</t>
  </si>
  <si>
    <t>13-60</t>
  </si>
  <si>
    <t xml:space="preserve"> SAND ASPHALT</t>
  </si>
  <si>
    <t>13-55</t>
  </si>
  <si>
    <t xml:space="preserve"> OPEN-GRADED PREMIX SURFACING</t>
  </si>
  <si>
    <t>13-52</t>
  </si>
  <si>
    <t xml:space="preserve"> CLOSE-GRADED PREMIX SURFACING/MIXED SEAL SURFACING</t>
  </si>
  <si>
    <t>13-48</t>
  </si>
  <si>
    <t xml:space="preserve"> ASPHALT CONCRETE/ BITUMINOUS CONCRETE</t>
  </si>
  <si>
    <t>13-40</t>
  </si>
  <si>
    <t xml:space="preserve"> DENSE BITUMINOUS MACADAM</t>
  </si>
  <si>
    <t>13-37</t>
  </si>
  <si>
    <t xml:space="preserve"> BITUMINOUS MACADAM</t>
  </si>
  <si>
    <t>13-34</t>
  </si>
  <si>
    <t xml:space="preserve"> SLURRY SEAL</t>
  </si>
  <si>
    <t>13-32</t>
  </si>
  <si>
    <t xml:space="preserve"> SAND SEAL</t>
  </si>
  <si>
    <t>13-28</t>
  </si>
  <si>
    <t xml:space="preserve"> PENETRATION MACADAM, SEMI-GROUT</t>
  </si>
  <si>
    <t>13-17</t>
  </si>
  <si>
    <t xml:space="preserve"> SURFACE DRESSING</t>
  </si>
  <si>
    <t>13-13</t>
  </si>
  <si>
    <t xml:space="preserve"> PRIME COAT AND TACK COAT</t>
  </si>
  <si>
    <t>13-1</t>
  </si>
  <si>
    <t xml:space="preserve"> GENERAL REQUIREMENTS FOR BITUMINOUS PAVEMENT LAYERS</t>
  </si>
  <si>
    <t>SECTION  1300– BITUMINOUS SURFACE AND BASE COURSE</t>
  </si>
  <si>
    <t>12-21</t>
  </si>
  <si>
    <t xml:space="preserve"> WET MIX MACADAM BASE AND SUBBASE</t>
  </si>
  <si>
    <t>12-18</t>
  </si>
  <si>
    <t xml:space="preserve"> DRY BOUND MACADAM BASE AND SUB-BASE</t>
  </si>
  <si>
    <t>12-17</t>
  </si>
  <si>
    <t xml:space="preserve"> TELFORD BASE (BLOCK PITCHING)</t>
  </si>
  <si>
    <t>12-15</t>
  </si>
  <si>
    <t xml:space="preserve"> SHOULDER ISLANDS AND MEDIAN</t>
  </si>
  <si>
    <t>12-13</t>
  </si>
  <si>
    <t xml:space="preserve"> CRUSHER-RUN MACADAM FOR BASE AND SUBBASE</t>
  </si>
  <si>
    <t>12-8</t>
  </si>
  <si>
    <t xml:space="preserve"> WATER BOUND MACADAM BASE AND SUB-BASE</t>
  </si>
  <si>
    <t>12-4</t>
  </si>
  <si>
    <t xml:space="preserve"> CEMENT TREATED SOIL SUB-BASE/BASE</t>
  </si>
  <si>
    <t>12-1</t>
  </si>
  <si>
    <t xml:space="preserve"> GRANULAR SUBBASE</t>
  </si>
  <si>
    <t>SECTION 1200: SUBBASE, BASE, HARD SHOULDER AND GRAVEL AND WEARING COURSE</t>
  </si>
  <si>
    <t>11-6</t>
  </si>
  <si>
    <t>MEASUREMENT AND PAYMENT</t>
  </si>
  <si>
    <t>11-5</t>
  </si>
  <si>
    <t>CARE OF WORKS</t>
  </si>
  <si>
    <t>USE OF SURFACES BY CONSTRUCTION TRAFFIC</t>
  </si>
  <si>
    <t>11-4</t>
  </si>
  <si>
    <t>ADVERSE WEATHER WORKING</t>
  </si>
  <si>
    <t>11-1</t>
  </si>
  <si>
    <t>HORIZONTAL ALIGNMENTS, SURFACE LEVELS AND SURFACE EGULARITY OF PAVEMENT COURSES</t>
  </si>
  <si>
    <t>SECTION :1100- ROADWORKS OVERALL REQUIREMENTS</t>
  </si>
  <si>
    <t>10-13</t>
  </si>
  <si>
    <t>10-7</t>
  </si>
  <si>
    <t>LIME STABILISATION</t>
  </si>
  <si>
    <t>10-4</t>
  </si>
  <si>
    <t>MECHANICAL STABILISATION</t>
  </si>
  <si>
    <t>10-3</t>
  </si>
  <si>
    <t>CAPPING LAYER</t>
  </si>
  <si>
    <t>10-1</t>
  </si>
  <si>
    <t>PREPARATION AND SURFACE TREATMENT OF FORMATION</t>
  </si>
  <si>
    <t>DEFINITIONS</t>
  </si>
  <si>
    <t>SECTION 1000 – SUBGRADES</t>
  </si>
  <si>
    <t>9-17</t>
  </si>
  <si>
    <t>9-16</t>
  </si>
  <si>
    <t>PROCESS CONTROL</t>
  </si>
  <si>
    <t>FILLING EXISTING WATERCOURSES</t>
  </si>
  <si>
    <t>WATERCOURSES</t>
  </si>
  <si>
    <t>EARTHWORKS TO BE KEPT FREE OF WATER</t>
  </si>
  <si>
    <t>9-15</t>
  </si>
  <si>
    <t>BENCHING</t>
  </si>
  <si>
    <t>9-14</t>
  </si>
  <si>
    <t>COMPACTION TRIALS</t>
  </si>
  <si>
    <t>COMPACTION OF EMBANKMENT AND OTHER AREAS OF FILL/BACKFILL</t>
  </si>
  <si>
    <t>9-12</t>
  </si>
  <si>
    <t>FORMING OF EMBANKMENT AND OTHERS AREAS OF FILL</t>
  </si>
  <si>
    <t>REFILLING OF FOUNDATION PITS AND TRENCHES, REMOVAL OF AND FILLING TO STRUCTURES</t>
  </si>
  <si>
    <t>9-8</t>
  </si>
  <si>
    <t>EXCAVATION FOR FOUNDATION</t>
  </si>
  <si>
    <t>9-7</t>
  </si>
  <si>
    <t>EXCAVATION BELOW EMBANKMENTS AND BELOW FORMATION LEVEL</t>
  </si>
  <si>
    <t>9-4</t>
  </si>
  <si>
    <t>EXPLOSIVES AND BLASTING</t>
  </si>
  <si>
    <t>9-3</t>
  </si>
  <si>
    <t>CLASSIFICATION OF EXCAVATED MATERIALS</t>
  </si>
  <si>
    <t>9-1</t>
  </si>
  <si>
    <t>DEFINITIONS AND GENERAL REQUIREMENTS</t>
  </si>
  <si>
    <t>SECTION 900: EARTHWORKS</t>
  </si>
  <si>
    <t>8-4</t>
  </si>
  <si>
    <t>SELECTION OF MATERIALS</t>
  </si>
  <si>
    <t>8-3</t>
  </si>
  <si>
    <t>SITE CLEARANCE AND REMOVAL OF TOPSOIL AND OVERBURDEN</t>
  </si>
  <si>
    <t>ACCESS ROADS AND TRAFFIC CONTROL</t>
  </si>
  <si>
    <t>SAFETY AND PUBLIC HEALTH REQUIREMENTS</t>
  </si>
  <si>
    <t>8-2</t>
  </si>
  <si>
    <t>LOCATING MATERIAL SOURCES</t>
  </si>
  <si>
    <t>8-1</t>
  </si>
  <si>
    <t>SECTION 800: TRANSPORTATION OF MATERIAL</t>
  </si>
  <si>
    <t>7-8</t>
  </si>
  <si>
    <t>COMPLETION OF DRAINAGE WORKS</t>
  </si>
  <si>
    <t>7-6</t>
  </si>
  <si>
    <t>CONCRETE CHANNELLING</t>
  </si>
  <si>
    <t>7-1</t>
  </si>
  <si>
    <t>PIPE DRAINS AND PIPE CULVERTS</t>
  </si>
  <si>
    <t>SECTION 700: PIPE DRAINS, PIPE CULVERTS AND CONCRETE CHANNELS</t>
  </si>
  <si>
    <t>6-20</t>
  </si>
  <si>
    <t>GABION</t>
  </si>
  <si>
    <t>CAST IRON DRAINAGE GRATINGS</t>
  </si>
  <si>
    <t>PRECAST CONCRETE CHANNELS</t>
  </si>
  <si>
    <t>MANHOLE COVERS AND FRAMES</t>
  </si>
  <si>
    <t>PAINT FOR ROAD MARKING</t>
  </si>
  <si>
    <t>TIMBER FOR STRUCTURAL WORKS</t>
  </si>
  <si>
    <t>6-19</t>
  </si>
  <si>
    <t>GEOTEXTILES</t>
  </si>
  <si>
    <t>HIGH DENSITY POLYTHENE PIPES</t>
  </si>
  <si>
    <t>6-18</t>
  </si>
  <si>
    <t>REINFORCED CONCRETE PIPES</t>
  </si>
  <si>
    <t>MORTAR</t>
  </si>
  <si>
    <t>BRICKS</t>
  </si>
  <si>
    <t>PAINT FOR STRUCTURAL STEEL WORK</t>
  </si>
  <si>
    <t>TESTING OF WELDS</t>
  </si>
  <si>
    <t>6-17</t>
  </si>
  <si>
    <t>STEEL</t>
  </si>
  <si>
    <t>6-15</t>
  </si>
  <si>
    <t>BITUMEN EMULSION</t>
  </si>
  <si>
    <t>6-12</t>
  </si>
  <si>
    <t>BITUMINOUS BINDERS</t>
  </si>
  <si>
    <t>6-11</t>
  </si>
  <si>
    <t>CONCRETE</t>
  </si>
  <si>
    <t>LIME TREATED MATERIALS</t>
  </si>
  <si>
    <t>6-10</t>
  </si>
  <si>
    <t>LIME</t>
  </si>
  <si>
    <t>CEMENT</t>
  </si>
  <si>
    <t>6-9</t>
  </si>
  <si>
    <t>STONE, AGGREGATE, SAND AND FILLERS</t>
  </si>
  <si>
    <t>6-7</t>
  </si>
  <si>
    <t>SOIL AND GRAVELS</t>
  </si>
  <si>
    <t>SIEVE</t>
  </si>
  <si>
    <t>6-4</t>
  </si>
  <si>
    <t>DEFINITION OF GENERAL TYPES OF MATERIALS</t>
  </si>
  <si>
    <t>GENERAL: CLASSIFICATION OF MATERIAL</t>
  </si>
  <si>
    <t>6-3</t>
  </si>
  <si>
    <t>FOREIGN MATERIALS</t>
  </si>
  <si>
    <t>6-2</t>
  </si>
  <si>
    <t>TRADE NAMES AND ALTERNATIVES</t>
  </si>
  <si>
    <t>DEFECTIVE MATERIALS</t>
  </si>
  <si>
    <t>MATERIALS AND MANUFACTURED ARTICLES</t>
  </si>
  <si>
    <t>6-1</t>
  </si>
  <si>
    <t>INSPECTION AND ACCEPTANCE OF MATERIAL</t>
  </si>
  <si>
    <t>SOURCES OF MATERIALS</t>
  </si>
  <si>
    <t>QUALITY OF MATERIAL</t>
  </si>
  <si>
    <t>SECTION 600 – MATERIALS AND TESTING OF MATERIALS</t>
  </si>
  <si>
    <t>5-23</t>
  </si>
  <si>
    <t>QUALITY ASSURANCE PLAN</t>
  </si>
  <si>
    <t>5-11</t>
  </si>
  <si>
    <t>SCHEDULE OF TESTS</t>
  </si>
  <si>
    <t>5-10</t>
  </si>
  <si>
    <t>ACCEPTANCE TESTS FOR COMPLETED WORKS OR PARTS OF THE Works</t>
  </si>
  <si>
    <t>CONTROL TESTING DURING CONSTRUCTION</t>
  </si>
  <si>
    <t>5-7</t>
  </si>
  <si>
    <t>SITE TRIALS OR TRIAL SECTIONS</t>
  </si>
  <si>
    <t>5-6</t>
  </si>
  <si>
    <t>LABORATORY TRIALS TO CONFIRM COMPLIANCE WITH SPECIFICATIONS</t>
  </si>
  <si>
    <t>TESTING PROCEDURES AND SETS OF TESTS</t>
  </si>
  <si>
    <t>5-2</t>
  </si>
  <si>
    <t>FIELD LABORATORY</t>
  </si>
  <si>
    <t>5-1</t>
  </si>
  <si>
    <t>QUALITY CONTROL SYSTEM</t>
  </si>
  <si>
    <t>CONTRACTOR RESPONSIBLE FOR THE QUALITY OF THE WORKS</t>
  </si>
  <si>
    <t>SECTION 500 – QUALITY CONTROL</t>
  </si>
  <si>
    <t>4-3</t>
  </si>
  <si>
    <t>INSTALLATION OF GATE</t>
  </si>
  <si>
    <t>4-2</t>
  </si>
  <si>
    <t>INSTALLATION OF WIRE</t>
  </si>
  <si>
    <t>INSTALLATION OF POST AND STANDARDS</t>
  </si>
  <si>
    <t>4-1</t>
  </si>
  <si>
    <t>SECTION 400: FENCING</t>
  </si>
  <si>
    <t>3-21</t>
  </si>
  <si>
    <t>REINFORCED SOIL SLOPES</t>
  </si>
  <si>
    <t>A3</t>
  </si>
  <si>
    <t>3-20</t>
  </si>
  <si>
    <t>SOIL WALLS</t>
  </si>
  <si>
    <t>SPACING AND LAYOUT OF REINFORCEMENT IN REINFORCED</t>
  </si>
  <si>
    <t>A2</t>
  </si>
  <si>
    <t>3-18</t>
  </si>
  <si>
    <t>DESIGN AND DRAWINGS</t>
  </si>
  <si>
    <t>A1</t>
  </si>
  <si>
    <t>ANNEXURE 300-1</t>
  </si>
  <si>
    <t>3-11</t>
  </si>
  <si>
    <t>SOIL NAILING</t>
  </si>
  <si>
    <t>3-1</t>
  </si>
  <si>
    <t>REINFORCED SOIL</t>
  </si>
  <si>
    <t>SECTION 300: SOIL IMPROVEMENT</t>
  </si>
  <si>
    <t>2-4</t>
  </si>
  <si>
    <t>DISMANTLING CULVERTS, BRIDGES, OTHER STRUCTURES AND Pavement</t>
  </si>
  <si>
    <t>2-1</t>
  </si>
  <si>
    <t>CLEARING AND GRUBBING</t>
  </si>
  <si>
    <t>SECTION 200: SITE CLEARANCE</t>
  </si>
  <si>
    <t xml:space="preserve">References for Specification </t>
  </si>
  <si>
    <t xml:space="preserve"> Approach slab Lean Concrete (under)</t>
  </si>
  <si>
    <t xml:space="preserve">Abutment Cap </t>
  </si>
  <si>
    <t>Return Wall</t>
  </si>
  <si>
    <t>Abutment Dirt Wall</t>
  </si>
  <si>
    <t>Dirt  Wall outer faces</t>
  </si>
  <si>
    <t>Stoppers on abutments</t>
  </si>
  <si>
    <t xml:space="preserve">RC Pedestals in both Abutment </t>
  </si>
  <si>
    <t>Norms</t>
  </si>
  <si>
    <t>Providing and laying  Reinforcement Bars TMT (Fe 500) including cutting, bending, binding,  fixing in position and required lead etc. all complete as per specification and drawing.(ss/sp-2014)</t>
  </si>
  <si>
    <t>Providing and laying  Reinforcement Bars TMT (Fe 500) including cutting, bending, binding,  fixing in position and required lead etc. all complete as per drawing and specification.[2000]</t>
  </si>
  <si>
    <t>Providing , Preparing and Installing form work  [Class F1 finish] including necessary supports and removing after completion  for Substructure as per drawing and specification..[1804,1805]</t>
  </si>
  <si>
    <t xml:space="preserve">Do not delete this </t>
  </si>
  <si>
    <t>District Name</t>
  </si>
  <si>
    <t>Pcs</t>
  </si>
  <si>
    <t>Description of works: Transportation of materials by truck, including loading, unloading and stacking by manpower lead upto 10m using 8 tonne capacity Truck.</t>
  </si>
  <si>
    <t>Spec. Clause No. 800</t>
  </si>
  <si>
    <t>Travel time (T) for truck to be used for this activity shall be determined as follows:</t>
  </si>
  <si>
    <r>
      <t>T=2x{d</t>
    </r>
    <r>
      <rPr>
        <vertAlign val="subscript"/>
        <sz val="10"/>
        <rFont val="Times New Roman"/>
        <family val="1"/>
      </rPr>
      <t>1</t>
    </r>
    <r>
      <rPr>
        <sz val="10"/>
        <rFont val="Times New Roman"/>
        <family val="1"/>
      </rPr>
      <t>/v</t>
    </r>
    <r>
      <rPr>
        <vertAlign val="subscript"/>
        <sz val="10"/>
        <rFont val="Times New Roman"/>
        <family val="1"/>
      </rPr>
      <t>1</t>
    </r>
    <r>
      <rPr>
        <sz val="10"/>
        <rFont val="Times New Roman"/>
        <family val="1"/>
      </rPr>
      <t>+d</t>
    </r>
    <r>
      <rPr>
        <vertAlign val="subscript"/>
        <sz val="10"/>
        <rFont val="Times New Roman"/>
        <family val="1"/>
      </rPr>
      <t>2</t>
    </r>
    <r>
      <rPr>
        <sz val="10"/>
        <rFont val="Times New Roman"/>
        <family val="1"/>
      </rPr>
      <t>/v</t>
    </r>
    <r>
      <rPr>
        <vertAlign val="subscript"/>
        <sz val="10"/>
        <rFont val="Times New Roman"/>
        <family val="1"/>
      </rPr>
      <t>2</t>
    </r>
    <r>
      <rPr>
        <sz val="10"/>
        <rFont val="Times New Roman"/>
        <family val="1"/>
      </rPr>
      <t>+d</t>
    </r>
    <r>
      <rPr>
        <vertAlign val="subscript"/>
        <sz val="10"/>
        <rFont val="Times New Roman"/>
        <family val="1"/>
      </rPr>
      <t>3</t>
    </r>
    <r>
      <rPr>
        <sz val="10"/>
        <rFont val="Times New Roman"/>
        <family val="1"/>
      </rPr>
      <t>/v</t>
    </r>
    <r>
      <rPr>
        <vertAlign val="subscript"/>
        <sz val="10"/>
        <rFont val="Times New Roman"/>
        <family val="1"/>
      </rPr>
      <t>3</t>
    </r>
    <r>
      <rPr>
        <sz val="10"/>
        <rFont val="Times New Roman"/>
        <family val="1"/>
      </rPr>
      <t>+………………..d</t>
    </r>
    <r>
      <rPr>
        <vertAlign val="subscript"/>
        <sz val="10"/>
        <rFont val="Times New Roman"/>
        <family val="1"/>
      </rPr>
      <t>n</t>
    </r>
    <r>
      <rPr>
        <sz val="10"/>
        <rFont val="Times New Roman"/>
        <family val="1"/>
      </rPr>
      <t>/v</t>
    </r>
    <r>
      <rPr>
        <vertAlign val="subscript"/>
        <sz val="10"/>
        <rFont val="Times New Roman"/>
        <family val="1"/>
      </rPr>
      <t>n</t>
    </r>
    <r>
      <rPr>
        <sz val="10"/>
        <rFont val="Times New Roman"/>
        <family val="1"/>
      </rPr>
      <t>}, where d</t>
    </r>
    <r>
      <rPr>
        <vertAlign val="subscript"/>
        <sz val="10"/>
        <rFont val="Times New Roman"/>
        <family val="1"/>
      </rPr>
      <t>1</t>
    </r>
    <r>
      <rPr>
        <sz val="10"/>
        <rFont val="Times New Roman"/>
        <family val="1"/>
      </rPr>
      <t>,d</t>
    </r>
    <r>
      <rPr>
        <vertAlign val="subscript"/>
        <sz val="10"/>
        <rFont val="Times New Roman"/>
        <family val="1"/>
      </rPr>
      <t>2</t>
    </r>
    <r>
      <rPr>
        <sz val="10"/>
        <rFont val="Times New Roman"/>
        <family val="1"/>
      </rPr>
      <t>,d</t>
    </r>
    <r>
      <rPr>
        <vertAlign val="subscript"/>
        <sz val="10"/>
        <rFont val="Times New Roman"/>
        <family val="1"/>
      </rPr>
      <t>3</t>
    </r>
    <r>
      <rPr>
        <sz val="10"/>
        <rFont val="Times New Roman"/>
        <family val="1"/>
      </rPr>
      <t>………d</t>
    </r>
    <r>
      <rPr>
        <vertAlign val="subscript"/>
        <sz val="10"/>
        <rFont val="Times New Roman"/>
        <family val="1"/>
      </rPr>
      <t>n</t>
    </r>
    <r>
      <rPr>
        <sz val="10"/>
        <rFont val="Times New Roman"/>
        <family val="1"/>
      </rPr>
      <t xml:space="preserve"> and v</t>
    </r>
    <r>
      <rPr>
        <vertAlign val="subscript"/>
        <sz val="10"/>
        <rFont val="Times New Roman"/>
        <family val="1"/>
      </rPr>
      <t>1</t>
    </r>
    <r>
      <rPr>
        <sz val="10"/>
        <rFont val="Times New Roman"/>
        <family val="1"/>
      </rPr>
      <t>,v</t>
    </r>
    <r>
      <rPr>
        <vertAlign val="subscript"/>
        <sz val="10"/>
        <rFont val="Times New Roman"/>
        <family val="1"/>
      </rPr>
      <t>2</t>
    </r>
    <r>
      <rPr>
        <sz val="10"/>
        <rFont val="Times New Roman"/>
        <family val="1"/>
      </rPr>
      <t>,v</t>
    </r>
    <r>
      <rPr>
        <vertAlign val="subscript"/>
        <sz val="10"/>
        <rFont val="Times New Roman"/>
        <family val="1"/>
      </rPr>
      <t>3</t>
    </r>
    <r>
      <rPr>
        <sz val="10"/>
        <rFont val="Times New Roman"/>
        <family val="1"/>
      </rPr>
      <t>……..v</t>
    </r>
    <r>
      <rPr>
        <vertAlign val="subscript"/>
        <sz val="10"/>
        <rFont val="Times New Roman"/>
        <family val="1"/>
      </rPr>
      <t>n</t>
    </r>
    <r>
      <rPr>
        <sz val="10"/>
        <rFont val="Times New Roman"/>
        <family val="1"/>
      </rPr>
      <t xml:space="preserve"> are the streches of distances to be travelled and corresponding average speeds on these streches. [ T = 2*(d1/v1+d2/v2+……dn/vn) =                   ] (T=travel time for truck in</t>
    </r>
  </si>
  <si>
    <t>Activity No</t>
  </si>
  <si>
    <t>Travel time T (hrs)</t>
  </si>
  <si>
    <r>
      <t>m</t>
    </r>
    <r>
      <rPr>
        <vertAlign val="superscript"/>
        <sz val="10"/>
        <rFont val="Times New Roman"/>
        <family val="1"/>
      </rPr>
      <t>3</t>
    </r>
  </si>
  <si>
    <t>Sand, Stone dust</t>
  </si>
  <si>
    <t>Crushed aggregate</t>
  </si>
  <si>
    <t>Boulder, Cobbles, quarry stone</t>
  </si>
  <si>
    <t>RCC hume pipe of 600mm dia</t>
  </si>
  <si>
    <t>1000 lit</t>
  </si>
  <si>
    <t>Fabricated Structual Steel</t>
  </si>
  <si>
    <t>Activity No: 8.04.02</t>
  </si>
  <si>
    <t>v1 
(Kmph)</t>
  </si>
  <si>
    <t>v3
(Kmph)</t>
  </si>
  <si>
    <t>v2 
(Kmph)</t>
  </si>
  <si>
    <t>d2(Gravel Road)
Km</t>
  </si>
  <si>
    <t>d3(Earthen Road)
Km</t>
  </si>
  <si>
    <t>d1 (Pitched Road)
Km</t>
  </si>
  <si>
    <t>Total Distance 
Km</t>
  </si>
  <si>
    <t>1.a  Soil</t>
  </si>
  <si>
    <t xml:space="preserve">1.b Rock </t>
  </si>
  <si>
    <t xml:space="preserve">Excavated earthwork soil material and Rock Materials </t>
  </si>
  <si>
    <t>2) Sand</t>
  </si>
  <si>
    <t>3) Gravel, rivershingle, brokenstone aggegate and bats.</t>
  </si>
  <si>
    <t>4) Boulder, Cobbles Quarry stones.</t>
  </si>
  <si>
    <t>5) Dressed stones.</t>
  </si>
  <si>
    <t>Bag</t>
  </si>
  <si>
    <t>Reinforcement Steel and gabion wire and  GI, CI, Pipe and fittings</t>
  </si>
  <si>
    <t>7) Cement</t>
  </si>
  <si>
    <t>8) Reinforcement Steel and Gabion Wire</t>
  </si>
  <si>
    <t>8.04.2</t>
  </si>
  <si>
    <t>9) Bitumen</t>
  </si>
  <si>
    <t>8.04.3</t>
  </si>
  <si>
    <t xml:space="preserve">Timbers and temporary works </t>
  </si>
  <si>
    <t xml:space="preserve">10) GI, CI, Pipe and Fittings </t>
  </si>
  <si>
    <t>11) Timber for Temporary works</t>
  </si>
  <si>
    <t>Fixed and Dowel</t>
  </si>
  <si>
    <t>Haulage of Materials</t>
  </si>
  <si>
    <t xml:space="preserve">12) Fabricated Structural Steel </t>
  </si>
  <si>
    <t>17) Water</t>
  </si>
  <si>
    <t>Unit :1000 Ltr</t>
  </si>
  <si>
    <t>Reinforcement Steel and gabion wire and  GI, CI, Pipe and fittings and plywood</t>
  </si>
  <si>
    <t xml:space="preserve">Materials </t>
  </si>
  <si>
    <t xml:space="preserve">Local Materials </t>
  </si>
  <si>
    <t xml:space="preserve">Prestressing Component </t>
  </si>
  <si>
    <t>Labour Rate</t>
  </si>
  <si>
    <t>Machine Type</t>
  </si>
  <si>
    <t>Gabion Wire Heavy Coated</t>
  </si>
  <si>
    <t>Fuel</t>
  </si>
  <si>
    <t>Chemicals</t>
  </si>
  <si>
    <t>Supply of Machine Made  Gabion  boxes / mattresses with diapharagms including rolling, cutting and weaving as per specification. Including Providing and filling stone / boulder in gabion boxes / mattress etc. including dressing, beding, bonding   as per Specification. Hexagonal mesh type 100mmx120mm using Mesh wire -10 swg (0.0615 kg/m) &amp; selvedge wire -8 swg ( 0.1057kg/m) ,Binding wire 12swg</t>
  </si>
  <si>
    <t xml:space="preserve">Dia of Pile </t>
  </si>
  <si>
    <t>In words</t>
  </si>
  <si>
    <t>PI_h1</t>
  </si>
  <si>
    <t>TABLE OF CONTENT</t>
  </si>
  <si>
    <t>1.          SUMMARY OF PROJECT COST</t>
  </si>
  <si>
    <t>2.          ABSTRACT OF COST</t>
  </si>
  <si>
    <t>3.          DETAILED QUANTITY CALCULATION</t>
  </si>
  <si>
    <t>4.          SUMMARY OF RATES</t>
  </si>
  <si>
    <t>7.          TRANSPORTATION OF MATERIAL</t>
  </si>
  <si>
    <t>8.          RATE ANALYSIS OF GENERAL WORKS</t>
  </si>
  <si>
    <t>5.          DISTRICT RATE</t>
  </si>
  <si>
    <t>6.          TRANSPORTATION OF MATERIAL</t>
  </si>
  <si>
    <t>…</t>
  </si>
  <si>
    <t>l</t>
  </si>
  <si>
    <t>L</t>
  </si>
  <si>
    <t xml:space="preserve">Abutment Dirt Wall along height </t>
  </si>
  <si>
    <t>Dirt Wall bottom side</t>
  </si>
  <si>
    <t>Earthwork in excavation for foundation of structure including shoring, bracing, shuttering and dewatering  in all types of soil/rock all complete as per drawing and specification.[900]</t>
  </si>
  <si>
    <t>Providing and laying Random rubble stone masonry in cement mortar  (1:4) including scaffolding, curing, preparation of mortar etc complete [2600]</t>
  </si>
  <si>
    <t xml:space="preserve">In up stream </t>
  </si>
  <si>
    <t xml:space="preserve">In down Stream </t>
  </si>
  <si>
    <t>Total of 1 to 8</t>
  </si>
  <si>
    <t>Gabion Wire Heavy Coated 12 Guage</t>
  </si>
  <si>
    <t>Supply and place M25/20 grade concrete including mixing, laying, compacting and curing all complete (2000)</t>
  </si>
  <si>
    <t>Deck slab interior</t>
  </si>
  <si>
    <t>Main girder</t>
  </si>
  <si>
    <t>area</t>
  </si>
  <si>
    <t>Cross girder</t>
  </si>
  <si>
    <t>Footpath</t>
  </si>
  <si>
    <t>Wearing course</t>
  </si>
  <si>
    <t>Supplying, Cutting, bending, placing of reinforcement (HYSD bars) in position as shown in the drawings and binding by wires as specified in the specification.  (2014)</t>
  </si>
  <si>
    <t>Deck  slab + Kerb</t>
  </si>
  <si>
    <t xml:space="preserve">Providing , Preparing and Installing form work including necessary supports and removing after completion for slab &amp; beam structure - Class F2 finish using shuttering ply, (false work not included). </t>
  </si>
  <si>
    <t xml:space="preserve">Deck slab </t>
  </si>
  <si>
    <t>Footpath with deck slab outer edge</t>
  </si>
  <si>
    <t>Railing end</t>
  </si>
  <si>
    <t>Railing intermediate</t>
  </si>
  <si>
    <t xml:space="preserve"> 4. Super Structural Works (RCC T-Girder-Designed)</t>
  </si>
  <si>
    <t>Super Structural Works (RCC T-Girder-Designed)</t>
  </si>
  <si>
    <t>Cu.m</t>
  </si>
  <si>
    <t>Boring equipment with pump and all accessories.</t>
  </si>
  <si>
    <t>Bentonite</t>
  </si>
  <si>
    <t>NA</t>
  </si>
  <si>
    <t xml:space="preserve">Abutment Back Fill </t>
  </si>
  <si>
    <t xml:space="preserve">Abutment Front Fill </t>
  </si>
  <si>
    <t>Infront of  Left abutment</t>
  </si>
  <si>
    <t>Infront of  Right Abutment</t>
  </si>
  <si>
    <t>For Gabion Wall</t>
  </si>
  <si>
    <t xml:space="preserve">For Stone Masonry </t>
  </si>
  <si>
    <t>Demolition of existing surrounding structures including stockpiling the reusable materials and disposal of unusable materials all complete (SS/SP-202)</t>
  </si>
  <si>
    <t>Timber(Soft)</t>
  </si>
  <si>
    <t>12mm th. Plywood (Water Proof)</t>
  </si>
  <si>
    <t>EQUIPMENT HIRING RATE</t>
  </si>
  <si>
    <t>Equipment rate from DOR</t>
  </si>
  <si>
    <r>
      <rPr>
        <b/>
        <sz val="10"/>
        <rFont val="Arial"/>
        <family val="2"/>
      </rPr>
      <t>S.N</t>
    </r>
  </si>
  <si>
    <r>
      <rPr>
        <b/>
        <sz val="10"/>
        <rFont val="Arial"/>
        <family val="2"/>
      </rPr>
      <t>Equipment Name</t>
    </r>
  </si>
  <si>
    <r>
      <rPr>
        <b/>
        <sz val="10"/>
        <rFont val="Arial"/>
        <family val="2"/>
      </rPr>
      <t>Equipment Identification</t>
    </r>
  </si>
  <si>
    <r>
      <rPr>
        <b/>
        <sz val="10"/>
        <rFont val="Arial"/>
        <family val="2"/>
      </rPr>
      <t>Capacity/ Category</t>
    </r>
  </si>
  <si>
    <r>
      <rPr>
        <b/>
        <sz val="10"/>
        <rFont val="Arial"/>
        <family val="2"/>
      </rPr>
      <t>DoR Code</t>
    </r>
  </si>
  <si>
    <r>
      <rPr>
        <b/>
        <sz val="10"/>
        <rFont val="Arial"/>
        <family val="2"/>
      </rPr>
      <t>Hire Rate</t>
    </r>
  </si>
  <si>
    <r>
      <rPr>
        <b/>
        <sz val="10"/>
        <rFont val="Arial"/>
        <family val="2"/>
      </rPr>
      <t xml:space="preserve">Per Hour
</t>
    </r>
    <r>
      <rPr>
        <b/>
        <sz val="10"/>
        <rFont val="Arial"/>
        <family val="2"/>
      </rPr>
      <t>(Rs.</t>
    </r>
    <r>
      <rPr>
        <sz val="10"/>
        <rFont val="Arial"/>
        <family val="2"/>
      </rPr>
      <t>)</t>
    </r>
  </si>
  <si>
    <r>
      <rPr>
        <b/>
        <sz val="10"/>
        <rFont val="Arial"/>
        <family val="2"/>
      </rPr>
      <t xml:space="preserve">Per Shift
</t>
    </r>
    <r>
      <rPr>
        <b/>
        <sz val="10"/>
        <rFont val="Arial"/>
        <family val="2"/>
      </rPr>
      <t>(Rs.)</t>
    </r>
  </si>
  <si>
    <r>
      <rPr>
        <sz val="7"/>
        <rFont val="Arial"/>
        <family val="2"/>
      </rPr>
      <t>Asphalt Plant*</t>
    </r>
  </si>
  <si>
    <r>
      <rPr>
        <sz val="7"/>
        <rFont val="Arial"/>
        <family val="2"/>
      </rPr>
      <t>Universal Spot Mix : Wylie</t>
    </r>
  </si>
  <si>
    <r>
      <rPr>
        <sz val="7"/>
        <rFont val="Arial"/>
        <family val="2"/>
      </rPr>
      <t>Up to 10 Ton</t>
    </r>
  </si>
  <si>
    <r>
      <rPr>
        <sz val="7"/>
        <rFont val="Arial"/>
        <family val="2"/>
      </rPr>
      <t>001 -</t>
    </r>
  </si>
  <si>
    <r>
      <rPr>
        <sz val="7"/>
        <rFont val="Arial"/>
        <family val="2"/>
      </rPr>
      <t>Bram Millar</t>
    </r>
  </si>
  <si>
    <r>
      <rPr>
        <sz val="7"/>
        <rFont val="Arial"/>
        <family val="2"/>
      </rPr>
      <t>Ashalt Paver</t>
    </r>
  </si>
  <si>
    <r>
      <rPr>
        <sz val="7"/>
        <rFont val="Arial"/>
        <family val="2"/>
      </rPr>
      <t>Blow Knox BK 165</t>
    </r>
  </si>
  <si>
    <r>
      <rPr>
        <sz val="7"/>
        <rFont val="Arial"/>
        <family val="2"/>
      </rPr>
      <t>002 -</t>
    </r>
  </si>
  <si>
    <r>
      <rPr>
        <sz val="7"/>
        <rFont val="Arial"/>
        <family val="2"/>
      </rPr>
      <t>Ashalt Mixer</t>
    </r>
  </si>
  <si>
    <r>
      <rPr>
        <sz val="7"/>
        <rFont val="Arial"/>
        <family val="2"/>
      </rPr>
      <t>Bel Mix</t>
    </r>
  </si>
  <si>
    <r>
      <rPr>
        <sz val="7"/>
        <rFont val="Arial"/>
        <family val="2"/>
      </rPr>
      <t>003 -</t>
    </r>
  </si>
  <si>
    <r>
      <rPr>
        <sz val="7"/>
        <rFont val="Arial"/>
        <family val="2"/>
      </rPr>
      <t>Asphalt, Mobile Mini Hot-mix plant</t>
    </r>
  </si>
  <si>
    <r>
      <rPr>
        <sz val="7"/>
        <rFont val="Arial"/>
        <family val="2"/>
      </rPr>
      <t>UI Spotmix, STD</t>
    </r>
  </si>
  <si>
    <r>
      <rPr>
        <sz val="7"/>
        <rFont val="Arial"/>
        <family val="2"/>
      </rPr>
      <t>6.5 Ton</t>
    </r>
  </si>
  <si>
    <r>
      <rPr>
        <sz val="7"/>
        <rFont val="Arial"/>
        <family val="2"/>
      </rPr>
      <t>003-</t>
    </r>
  </si>
  <si>
    <r>
      <rPr>
        <sz val="7"/>
        <rFont val="Arial"/>
        <family val="2"/>
      </rPr>
      <t>Broom Road</t>
    </r>
  </si>
  <si>
    <r>
      <rPr>
        <sz val="7"/>
        <rFont val="Arial"/>
        <family val="2"/>
      </rPr>
      <t>Towed</t>
    </r>
  </si>
  <si>
    <r>
      <rPr>
        <sz val="7"/>
        <rFont val="Arial"/>
        <family val="2"/>
      </rPr>
      <t>009 -</t>
    </r>
  </si>
  <si>
    <r>
      <rPr>
        <sz val="7"/>
        <rFont val="Arial"/>
        <family val="2"/>
      </rPr>
      <t>Boring Rig</t>
    </r>
  </si>
  <si>
    <r>
      <rPr>
        <sz val="7"/>
        <rFont val="Arial"/>
        <family val="2"/>
      </rPr>
      <t>TONE</t>
    </r>
  </si>
  <si>
    <r>
      <rPr>
        <sz val="7"/>
        <rFont val="Arial"/>
        <family val="2"/>
      </rPr>
      <t>011 -</t>
    </r>
  </si>
  <si>
    <r>
      <rPr>
        <sz val="7"/>
        <rFont val="Arial"/>
        <family val="2"/>
      </rPr>
      <t>Air Compressor</t>
    </r>
  </si>
  <si>
    <r>
      <rPr>
        <sz val="7"/>
        <rFont val="Arial"/>
        <family val="2"/>
      </rPr>
      <t>Kirloskar , WR 250, SC 0707C,</t>
    </r>
  </si>
  <si>
    <r>
      <rPr>
        <sz val="7"/>
        <rFont val="Arial"/>
        <family val="2"/>
      </rPr>
      <t>150 To 275cfm</t>
    </r>
  </si>
  <si>
    <r>
      <rPr>
        <sz val="7"/>
        <rFont val="Arial"/>
        <family val="2"/>
      </rPr>
      <t>017 -</t>
    </r>
  </si>
  <si>
    <r>
      <rPr>
        <sz val="7"/>
        <rFont val="Arial"/>
        <family val="2"/>
      </rPr>
      <t>Holman, D250CFM, 175 MK 11</t>
    </r>
  </si>
  <si>
    <r>
      <rPr>
        <sz val="7"/>
        <rFont val="Arial"/>
        <family val="2"/>
      </rPr>
      <t>Maruma ES3</t>
    </r>
  </si>
  <si>
    <r>
      <rPr>
        <sz val="7"/>
        <rFont val="Arial"/>
        <family val="2"/>
      </rPr>
      <t>Crane Mobile</t>
    </r>
  </si>
  <si>
    <r>
      <rPr>
        <sz val="7"/>
        <rFont val="Arial"/>
        <family val="2"/>
      </rPr>
      <t>Tadano TS 100L</t>
    </r>
  </si>
  <si>
    <r>
      <rPr>
        <sz val="7"/>
        <rFont val="Arial"/>
        <family val="2"/>
      </rPr>
      <t>5+ To 10 Ton</t>
    </r>
  </si>
  <si>
    <r>
      <rPr>
        <sz val="7"/>
        <rFont val="Arial"/>
        <family val="2"/>
      </rPr>
      <t>021 -</t>
    </r>
  </si>
  <si>
    <r>
      <rPr>
        <sz val="7"/>
        <rFont val="Arial"/>
        <family val="2"/>
      </rPr>
      <t>Tadano TS 150L</t>
    </r>
  </si>
  <si>
    <r>
      <rPr>
        <sz val="7"/>
        <rFont val="Arial"/>
        <family val="2"/>
      </rPr>
      <t>10+ To 15 Ton</t>
    </r>
  </si>
  <si>
    <r>
      <rPr>
        <sz val="7"/>
        <rFont val="Arial"/>
        <family val="2"/>
      </rPr>
      <t>Cutter Concrete</t>
    </r>
  </si>
  <si>
    <r>
      <rPr>
        <sz val="7"/>
        <rFont val="Arial"/>
        <family val="2"/>
      </rPr>
      <t>Weber SM 182R</t>
    </r>
  </si>
  <si>
    <r>
      <rPr>
        <sz val="7"/>
        <rFont val="Arial"/>
        <family val="2"/>
      </rPr>
      <t>024 -</t>
    </r>
  </si>
  <si>
    <r>
      <rPr>
        <sz val="7"/>
        <rFont val="Arial"/>
        <family val="2"/>
      </rPr>
      <t>Mikasa MCD 218 DX</t>
    </r>
  </si>
  <si>
    <r>
      <rPr>
        <sz val="7"/>
        <rFont val="Arial"/>
        <family val="2"/>
      </rPr>
      <t>Dozer Wheel</t>
    </r>
  </si>
  <si>
    <r>
      <rPr>
        <sz val="7"/>
        <rFont val="Arial"/>
        <family val="2"/>
      </rPr>
      <t>Hanomag D66C, D66D</t>
    </r>
  </si>
  <si>
    <r>
      <rPr>
        <sz val="7"/>
        <rFont val="Arial"/>
        <family val="2"/>
      </rPr>
      <t>181 To 230 HP</t>
    </r>
  </si>
  <si>
    <r>
      <rPr>
        <sz val="7"/>
        <rFont val="Arial"/>
        <family val="2"/>
      </rPr>
      <t>030 -</t>
    </r>
  </si>
  <si>
    <r>
      <rPr>
        <sz val="7"/>
        <rFont val="Arial"/>
        <family val="2"/>
      </rPr>
      <t>CAT 814</t>
    </r>
  </si>
  <si>
    <r>
      <rPr>
        <sz val="7"/>
        <rFont val="Arial"/>
        <family val="2"/>
      </rPr>
      <t>Dozer Track</t>
    </r>
  </si>
  <si>
    <r>
      <rPr>
        <sz val="7"/>
        <rFont val="Arial"/>
        <family val="2"/>
      </rPr>
      <t>Komatsu D85ESS</t>
    </r>
  </si>
  <si>
    <r>
      <rPr>
        <sz val="7"/>
        <rFont val="Arial"/>
        <family val="2"/>
      </rPr>
      <t>031 -</t>
    </r>
  </si>
  <si>
    <r>
      <rPr>
        <sz val="7"/>
        <rFont val="Arial"/>
        <family val="2"/>
      </rPr>
      <t>CAT D7G</t>
    </r>
  </si>
  <si>
    <r>
      <rPr>
        <sz val="7"/>
        <rFont val="Arial"/>
        <family val="2"/>
      </rPr>
      <t>Shangdong TY 220</t>
    </r>
  </si>
  <si>
    <r>
      <rPr>
        <sz val="7"/>
        <rFont val="Arial"/>
        <family val="2"/>
      </rPr>
      <t>Hanomag D700C, D700D</t>
    </r>
  </si>
  <si>
    <r>
      <rPr>
        <sz val="7"/>
        <rFont val="Arial"/>
        <family val="2"/>
      </rPr>
      <t>Komatsu D85</t>
    </r>
  </si>
  <si>
    <r>
      <rPr>
        <sz val="7"/>
        <rFont val="Arial"/>
        <family val="2"/>
      </rPr>
      <t>Yishan TY 160</t>
    </r>
  </si>
  <si>
    <r>
      <rPr>
        <sz val="7"/>
        <rFont val="Arial"/>
        <family val="2"/>
      </rPr>
      <t>126 To 180 HP</t>
    </r>
  </si>
  <si>
    <r>
      <rPr>
        <sz val="7"/>
        <rFont val="Arial"/>
        <family val="2"/>
      </rPr>
      <t>BEML D65E8</t>
    </r>
  </si>
  <si>
    <r>
      <rPr>
        <sz val="7"/>
        <rFont val="Arial"/>
        <family val="2"/>
      </rPr>
      <t>CAT D6H</t>
    </r>
  </si>
  <si>
    <r>
      <rPr>
        <sz val="7"/>
        <rFont val="Arial"/>
        <family val="2"/>
      </rPr>
      <t>Komatsu D53A-17; D50A</t>
    </r>
  </si>
  <si>
    <r>
      <rPr>
        <sz val="7"/>
        <rFont val="Arial"/>
        <family val="2"/>
      </rPr>
      <t>80 To 125 HP</t>
    </r>
  </si>
  <si>
    <r>
      <rPr>
        <sz val="7"/>
        <rFont val="Arial"/>
        <family val="2"/>
      </rPr>
      <t>Komatsu D 50A - 17</t>
    </r>
  </si>
  <si>
    <r>
      <rPr>
        <sz val="7"/>
        <rFont val="Arial"/>
        <family val="2"/>
      </rPr>
      <t>CAT D3B</t>
    </r>
  </si>
  <si>
    <r>
      <rPr>
        <sz val="7"/>
        <rFont val="Arial"/>
        <family val="2"/>
      </rPr>
      <t>0 To 79 HP</t>
    </r>
  </si>
  <si>
    <r>
      <rPr>
        <sz val="7"/>
        <rFont val="Arial"/>
        <family val="2"/>
      </rPr>
      <t>Bitumin Distributor</t>
    </r>
  </si>
  <si>
    <r>
      <rPr>
        <sz val="7"/>
        <rFont val="Arial"/>
        <family val="2"/>
      </rPr>
      <t>Bedford TJ 1090</t>
    </r>
  </si>
  <si>
    <r>
      <rPr>
        <sz val="7"/>
        <rFont val="Arial"/>
        <family val="2"/>
      </rPr>
      <t>4 To 6 KL</t>
    </r>
  </si>
  <si>
    <r>
      <rPr>
        <sz val="7"/>
        <rFont val="Arial"/>
        <family val="2"/>
      </rPr>
      <t>032 -</t>
    </r>
  </si>
  <si>
    <r>
      <rPr>
        <sz val="7"/>
        <rFont val="Arial"/>
        <family val="2"/>
      </rPr>
      <t>ETNYRE/4700; ETNTYRE/M4148</t>
    </r>
  </si>
  <si>
    <r>
      <rPr>
        <sz val="7"/>
        <rFont val="Arial"/>
        <family val="2"/>
      </rPr>
      <t>Isuzu/Hanta; Hanta/Hino FF173 K</t>
    </r>
  </si>
  <si>
    <r>
      <rPr>
        <sz val="7"/>
        <rFont val="Arial"/>
        <family val="2"/>
      </rPr>
      <t>Rock Drill(Pneum)</t>
    </r>
  </si>
  <si>
    <r>
      <rPr>
        <sz val="7"/>
        <rFont val="Arial"/>
        <family val="2"/>
      </rPr>
      <t>034 -</t>
    </r>
  </si>
  <si>
    <r>
      <rPr>
        <sz val="7"/>
        <rFont val="Arial"/>
        <family val="2"/>
      </rPr>
      <t>Mini Dumper</t>
    </r>
  </si>
  <si>
    <r>
      <rPr>
        <sz val="7"/>
        <rFont val="Arial"/>
        <family val="2"/>
      </rPr>
      <t>Pengyuan FC 15</t>
    </r>
  </si>
  <si>
    <r>
      <rPr>
        <sz val="7"/>
        <rFont val="Arial"/>
        <family val="2"/>
      </rPr>
      <t>1 To 4 Cu. M.</t>
    </r>
  </si>
  <si>
    <r>
      <rPr>
        <sz val="7"/>
        <rFont val="Arial"/>
        <family val="2"/>
      </rPr>
      <t>035 -</t>
    </r>
  </si>
  <si>
    <r>
      <rPr>
        <sz val="7"/>
        <rFont val="Arial"/>
        <family val="2"/>
      </rPr>
      <t>Changai FC 1</t>
    </r>
  </si>
  <si>
    <r>
      <rPr>
        <sz val="7"/>
        <rFont val="Arial"/>
        <family val="2"/>
      </rPr>
      <t>Jiangsu F 15</t>
    </r>
  </si>
  <si>
    <r>
      <rPr>
        <sz val="7"/>
        <rFont val="Arial"/>
        <family val="2"/>
      </rPr>
      <t>Stott &amp; Pitt SD 011</t>
    </r>
  </si>
  <si>
    <r>
      <rPr>
        <sz val="7"/>
        <rFont val="Arial"/>
        <family val="2"/>
      </rPr>
      <t>Thawaties</t>
    </r>
  </si>
  <si>
    <r>
      <rPr>
        <sz val="7"/>
        <rFont val="Arial"/>
        <family val="2"/>
      </rPr>
      <t>Excavator Track</t>
    </r>
  </si>
  <si>
    <r>
      <rPr>
        <sz val="7"/>
        <rFont val="Arial"/>
        <family val="2"/>
      </rPr>
      <t>Daewoo Solar 130LC - V</t>
    </r>
  </si>
  <si>
    <r>
      <rPr>
        <sz val="7"/>
        <rFont val="Arial"/>
        <family val="2"/>
      </rPr>
      <t>1 To 110 HP</t>
    </r>
  </si>
  <si>
    <r>
      <rPr>
        <sz val="7"/>
        <rFont val="Arial"/>
        <family val="2"/>
      </rPr>
      <t>042 -</t>
    </r>
  </si>
  <si>
    <r>
      <rPr>
        <sz val="7"/>
        <rFont val="Arial"/>
        <family val="2"/>
      </rPr>
      <t>Kobelco SK 115 SR-1E</t>
    </r>
  </si>
  <si>
    <r>
      <rPr>
        <sz val="7"/>
        <rFont val="Arial"/>
        <family val="2"/>
      </rPr>
      <t>Daewoo SL 220</t>
    </r>
  </si>
  <si>
    <r>
      <rPr>
        <sz val="7"/>
        <rFont val="Arial"/>
        <family val="2"/>
      </rPr>
      <t>111 To 150 HP</t>
    </r>
  </si>
  <si>
    <r>
      <rPr>
        <sz val="7"/>
        <rFont val="Arial"/>
        <family val="2"/>
      </rPr>
      <t>Komatsu PC 150-5A</t>
    </r>
  </si>
  <si>
    <r>
      <rPr>
        <sz val="7"/>
        <rFont val="Arial"/>
        <family val="2"/>
      </rPr>
      <t>Hitachi EX 200 - 3</t>
    </r>
  </si>
  <si>
    <r>
      <rPr>
        <sz val="7"/>
        <rFont val="Arial"/>
        <family val="2"/>
      </rPr>
      <t>JCB - 820 Super; JCB - 820</t>
    </r>
  </si>
  <si>
    <r>
      <rPr>
        <sz val="7"/>
        <rFont val="Arial"/>
        <family val="2"/>
      </rPr>
      <t>JCB, JS 140</t>
    </r>
  </si>
  <si>
    <r>
      <rPr>
        <sz val="7"/>
        <rFont val="Arial"/>
        <family val="2"/>
      </rPr>
      <t>14 Ton</t>
    </r>
  </si>
  <si>
    <r>
      <rPr>
        <sz val="7"/>
        <rFont val="Arial"/>
        <family val="2"/>
      </rPr>
      <t>042-</t>
    </r>
  </si>
  <si>
    <r>
      <rPr>
        <sz val="7"/>
        <rFont val="Arial"/>
        <family val="2"/>
      </rPr>
      <t>Excavator+ Breaker</t>
    </r>
  </si>
  <si>
    <r>
      <rPr>
        <sz val="7"/>
        <rFont val="Arial"/>
        <family val="2"/>
      </rPr>
      <t>Daewoo SL220 With SOOSAN 20</t>
    </r>
  </si>
  <si>
    <r>
      <rPr>
        <sz val="7"/>
        <rFont val="Arial"/>
        <family val="2"/>
      </rPr>
      <t>Forklift Truck</t>
    </r>
  </si>
  <si>
    <r>
      <rPr>
        <sz val="7"/>
        <rFont val="Arial"/>
        <family val="2"/>
      </rPr>
      <t>Mitsubishi</t>
    </r>
  </si>
  <si>
    <r>
      <rPr>
        <sz val="7"/>
        <rFont val="Arial"/>
        <family val="2"/>
      </rPr>
      <t>&lt; 2.5 Ton</t>
    </r>
  </si>
  <si>
    <r>
      <rPr>
        <sz val="7"/>
        <rFont val="Arial"/>
        <family val="2"/>
      </rPr>
      <t>049 -</t>
    </r>
  </si>
  <si>
    <r>
      <rPr>
        <sz val="7"/>
        <rFont val="Arial"/>
        <family val="2"/>
      </rPr>
      <t>Generator*</t>
    </r>
  </si>
  <si>
    <r>
      <rPr>
        <sz val="7"/>
        <rFont val="Arial"/>
        <family val="2"/>
      </rPr>
      <t>Kubota ASK-R 350</t>
    </r>
  </si>
  <si>
    <r>
      <rPr>
        <sz val="7"/>
        <rFont val="Arial"/>
        <family val="2"/>
      </rPr>
      <t>Up to 10 KVA</t>
    </r>
  </si>
  <si>
    <r>
      <rPr>
        <sz val="7"/>
        <rFont val="Arial"/>
        <family val="2"/>
      </rPr>
      <t>054 -</t>
    </r>
  </si>
  <si>
    <r>
      <rPr>
        <sz val="7"/>
        <rFont val="Arial"/>
        <family val="2"/>
      </rPr>
      <t>Denyo DBF-3Y; DBF 7.5Y</t>
    </r>
  </si>
  <si>
    <r>
      <rPr>
        <sz val="7"/>
        <rFont val="Arial"/>
        <family val="2"/>
      </rPr>
      <t>Robin</t>
    </r>
  </si>
  <si>
    <r>
      <rPr>
        <sz val="7"/>
        <rFont val="Arial"/>
        <family val="2"/>
      </rPr>
      <t>Caterpillar</t>
    </r>
  </si>
  <si>
    <r>
      <rPr>
        <sz val="7"/>
        <rFont val="Arial"/>
        <family val="2"/>
      </rPr>
      <t>Kirloskar RB 33</t>
    </r>
  </si>
  <si>
    <r>
      <rPr>
        <sz val="7"/>
        <rFont val="Arial"/>
        <family val="2"/>
      </rPr>
      <t>Osaka/Seimeitsu SAS - 130Y</t>
    </r>
  </si>
  <si>
    <r>
      <rPr>
        <sz val="7"/>
        <rFont val="Arial"/>
        <family val="2"/>
      </rPr>
      <t>10 To 30 KVA</t>
    </r>
  </si>
  <si>
    <r>
      <rPr>
        <sz val="7"/>
        <rFont val="Arial"/>
        <family val="2"/>
      </rPr>
      <t>Kirloskar</t>
    </r>
  </si>
  <si>
    <r>
      <rPr>
        <sz val="7"/>
        <rFont val="Arial"/>
        <family val="2"/>
      </rPr>
      <t>30+ To 50 KVA</t>
    </r>
  </si>
  <si>
    <r>
      <rPr>
        <sz val="7"/>
        <rFont val="Arial"/>
        <family val="2"/>
      </rPr>
      <t>Grader Motor</t>
    </r>
  </si>
  <si>
    <r>
      <rPr>
        <sz val="7"/>
        <rFont val="Arial"/>
        <family val="2"/>
      </rPr>
      <t>Komatsu GD 511R - 1</t>
    </r>
  </si>
  <si>
    <r>
      <rPr>
        <sz val="7"/>
        <rFont val="Arial"/>
        <family val="2"/>
      </rPr>
      <t>135 HP</t>
    </r>
  </si>
  <si>
    <r>
      <rPr>
        <sz val="7"/>
        <rFont val="Arial"/>
        <family val="2"/>
      </rPr>
      <t>055 -</t>
    </r>
  </si>
  <si>
    <r>
      <rPr>
        <sz val="7"/>
        <rFont val="Arial"/>
        <family val="2"/>
      </rPr>
      <t>Chapion 710 ; 710R</t>
    </r>
  </si>
  <si>
    <r>
      <rPr>
        <sz val="7"/>
        <rFont val="Arial"/>
        <family val="2"/>
      </rPr>
      <t>CAT 120G</t>
    </r>
  </si>
  <si>
    <r>
      <rPr>
        <sz val="7"/>
        <rFont val="Arial"/>
        <family val="2"/>
      </rPr>
      <t>125 HP</t>
    </r>
  </si>
  <si>
    <r>
      <rPr>
        <sz val="7"/>
        <rFont val="Arial"/>
        <family val="2"/>
      </rPr>
      <t>Mitubishi MG 350R</t>
    </r>
  </si>
  <si>
    <r>
      <rPr>
        <sz val="7"/>
        <rFont val="Arial"/>
        <family val="2"/>
      </rPr>
      <t>BEML BG605 - 6216</t>
    </r>
  </si>
  <si>
    <r>
      <rPr>
        <sz val="7"/>
        <rFont val="Arial"/>
        <family val="2"/>
      </rPr>
      <t>145 HP</t>
    </r>
  </si>
  <si>
    <r>
      <rPr>
        <sz val="7"/>
        <rFont val="Arial"/>
        <family val="2"/>
      </rPr>
      <t>Aveling Barford ASG 12G; TG 011</t>
    </r>
  </si>
  <si>
    <r>
      <rPr>
        <sz val="7"/>
        <rFont val="Arial"/>
        <family val="2"/>
      </rPr>
      <t>Niigata N530 PSA</t>
    </r>
  </si>
  <si>
    <r>
      <rPr>
        <sz val="7"/>
        <rFont val="Arial"/>
        <family val="2"/>
      </rPr>
      <t>Komatsu 405A - 1</t>
    </r>
  </si>
  <si>
    <r>
      <rPr>
        <sz val="7"/>
        <rFont val="Arial"/>
        <family val="2"/>
      </rPr>
      <t>90 HP</t>
    </r>
  </si>
  <si>
    <r>
      <rPr>
        <sz val="7"/>
        <rFont val="Arial"/>
        <family val="2"/>
      </rPr>
      <t>Chips Spreader</t>
    </r>
  </si>
  <si>
    <r>
      <rPr>
        <sz val="7"/>
        <rFont val="Arial"/>
        <family val="2"/>
      </rPr>
      <t>Phoenix/Tail Gate Mounted</t>
    </r>
  </si>
  <si>
    <r>
      <rPr>
        <sz val="7"/>
        <rFont val="Arial"/>
        <family val="2"/>
      </rPr>
      <t>057 -</t>
    </r>
  </si>
  <si>
    <r>
      <rPr>
        <sz val="7"/>
        <rFont val="Arial"/>
        <family val="2"/>
      </rPr>
      <t>Bitumin Heater</t>
    </r>
  </si>
  <si>
    <r>
      <rPr>
        <sz val="7"/>
        <rFont val="Arial"/>
        <family val="2"/>
      </rPr>
      <t>Span Eng.</t>
    </r>
  </si>
  <si>
    <r>
      <rPr>
        <sz val="7"/>
        <rFont val="Arial"/>
        <family val="2"/>
      </rPr>
      <t>Up to 2 KL</t>
    </r>
  </si>
  <si>
    <r>
      <rPr>
        <sz val="7"/>
        <rFont val="Arial"/>
        <family val="2"/>
      </rPr>
      <t>062 -</t>
    </r>
  </si>
  <si>
    <r>
      <rPr>
        <sz val="7"/>
        <rFont val="Arial"/>
        <family val="2"/>
      </rPr>
      <t>Loader Wheel</t>
    </r>
  </si>
  <si>
    <r>
      <rPr>
        <sz val="7"/>
        <rFont val="Arial"/>
        <family val="2"/>
      </rPr>
      <t>JCB 425</t>
    </r>
  </si>
  <si>
    <r>
      <rPr>
        <sz val="7"/>
        <rFont val="Arial"/>
        <family val="2"/>
      </rPr>
      <t>1.75 Cu M</t>
    </r>
  </si>
  <si>
    <r>
      <rPr>
        <sz val="7"/>
        <rFont val="Arial"/>
        <family val="2"/>
      </rPr>
      <t>068 -</t>
    </r>
  </si>
  <si>
    <r>
      <rPr>
        <sz val="7"/>
        <rFont val="Arial"/>
        <family val="2"/>
      </rPr>
      <t>Aveling Barford</t>
    </r>
  </si>
  <si>
    <r>
      <rPr>
        <sz val="7"/>
        <rFont val="Arial"/>
        <family val="2"/>
      </rPr>
      <t>EJCB - 430</t>
    </r>
  </si>
  <si>
    <r>
      <rPr>
        <sz val="7"/>
        <rFont val="Arial"/>
        <family val="2"/>
      </rPr>
      <t>1.7 Cu M</t>
    </r>
  </si>
  <si>
    <r>
      <rPr>
        <sz val="7"/>
        <rFont val="Arial"/>
        <family val="2"/>
      </rPr>
      <t>Komatsu WA 100 - 1</t>
    </r>
  </si>
  <si>
    <r>
      <rPr>
        <sz val="7"/>
        <rFont val="Arial"/>
        <family val="2"/>
      </rPr>
      <t>1.2 Cu M</t>
    </r>
  </si>
  <si>
    <r>
      <rPr>
        <sz val="7"/>
        <rFont val="Arial"/>
        <family val="2"/>
      </rPr>
      <t>Komatsu WA 180 - 3</t>
    </r>
  </si>
  <si>
    <r>
      <rPr>
        <sz val="7"/>
        <rFont val="Arial"/>
        <family val="2"/>
      </rPr>
      <t>1.8 Cu M</t>
    </r>
  </si>
  <si>
    <r>
      <rPr>
        <sz val="7"/>
        <rFont val="Arial"/>
        <family val="2"/>
      </rPr>
      <t>Furukawa FL 200; FL 230 - I</t>
    </r>
  </si>
  <si>
    <r>
      <rPr>
        <sz val="7"/>
        <rFont val="Arial"/>
        <family val="2"/>
      </rPr>
      <t>1.9 - 2.3 Cu M</t>
    </r>
  </si>
  <si>
    <r>
      <rPr>
        <sz val="7"/>
        <rFont val="Arial"/>
        <family val="2"/>
      </rPr>
      <t>Furukawa FL 200 - I</t>
    </r>
  </si>
  <si>
    <r>
      <rPr>
        <sz val="7"/>
        <rFont val="Arial"/>
        <family val="2"/>
      </rPr>
      <t>Kawasaki KSS 70; KLD 70</t>
    </r>
  </si>
  <si>
    <r>
      <rPr>
        <sz val="7"/>
        <rFont val="Arial"/>
        <family val="2"/>
      </rPr>
      <t>1.9 - 2.2 Cu M</t>
    </r>
  </si>
  <si>
    <r>
      <rPr>
        <sz val="7"/>
        <rFont val="Arial"/>
        <family val="2"/>
      </rPr>
      <t>CAT 950</t>
    </r>
  </si>
  <si>
    <r>
      <rPr>
        <sz val="7"/>
        <rFont val="Arial"/>
        <family val="2"/>
      </rPr>
      <t>&gt; 1.8 Cu M</t>
    </r>
  </si>
  <si>
    <r>
      <rPr>
        <sz val="7"/>
        <rFont val="Arial"/>
        <family val="2"/>
      </rPr>
      <t>Michigan Clark 75 - IIIA</t>
    </r>
  </si>
  <si>
    <r>
      <rPr>
        <sz val="7"/>
        <rFont val="Arial"/>
        <family val="2"/>
      </rPr>
      <t>Hyuandai HL 757 - 7</t>
    </r>
  </si>
  <si>
    <r>
      <rPr>
        <sz val="7"/>
        <rFont val="Arial"/>
        <family val="2"/>
      </rPr>
      <t>2.5 Cu M</t>
    </r>
  </si>
  <si>
    <r>
      <rPr>
        <sz val="7"/>
        <rFont val="Arial"/>
        <family val="2"/>
      </rPr>
      <t>Kawasaki 70ZIV - 2</t>
    </r>
  </si>
  <si>
    <r>
      <rPr>
        <sz val="7"/>
        <rFont val="Arial"/>
        <family val="2"/>
      </rPr>
      <t>2.2 Cu M</t>
    </r>
  </si>
  <si>
    <r>
      <rPr>
        <sz val="7"/>
        <rFont val="Arial"/>
        <family val="2"/>
      </rPr>
      <t>Kawasaki 70ZIV; WL03 - 70Z</t>
    </r>
  </si>
  <si>
    <r>
      <rPr>
        <sz val="7"/>
        <rFont val="Arial"/>
        <family val="2"/>
      </rPr>
      <t>Kawasaki 70Z - IV Hino</t>
    </r>
  </si>
  <si>
    <r>
      <rPr>
        <sz val="7"/>
        <rFont val="Arial"/>
        <family val="2"/>
      </rPr>
      <t>Hyundai HL 757-9s</t>
    </r>
  </si>
  <si>
    <r>
      <rPr>
        <sz val="7"/>
        <rFont val="Arial"/>
        <family val="2"/>
      </rPr>
      <t>068-</t>
    </r>
  </si>
  <si>
    <r>
      <rPr>
        <sz val="7"/>
        <rFont val="Arial"/>
        <family val="2"/>
      </rPr>
      <t>Back Hoe Loader</t>
    </r>
  </si>
  <si>
    <r>
      <rPr>
        <sz val="7"/>
        <rFont val="Arial"/>
        <family val="2"/>
      </rPr>
      <t>JCB 3CX - 4</t>
    </r>
  </si>
  <si>
    <r>
      <rPr>
        <sz val="7"/>
        <rFont val="Arial"/>
        <family val="2"/>
      </rPr>
      <t>&lt; 90 HP</t>
    </r>
  </si>
  <si>
    <r>
      <rPr>
        <sz val="7"/>
        <rFont val="Arial"/>
        <family val="2"/>
      </rPr>
      <t>070 -</t>
    </r>
  </si>
  <si>
    <r>
      <rPr>
        <sz val="7"/>
        <rFont val="Arial"/>
        <family val="2"/>
      </rPr>
      <t>Backhoe Loader</t>
    </r>
  </si>
  <si>
    <r>
      <rPr>
        <sz val="7"/>
        <rFont val="Arial"/>
        <family val="2"/>
      </rPr>
      <t>JCB 4DX</t>
    </r>
  </si>
  <si>
    <r>
      <rPr>
        <sz val="7"/>
        <rFont val="Arial"/>
        <family val="2"/>
      </rPr>
      <t>&gt;90 HP</t>
    </r>
  </si>
  <si>
    <r>
      <rPr>
        <sz val="7"/>
        <rFont val="Arial"/>
        <family val="2"/>
      </rPr>
      <t>070-</t>
    </r>
  </si>
  <si>
    <r>
      <rPr>
        <sz val="7"/>
        <rFont val="Arial"/>
        <family val="2"/>
      </rPr>
      <t xml:space="preserve">Backhoe Loader with patch
</t>
    </r>
    <r>
      <rPr>
        <sz val="7"/>
        <rFont val="Arial"/>
        <family val="2"/>
      </rPr>
      <t>planer</t>
    </r>
  </si>
  <si>
    <r>
      <rPr>
        <sz val="7"/>
        <rFont val="Arial"/>
        <family val="2"/>
      </rPr>
      <t>Water Pump (Engine)</t>
    </r>
  </si>
  <si>
    <r>
      <rPr>
        <sz val="7"/>
        <rFont val="Arial"/>
        <family val="2"/>
      </rPr>
      <t>Sykes Univac</t>
    </r>
  </si>
  <si>
    <r>
      <rPr>
        <sz val="7"/>
        <rFont val="Arial"/>
        <family val="2"/>
      </rPr>
      <t>Up To 4"</t>
    </r>
  </si>
  <si>
    <r>
      <rPr>
        <sz val="7"/>
        <rFont val="Arial"/>
        <family val="2"/>
      </rPr>
      <t>085 -</t>
    </r>
  </si>
  <si>
    <r>
      <rPr>
        <sz val="7"/>
        <rFont val="Arial"/>
        <family val="2"/>
      </rPr>
      <t>Yanmar/ YKS - 3DW</t>
    </r>
  </si>
  <si>
    <r>
      <rPr>
        <sz val="7"/>
        <rFont val="Arial"/>
        <family val="2"/>
      </rPr>
      <t>4 To 6 "</t>
    </r>
  </si>
  <si>
    <r>
      <rPr>
        <sz val="7"/>
        <rFont val="Arial"/>
        <family val="2"/>
      </rPr>
      <t>Yanmar/ YKS - 6DFA</t>
    </r>
  </si>
  <si>
    <r>
      <rPr>
        <sz val="7"/>
        <rFont val="Arial"/>
        <family val="2"/>
      </rPr>
      <t>4 To 6"</t>
    </r>
  </si>
  <si>
    <r>
      <rPr>
        <sz val="7"/>
        <rFont val="Arial"/>
        <family val="2"/>
      </rPr>
      <t>Water Pump (Elect.)</t>
    </r>
  </si>
  <si>
    <r>
      <rPr>
        <sz val="7"/>
        <rFont val="Arial"/>
        <family val="2"/>
      </rPr>
      <t>5 HP</t>
    </r>
  </si>
  <si>
    <r>
      <rPr>
        <sz val="7"/>
        <rFont val="Arial"/>
        <family val="2"/>
      </rPr>
      <t>7.5 HP</t>
    </r>
  </si>
  <si>
    <r>
      <rPr>
        <sz val="7"/>
        <rFont val="Arial"/>
        <family val="2"/>
      </rPr>
      <t>Pile Driver*</t>
    </r>
  </si>
  <si>
    <r>
      <rPr>
        <sz val="7"/>
        <rFont val="Arial"/>
        <family val="2"/>
      </rPr>
      <t>10 Ton</t>
    </r>
  </si>
  <si>
    <r>
      <rPr>
        <sz val="7"/>
        <rFont val="Arial"/>
        <family val="2"/>
      </rPr>
      <t>086 -</t>
    </r>
  </si>
  <si>
    <r>
      <rPr>
        <sz val="7"/>
        <rFont val="Arial"/>
        <family val="2"/>
      </rPr>
      <t>Roller 3 Wheel</t>
    </r>
  </si>
  <si>
    <r>
      <rPr>
        <sz val="7"/>
        <rFont val="Arial"/>
        <family val="2"/>
      </rPr>
      <t>Aveling Barford DC 011</t>
    </r>
  </si>
  <si>
    <r>
      <rPr>
        <sz val="7"/>
        <rFont val="Arial"/>
        <family val="2"/>
      </rPr>
      <t>Up to 12 Ton</t>
    </r>
  </si>
  <si>
    <r>
      <rPr>
        <sz val="7"/>
        <rFont val="Arial"/>
        <family val="2"/>
      </rPr>
      <t>094 -</t>
    </r>
  </si>
  <si>
    <r>
      <rPr>
        <sz val="7"/>
        <rFont val="Arial"/>
        <family val="2"/>
      </rPr>
      <t>Johs Moller Rambo</t>
    </r>
  </si>
  <si>
    <r>
      <rPr>
        <sz val="7"/>
        <rFont val="Arial"/>
        <family val="2"/>
      </rPr>
      <t>Speedcraft DRR 10 - S</t>
    </r>
  </si>
  <si>
    <r>
      <rPr>
        <sz val="7"/>
        <rFont val="Arial"/>
        <family val="2"/>
      </rPr>
      <t>Luoyang 3Y8 / 10</t>
    </r>
  </si>
  <si>
    <r>
      <rPr>
        <sz val="7"/>
        <rFont val="Arial"/>
        <family val="2"/>
      </rPr>
      <t>Aveling Barford DC 012</t>
    </r>
  </si>
  <si>
    <r>
      <rPr>
        <sz val="7"/>
        <rFont val="Arial"/>
        <family val="2"/>
      </rPr>
      <t>Albaret TR - 10</t>
    </r>
  </si>
  <si>
    <r>
      <rPr>
        <sz val="7"/>
        <rFont val="Arial"/>
        <family val="2"/>
      </rPr>
      <t>Kawasaki KMRH - 12</t>
    </r>
  </si>
  <si>
    <r>
      <rPr>
        <sz val="7"/>
        <rFont val="Arial"/>
        <family val="2"/>
      </rPr>
      <t>Sakai 7608</t>
    </r>
  </si>
  <si>
    <r>
      <rPr>
        <sz val="7"/>
        <rFont val="Arial"/>
        <family val="2"/>
      </rPr>
      <t>Roller Pneumatic</t>
    </r>
  </si>
  <si>
    <r>
      <rPr>
        <sz val="7"/>
        <rFont val="Arial"/>
        <family val="2"/>
      </rPr>
      <t>Dynapac CP 15</t>
    </r>
  </si>
  <si>
    <r>
      <rPr>
        <sz val="7"/>
        <rFont val="Arial"/>
        <family val="2"/>
      </rPr>
      <t>Up to 20 Ton</t>
    </r>
  </si>
  <si>
    <r>
      <rPr>
        <sz val="7"/>
        <rFont val="Arial"/>
        <family val="2"/>
      </rPr>
      <t>096 -</t>
    </r>
  </si>
  <si>
    <r>
      <rPr>
        <sz val="7"/>
        <rFont val="Arial"/>
        <family val="2"/>
      </rPr>
      <t>Hamm GRW - 10</t>
    </r>
  </si>
  <si>
    <r>
      <rPr>
        <sz val="7"/>
        <rFont val="Arial"/>
        <family val="2"/>
      </rPr>
      <t>Stavostroj VP 200</t>
    </r>
  </si>
  <si>
    <r>
      <rPr>
        <sz val="7"/>
        <rFont val="Arial"/>
        <family val="2"/>
      </rPr>
      <t>Dynapac CP 20</t>
    </r>
  </si>
  <si>
    <r>
      <rPr>
        <sz val="7"/>
        <rFont val="Arial"/>
        <family val="2"/>
      </rPr>
      <t>Sakai TS7409</t>
    </r>
  </si>
  <si>
    <r>
      <rPr>
        <sz val="7"/>
        <rFont val="Arial"/>
        <family val="2"/>
      </rPr>
      <t>Roller Vib. Pedestrain</t>
    </r>
  </si>
  <si>
    <r>
      <rPr>
        <sz val="7"/>
        <rFont val="Arial"/>
        <family val="2"/>
      </rPr>
      <t>Bomag BW 71E - 2</t>
    </r>
  </si>
  <si>
    <r>
      <rPr>
        <sz val="7"/>
        <rFont val="Arial"/>
        <family val="2"/>
      </rPr>
      <t>Up to 0.5 Ton</t>
    </r>
  </si>
  <si>
    <r>
      <rPr>
        <sz val="7"/>
        <rFont val="Arial"/>
        <family val="2"/>
      </rPr>
      <t>098 -</t>
    </r>
  </si>
  <si>
    <r>
      <rPr>
        <sz val="7"/>
        <rFont val="Arial"/>
        <family val="2"/>
      </rPr>
      <t>Bomag BW 71E</t>
    </r>
  </si>
  <si>
    <r>
      <rPr>
        <sz val="7"/>
        <rFont val="Arial"/>
        <family val="2"/>
      </rPr>
      <t>Benford 1 - 71L / 2 - 75B</t>
    </r>
  </si>
  <si>
    <r>
      <rPr>
        <sz val="7"/>
        <rFont val="Arial"/>
        <family val="2"/>
      </rPr>
      <t>Holman / Com CS 71</t>
    </r>
  </si>
  <si>
    <r>
      <rPr>
        <sz val="7"/>
        <rFont val="Arial"/>
        <family val="2"/>
      </rPr>
      <t>Mortimor CPM/71</t>
    </r>
  </si>
  <si>
    <r>
      <rPr>
        <sz val="7"/>
        <rFont val="Arial"/>
        <family val="2"/>
      </rPr>
      <t>Bomag BW 55E</t>
    </r>
  </si>
  <si>
    <r>
      <rPr>
        <sz val="7"/>
        <rFont val="Arial"/>
        <family val="2"/>
      </rPr>
      <t>Benford 1 - 71EEP/ 1 - 71 B</t>
    </r>
  </si>
  <si>
    <r>
      <rPr>
        <sz val="7"/>
        <rFont val="Arial"/>
        <family val="2"/>
      </rPr>
      <t>Benford</t>
    </r>
  </si>
  <si>
    <r>
      <rPr>
        <sz val="7"/>
        <rFont val="Arial"/>
        <family val="2"/>
      </rPr>
      <t>Benford 1 - 71BPL</t>
    </r>
  </si>
  <si>
    <r>
      <rPr>
        <sz val="7"/>
        <rFont val="Arial"/>
        <family val="2"/>
      </rPr>
      <t>Roller Vib. Sheepfoot</t>
    </r>
  </si>
  <si>
    <r>
      <rPr>
        <sz val="7"/>
        <rFont val="Arial"/>
        <family val="2"/>
      </rPr>
      <t>Tampo</t>
    </r>
  </si>
  <si>
    <r>
      <rPr>
        <sz val="7"/>
        <rFont val="Arial"/>
        <family val="2"/>
      </rPr>
      <t>099 -</t>
    </r>
  </si>
  <si>
    <r>
      <rPr>
        <sz val="7"/>
        <rFont val="Arial"/>
        <family val="2"/>
      </rPr>
      <t>Roller Vib. Self Prop.</t>
    </r>
  </si>
  <si>
    <r>
      <rPr>
        <sz val="7"/>
        <rFont val="Arial"/>
        <family val="2"/>
      </rPr>
      <t>Johs Moller VT 13 / VT 21</t>
    </r>
  </si>
  <si>
    <r>
      <rPr>
        <sz val="7"/>
        <rFont val="Arial"/>
        <family val="2"/>
      </rPr>
      <t>Up to 3 Ton</t>
    </r>
  </si>
  <si>
    <r>
      <rPr>
        <sz val="7"/>
        <rFont val="Arial"/>
        <family val="2"/>
      </rPr>
      <t>101 -</t>
    </r>
  </si>
  <si>
    <r>
      <rPr>
        <sz val="7"/>
        <rFont val="Arial"/>
        <family val="2"/>
      </rPr>
      <t>Sakai SG 500</t>
    </r>
  </si>
  <si>
    <r>
      <rPr>
        <sz val="7"/>
        <rFont val="Arial"/>
        <family val="2"/>
      </rPr>
      <t>3 + Upto 6 Ton</t>
    </r>
  </si>
  <si>
    <r>
      <rPr>
        <sz val="7"/>
        <rFont val="Arial"/>
        <family val="2"/>
      </rPr>
      <t>Larsen &amp; Turbo W1104</t>
    </r>
  </si>
  <si>
    <r>
      <rPr>
        <sz val="7"/>
        <rFont val="Arial"/>
        <family val="2"/>
      </rPr>
      <t>Bomag BG 605</t>
    </r>
  </si>
  <si>
    <r>
      <rPr>
        <sz val="7"/>
        <rFont val="Arial"/>
        <family val="2"/>
      </rPr>
      <t>Bomag BW 172D - 2</t>
    </r>
  </si>
  <si>
    <r>
      <rPr>
        <sz val="7"/>
        <rFont val="Arial"/>
        <family val="2"/>
      </rPr>
      <t>6.3 Ton</t>
    </r>
  </si>
  <si>
    <r>
      <rPr>
        <sz val="7"/>
        <rFont val="Arial"/>
        <family val="2"/>
      </rPr>
      <t>Bomag</t>
    </r>
  </si>
  <si>
    <r>
      <rPr>
        <sz val="7"/>
        <rFont val="Arial"/>
        <family val="2"/>
      </rPr>
      <t>Kawasaki KVR 7</t>
    </r>
  </si>
  <si>
    <r>
      <rPr>
        <sz val="7"/>
        <rFont val="Arial"/>
        <family val="2"/>
      </rPr>
      <t>6 Ton</t>
    </r>
  </si>
  <si>
    <r>
      <rPr>
        <sz val="7"/>
        <rFont val="Arial"/>
        <family val="2"/>
      </rPr>
      <t>JCB  VM115</t>
    </r>
  </si>
  <si>
    <r>
      <rPr>
        <sz val="7"/>
        <rFont val="Arial"/>
        <family val="2"/>
      </rPr>
      <t>11 ton</t>
    </r>
  </si>
  <si>
    <r>
      <rPr>
        <sz val="7"/>
        <rFont val="Arial"/>
        <family val="2"/>
      </rPr>
      <t>101-</t>
    </r>
  </si>
  <si>
    <r>
      <rPr>
        <sz val="7"/>
        <rFont val="Arial"/>
        <family val="2"/>
      </rPr>
      <t>Combination Vibratory Roller</t>
    </r>
  </si>
  <si>
    <r>
      <rPr>
        <sz val="7"/>
        <rFont val="Arial"/>
        <family val="2"/>
      </rPr>
      <t>Sakai  TW250-2</t>
    </r>
  </si>
  <si>
    <r>
      <rPr>
        <sz val="7"/>
        <rFont val="Arial"/>
        <family val="2"/>
      </rPr>
      <t>1.4 ton</t>
    </r>
  </si>
  <si>
    <r>
      <rPr>
        <sz val="7"/>
        <rFont val="Arial"/>
        <family val="2"/>
      </rPr>
      <t>Spreader Chip S/P</t>
    </r>
  </si>
  <si>
    <r>
      <rPr>
        <sz val="7"/>
        <rFont val="Arial"/>
        <family val="2"/>
      </rPr>
      <t>Phoenix MK 4</t>
    </r>
  </si>
  <si>
    <r>
      <rPr>
        <sz val="7"/>
        <rFont val="Arial"/>
        <family val="2"/>
      </rPr>
      <t>109 -</t>
    </r>
  </si>
  <si>
    <r>
      <rPr>
        <sz val="7"/>
        <rFont val="Arial"/>
        <family val="2"/>
      </rPr>
      <t>Spayer Emulsion</t>
    </r>
  </si>
  <si>
    <r>
      <rPr>
        <sz val="7"/>
        <rFont val="Arial"/>
        <family val="2"/>
      </rPr>
      <t>Hotta ESC - 10 E</t>
    </r>
  </si>
  <si>
    <r>
      <rPr>
        <sz val="7"/>
        <rFont val="Arial"/>
        <family val="2"/>
      </rPr>
      <t>Up to 1 KL</t>
    </r>
  </si>
  <si>
    <r>
      <rPr>
        <sz val="7"/>
        <rFont val="Arial"/>
        <family val="2"/>
      </rPr>
      <t>112 -</t>
    </r>
  </si>
  <si>
    <r>
      <rPr>
        <sz val="7"/>
        <rFont val="Arial"/>
        <family val="2"/>
      </rPr>
      <t>Truck Flatbed/Crane</t>
    </r>
  </si>
  <si>
    <r>
      <rPr>
        <sz val="7"/>
        <rFont val="Arial"/>
        <family val="2"/>
      </rPr>
      <t>Dong Feng/AEDLUS</t>
    </r>
  </si>
  <si>
    <r>
      <rPr>
        <sz val="7"/>
        <rFont val="Arial"/>
        <family val="2"/>
      </rPr>
      <t>Up to 7 Ton</t>
    </r>
  </si>
  <si>
    <r>
      <rPr>
        <sz val="7"/>
        <rFont val="Arial"/>
        <family val="2"/>
      </rPr>
      <t>114 -</t>
    </r>
  </si>
  <si>
    <r>
      <rPr>
        <sz val="7"/>
        <rFont val="Arial"/>
        <family val="2"/>
      </rPr>
      <t>Tata SE 1210/42</t>
    </r>
  </si>
  <si>
    <r>
      <rPr>
        <sz val="7"/>
        <rFont val="Arial"/>
        <family val="2"/>
      </rPr>
      <t>Tata Usha 1210B/42</t>
    </r>
  </si>
  <si>
    <r>
      <rPr>
        <sz val="7"/>
        <rFont val="Arial"/>
        <family val="2"/>
      </rPr>
      <t>Isuzu HTR</t>
    </r>
  </si>
  <si>
    <r>
      <rPr>
        <sz val="7"/>
        <rFont val="Arial"/>
        <family val="2"/>
      </rPr>
      <t>Truck Flatbed</t>
    </r>
  </si>
  <si>
    <r>
      <rPr>
        <sz val="7"/>
        <rFont val="Arial"/>
        <family val="2"/>
      </rPr>
      <t>Ashok Leyland CS 42</t>
    </r>
  </si>
  <si>
    <r>
      <rPr>
        <sz val="7"/>
        <rFont val="Arial"/>
        <family val="2"/>
      </rPr>
      <t>Up to 150 HP</t>
    </r>
  </si>
  <si>
    <r>
      <rPr>
        <sz val="7"/>
        <rFont val="Arial"/>
        <family val="2"/>
      </rPr>
      <t>115 -</t>
    </r>
  </si>
  <si>
    <r>
      <rPr>
        <sz val="7"/>
        <rFont val="Arial"/>
        <family val="2"/>
      </rPr>
      <t>Hino FF 173KA</t>
    </r>
  </si>
  <si>
    <r>
      <rPr>
        <sz val="7"/>
        <rFont val="Arial"/>
        <family val="2"/>
      </rPr>
      <t>Isuzu HTR 114-03</t>
    </r>
  </si>
  <si>
    <r>
      <rPr>
        <sz val="7"/>
        <rFont val="Arial"/>
        <family val="2"/>
      </rPr>
      <t>Isuzu TXD 50</t>
    </r>
  </si>
  <si>
    <r>
      <rPr>
        <sz val="7"/>
        <rFont val="Arial"/>
        <family val="2"/>
      </rPr>
      <t>Truck Tipper</t>
    </r>
  </si>
  <si>
    <r>
      <rPr>
        <sz val="7"/>
        <rFont val="Arial"/>
        <family val="2"/>
      </rPr>
      <t>Tata SK 1210/36</t>
    </r>
  </si>
  <si>
    <r>
      <rPr>
        <sz val="7"/>
        <rFont val="Arial"/>
        <family val="2"/>
      </rPr>
      <t>116 -</t>
    </r>
  </si>
  <si>
    <r>
      <rPr>
        <sz val="7"/>
        <rFont val="Arial"/>
        <family val="2"/>
      </rPr>
      <t>A/Leyland Commet 3/15;</t>
    </r>
  </si>
  <si>
    <r>
      <rPr>
        <sz val="7"/>
        <rFont val="Arial"/>
        <family val="2"/>
      </rPr>
      <t>Tata SE 1210 /36</t>
    </r>
  </si>
  <si>
    <r>
      <rPr>
        <sz val="7"/>
        <rFont val="Arial"/>
        <family val="2"/>
      </rPr>
      <t>A/ Leyland Commet 3/21</t>
    </r>
  </si>
  <si>
    <r>
      <rPr>
        <sz val="7"/>
        <rFont val="Arial"/>
        <family val="2"/>
      </rPr>
      <t>A/ Leyland Commet</t>
    </r>
  </si>
  <si>
    <r>
      <rPr>
        <sz val="7"/>
        <rFont val="Arial"/>
        <family val="2"/>
      </rPr>
      <t>A/Leyland Commet</t>
    </r>
  </si>
  <si>
    <r>
      <rPr>
        <sz val="7"/>
        <rFont val="Arial"/>
        <family val="2"/>
      </rPr>
      <t>Isuzu HTR 113-03</t>
    </r>
  </si>
  <si>
    <r>
      <rPr>
        <sz val="7"/>
        <rFont val="Arial"/>
        <family val="2"/>
      </rPr>
      <t>Hino KR 120 E</t>
    </r>
  </si>
  <si>
    <r>
      <rPr>
        <sz val="7"/>
        <rFont val="Arial"/>
        <family val="2"/>
      </rPr>
      <t>Isuzu SBR 322; TXD 40</t>
    </r>
  </si>
  <si>
    <r>
      <rPr>
        <sz val="7"/>
        <rFont val="Arial"/>
        <family val="2"/>
      </rPr>
      <t>Nissan CPC 14E</t>
    </r>
  </si>
  <si>
    <r>
      <rPr>
        <sz val="7"/>
        <rFont val="Arial"/>
        <family val="2"/>
      </rPr>
      <t>From 150+ HP</t>
    </r>
  </si>
  <si>
    <r>
      <rPr>
        <sz val="7"/>
        <rFont val="Arial"/>
        <family val="2"/>
      </rPr>
      <t>Isuzu TDJ</t>
    </r>
  </si>
  <si>
    <r>
      <rPr>
        <sz val="7"/>
        <rFont val="Arial"/>
        <family val="2"/>
      </rPr>
      <t>Nissan CKB 450EDN</t>
    </r>
  </si>
  <si>
    <r>
      <rPr>
        <sz val="8"/>
        <rFont val="Arial"/>
        <family val="2"/>
      </rPr>
      <t>Mini Truck</t>
    </r>
  </si>
  <si>
    <r>
      <rPr>
        <sz val="8"/>
        <rFont val="Arial"/>
        <family val="2"/>
      </rPr>
      <t>Mah &amp; Mah Cab 576</t>
    </r>
  </si>
  <si>
    <r>
      <rPr>
        <sz val="8"/>
        <rFont val="Arial"/>
        <family val="2"/>
      </rPr>
      <t>117 -</t>
    </r>
  </si>
  <si>
    <r>
      <rPr>
        <sz val="8"/>
        <rFont val="Arial"/>
        <family val="2"/>
      </rPr>
      <t>Tata 407</t>
    </r>
  </si>
  <si>
    <r>
      <rPr>
        <sz val="8"/>
        <rFont val="Arial"/>
        <family val="2"/>
      </rPr>
      <t>Mah. Nis. Allw. Cab 576</t>
    </r>
  </si>
  <si>
    <r>
      <rPr>
        <sz val="8"/>
        <rFont val="Arial"/>
        <family val="2"/>
      </rPr>
      <t>Mits. Can. Eich./ FE444</t>
    </r>
  </si>
  <si>
    <r>
      <rPr>
        <sz val="8"/>
        <rFont val="Arial"/>
        <family val="2"/>
      </rPr>
      <t>Mitsu. Eicher EE 44EXR</t>
    </r>
  </si>
  <si>
    <r>
      <rPr>
        <sz val="8"/>
        <rFont val="Arial"/>
        <family val="2"/>
      </rPr>
      <t>Trailer Tractor</t>
    </r>
  </si>
  <si>
    <r>
      <rPr>
        <sz val="8"/>
        <rFont val="Arial"/>
        <family val="2"/>
      </rPr>
      <t>Isuzu CXZ81Q</t>
    </r>
  </si>
  <si>
    <r>
      <rPr>
        <sz val="8"/>
        <rFont val="Arial"/>
        <family val="2"/>
      </rPr>
      <t>10 + to 25 Ton</t>
    </r>
  </si>
  <si>
    <r>
      <rPr>
        <sz val="8"/>
        <rFont val="Arial"/>
        <family val="2"/>
      </rPr>
      <t>118 -</t>
    </r>
  </si>
  <si>
    <r>
      <rPr>
        <sz val="8"/>
        <rFont val="Arial"/>
        <family val="2"/>
      </rPr>
      <t>Foden 5106T</t>
    </r>
  </si>
  <si>
    <r>
      <rPr>
        <sz val="8"/>
        <rFont val="Arial"/>
        <family val="2"/>
      </rPr>
      <t>Hino HE 335</t>
    </r>
  </si>
  <si>
    <r>
      <rPr>
        <sz val="8"/>
        <rFont val="Arial"/>
        <family val="2"/>
      </rPr>
      <t>Mitsubishi FV 515 HRR</t>
    </r>
  </si>
  <si>
    <r>
      <rPr>
        <sz val="8"/>
        <rFont val="Arial"/>
        <family val="2"/>
      </rPr>
      <t>Nissan CW - 50 GTN</t>
    </r>
  </si>
  <si>
    <r>
      <rPr>
        <sz val="8"/>
        <rFont val="Arial"/>
        <family val="2"/>
      </rPr>
      <t>From 25 +Ton</t>
    </r>
  </si>
  <si>
    <r>
      <rPr>
        <sz val="8"/>
        <rFont val="Arial"/>
        <family val="2"/>
      </rPr>
      <t>Transport Truck</t>
    </r>
  </si>
  <si>
    <r>
      <rPr>
        <sz val="8"/>
        <rFont val="Arial"/>
        <family val="2"/>
      </rPr>
      <t>IVCO Trakker</t>
    </r>
  </si>
  <si>
    <r>
      <rPr>
        <sz val="8"/>
        <rFont val="Arial"/>
        <family val="2"/>
      </rPr>
      <t>9 ton</t>
    </r>
  </si>
  <si>
    <r>
      <rPr>
        <sz val="8"/>
        <rFont val="Arial"/>
        <family val="2"/>
      </rPr>
      <t>118-</t>
    </r>
  </si>
  <si>
    <r>
      <rPr>
        <sz val="8"/>
        <rFont val="Arial"/>
        <family val="2"/>
      </rPr>
      <t>Water Tanker</t>
    </r>
  </si>
  <si>
    <r>
      <rPr>
        <sz val="8"/>
        <rFont val="Arial"/>
        <family val="2"/>
      </rPr>
      <t>AL/ Commet; ALCO- 3/15</t>
    </r>
  </si>
  <si>
    <r>
      <rPr>
        <sz val="8"/>
        <rFont val="Arial"/>
        <family val="2"/>
      </rPr>
      <t>Up to 8 KL</t>
    </r>
  </si>
  <si>
    <r>
      <rPr>
        <sz val="8"/>
        <rFont val="Arial"/>
        <family val="2"/>
      </rPr>
      <t>119 -</t>
    </r>
  </si>
  <si>
    <r>
      <rPr>
        <sz val="8"/>
        <rFont val="Arial"/>
        <family val="2"/>
      </rPr>
      <t>Tata/SE 1210/48</t>
    </r>
  </si>
  <si>
    <r>
      <rPr>
        <sz val="8"/>
        <rFont val="Arial"/>
        <family val="2"/>
      </rPr>
      <t>A/ Leyland Commet CS 42</t>
    </r>
  </si>
  <si>
    <r>
      <rPr>
        <sz val="8"/>
        <rFont val="Arial"/>
        <family val="2"/>
      </rPr>
      <t>Hino</t>
    </r>
  </si>
  <si>
    <r>
      <rPr>
        <sz val="8"/>
        <rFont val="Arial"/>
        <family val="2"/>
      </rPr>
      <t>Isuzu HTR</t>
    </r>
  </si>
  <si>
    <r>
      <rPr>
        <sz val="8"/>
        <rFont val="Arial"/>
        <family val="2"/>
      </rPr>
      <t>Isuzu SBR 312; TXD 50</t>
    </r>
  </si>
  <si>
    <r>
      <rPr>
        <sz val="8"/>
        <rFont val="Arial"/>
        <family val="2"/>
      </rPr>
      <t>Trailer</t>
    </r>
  </si>
  <si>
    <r>
      <rPr>
        <sz val="8"/>
        <rFont val="Arial"/>
        <family val="2"/>
      </rPr>
      <t>MAECO / Nepal</t>
    </r>
  </si>
  <si>
    <r>
      <rPr>
        <sz val="8"/>
        <rFont val="Arial"/>
        <family val="2"/>
      </rPr>
      <t>122 -</t>
    </r>
  </si>
  <si>
    <r>
      <rPr>
        <sz val="8"/>
        <rFont val="Arial"/>
        <family val="2"/>
      </rPr>
      <t>Tractor</t>
    </r>
  </si>
  <si>
    <r>
      <rPr>
        <sz val="8"/>
        <rFont val="Arial"/>
        <family val="2"/>
      </rPr>
      <t>HMT 4511</t>
    </r>
  </si>
  <si>
    <r>
      <rPr>
        <sz val="8"/>
        <rFont val="Arial"/>
        <family val="2"/>
      </rPr>
      <t>Up to 85 HP</t>
    </r>
  </si>
  <si>
    <r>
      <rPr>
        <sz val="8"/>
        <rFont val="Arial"/>
        <family val="2"/>
      </rPr>
      <t>123 -</t>
    </r>
  </si>
  <si>
    <r>
      <rPr>
        <sz val="8"/>
        <rFont val="Arial"/>
        <family val="2"/>
      </rPr>
      <t>International Sona. DI 745 III</t>
    </r>
  </si>
  <si>
    <r>
      <rPr>
        <sz val="8"/>
        <rFont val="Arial"/>
        <family val="2"/>
      </rPr>
      <t>Tractor &amp; Farm MF 245 DI-J</t>
    </r>
  </si>
  <si>
    <r>
      <rPr>
        <sz val="8"/>
        <rFont val="Arial"/>
        <family val="2"/>
      </rPr>
      <t>Hindustan G 453 - DI</t>
    </r>
  </si>
  <si>
    <r>
      <rPr>
        <sz val="8"/>
        <rFont val="Arial"/>
        <family val="2"/>
      </rPr>
      <t>Escort E 355 N</t>
    </r>
  </si>
  <si>
    <r>
      <rPr>
        <sz val="8"/>
        <rFont val="Arial"/>
        <family val="2"/>
      </rPr>
      <t>Mahendra 545</t>
    </r>
  </si>
  <si>
    <r>
      <rPr>
        <sz val="8"/>
        <rFont val="Arial"/>
        <family val="2"/>
      </rPr>
      <t>Ford 3610</t>
    </r>
  </si>
  <si>
    <r>
      <rPr>
        <sz val="8"/>
        <rFont val="Arial"/>
        <family val="2"/>
      </rPr>
      <t>Kubota</t>
    </r>
  </si>
  <si>
    <r>
      <rPr>
        <sz val="8"/>
        <rFont val="Arial"/>
        <family val="2"/>
      </rPr>
      <t>Ford New Holland</t>
    </r>
  </si>
  <si>
    <r>
      <rPr>
        <sz val="8"/>
        <rFont val="Arial"/>
        <family val="2"/>
      </rPr>
      <t>Tractor with trailer</t>
    </r>
  </si>
  <si>
    <r>
      <rPr>
        <sz val="8"/>
        <rFont val="Arial"/>
        <family val="2"/>
      </rPr>
      <t>Ford 6610</t>
    </r>
  </si>
  <si>
    <r>
      <rPr>
        <sz val="8"/>
        <rFont val="Arial"/>
        <family val="2"/>
      </rPr>
      <t>Massey Ferguson MF 20B</t>
    </r>
  </si>
  <si>
    <r>
      <rPr>
        <sz val="8"/>
        <rFont val="Arial"/>
        <family val="2"/>
      </rPr>
      <t>Vibrator Engine</t>
    </r>
  </si>
  <si>
    <r>
      <rPr>
        <sz val="8"/>
        <rFont val="Arial"/>
        <family val="2"/>
      </rPr>
      <t>Mikasa; Mikasa MV1-GE</t>
    </r>
  </si>
  <si>
    <r>
      <rPr>
        <sz val="8"/>
        <rFont val="Arial"/>
        <family val="2"/>
      </rPr>
      <t>136 -</t>
    </r>
  </si>
  <si>
    <r>
      <rPr>
        <sz val="8"/>
        <rFont val="Arial"/>
        <family val="2"/>
      </rPr>
      <t>Vibrator Needle</t>
    </r>
  </si>
  <si>
    <r>
      <rPr>
        <sz val="8"/>
        <rFont val="Arial"/>
        <family val="2"/>
      </rPr>
      <t>BP 25; BP 35</t>
    </r>
  </si>
  <si>
    <r>
      <rPr>
        <sz val="8"/>
        <rFont val="Arial"/>
        <family val="2"/>
      </rPr>
      <t>V 635; V 654</t>
    </r>
  </si>
  <si>
    <r>
      <rPr>
        <sz val="8"/>
        <rFont val="Arial"/>
        <family val="2"/>
      </rPr>
      <t>Compactor H/Towed</t>
    </r>
  </si>
  <si>
    <r>
      <rPr>
        <sz val="8"/>
        <rFont val="Arial"/>
        <family val="2"/>
      </rPr>
      <t>Jaypee</t>
    </r>
  </si>
  <si>
    <r>
      <rPr>
        <sz val="8"/>
        <rFont val="Arial"/>
        <family val="2"/>
      </rPr>
      <t>Up to 450 KG</t>
    </r>
  </si>
  <si>
    <r>
      <rPr>
        <sz val="8"/>
        <rFont val="Arial"/>
        <family val="2"/>
      </rPr>
      <t>138 -</t>
    </r>
  </si>
  <si>
    <r>
      <rPr>
        <sz val="8"/>
        <rFont val="Arial"/>
        <family val="2"/>
      </rPr>
      <t>MIKASA MVC -110D</t>
    </r>
  </si>
  <si>
    <r>
      <rPr>
        <sz val="8"/>
        <rFont val="Arial"/>
        <family val="2"/>
      </rPr>
      <t>Welding Arc</t>
    </r>
  </si>
  <si>
    <r>
      <rPr>
        <sz val="8"/>
        <rFont val="Arial"/>
        <family val="2"/>
      </rPr>
      <t>30 + KVA</t>
    </r>
  </si>
  <si>
    <r>
      <rPr>
        <sz val="8"/>
        <rFont val="Arial"/>
        <family val="2"/>
      </rPr>
      <t>143 -</t>
    </r>
  </si>
  <si>
    <r>
      <rPr>
        <sz val="8"/>
        <rFont val="Arial"/>
        <family val="2"/>
      </rPr>
      <t xml:space="preserve">Bridge Inspection
</t>
    </r>
    <r>
      <rPr>
        <sz val="8"/>
        <rFont val="Arial"/>
        <family val="2"/>
      </rPr>
      <t>Equipment</t>
    </r>
  </si>
  <si>
    <r>
      <rPr>
        <sz val="7.5"/>
        <rFont val="Arial"/>
        <family val="2"/>
      </rPr>
      <t>Brain Italy AB 9s with Truck</t>
    </r>
  </si>
  <si>
    <r>
      <rPr>
        <sz val="7.5"/>
        <rFont val="Arial"/>
        <family val="2"/>
      </rPr>
      <t>*EXCLUDING COST OF ERECTION/ COMISSIONING/ DISMANTLING AND MECHANICAL CREW</t>
    </r>
  </si>
  <si>
    <t/>
  </si>
  <si>
    <t>Reinforcement  (Fe 500)</t>
  </si>
  <si>
    <t>d1 (Pitched Road)  Km</t>
  </si>
  <si>
    <t>Reinforcement Steel/Structural Steel  and gabion wire and  GI, CI, Pipe and fittings and plywood</t>
  </si>
  <si>
    <t>TRANSPORTATION HAULAGE DISTANCE</t>
  </si>
  <si>
    <t>RCC Hume pipe of 600mm dia</t>
  </si>
  <si>
    <t>"It is advised to adjust this Distance as per reality before the final Tender is done"</t>
  </si>
  <si>
    <t xml:space="preserve">DISTRICT RATES </t>
  </si>
  <si>
    <t xml:space="preserve">Name of the Client </t>
  </si>
  <si>
    <t xml:space="preserve">Government of Nepal /Province Government </t>
  </si>
  <si>
    <t xml:space="preserve">Department of Road/Name of Municipality </t>
  </si>
  <si>
    <t xml:space="preserve">Project Unit/ Office of Municipal Executive </t>
  </si>
  <si>
    <t>Loaction of the office</t>
  </si>
  <si>
    <t xml:space="preserve">Location of the bridge </t>
  </si>
  <si>
    <t xml:space="preserve">District </t>
  </si>
  <si>
    <t xml:space="preserve">Governemt </t>
  </si>
  <si>
    <t>Earth work in excavation of foundation of structures, including construction of shoring and bracing, removal of stumps and other deleterious matter and backfilling with approved Material as per Drawing and Technical Specifications.</t>
  </si>
  <si>
    <t>Depth more than 3m upto 6 m</t>
  </si>
  <si>
    <t>(ordinary soil)</t>
  </si>
  <si>
    <t>9.4 I B(ii)</t>
  </si>
  <si>
    <t>Hydraulic excavator</t>
  </si>
  <si>
    <t>Dewatering cost(7.5%):</t>
  </si>
  <si>
    <r>
      <t>Rate of 1m</t>
    </r>
    <r>
      <rPr>
        <vertAlign val="superscript"/>
        <sz val="10"/>
        <rFont val="Calibri"/>
        <family val="2"/>
        <scheme val="minor"/>
      </rPr>
      <t>3:</t>
    </r>
  </si>
  <si>
    <t>Depth above 6 m</t>
  </si>
  <si>
    <t>9.4 I B(iii)</t>
  </si>
  <si>
    <t>Providing and laying of Plain Cement Concrete M 10 ( or 1:3:6 for nominal mix) in Foundation complete as per Drawing and Technical Specifications.</t>
  </si>
  <si>
    <t>Agg. 40</t>
  </si>
  <si>
    <t>Generator</t>
  </si>
  <si>
    <t>Rate for  1m² :</t>
  </si>
  <si>
    <t>Providing and laying of Plain/Reinforced Cement Concrete in Foundation complete as per Drawing and Technical Specifications.</t>
  </si>
  <si>
    <t>PCC Grade M15</t>
  </si>
  <si>
    <t>20.2 B</t>
  </si>
  <si>
    <t>Agg. 20</t>
  </si>
  <si>
    <t>Agg.10</t>
  </si>
  <si>
    <t>formwork(4%)</t>
  </si>
  <si>
    <t>PCC Grade M20</t>
  </si>
  <si>
    <t>RCC Grade M20</t>
  </si>
  <si>
    <t>20.2 C</t>
  </si>
  <si>
    <t>PCC Grade M25</t>
  </si>
  <si>
    <t>20.2 D</t>
  </si>
  <si>
    <t>Agg.40</t>
  </si>
  <si>
    <t>Admixture(0.4% of cement)</t>
  </si>
  <si>
    <t>RCC Grade M25</t>
  </si>
  <si>
    <t>20.2 E</t>
  </si>
  <si>
    <t>formwork(3.75%)</t>
  </si>
  <si>
    <t>PCC Grade M30</t>
  </si>
  <si>
    <t>20.2 F</t>
  </si>
  <si>
    <t>formwork(3.5%)</t>
  </si>
  <si>
    <t>RCC Grade M30</t>
  </si>
  <si>
    <t>20.2 G</t>
  </si>
  <si>
    <t>RCC Grade M35</t>
  </si>
  <si>
    <t>20.2 H</t>
  </si>
  <si>
    <t>Providing and laying of Plain/Reinforced Cement Concrete in sub-structure complete as per Drawing and Technical Specifications.</t>
  </si>
  <si>
    <t>Height upto 5m</t>
  </si>
  <si>
    <t>20.4 A</t>
  </si>
  <si>
    <t>formwork(10%)</t>
  </si>
  <si>
    <t>20.4 B</t>
  </si>
  <si>
    <t>20.4 C(p)</t>
  </si>
  <si>
    <t>Height above 5m to 10m</t>
  </si>
  <si>
    <t>20.4 C(q)</t>
  </si>
  <si>
    <t>formwork(12%)</t>
  </si>
  <si>
    <t>cost for extra lift(2%)</t>
  </si>
  <si>
    <t>Height above 10m</t>
  </si>
  <si>
    <t>20.4 C(r)</t>
  </si>
  <si>
    <t>formwork(15%)</t>
  </si>
  <si>
    <t>cost for extra lift(4%)</t>
  </si>
  <si>
    <t>20.4 D(p)</t>
  </si>
  <si>
    <t>20.4 D(q)</t>
  </si>
  <si>
    <t>20.4 D(r)</t>
  </si>
  <si>
    <t>Providing and laying of Plain/Reinforced Cement Concrete in Sub-structure complete as per Drawing and Technical Specifications.</t>
  </si>
  <si>
    <t>20.4 E(p)</t>
  </si>
  <si>
    <t>20.4 E(q)</t>
  </si>
  <si>
    <t>Cost of extra lift(2%)</t>
  </si>
  <si>
    <t>20.4 E(r)</t>
  </si>
  <si>
    <t>Cost of extra lift(4%)</t>
  </si>
  <si>
    <t>20.4 F(p)</t>
  </si>
  <si>
    <t>admixture(0.4% of cement)</t>
  </si>
  <si>
    <t>20.4 F(q)</t>
  </si>
  <si>
    <t>Height upto 10m</t>
  </si>
  <si>
    <t>20.4 F(r)</t>
  </si>
  <si>
    <t>20.4 G(p)</t>
  </si>
  <si>
    <t>20.4 G(q)</t>
  </si>
  <si>
    <t>20.4 G(r)</t>
  </si>
  <si>
    <t>Providing and laying of Reinforced/ Pre-stressed cement concrete in super-structure as per drawing and Technical Specification</t>
  </si>
  <si>
    <t>Solid slab super-structure</t>
  </si>
  <si>
    <t>formwork(25%)</t>
  </si>
  <si>
    <t>formwork(30%)</t>
  </si>
  <si>
    <t>20.8 B ii (q)</t>
  </si>
  <si>
    <t>20.8 B ii (r)</t>
  </si>
  <si>
    <t>PSC Grade M45</t>
  </si>
  <si>
    <t>Solid slab super- structure</t>
  </si>
  <si>
    <t>20.8 F i (q)</t>
  </si>
  <si>
    <t>20.8 F i (r)</t>
  </si>
  <si>
    <t>Spec .cl.No: 2014</t>
  </si>
  <si>
    <t>Providing and laying , fitting and placing un-coated Mild steel / HYSD reinforcement complete in foundation as per drawing and technical specification</t>
  </si>
  <si>
    <t>Reinforcement</t>
  </si>
  <si>
    <t>Providing and laying , fitting and placing HYSD bar reinforcement in sub-structure complete as per Drawing and Technical Specifications</t>
  </si>
  <si>
    <t>HYSD bars</t>
  </si>
  <si>
    <t>Providing and laying , fitting and placing HYSD bar reinforcement in super-structure complete as per drawing and technical specifications</t>
  </si>
  <si>
    <t>Providing , Preparing and Installing form work including necessary supports and removing after completion for foundation and footings.</t>
  </si>
  <si>
    <t>Class F1 Finish</t>
  </si>
  <si>
    <t>Using steel</t>
  </si>
  <si>
    <t>MS sheet 14 gauge &amp; angle stiffners</t>
  </si>
  <si>
    <t>MS pipes dia. 40 mm</t>
  </si>
  <si>
    <t>Clamps</t>
  </si>
  <si>
    <t>Nuts &amp; bolts 6 mm dia. ( @approx. 2 kg per 100 nos)</t>
  </si>
  <si>
    <t>MS sheet 14 gauge &amp; angle stiffners 60 times usage</t>
  </si>
  <si>
    <t>Clamps 60 times usage</t>
  </si>
  <si>
    <t>Nuts &amp; bolts 40 times usage</t>
  </si>
  <si>
    <t>MS pipes 90 times usage</t>
  </si>
  <si>
    <r>
      <t>Rate for 1m</t>
    </r>
    <r>
      <rPr>
        <b/>
        <vertAlign val="superscript"/>
        <sz val="10"/>
        <rFont val="Calibri"/>
        <family val="2"/>
        <scheme val="minor"/>
      </rPr>
      <t>2</t>
    </r>
  </si>
  <si>
    <t>Providing , Preparing and Installing form work including necessary supports and removing after completion for walls.</t>
  </si>
  <si>
    <t>Class F2 Finish</t>
  </si>
  <si>
    <t>Height above 6m to 9m</t>
  </si>
  <si>
    <t>18.1(b)</t>
  </si>
  <si>
    <t>18.2(b) iii.</t>
  </si>
  <si>
    <t>(vertical plain surface)</t>
  </si>
  <si>
    <t>Providing , Preparing and Installing form work including necessary supports and removing after completion for slab structure.</t>
  </si>
  <si>
    <t>(False work not included)</t>
  </si>
  <si>
    <t>Providing , Preparing and Installing form work including necessary supports and removing after completion for slab &amp; beam structure.</t>
  </si>
  <si>
    <t>18.7(b)</t>
  </si>
  <si>
    <t>MS sheet 14 gauge &amp; angle stiffners 40 times usage</t>
  </si>
  <si>
    <t>MS pipes 60 times usage</t>
  </si>
  <si>
    <t>Clamps 40 times usage</t>
  </si>
  <si>
    <t>Nuts &amp; bolts 30 times usage</t>
  </si>
  <si>
    <t>Bentonite pump</t>
  </si>
  <si>
    <t>piling rig</t>
  </si>
  <si>
    <t>Providing , Preparing and Installing form work including necessary supports and removing after completion for foundation and footings (Class F1 Finish) using steel.</t>
  </si>
  <si>
    <t>Spec .cl.No:908</t>
  </si>
  <si>
    <t>Description:-</t>
  </si>
  <si>
    <t>2.4-II (A)</t>
  </si>
  <si>
    <t>Cu.m.</t>
  </si>
  <si>
    <t xml:space="preserve">Analyzed for </t>
  </si>
  <si>
    <t>Material</t>
  </si>
  <si>
    <t>Qty</t>
  </si>
  <si>
    <t>NRs.</t>
  </si>
  <si>
    <t>drilling machine</t>
  </si>
  <si>
    <t>Driller</t>
  </si>
  <si>
    <t>tractor trolley</t>
  </si>
  <si>
    <t>Providing and assembling in position falsework for the construction of RCC superstructure and removing after completion including design &amp; drawings as per specification</t>
  </si>
  <si>
    <t>3% for design and drawing</t>
  </si>
  <si>
    <t>For RCC Beam Bridge</t>
  </si>
  <si>
    <t>18.11(b) ii.</t>
  </si>
  <si>
    <t>Height above 3 m to 6m</t>
  </si>
  <si>
    <r>
      <t>m</t>
    </r>
    <r>
      <rPr>
        <vertAlign val="superscript"/>
        <sz val="10"/>
        <rFont val="Times New Roman"/>
        <family val="1"/>
      </rPr>
      <t>3</t>
    </r>
    <r>
      <rPr>
        <sz val="11"/>
        <color theme="1"/>
        <rFont val="Calibri"/>
        <family val="2"/>
        <scheme val="minor"/>
      </rPr>
      <t/>
    </r>
  </si>
  <si>
    <r>
      <t>m</t>
    </r>
    <r>
      <rPr>
        <vertAlign val="superscript"/>
        <sz val="10"/>
        <rFont val="Times New Roman"/>
        <family val="1"/>
      </rPr>
      <t>2</t>
    </r>
    <r>
      <rPr>
        <sz val="11"/>
        <color theme="1"/>
        <rFont val="Calibri"/>
        <family val="2"/>
        <scheme val="minor"/>
      </rPr>
      <t/>
    </r>
  </si>
  <si>
    <r>
      <t>m</t>
    </r>
    <r>
      <rPr>
        <vertAlign val="superscript"/>
        <sz val="10"/>
        <rFont val="Times New Roman"/>
        <family val="1"/>
      </rPr>
      <t>2</t>
    </r>
  </si>
  <si>
    <r>
      <t>m</t>
    </r>
    <r>
      <rPr>
        <vertAlign val="superscript"/>
        <sz val="10"/>
        <rFont val="Times New Roman"/>
        <family val="1"/>
      </rPr>
      <t xml:space="preserve">3 </t>
    </r>
  </si>
  <si>
    <t>Admixture</t>
  </si>
  <si>
    <t xml:space="preserve">Fule </t>
  </si>
  <si>
    <t>Kl</t>
  </si>
  <si>
    <t>9.11-A</t>
  </si>
  <si>
    <t>Granular material</t>
  </si>
  <si>
    <t>Plater Compactor/power rammer</t>
  </si>
  <si>
    <t xml:space="preserve">Granular Soil </t>
  </si>
  <si>
    <t xml:space="preserve">Rammer </t>
  </si>
  <si>
    <t>Total Labour</t>
  </si>
  <si>
    <r>
      <t xml:space="preserve">Providing  suitable material and </t>
    </r>
    <r>
      <rPr>
        <b/>
        <sz val="8"/>
        <rFont val="Arial"/>
        <family val="2"/>
      </rPr>
      <t xml:space="preserve">Back Filling behind abutment, wing wall and return wall </t>
    </r>
    <r>
      <rPr>
        <sz val="8"/>
        <rFont val="Arial"/>
        <family val="2"/>
      </rPr>
      <t>complete as per Drawing and Technical Specificatioins (908 ) .Granular Material</t>
    </r>
  </si>
  <si>
    <t>9.11 C</t>
  </si>
  <si>
    <r>
      <t xml:space="preserve">Providing  suitable material and </t>
    </r>
    <r>
      <rPr>
        <b/>
        <sz val="8"/>
        <rFont val="Arial"/>
        <family val="2"/>
      </rPr>
      <t xml:space="preserve">Back Filling behind abutment, wing wall and return wall </t>
    </r>
    <r>
      <rPr>
        <sz val="8"/>
        <rFont val="Arial"/>
        <family val="2"/>
      </rPr>
      <t>complete as per Drawing and Technical Specificatioins (908 ) .Locally available Material including compaction by tamping rod ( watering)</t>
    </r>
  </si>
  <si>
    <t>Tamping 3 % of Labour cost</t>
  </si>
  <si>
    <t xml:space="preserve">Locally available Material </t>
  </si>
  <si>
    <t xml:space="preserve">Back Filling Soil </t>
  </si>
  <si>
    <t>Providing and Laying of geotextile filter between pitching and embankment slopes as per Drawing and Technical Specification (SS 2404).</t>
  </si>
  <si>
    <t>Sq.m</t>
  </si>
  <si>
    <t>Spec .cl.No:2404</t>
  </si>
  <si>
    <t xml:space="preserve">Geo Textile </t>
  </si>
  <si>
    <t>Providing and assembling in position falsework for the construction of RCC superstructure and removing after completion including design &amp; drawings as per specification, for RCC Beam Bridge</t>
  </si>
  <si>
    <r>
      <t xml:space="preserve">Depth more than 3m upto 6 m
</t>
    </r>
    <r>
      <rPr>
        <b/>
        <sz val="10"/>
        <rFont val="Times New Roman"/>
        <family val="1"/>
      </rPr>
      <t xml:space="preserve"> ( ordinary soil)</t>
    </r>
  </si>
  <si>
    <r>
      <t xml:space="preserve">Depth more than 6 m
</t>
    </r>
    <r>
      <rPr>
        <b/>
        <sz val="10"/>
        <rFont val="Times New Roman"/>
        <family val="1"/>
      </rPr>
      <t xml:space="preserve"> ( ordinary soil)</t>
    </r>
  </si>
  <si>
    <r>
      <t xml:space="preserve">Earth work in excavation of foundation of structures, including construction of shoring and bracing, removal of stumps and other deleterious matter and backfilling with approved Material as per Drawing and Technical Specifications  
</t>
    </r>
    <r>
      <rPr>
        <b/>
        <sz val="10"/>
        <rFont val="Times New Roman"/>
        <family val="1"/>
      </rPr>
      <t>( ordinary soil)</t>
    </r>
  </si>
  <si>
    <t>Providing and laying of Plain Cement Concrete in Foundation complete as per Drawing and Technical Specifications.</t>
  </si>
  <si>
    <t xml:space="preserve"> PCC M 10 ( or 1:3:6 for nominal mix)</t>
  </si>
  <si>
    <t>Providing and laying of Plain /Reinforced Cement Concrete in Foundation complete as per Drawing and Technical Specifications.</t>
  </si>
  <si>
    <t>20.2 A</t>
  </si>
  <si>
    <t>Providing and laying of Plain /Reinforced Cement Concrete in sub Structure as per Drawing and Technical Specifications.</t>
  </si>
  <si>
    <t>RCC M25 up to 5m -10m</t>
  </si>
  <si>
    <t>Height above 3 m to 6 m</t>
  </si>
  <si>
    <t>Supplying, fitting and fixing in position true to line and level POT-PTFE bearing consisting of a metal piston supported by a disc or unreinforced elastomer confined within a metal cylinder, sealing rings, dust seals, PTFE surface sliding against stainless steel mating surface, complete assembly to be of cast steel/fabricated structural steel, metal and elastomer elements as per Drawing and Technical Specifications.</t>
  </si>
  <si>
    <t>Un Skilled</t>
  </si>
  <si>
    <t>Add 1 per cent of cost of bearing assembly for foundation anchorage bolts and consumables.</t>
  </si>
  <si>
    <t>Pot type bearing assembly consisting of a metal piston supported by a disc, PTFE pads providing sliding surfaces against stainless steel mating together with cast steel assemblies/fabricated structural steel assemblies duly painted with all components as per clause 2006 and complete as per drawings and Technical Specifications.</t>
  </si>
  <si>
    <t xml:space="preserve">Bearing </t>
  </si>
  <si>
    <t>Supplying, fitting and fixing in position true to line and level elastomeric bearing including all accessories as per Drawing and Technical Specifications.
Unit: cubic centimeter (Considering an elastomeric bearing of size 500 x 400 x 96 mm .)</t>
  </si>
  <si>
    <t>Elastomeric bearing assembly consisting of 7 layers of elastomer bonded to 6 nos. internal reinforcing steel laminates by the process of vulcanization, complete with all components as per drawing and Technical Specifications.</t>
  </si>
  <si>
    <t>Add 5 % cost of material for anchorage reinforcement, welding and other incidentals.</t>
  </si>
  <si>
    <t>Rate for 1 rm</t>
  </si>
  <si>
    <t>Providing and laying of hand pack Stone soling with 150 to 200mm thick stones and packing with smaller stone on prepared surface as per Drawing and Technical Specifications (SS 1006).</t>
  </si>
  <si>
    <t>OTER CLIENT</t>
  </si>
  <si>
    <t>Providing , Preparing and Installing form work including necessary supports and removing after completion for walls using steel.</t>
  </si>
  <si>
    <t>24.1-A(ii)</t>
  </si>
  <si>
    <t xml:space="preserve">Skilled </t>
  </si>
  <si>
    <t>Mesh wire</t>
  </si>
  <si>
    <t>Selvedge wire</t>
  </si>
  <si>
    <r>
      <rPr>
        <b/>
        <sz val="10"/>
        <rFont val="Times New Roman"/>
        <family val="1"/>
      </rPr>
      <t>Providing and laying of hand pack Stone soling with 150 to 200mm thick stones and packing</t>
    </r>
    <r>
      <rPr>
        <sz val="10"/>
        <rFont val="Times New Roman"/>
        <family val="1"/>
      </rPr>
      <t xml:space="preserve"> with smaller stone on prepared surface as per Drawing and Technical Specifications </t>
    </r>
  </si>
  <si>
    <t>Spec .cl.No:1006</t>
  </si>
  <si>
    <r>
      <t>Rate for 1 m</t>
    </r>
    <r>
      <rPr>
        <b/>
        <vertAlign val="superscript"/>
        <sz val="10"/>
        <rFont val="Calibri"/>
        <family val="2"/>
        <scheme val="minor"/>
      </rPr>
      <t>3</t>
    </r>
  </si>
  <si>
    <t>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3x1x1 ( 16 sqm), as per Drawing and Technical Specifications (SS 2401).</t>
  </si>
  <si>
    <t>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2x1x1 ( 11 sqm), as per Drawing and Technical Specifications (SS 2401).</t>
  </si>
  <si>
    <t>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1x1x1(6 Sq.m), as per Drawing and Technical Specifications (SS 2401).</t>
  </si>
  <si>
    <t>PART04: RIVER TRAINING/APPROACH ROAD</t>
  </si>
  <si>
    <t>24.1-A(iv)</t>
  </si>
  <si>
    <t xml:space="preserve">Providing and installation and demolishing after completion of work of project signboard with size of 1.8*1.2m as per specification. </t>
  </si>
  <si>
    <t>7. Miscellaneous Works</t>
  </si>
  <si>
    <t>8. Day Works</t>
  </si>
  <si>
    <t>Providing and laying Stone Masonry work in cement mortar 1:4 in structure complete as per Drawing and Technical Specifications (Random Rubble Masonry)</t>
  </si>
  <si>
    <t>Spec .cl.No: 2600,2607</t>
  </si>
  <si>
    <t>26.5 A</t>
  </si>
  <si>
    <t xml:space="preserve">Stone </t>
  </si>
  <si>
    <t xml:space="preserve">Cement </t>
  </si>
  <si>
    <t xml:space="preserve">Water </t>
  </si>
  <si>
    <t>Tonne</t>
  </si>
  <si>
    <t>KL</t>
  </si>
  <si>
    <t>As per the remarks    If Concrete mixture is proposed to mix mortar provide concrete mixture 0.75 hr. and reduce 5 unskilled md on every 5 cum, in above specified value of item no 26.5.</t>
  </si>
  <si>
    <t>Tubular Steel Railing on Precast RCC Posts, 1.2m High Above Ground Level Providing, fencing anderecting50mmdiapaintedsteelpiperailingin3rowsonprecastM20gradeRCCverticalposts1.8metreshigh(1.2maboveGL)with3holes50mmdiaforpipe,fixed2metrescenterto,completeasperDrawing and Technical Specifications.</t>
  </si>
  <si>
    <t>Providing, laying and spreading Material on a prepared sub grade, adding the designed quantity of cement to the spread Material, mixing in place , grading and compacting at OMC to achieve the desired unconfined compressive strength and to form a layer of sub-base/base as per Drawing and Technical Specifications.</t>
  </si>
  <si>
    <t xml:space="preserve"> (Vertical wall surface , Class F2 Finish&amp; Height above 6m to 9m)</t>
  </si>
  <si>
    <t>'Providing suitable material and Back filling behind abutment, wing wall and return wall complete as per Drawing and Technical Specifications.</t>
  </si>
  <si>
    <t xml:space="preserve"> (Solid slab super-structure &amp; Height above 10m)</t>
  </si>
  <si>
    <t xml:space="preserve"> (granular Material)</t>
  </si>
  <si>
    <t xml:space="preserve"> (Locally available Material including compaction by tamping rod ( watering)</t>
  </si>
  <si>
    <t>Spec .cl.No: 2401</t>
  </si>
  <si>
    <t>24.1-A(i)</t>
  </si>
  <si>
    <t xml:space="preserve">Total </t>
  </si>
  <si>
    <t>Providing, laying and fixing geo-textile (filter fabric), all complete</t>
  </si>
  <si>
    <t>Providing,fittingandfixingmildsteelrailingcompleteasper drawing and Technical Specification</t>
  </si>
  <si>
    <t>Spec .cl.No:3105</t>
  </si>
  <si>
    <t>ISMC 100</t>
  </si>
  <si>
    <t>MS Flat</t>
  </si>
  <si>
    <t>MS bars</t>
  </si>
  <si>
    <t>MS bolts, nuts and washers</t>
  </si>
  <si>
    <r>
      <t>m</t>
    </r>
    <r>
      <rPr>
        <b/>
        <vertAlign val="superscript"/>
        <sz val="10"/>
        <rFont val="Times New Roman"/>
        <family val="1"/>
      </rPr>
      <t>3</t>
    </r>
  </si>
  <si>
    <r>
      <t>m</t>
    </r>
    <r>
      <rPr>
        <b/>
        <vertAlign val="superscript"/>
        <sz val="10"/>
        <rFont val="Times New Roman"/>
        <family val="1"/>
      </rPr>
      <t>2</t>
    </r>
  </si>
  <si>
    <t>Open</t>
  </si>
  <si>
    <t>Substructure /FOUNDATION</t>
  </si>
  <si>
    <t xml:space="preserve"> slab and beam structure.(Class F2 Finish, False work not included)</t>
  </si>
  <si>
    <t>Main girder fillet</t>
  </si>
  <si>
    <t xml:space="preserve">I am Ready </t>
  </si>
  <si>
    <t>Contingencies @ 4% of the Total</t>
  </si>
  <si>
    <t>Providing,laying,spreading and compacting with Roadway cutting material and Compact to the required density (By Using Machine) as per Drawing and and Technical Specifications (SS 909,910)</t>
  </si>
  <si>
    <t>SS 909,910</t>
  </si>
  <si>
    <t>Dozer</t>
  </si>
  <si>
    <t>9.9-B</t>
  </si>
  <si>
    <t>Motor Grader</t>
  </si>
  <si>
    <t>Vibratory Roller</t>
  </si>
  <si>
    <t>Providing and laying granular sub-base on prepared surface, mixing at OMC and compacting to achieve the desired density (by Machine), complete per Drawing and Technical Specification (SS 1201).</t>
  </si>
  <si>
    <t>SS 1201)</t>
  </si>
  <si>
    <t>12.1 (A)</t>
  </si>
  <si>
    <t>Sub-base material S1 or S2 type</t>
  </si>
  <si>
    <t>Tractor/Loader</t>
  </si>
  <si>
    <t xml:space="preserve">Roadway excavation in all types of soil/rock  by both manual and mechanical  means as per drawing and technical specification, including removal of stumps and other deleterious matter, with all lifts and lead as drawing and instruction of  engineer. </t>
  </si>
  <si>
    <t>Providing and laying of Reinforced/ Pre-stressed cement concrete M25 in super-structure as per drawing and Technical Specification.</t>
  </si>
  <si>
    <t>Cemenet</t>
  </si>
  <si>
    <t>M30</t>
  </si>
  <si>
    <t xml:space="preserve"> RCC M 30</t>
  </si>
  <si>
    <t xml:space="preserve"> RCC M 25</t>
  </si>
  <si>
    <t>Kerb</t>
  </si>
  <si>
    <t>Sqm</t>
  </si>
  <si>
    <t xml:space="preserve">GI Pipe,heavy(50mm Dia) </t>
  </si>
  <si>
    <t>Footpath excavation</t>
  </si>
  <si>
    <t>Rate for 1 m</t>
  </si>
  <si>
    <t>sq</t>
  </si>
  <si>
    <t>SS 1501</t>
  </si>
  <si>
    <t>add @5% of LC &amp; MC to prepare the surface by filling mintues roughness on the surfce and priming the surface before laying 2 coats of painting</t>
  </si>
  <si>
    <t>Paint</t>
  </si>
  <si>
    <t>Lit</t>
  </si>
  <si>
    <t>Providing and Painting two coats after filling the surface with synthetic enamel paint in all shades on concrete / plaster surfaces as per Drawing and Technical specifications. (1501)</t>
  </si>
  <si>
    <t>`</t>
  </si>
  <si>
    <t>Supplying, fitting and fixing in position true to line and level elastomeric bearing including all accessories as per Drawing and Technical Specifications.</t>
  </si>
  <si>
    <t>RCC M30 up to 5m -10m</t>
  </si>
  <si>
    <t>10% Price adjustment Contingency</t>
  </si>
  <si>
    <t>Grand Total</t>
  </si>
  <si>
    <t>Cost per m span(With VAT, Price adjustment &amp; Physical Contingency)</t>
  </si>
  <si>
    <t>Cost per m span(Without VAT&amp; Contingency)</t>
  </si>
  <si>
    <t>Cost per m span (Without Vat, Contingency, Approach Road and River Training Work)</t>
  </si>
  <si>
    <t>Carry out additional tests for material and works as required and instructed by the Project Manager.</t>
  </si>
  <si>
    <t>Provide  and  maintain  traffic  safety,  Occupation  Health  and  Safety  (OHS)  as  per  special  provision, control measures and temporary diversions during construction as instructed by the Engineer.</t>
  </si>
  <si>
    <t xml:space="preserve">Supply and place machine mixed lean concrete Grade M10/40 including formwork, dewatering, mixing, laying,compacting, curing and testing, all complete as per drawing and specification. </t>
  </si>
  <si>
    <t>Providing and placing machine mixed cement concrete Grade M30 /20 for abutment stem, pier, wall etc. of sub structure including formwork, compaction, curing, testing and  lead  etc. all complete as per specification and drawing including supply and placing 100 mm HDPE pipe (pressure:4 Kg/cm2) weep hole as per the drawings and specifications.(ss/sp-2000)</t>
  </si>
  <si>
    <t>Providing and placing machine mixed cement concrete Grade M30/20 for RC pedestal in sub structure including formwork, compaction, curing, testing  etc. all complete as per specification and drawing.  (ss/sp-2000)</t>
  </si>
  <si>
    <t>Nos</t>
  </si>
  <si>
    <t>Behind right abutment
(from 1/4 below the existing ground level)</t>
  </si>
  <si>
    <t>Behind left abutment 
(from 1/4 below the existing ground level)</t>
  </si>
  <si>
    <t xml:space="preserve">Providing, Laying and Fixing of geotextile (filter fabrics) as per drawing and specification. </t>
  </si>
  <si>
    <t>Cross girder(End)</t>
  </si>
  <si>
    <t>Cross Girder(Intermediate)</t>
  </si>
  <si>
    <t>Tubular Steel Railing on Precast RCC Posts, 1.2 m High Above Ground Level Providing, fencing and erecting 50 mm dia painted steel pipe railing in 3 rows on precast M 20 grade RCC vertical posts 1.8 metres high (1.2 m above GL) with 3 holes 50 mm dia for pipe, fixed 2 metres center to, complete as per Drawing and Technical Specifications.</t>
  </si>
  <si>
    <t>Spec .cl.No: 3105</t>
  </si>
  <si>
    <t>Trolley</t>
  </si>
  <si>
    <t>hrs</t>
  </si>
  <si>
    <t>M 15/40 P.C.C</t>
  </si>
  <si>
    <t>Painting of Pipe</t>
  </si>
  <si>
    <t>RCC M-20</t>
  </si>
  <si>
    <t>10% Physical Contingency</t>
  </si>
  <si>
    <t xml:space="preserve">     RC Footing Slab</t>
  </si>
  <si>
    <t xml:space="preserve">     Railing post base on footpath</t>
  </si>
  <si>
    <t xml:space="preserve">     Road Kerb </t>
  </si>
  <si>
    <t xml:space="preserve">    Railing Post</t>
  </si>
  <si>
    <t>Deck Slab cantilever(Triangle)</t>
  </si>
  <si>
    <t>Deck slab cantilever(Rectangle)</t>
  </si>
  <si>
    <t>Strip Seal Expansion Joint</t>
  </si>
  <si>
    <t>Providing and laying of a strip seal expansion joint catering to maximum horizontal movement upto 70 mm, complete as per approved Drawings and Technical specifications.</t>
  </si>
  <si>
    <t>(ordinary rock not requiring blasting)</t>
  </si>
  <si>
    <t>9.4 II B</t>
  </si>
  <si>
    <t>Dewatering cost(10%):</t>
  </si>
  <si>
    <t>Ordinary rock not requiring blasting</t>
  </si>
  <si>
    <t>Earth work in excavation of foundation of structures, including construction of shoring and bracing, removal of stumps and other deleterious matter and backfilling with approved Material as per Drawing and Technical Specifications.(ordinary rock not requiring blasting)</t>
  </si>
  <si>
    <t>Lambu Khola Motorable Bridge</t>
  </si>
  <si>
    <t xml:space="preserve">Ministry of Federal Affairs and General Administration
</t>
  </si>
  <si>
    <t>Department Of Local Infrastructure (DOLI)</t>
  </si>
  <si>
    <t>Government Of Nepal</t>
  </si>
  <si>
    <t>Sindhupalchowk</t>
  </si>
  <si>
    <t>Pulchowk, Lalitpur</t>
  </si>
  <si>
    <t>Local Bridge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</si>
</sst>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5">
    <numFmt numFmtId="43" formatCode="_(* #,##0.00_);_(* \(#,##0.00\);_(* &quot;-&quot;??_);_(@_)"/>
    <numFmt numFmtId="164" formatCode="_-* #,##0.00_-;\-* #,##0.00_-;_-* &quot;-&quot;??_-;_-@_-"/>
    <numFmt numFmtId="165" formatCode="&quot;*After using&quot;\ 0\ &quot;times the timber would&quot;"/>
    <numFmt numFmtId="166" formatCode="_(* #,##0.000_);_(* \(#,##0.000\);_(* &quot;-&quot;??_);_(@_)"/>
    <numFmt numFmtId="167" formatCode="0\ &quot;km unmetalled road&quot;"/>
    <numFmt numFmtId="168" formatCode="0\ &quot;%&quot;"/>
    <numFmt numFmtId="169" formatCode="0\ &quot;km/hr&quot;"/>
    <numFmt numFmtId="170" formatCode="_(* #,##0_);_(* \(#,##0\);_(* &quot;-&quot;??_);_(@_)"/>
    <numFmt numFmtId="171" formatCode="0.000"/>
    <numFmt numFmtId="172" formatCode="0.0000"/>
    <numFmt numFmtId="173" formatCode="_(* #,##0.0000_);_(* \(#,##0.0000\);_(* &quot;-&quot;??_);_(@_)"/>
    <numFmt numFmtId="174" formatCode="0.00&quot;avg.&quot;"/>
    <numFmt numFmtId="175" formatCode="0.000\ &quot;mt&quot;"/>
    <numFmt numFmtId="176" formatCode="&quot;Vert. H=&quot;0.00"/>
    <numFmt numFmtId="177" formatCode="0.00&quot; sq.m&quot;"/>
    <numFmt numFmtId="178" formatCode="_(* #,##0.00000_);_(* \(#,##0.00000\);_(* &quot;-&quot;??_);_(@_)"/>
    <numFmt numFmtId="179" formatCode="\F\o\r\ General\ \K\m\ "/>
    <numFmt numFmtId="180" formatCode="#,##0.000_);[Red]\(#,##0.000\)"/>
    <numFmt numFmtId="181" formatCode="#,##0.00\ &quot;m&quot;_);[Red]\(&quot;$&quot;#,##0\)"/>
    <numFmt numFmtId="182" formatCode="&quot;Area= &quot;0.00"/>
    <numFmt numFmtId="183" formatCode="#,##0.0_);[Red]\(#,##0.0\)"/>
    <numFmt numFmtId="184" formatCode="&quot;Area= &quot;0.00\ &quot;Sq.m&quot;"/>
    <numFmt numFmtId="185" formatCode="0.0"/>
    <numFmt numFmtId="186" formatCode="0."/>
    <numFmt numFmtId="187" formatCode="_(* #,##0.0_);_(* \(#,##0.0\);_(* &quot;-&quot;??_);_(@_)"/>
  </numFmts>
  <fonts count="87" x14ac:knownFonts="1">
    <font>
      <sz val="10"/>
      <name val="Arial"/>
    </font>
    <font>
      <sz val="11"/>
      <color theme="1"/>
      <name val="Calibri"/>
      <family val="2"/>
      <scheme val="minor"/>
    </font>
    <font>
      <sz val="11"/>
      <color theme="1"/>
      <name val="Calibri"/>
      <family val="2"/>
      <scheme val="minor"/>
    </font>
    <font>
      <sz val="11"/>
      <color indexed="8"/>
      <name val="Calibri"/>
      <family val="2"/>
    </font>
    <font>
      <sz val="10"/>
      <name val="Arial"/>
      <family val="2"/>
    </font>
    <font>
      <sz val="11"/>
      <name val="Times New Roman"/>
      <family val="1"/>
    </font>
    <font>
      <sz val="10"/>
      <name val="Times New Roman"/>
      <family val="1"/>
    </font>
    <font>
      <b/>
      <sz val="10"/>
      <name val="Times New Roman"/>
      <family val="1"/>
    </font>
    <font>
      <b/>
      <sz val="12"/>
      <name val="Times New Roman"/>
      <family val="1"/>
    </font>
    <font>
      <sz val="10"/>
      <name val="Arial"/>
      <family val="2"/>
    </font>
    <font>
      <sz val="12"/>
      <name val="Times New Roman"/>
      <family val="1"/>
    </font>
    <font>
      <sz val="10"/>
      <name val="Calibri"/>
      <family val="2"/>
    </font>
    <font>
      <sz val="10"/>
      <name val="Arial"/>
      <family val="2"/>
    </font>
    <font>
      <sz val="8"/>
      <name val="Arial"/>
      <family val="2"/>
    </font>
    <font>
      <sz val="10"/>
      <color indexed="12"/>
      <name val="Times New Roman"/>
      <family val="1"/>
    </font>
    <font>
      <b/>
      <sz val="10"/>
      <name val="Courier"/>
      <family val="3"/>
    </font>
    <font>
      <b/>
      <sz val="14"/>
      <name val="Times New Roman"/>
      <family val="1"/>
    </font>
    <font>
      <b/>
      <sz val="12"/>
      <name val="Courier"/>
      <family val="3"/>
    </font>
    <font>
      <sz val="12"/>
      <color indexed="12"/>
      <name val="Times New Roman"/>
      <family val="1"/>
    </font>
    <font>
      <b/>
      <sz val="12"/>
      <color indexed="12"/>
      <name val="Times New Roman"/>
      <family val="1"/>
    </font>
    <font>
      <sz val="10"/>
      <color indexed="12"/>
      <name val="Arial"/>
      <family val="2"/>
    </font>
    <font>
      <b/>
      <sz val="12"/>
      <color indexed="8"/>
      <name val="Times New Roman"/>
      <family val="1"/>
    </font>
    <font>
      <sz val="12"/>
      <color indexed="8"/>
      <name val="Times New Roman"/>
      <family val="1"/>
    </font>
    <font>
      <sz val="10"/>
      <color indexed="8"/>
      <name val="Arial"/>
      <family val="2"/>
    </font>
    <font>
      <b/>
      <sz val="10"/>
      <name val="Arial"/>
      <family val="2"/>
    </font>
    <font>
      <sz val="9"/>
      <name val="Arial"/>
      <family val="2"/>
    </font>
    <font>
      <b/>
      <sz val="9"/>
      <name val="Arial"/>
      <family val="2"/>
    </font>
    <font>
      <sz val="11"/>
      <name val="Arial"/>
      <family val="2"/>
    </font>
    <font>
      <b/>
      <sz val="12"/>
      <name val="Arial"/>
      <family val="2"/>
    </font>
    <font>
      <b/>
      <sz val="11"/>
      <name val="Arial"/>
      <family val="2"/>
    </font>
    <font>
      <sz val="10"/>
      <name val="Arial Narrow"/>
      <family val="2"/>
    </font>
    <font>
      <b/>
      <sz val="10"/>
      <color indexed="8"/>
      <name val="Arial"/>
      <family val="2"/>
    </font>
    <font>
      <vertAlign val="superscript"/>
      <sz val="10"/>
      <name val="Arial"/>
      <family val="2"/>
    </font>
    <font>
      <b/>
      <sz val="14"/>
      <name val="Arial"/>
      <family val="2"/>
    </font>
    <font>
      <i/>
      <sz val="10"/>
      <name val="Arial"/>
      <family val="2"/>
    </font>
    <font>
      <b/>
      <u/>
      <sz val="16"/>
      <name val="Arial"/>
      <family val="2"/>
    </font>
    <font>
      <b/>
      <sz val="14"/>
      <color indexed="8"/>
      <name val="Arial"/>
      <family val="2"/>
    </font>
    <font>
      <i/>
      <sz val="10"/>
      <color indexed="8"/>
      <name val="Arial"/>
      <family val="2"/>
    </font>
    <font>
      <sz val="10.5"/>
      <name val="Arial"/>
      <family val="2"/>
    </font>
    <font>
      <b/>
      <sz val="10.5"/>
      <name val="Arial"/>
      <family val="2"/>
    </font>
    <font>
      <vertAlign val="superscript"/>
      <sz val="10"/>
      <name val="Calibri"/>
      <family val="2"/>
    </font>
    <font>
      <sz val="11"/>
      <color theme="1"/>
      <name val="Calibri"/>
      <family val="2"/>
      <scheme val="minor"/>
    </font>
    <font>
      <sz val="10"/>
      <color theme="1"/>
      <name val="Arial"/>
      <family val="2"/>
    </font>
    <font>
      <b/>
      <sz val="10"/>
      <color theme="1"/>
      <name val="Arial"/>
      <family val="2"/>
    </font>
    <font>
      <sz val="16"/>
      <color rgb="FFFF0000"/>
      <name val="Arial"/>
      <family val="2"/>
    </font>
    <font>
      <sz val="11"/>
      <color theme="1"/>
      <name val="Arial"/>
      <family val="2"/>
    </font>
    <font>
      <b/>
      <sz val="11"/>
      <color theme="1"/>
      <name val="Arial"/>
      <family val="2"/>
    </font>
    <font>
      <sz val="12"/>
      <color theme="1"/>
      <name val="Arial"/>
      <family val="2"/>
    </font>
    <font>
      <sz val="8"/>
      <color theme="1"/>
      <name val="Arial"/>
      <family val="2"/>
    </font>
    <font>
      <sz val="10"/>
      <color rgb="FFFF0000"/>
      <name val="Arial"/>
      <family val="2"/>
    </font>
    <font>
      <sz val="10"/>
      <name val="Calibri"/>
      <family val="2"/>
      <scheme val="minor"/>
    </font>
    <font>
      <b/>
      <sz val="10"/>
      <name val="Calibri"/>
      <family val="2"/>
      <scheme val="minor"/>
    </font>
    <font>
      <sz val="8"/>
      <name val="Calibri"/>
      <family val="2"/>
      <scheme val="minor"/>
    </font>
    <font>
      <b/>
      <sz val="12"/>
      <color theme="1"/>
      <name val="Arial"/>
      <family val="2"/>
    </font>
    <font>
      <b/>
      <sz val="14"/>
      <name val="Calibri"/>
      <family val="2"/>
      <scheme val="minor"/>
    </font>
    <font>
      <b/>
      <sz val="12"/>
      <color indexed="8"/>
      <name val="Arial"/>
      <family val="2"/>
    </font>
    <font>
      <sz val="12"/>
      <color theme="1"/>
      <name val="Times New Roman"/>
      <family val="1"/>
    </font>
    <font>
      <sz val="11"/>
      <name val="Calibri"/>
      <family val="2"/>
    </font>
    <font>
      <vertAlign val="subscript"/>
      <sz val="10"/>
      <name val="Times New Roman"/>
      <family val="1"/>
    </font>
    <font>
      <vertAlign val="superscript"/>
      <sz val="10"/>
      <name val="Times New Roman"/>
      <family val="1"/>
    </font>
    <font>
      <b/>
      <u/>
      <sz val="12"/>
      <name val="Times New Roman"/>
      <family val="1"/>
    </font>
    <font>
      <sz val="10"/>
      <color rgb="FFFF0000"/>
      <name val="Times New Roman"/>
      <family val="1"/>
    </font>
    <font>
      <sz val="10"/>
      <color rgb="FF000000"/>
      <name val="Times New Roman"/>
      <family val="1"/>
    </font>
    <font>
      <b/>
      <u/>
      <sz val="16"/>
      <name val="Times New Roman"/>
      <family val="1"/>
    </font>
    <font>
      <sz val="16"/>
      <color rgb="FF000000"/>
      <name val="Times New Roman"/>
      <family val="1"/>
    </font>
    <font>
      <sz val="7"/>
      <color rgb="FF000000"/>
      <name val="Arial"/>
      <family val="2"/>
    </font>
    <font>
      <sz val="7"/>
      <name val="Arial"/>
      <family val="2"/>
    </font>
    <font>
      <sz val="8"/>
      <color rgb="FF000000"/>
      <name val="Arial"/>
      <family val="2"/>
    </font>
    <font>
      <sz val="7.5"/>
      <name val="Arial"/>
      <family val="2"/>
    </font>
    <font>
      <b/>
      <u/>
      <sz val="11"/>
      <name val="Arial"/>
      <family val="2"/>
    </font>
    <font>
      <sz val="72"/>
      <name val="Arial"/>
      <family val="2"/>
    </font>
    <font>
      <sz val="11"/>
      <color rgb="FF9C6500"/>
      <name val="Calibri"/>
      <family val="2"/>
      <scheme val="minor"/>
    </font>
    <font>
      <vertAlign val="superscript"/>
      <sz val="10"/>
      <name val="Calibri"/>
      <family val="2"/>
      <scheme val="minor"/>
    </font>
    <font>
      <b/>
      <vertAlign val="superscript"/>
      <sz val="10"/>
      <name val="Calibri"/>
      <family val="2"/>
      <scheme val="minor"/>
    </font>
    <font>
      <sz val="10"/>
      <color rgb="FFFFFF00"/>
      <name val="Calibri"/>
      <family val="2"/>
      <scheme val="minor"/>
    </font>
    <font>
      <sz val="10"/>
      <color theme="1"/>
      <name val="Times New Roman"/>
      <family val="1"/>
    </font>
    <font>
      <sz val="10"/>
      <color theme="1"/>
      <name val="Calibri"/>
      <family val="2"/>
      <scheme val="minor"/>
    </font>
    <font>
      <i/>
      <sz val="10"/>
      <name val="Times New Roman"/>
      <family val="1"/>
    </font>
    <font>
      <b/>
      <sz val="11"/>
      <name val="Times New Roman"/>
      <family val="1"/>
    </font>
    <font>
      <b/>
      <sz val="8"/>
      <name val="Arial"/>
      <family val="2"/>
    </font>
    <font>
      <b/>
      <sz val="7"/>
      <name val="Arial"/>
      <family val="2"/>
    </font>
    <font>
      <b/>
      <u/>
      <sz val="8"/>
      <name val="Arial"/>
      <family val="2"/>
    </font>
    <font>
      <b/>
      <sz val="10"/>
      <color rgb="FFFF0000"/>
      <name val="Times New Roman"/>
      <family val="1"/>
    </font>
    <font>
      <sz val="10"/>
      <color theme="3"/>
      <name val="Times New Roman"/>
      <family val="1"/>
    </font>
    <font>
      <b/>
      <vertAlign val="superscript"/>
      <sz val="10"/>
      <name val="Times New Roman"/>
      <family val="1"/>
    </font>
    <font>
      <b/>
      <sz val="10"/>
      <color theme="1"/>
      <name val="Times New Roman"/>
      <family val="1"/>
    </font>
    <font>
      <b/>
      <sz val="22"/>
      <name val="Times New Roman"/>
      <family val="1"/>
    </font>
  </fonts>
  <fills count="20">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indexed="9"/>
        <bgColor indexed="64"/>
      </patternFill>
    </fill>
    <fill>
      <patternFill patternType="solid">
        <fgColor indexed="22"/>
        <bgColor indexed="64"/>
      </patternFill>
    </fill>
    <fill>
      <patternFill patternType="solid">
        <fgColor rgb="FFF8F8F8"/>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EB9C"/>
      </patternFill>
    </fill>
    <fill>
      <patternFill patternType="solid">
        <fgColor theme="9" tint="0.39997558519241921"/>
        <bgColor indexed="64"/>
      </patternFill>
    </fill>
  </fills>
  <borders count="83">
    <border>
      <left/>
      <right/>
      <top/>
      <bottom/>
      <diagonal/>
    </border>
    <border>
      <left/>
      <right/>
      <top/>
      <bottom style="thin">
        <color indexed="64"/>
      </bottom>
      <diagonal/>
    </border>
    <border>
      <left style="thin">
        <color indexed="64"/>
      </left>
      <right/>
      <top/>
      <bottom style="thin">
        <color indexed="64"/>
      </bottom>
      <diagonal/>
    </border>
    <border>
      <left style="thin">
        <color indexed="64"/>
      </left>
      <right style="hair">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hair">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top/>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thin">
        <color rgb="FFEAEAEA"/>
      </left>
      <right style="thin">
        <color rgb="FFEAEAEA"/>
      </right>
      <top style="thin">
        <color rgb="FFEAEAEA"/>
      </top>
      <bottom/>
      <diagonal/>
    </border>
    <border>
      <left style="thin">
        <color rgb="FFEAEAEA"/>
      </left>
      <right/>
      <top style="thin">
        <color rgb="FFEAEAEA"/>
      </top>
      <bottom style="thin">
        <color rgb="FFEAEAEA"/>
      </bottom>
      <diagonal/>
    </border>
    <border>
      <left/>
      <right/>
      <top style="thin">
        <color rgb="FFEAEAEA"/>
      </top>
      <bottom style="thin">
        <color rgb="FFEAEAEA"/>
      </bottom>
      <diagonal/>
    </border>
    <border>
      <left/>
      <right style="thin">
        <color rgb="FFEAEAEA"/>
      </right>
      <top style="thin">
        <color rgb="FFEAEAEA"/>
      </top>
      <bottom style="thin">
        <color rgb="FFEAEAEA"/>
      </bottom>
      <diagonal/>
    </border>
    <border>
      <left style="thin">
        <color rgb="FFEAEAEA"/>
      </left>
      <right style="thin">
        <color rgb="FFEAEAEA"/>
      </right>
      <top/>
      <bottom style="thin">
        <color rgb="FFEAEAEA"/>
      </bottom>
      <diagonal/>
    </border>
    <border>
      <left style="thin">
        <color rgb="FFEAEAEA"/>
      </left>
      <right style="thin">
        <color rgb="FFEAEAEA"/>
      </right>
      <top style="thin">
        <color rgb="FFEAEAEA"/>
      </top>
      <bottom style="thin">
        <color rgb="FFEAEAEA"/>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2"/>
      </right>
      <top/>
      <bottom/>
      <diagonal/>
    </border>
    <border>
      <left/>
      <right style="hair">
        <color indexed="64"/>
      </right>
      <top/>
      <bottom/>
      <diagonal/>
    </border>
    <border>
      <left style="hair">
        <color indexed="64"/>
      </left>
      <right/>
      <top style="hair">
        <color indexed="64"/>
      </top>
      <bottom style="thin">
        <color indexed="64"/>
      </bottom>
      <diagonal/>
    </border>
    <border>
      <left style="hair">
        <color indexed="64"/>
      </left>
      <right style="thin">
        <color indexed="64"/>
      </right>
      <top/>
      <bottom style="thin">
        <color indexed="64"/>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s>
  <cellStyleXfs count="35">
    <xf numFmtId="0" fontId="0" fillId="0" borderId="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12" fillId="0" borderId="0" applyFont="0" applyFill="0" applyBorder="0" applyAlignment="0" applyProtection="0"/>
    <xf numFmtId="43" fontId="4"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166" fontId="27" fillId="0" borderId="0" applyFont="0" applyFill="0" applyBorder="0" applyAlignment="0" applyProtection="0"/>
    <xf numFmtId="164" fontId="27" fillId="0" borderId="0" applyFont="0" applyFill="0" applyBorder="0" applyAlignment="0" applyProtection="0"/>
    <xf numFmtId="166" fontId="4" fillId="0" borderId="0" applyFont="0" applyFill="0" applyBorder="0" applyAlignment="0" applyProtection="0"/>
    <xf numFmtId="0" fontId="33" fillId="0" borderId="0" applyFont="0" applyBorder="0" applyAlignment="0">
      <alignment horizontal="centerContinuous" vertical="center"/>
    </xf>
    <xf numFmtId="0" fontId="9" fillId="0" borderId="0"/>
    <xf numFmtId="0" fontId="4" fillId="0" borderId="0"/>
    <xf numFmtId="0" fontId="4" fillId="0" borderId="0"/>
    <xf numFmtId="0" fontId="4" fillId="0" borderId="0"/>
    <xf numFmtId="0" fontId="4" fillId="0" borderId="0"/>
    <xf numFmtId="0" fontId="4" fillId="0" borderId="0"/>
    <xf numFmtId="0" fontId="41" fillId="0" borderId="0"/>
    <xf numFmtId="0" fontId="4" fillId="0" borderId="0"/>
    <xf numFmtId="0" fontId="27" fillId="0" borderId="0"/>
    <xf numFmtId="0" fontId="4" fillId="0" borderId="0"/>
    <xf numFmtId="0" fontId="27" fillId="0" borderId="0"/>
    <xf numFmtId="0" fontId="5" fillId="0" borderId="0"/>
    <xf numFmtId="0" fontId="5" fillId="0" borderId="0"/>
    <xf numFmtId="0" fontId="4" fillId="0" borderId="0"/>
    <xf numFmtId="0" fontId="4" fillId="0" borderId="0"/>
    <xf numFmtId="0" fontId="3" fillId="0" borderId="0"/>
    <xf numFmtId="9" fontId="4" fillId="0" borderId="0" applyFont="0" applyFill="0" applyBorder="0" applyAlignment="0" applyProtection="0"/>
    <xf numFmtId="0" fontId="2" fillId="0" borderId="0"/>
    <xf numFmtId="0" fontId="57" fillId="0" borderId="0"/>
    <xf numFmtId="0" fontId="5" fillId="0" borderId="0"/>
    <xf numFmtId="0" fontId="5" fillId="0" borderId="0"/>
    <xf numFmtId="0" fontId="6" fillId="0" borderId="0"/>
    <xf numFmtId="0" fontId="71" fillId="18" borderId="0" applyNumberFormat="0" applyBorder="0" applyAlignment="0" applyProtection="0"/>
  </cellStyleXfs>
  <cellXfs count="1470">
    <xf numFmtId="0" fontId="0" fillId="0" borderId="0" xfId="0"/>
    <xf numFmtId="0" fontId="15" fillId="0" borderId="0" xfId="0" applyFont="1" applyAlignment="1">
      <alignment horizontal="center" vertical="center" wrapText="1"/>
    </xf>
    <xf numFmtId="0" fontId="8" fillId="0" borderId="0" xfId="0" applyFont="1" applyAlignment="1">
      <alignment horizontal="center" vertical="center" wrapText="1"/>
    </xf>
    <xf numFmtId="0" fontId="7" fillId="0" borderId="0" xfId="0" applyFont="1" applyAlignment="1">
      <alignment horizontal="center" vertical="center" wrapText="1"/>
    </xf>
    <xf numFmtId="43" fontId="10" fillId="0" borderId="20" xfId="1" applyFont="1" applyBorder="1" applyAlignment="1">
      <alignment vertical="center" wrapText="1"/>
    </xf>
    <xf numFmtId="43" fontId="10" fillId="0" borderId="0" xfId="1" applyFont="1" applyAlignment="1">
      <alignment vertical="center" wrapText="1"/>
    </xf>
    <xf numFmtId="43" fontId="10" fillId="0" borderId="0" xfId="1" applyFont="1" applyAlignment="1">
      <alignment wrapText="1"/>
    </xf>
    <xf numFmtId="43" fontId="10" fillId="0" borderId="0" xfId="1" applyFont="1"/>
    <xf numFmtId="43" fontId="6" fillId="0" borderId="0" xfId="1" applyFont="1"/>
    <xf numFmtId="0" fontId="6" fillId="0" borderId="0" xfId="0" applyFont="1"/>
    <xf numFmtId="0" fontId="10" fillId="0" borderId="0" xfId="0" applyFont="1" applyAlignment="1">
      <alignment vertical="center" wrapText="1"/>
    </xf>
    <xf numFmtId="0" fontId="10" fillId="0" borderId="0" xfId="0" applyFont="1" applyAlignment="1">
      <alignment wrapText="1"/>
    </xf>
    <xf numFmtId="0" fontId="10" fillId="0" borderId="0" xfId="0" applyFont="1"/>
    <xf numFmtId="0" fontId="10" fillId="0" borderId="20" xfId="0" applyFont="1" applyFill="1" applyBorder="1" applyAlignment="1">
      <alignment vertical="center" wrapText="1"/>
    </xf>
    <xf numFmtId="0" fontId="0" fillId="0" borderId="0" xfId="0" applyFill="1"/>
    <xf numFmtId="0" fontId="10" fillId="0" borderId="0" xfId="0" applyFont="1" applyFill="1" applyAlignment="1">
      <alignment vertical="center" wrapText="1"/>
    </xf>
    <xf numFmtId="0" fontId="10" fillId="0" borderId="0" xfId="0" applyFont="1" applyFill="1" applyAlignment="1">
      <alignment wrapText="1"/>
    </xf>
    <xf numFmtId="0" fontId="10" fillId="0" borderId="0" xfId="0" applyFont="1" applyFill="1"/>
    <xf numFmtId="0" fontId="6" fillId="0" borderId="0" xfId="0" applyFont="1" applyFill="1"/>
    <xf numFmtId="43" fontId="0" fillId="0" borderId="0" xfId="1" applyFont="1"/>
    <xf numFmtId="43" fontId="8" fillId="0" borderId="0" xfId="1" applyFont="1"/>
    <xf numFmtId="0" fontId="8" fillId="0" borderId="0" xfId="0" applyFont="1"/>
    <xf numFmtId="0" fontId="17" fillId="0" borderId="0" xfId="0" applyFont="1"/>
    <xf numFmtId="0" fontId="10" fillId="0" borderId="0" xfId="0" applyNumberFormat="1" applyFont="1" applyAlignment="1">
      <alignment vertical="top"/>
    </xf>
    <xf numFmtId="0" fontId="8" fillId="0" borderId="0" xfId="0" applyFont="1" applyAlignment="1">
      <alignment vertical="center" wrapText="1"/>
    </xf>
    <xf numFmtId="0" fontId="10" fillId="0" borderId="0" xfId="0" applyFont="1" applyAlignment="1">
      <alignment vertical="top"/>
    </xf>
    <xf numFmtId="43" fontId="10" fillId="0" borderId="20" xfId="0" applyNumberFormat="1" applyFont="1" applyBorder="1" applyAlignment="1">
      <alignment vertical="center" wrapText="1"/>
    </xf>
    <xf numFmtId="43" fontId="10" fillId="2" borderId="20" xfId="1" applyFont="1" applyFill="1" applyBorder="1" applyAlignment="1">
      <alignment vertical="center" wrapText="1"/>
    </xf>
    <xf numFmtId="43" fontId="10" fillId="2" borderId="20" xfId="0" applyNumberFormat="1" applyFont="1" applyFill="1" applyBorder="1" applyAlignment="1">
      <alignment vertical="center" wrapText="1"/>
    </xf>
    <xf numFmtId="0" fontId="10" fillId="2" borderId="0" xfId="0" applyFont="1" applyFill="1" applyAlignment="1">
      <alignment vertical="center" wrapText="1"/>
    </xf>
    <xf numFmtId="43" fontId="10" fillId="2" borderId="0" xfId="0" applyNumberFormat="1" applyFont="1" applyFill="1" applyAlignment="1">
      <alignment vertical="center" wrapText="1"/>
    </xf>
    <xf numFmtId="0" fontId="10" fillId="2" borderId="0" xfId="0" applyFont="1" applyFill="1" applyAlignment="1">
      <alignment wrapText="1"/>
    </xf>
    <xf numFmtId="43" fontId="18" fillId="0" borderId="0" xfId="1" applyFont="1"/>
    <xf numFmtId="43" fontId="14" fillId="0" borderId="0" xfId="1" applyFont="1"/>
    <xf numFmtId="43" fontId="20" fillId="0" borderId="0" xfId="1" applyFont="1"/>
    <xf numFmtId="0" fontId="18" fillId="0" borderId="0" xfId="0" applyFont="1"/>
    <xf numFmtId="0" fontId="14" fillId="0" borderId="0" xfId="0" applyFont="1"/>
    <xf numFmtId="0" fontId="20" fillId="0" borderId="0" xfId="0" applyFont="1"/>
    <xf numFmtId="0" fontId="8" fillId="0" borderId="20" xfId="0" applyFont="1" applyFill="1" applyBorder="1" applyAlignment="1">
      <alignment horizontal="center" vertical="top" wrapText="1"/>
    </xf>
    <xf numFmtId="0" fontId="8" fillId="0" borderId="20" xfId="0" applyFont="1" applyFill="1" applyBorder="1" applyAlignment="1">
      <alignment horizontal="center" vertical="center" wrapText="1"/>
    </xf>
    <xf numFmtId="0" fontId="15" fillId="0" borderId="0" xfId="0" applyFont="1" applyFill="1" applyAlignment="1">
      <alignment horizontal="center" vertical="center" wrapText="1"/>
    </xf>
    <xf numFmtId="0" fontId="8" fillId="0" borderId="0" xfId="0" applyFont="1" applyFill="1" applyAlignment="1">
      <alignment horizontal="center" vertical="center" wrapText="1"/>
    </xf>
    <xf numFmtId="0" fontId="10" fillId="0" borderId="20" xfId="0" applyFont="1" applyFill="1" applyBorder="1" applyAlignment="1">
      <alignment vertical="top"/>
    </xf>
    <xf numFmtId="0" fontId="8" fillId="0" borderId="20" xfId="0" applyFont="1" applyFill="1" applyBorder="1" applyAlignment="1">
      <alignment vertical="center" wrapText="1"/>
    </xf>
    <xf numFmtId="43" fontId="10" fillId="0" borderId="20" xfId="1" applyFont="1" applyFill="1" applyBorder="1" applyAlignment="1">
      <alignment vertical="center" wrapText="1"/>
    </xf>
    <xf numFmtId="2" fontId="10" fillId="0" borderId="20" xfId="0" applyNumberFormat="1" applyFont="1" applyFill="1" applyBorder="1" applyAlignment="1">
      <alignment vertical="center" wrapText="1"/>
    </xf>
    <xf numFmtId="0" fontId="10" fillId="0" borderId="20" xfId="0" applyNumberFormat="1" applyFont="1" applyFill="1" applyBorder="1" applyAlignment="1">
      <alignment vertical="top"/>
    </xf>
    <xf numFmtId="0" fontId="10" fillId="0" borderId="20" xfId="1" applyNumberFormat="1" applyFont="1" applyFill="1" applyBorder="1" applyAlignment="1">
      <alignment vertical="top"/>
    </xf>
    <xf numFmtId="43" fontId="8" fillId="0" borderId="20" xfId="1" applyFont="1" applyFill="1" applyBorder="1" applyAlignment="1">
      <alignment vertical="center" wrapText="1"/>
    </xf>
    <xf numFmtId="43" fontId="10" fillId="0" borderId="20" xfId="1" applyFont="1" applyFill="1" applyBorder="1" applyAlignment="1">
      <alignment wrapText="1"/>
    </xf>
    <xf numFmtId="43" fontId="8" fillId="0" borderId="20" xfId="1" applyFont="1" applyFill="1" applyBorder="1" applyAlignment="1">
      <alignment horizontal="left" vertical="center" wrapText="1"/>
    </xf>
    <xf numFmtId="43" fontId="10" fillId="0" borderId="20" xfId="0" applyNumberFormat="1" applyFont="1" applyFill="1" applyBorder="1" applyAlignment="1">
      <alignment wrapText="1"/>
    </xf>
    <xf numFmtId="43" fontId="10" fillId="0" borderId="20" xfId="0" applyNumberFormat="1" applyFont="1" applyFill="1" applyBorder="1" applyAlignment="1">
      <alignment vertical="center" wrapText="1"/>
    </xf>
    <xf numFmtId="43" fontId="10" fillId="0" borderId="20" xfId="1" applyFont="1" applyFill="1" applyBorder="1"/>
    <xf numFmtId="43" fontId="18" fillId="0" borderId="20" xfId="1" applyFont="1" applyFill="1" applyBorder="1"/>
    <xf numFmtId="0" fontId="10" fillId="0" borderId="20" xfId="0" applyFont="1" applyFill="1" applyBorder="1" applyAlignment="1">
      <alignment wrapText="1"/>
    </xf>
    <xf numFmtId="43" fontId="8" fillId="0" borderId="20" xfId="1" applyFont="1" applyFill="1" applyBorder="1"/>
    <xf numFmtId="170" fontId="10" fillId="0" borderId="20" xfId="1" applyNumberFormat="1" applyFont="1" applyFill="1" applyBorder="1" applyAlignment="1">
      <alignment vertical="center" wrapText="1"/>
    </xf>
    <xf numFmtId="43" fontId="10" fillId="0" borderId="20" xfId="0" applyNumberFormat="1" applyFont="1" applyFill="1" applyBorder="1"/>
    <xf numFmtId="0" fontId="18" fillId="0" borderId="20" xfId="1" applyNumberFormat="1" applyFont="1" applyFill="1" applyBorder="1" applyAlignment="1">
      <alignment vertical="top"/>
    </xf>
    <xf numFmtId="0" fontId="19" fillId="0" borderId="20" xfId="0" applyFont="1" applyFill="1" applyBorder="1" applyAlignment="1">
      <alignment vertical="center" wrapText="1"/>
    </xf>
    <xf numFmtId="0" fontId="18" fillId="0" borderId="20" xfId="0" applyNumberFormat="1" applyFont="1" applyFill="1" applyBorder="1" applyAlignment="1">
      <alignment vertical="top"/>
    </xf>
    <xf numFmtId="43" fontId="19" fillId="0" borderId="20" xfId="1" applyFont="1" applyFill="1" applyBorder="1" applyAlignment="1">
      <alignment vertical="center" wrapText="1"/>
    </xf>
    <xf numFmtId="0" fontId="10" fillId="0" borderId="20" xfId="0" applyFont="1" applyFill="1" applyBorder="1"/>
    <xf numFmtId="0" fontId="21" fillId="0" borderId="20" xfId="0" applyFont="1" applyFill="1" applyBorder="1" applyAlignment="1">
      <alignment horizontal="center" vertical="center" wrapText="1"/>
    </xf>
    <xf numFmtId="0" fontId="21" fillId="0" borderId="0" xfId="0" applyFont="1" applyFill="1" applyAlignment="1">
      <alignment horizontal="center" vertical="center" wrapText="1"/>
    </xf>
    <xf numFmtId="43" fontId="22" fillId="0" borderId="20" xfId="1" applyFont="1" applyFill="1" applyBorder="1" applyAlignment="1">
      <alignment vertical="center" wrapText="1"/>
    </xf>
    <xf numFmtId="2" fontId="22" fillId="0" borderId="20" xfId="0" applyNumberFormat="1" applyFont="1" applyFill="1" applyBorder="1" applyAlignment="1">
      <alignment vertical="center" wrapText="1"/>
    </xf>
    <xf numFmtId="0" fontId="22" fillId="0" borderId="20" xfId="0" applyFont="1" applyFill="1" applyBorder="1" applyAlignment="1">
      <alignment vertical="center" wrapText="1"/>
    </xf>
    <xf numFmtId="0" fontId="22" fillId="0" borderId="0" xfId="0" applyFont="1" applyFill="1" applyAlignment="1">
      <alignment vertical="center" wrapText="1"/>
    </xf>
    <xf numFmtId="0" fontId="23" fillId="0" borderId="0" xfId="0" applyFont="1" applyFill="1"/>
    <xf numFmtId="43" fontId="22" fillId="0" borderId="20" xfId="0" applyNumberFormat="1" applyFont="1" applyFill="1" applyBorder="1" applyAlignment="1">
      <alignment vertical="center" wrapText="1"/>
    </xf>
    <xf numFmtId="43" fontId="22" fillId="0" borderId="20" xfId="0" applyNumberFormat="1" applyFont="1" applyFill="1" applyBorder="1" applyAlignment="1">
      <alignment wrapText="1"/>
    </xf>
    <xf numFmtId="43" fontId="22" fillId="0" borderId="20" xfId="1" applyFont="1" applyFill="1" applyBorder="1" applyAlignment="1">
      <alignment wrapText="1"/>
    </xf>
    <xf numFmtId="43" fontId="22" fillId="0" borderId="20" xfId="1" applyFont="1" applyFill="1" applyBorder="1"/>
    <xf numFmtId="0" fontId="22" fillId="0" borderId="20" xfId="0" applyFont="1" applyFill="1" applyBorder="1" applyAlignment="1">
      <alignment wrapText="1"/>
    </xf>
    <xf numFmtId="43" fontId="21" fillId="0" borderId="20" xfId="1" applyFont="1" applyFill="1" applyBorder="1"/>
    <xf numFmtId="170" fontId="22" fillId="0" borderId="20" xfId="1" applyNumberFormat="1" applyFont="1" applyFill="1" applyBorder="1" applyAlignment="1">
      <alignment vertical="center" wrapText="1"/>
    </xf>
    <xf numFmtId="43" fontId="22" fillId="0" borderId="20" xfId="0" applyNumberFormat="1" applyFont="1" applyFill="1" applyBorder="1"/>
    <xf numFmtId="0" fontId="22" fillId="0" borderId="20" xfId="0" applyFont="1" applyFill="1" applyBorder="1"/>
    <xf numFmtId="43" fontId="22" fillId="0" borderId="20" xfId="1" applyFont="1" applyBorder="1" applyAlignment="1">
      <alignment vertical="center" wrapText="1"/>
    </xf>
    <xf numFmtId="43" fontId="22" fillId="0" borderId="20" xfId="0" applyNumberFormat="1" applyFont="1" applyBorder="1" applyAlignment="1">
      <alignment vertical="center" wrapText="1"/>
    </xf>
    <xf numFmtId="0" fontId="22" fillId="0" borderId="0" xfId="0" applyFont="1" applyAlignment="1">
      <alignment vertical="center" wrapText="1"/>
    </xf>
    <xf numFmtId="0" fontId="22" fillId="0" borderId="0" xfId="0" applyFont="1" applyAlignment="1">
      <alignment wrapText="1"/>
    </xf>
    <xf numFmtId="0" fontId="4" fillId="0" borderId="0" xfId="0" applyFont="1" applyFill="1"/>
    <xf numFmtId="0" fontId="4" fillId="0" borderId="0" xfId="0" applyFont="1"/>
    <xf numFmtId="0" fontId="4" fillId="0" borderId="0" xfId="0" applyFont="1" applyAlignment="1">
      <alignment vertical="center"/>
    </xf>
    <xf numFmtId="0" fontId="4" fillId="0" borderId="20" xfId="0" applyFont="1" applyFill="1" applyBorder="1" applyAlignment="1">
      <alignment horizontal="center" vertical="center"/>
    </xf>
    <xf numFmtId="0" fontId="4" fillId="0" borderId="20" xfId="0" applyFont="1" applyFill="1" applyBorder="1" applyAlignment="1">
      <alignment horizontal="justify" vertical="top" wrapText="1"/>
    </xf>
    <xf numFmtId="0" fontId="4" fillId="0" borderId="20" xfId="0" applyFont="1" applyFill="1" applyBorder="1" applyAlignment="1">
      <alignment vertical="top" wrapText="1"/>
    </xf>
    <xf numFmtId="0" fontId="27" fillId="0" borderId="0" xfId="23" applyFont="1" applyAlignment="1">
      <alignment vertical="center"/>
    </xf>
    <xf numFmtId="0" fontId="4" fillId="0" borderId="0" xfId="12" applyFont="1" applyAlignment="1">
      <alignment wrapText="1"/>
    </xf>
    <xf numFmtId="43" fontId="4" fillId="0" borderId="0" xfId="1" applyFont="1" applyFill="1"/>
    <xf numFmtId="43" fontId="4" fillId="0" borderId="20" xfId="1" applyFont="1" applyFill="1" applyBorder="1" applyAlignment="1">
      <alignment horizontal="center" vertical="center" wrapText="1"/>
    </xf>
    <xf numFmtId="0" fontId="4" fillId="0" borderId="0" xfId="0" applyFont="1" applyBorder="1"/>
    <xf numFmtId="0" fontId="4" fillId="0" borderId="20" xfId="0" applyFont="1" applyFill="1" applyBorder="1" applyAlignment="1">
      <alignment horizontal="left" vertical="center" wrapText="1"/>
    </xf>
    <xf numFmtId="0" fontId="4" fillId="0" borderId="20" xfId="0" applyFont="1" applyBorder="1" applyAlignment="1">
      <alignment vertical="center"/>
    </xf>
    <xf numFmtId="0" fontId="24" fillId="0" borderId="20" xfId="0" applyFont="1" applyBorder="1" applyAlignment="1">
      <alignment vertical="center"/>
    </xf>
    <xf numFmtId="0" fontId="0" fillId="0" borderId="0" xfId="0" applyBorder="1"/>
    <xf numFmtId="0" fontId="4" fillId="0" borderId="20" xfId="13" applyFont="1" applyFill="1" applyBorder="1" applyAlignment="1">
      <alignment horizontal="left" vertical="center" wrapText="1"/>
    </xf>
    <xf numFmtId="0" fontId="4" fillId="0" borderId="20" xfId="0" applyFont="1" applyFill="1" applyBorder="1" applyAlignment="1">
      <alignment horizontal="justify" vertical="center" wrapText="1"/>
    </xf>
    <xf numFmtId="0" fontId="42" fillId="0" borderId="20" xfId="0" applyFont="1" applyFill="1" applyBorder="1" applyAlignment="1">
      <alignment horizontal="justify" vertical="center"/>
    </xf>
    <xf numFmtId="0" fontId="4" fillId="0" borderId="20" xfId="0" applyFont="1" applyFill="1" applyBorder="1" applyAlignment="1">
      <alignment horizontal="justify" vertical="top"/>
    </xf>
    <xf numFmtId="0" fontId="4" fillId="0" borderId="20" xfId="0" applyFont="1" applyFill="1" applyBorder="1" applyAlignment="1">
      <alignment horizontal="justify" vertical="center"/>
    </xf>
    <xf numFmtId="0" fontId="4" fillId="0" borderId="20" xfId="18" applyFont="1" applyFill="1" applyBorder="1" applyAlignment="1">
      <alignment horizontal="center" vertical="center"/>
    </xf>
    <xf numFmtId="43" fontId="4" fillId="0" borderId="20" xfId="18" applyNumberFormat="1" applyFont="1" applyFill="1" applyBorder="1" applyAlignment="1">
      <alignment horizontal="center" vertical="center"/>
    </xf>
    <xf numFmtId="43" fontId="4" fillId="0" borderId="20" xfId="7" applyFont="1" applyFill="1" applyBorder="1" applyAlignment="1">
      <alignment horizontal="center" vertical="center" wrapText="1"/>
    </xf>
    <xf numFmtId="0" fontId="4" fillId="0" borderId="20" xfId="19" applyFont="1" applyFill="1" applyBorder="1" applyAlignment="1">
      <alignment horizontal="justify" vertical="center" wrapText="1"/>
    </xf>
    <xf numFmtId="0" fontId="24" fillId="7" borderId="20" xfId="18" applyFont="1" applyFill="1" applyBorder="1" applyAlignment="1">
      <alignment horizontal="center" vertical="center" wrapText="1"/>
    </xf>
    <xf numFmtId="0" fontId="24" fillId="7" borderId="20" xfId="19" applyFont="1" applyFill="1" applyBorder="1" applyAlignment="1">
      <alignment horizontal="right" vertical="center" wrapText="1"/>
    </xf>
    <xf numFmtId="43" fontId="24" fillId="7" borderId="20" xfId="7" applyFont="1" applyFill="1" applyBorder="1" applyAlignment="1">
      <alignment horizontal="center" vertical="center" wrapText="1"/>
    </xf>
    <xf numFmtId="43" fontId="4" fillId="0" borderId="20" xfId="7" quotePrefix="1" applyFont="1" applyFill="1" applyBorder="1" applyAlignment="1">
      <alignment horizontal="center" vertical="center" wrapText="1"/>
    </xf>
    <xf numFmtId="43" fontId="4" fillId="0" borderId="20" xfId="7" applyFont="1" applyFill="1" applyBorder="1" applyAlignment="1">
      <alignment horizontal="center" vertical="justify" wrapText="1"/>
    </xf>
    <xf numFmtId="43" fontId="4" fillId="0" borderId="20" xfId="7" applyFont="1" applyFill="1" applyBorder="1" applyAlignment="1">
      <alignment horizontal="center" vertical="center"/>
    </xf>
    <xf numFmtId="43" fontId="24" fillId="7" borderId="20" xfId="1" applyFont="1" applyFill="1" applyBorder="1" applyAlignment="1">
      <alignment horizontal="center" vertical="center"/>
    </xf>
    <xf numFmtId="0" fontId="24" fillId="0" borderId="20" xfId="0" applyFont="1" applyFill="1" applyBorder="1" applyAlignment="1">
      <alignment horizontal="center" vertical="center" wrapText="1"/>
    </xf>
    <xf numFmtId="3" fontId="24" fillId="0" borderId="20" xfId="0" applyNumberFormat="1" applyFont="1" applyFill="1" applyBorder="1" applyAlignment="1">
      <alignment horizontal="center" vertical="center" wrapText="1"/>
    </xf>
    <xf numFmtId="43" fontId="4" fillId="0" borderId="17" xfId="18" applyNumberFormat="1" applyFont="1" applyFill="1" applyBorder="1" applyAlignment="1">
      <alignment horizontal="center" vertical="center"/>
    </xf>
    <xf numFmtId="0" fontId="4" fillId="0" borderId="0" xfId="25" applyFont="1" applyFill="1" applyAlignment="1">
      <alignment horizontal="justify" vertical="center" wrapText="1"/>
    </xf>
    <xf numFmtId="0" fontId="25" fillId="0" borderId="0" xfId="25" applyFont="1" applyFill="1" applyAlignment="1">
      <alignment horizontal="center" vertical="top"/>
    </xf>
    <xf numFmtId="0" fontId="25" fillId="0" borderId="0" xfId="25" applyFont="1" applyFill="1" applyAlignment="1">
      <alignment horizontal="right" vertical="top"/>
    </xf>
    <xf numFmtId="43" fontId="25" fillId="0" borderId="0" xfId="1" applyFont="1" applyFill="1" applyAlignment="1">
      <alignment horizontal="center" vertical="top"/>
    </xf>
    <xf numFmtId="43" fontId="25" fillId="0" borderId="0" xfId="1" applyFont="1" applyFill="1" applyAlignment="1">
      <alignment horizontal="right" vertical="top"/>
    </xf>
    <xf numFmtId="43" fontId="4" fillId="0" borderId="20" xfId="1" applyFont="1" applyFill="1" applyBorder="1" applyAlignment="1">
      <alignment horizontal="center" vertical="center"/>
    </xf>
    <xf numFmtId="0" fontId="4" fillId="0" borderId="0" xfId="25" applyFont="1" applyFill="1" applyAlignment="1">
      <alignment horizontal="center"/>
    </xf>
    <xf numFmtId="43" fontId="26" fillId="0" borderId="0" xfId="1" applyFont="1" applyFill="1" applyAlignment="1">
      <alignment horizontal="right" vertical="top"/>
    </xf>
    <xf numFmtId="0" fontId="4" fillId="0" borderId="0" xfId="25" applyFont="1" applyFill="1" applyAlignment="1"/>
    <xf numFmtId="0" fontId="28" fillId="0" borderId="0" xfId="25" applyFont="1" applyFill="1" applyAlignment="1"/>
    <xf numFmtId="0" fontId="33" fillId="0" borderId="0" xfId="25" applyFont="1" applyFill="1" applyAlignment="1"/>
    <xf numFmtId="0" fontId="34" fillId="0" borderId="0" xfId="25" applyFont="1" applyFill="1" applyAlignment="1"/>
    <xf numFmtId="0" fontId="4" fillId="0" borderId="0" xfId="0" applyFont="1" applyFill="1" applyBorder="1"/>
    <xf numFmtId="0" fontId="31" fillId="0" borderId="0" xfId="27" applyFont="1" applyAlignment="1">
      <alignment horizontal="left" vertical="top"/>
    </xf>
    <xf numFmtId="0" fontId="31" fillId="0" borderId="0" xfId="27" applyFont="1"/>
    <xf numFmtId="0" fontId="23" fillId="0" borderId="0" xfId="27" applyFont="1"/>
    <xf numFmtId="0" fontId="23" fillId="0" borderId="0" xfId="27" applyFont="1" applyFill="1"/>
    <xf numFmtId="0" fontId="37" fillId="0" borderId="0" xfId="27" applyFont="1"/>
    <xf numFmtId="0" fontId="23" fillId="0" borderId="0" xfId="27" applyFont="1" applyFill="1" applyAlignment="1">
      <alignment horizontal="right"/>
    </xf>
    <xf numFmtId="0" fontId="23" fillId="0" borderId="0" xfId="27" applyFont="1" applyFill="1" applyAlignment="1">
      <alignment horizontal="left"/>
    </xf>
    <xf numFmtId="0" fontId="23" fillId="0" borderId="0" xfId="27" applyFont="1" applyAlignment="1">
      <alignment horizontal="right"/>
    </xf>
    <xf numFmtId="0" fontId="23" fillId="0" borderId="0" xfId="27" applyFont="1" applyAlignment="1"/>
    <xf numFmtId="0" fontId="23" fillId="0" borderId="37" xfId="27" applyFont="1" applyBorder="1" applyAlignment="1">
      <alignment horizontal="center"/>
    </xf>
    <xf numFmtId="0" fontId="23" fillId="0" borderId="37" xfId="27" applyFont="1" applyFill="1" applyBorder="1" applyAlignment="1">
      <alignment horizontal="center"/>
    </xf>
    <xf numFmtId="0" fontId="23" fillId="0" borderId="42" xfId="27" applyFont="1" applyBorder="1" applyAlignment="1">
      <alignment horizontal="center"/>
    </xf>
    <xf numFmtId="0" fontId="23" fillId="0" borderId="42" xfId="27" applyFont="1" applyFill="1" applyBorder="1" applyAlignment="1">
      <alignment horizontal="center"/>
    </xf>
    <xf numFmtId="2" fontId="23" fillId="0" borderId="42" xfId="27" applyNumberFormat="1" applyFont="1" applyFill="1" applyBorder="1" applyAlignment="1">
      <alignment horizontal="center"/>
    </xf>
    <xf numFmtId="2" fontId="23" fillId="0" borderId="42" xfId="27" applyNumberFormat="1" applyFont="1" applyBorder="1" applyAlignment="1">
      <alignment horizontal="center"/>
    </xf>
    <xf numFmtId="2" fontId="23" fillId="0" borderId="43" xfId="27" applyNumberFormat="1" applyFont="1" applyBorder="1" applyAlignment="1">
      <alignment horizontal="center"/>
    </xf>
    <xf numFmtId="0" fontId="23" fillId="0" borderId="0" xfId="27" applyFont="1" applyBorder="1"/>
    <xf numFmtId="0" fontId="23" fillId="0" borderId="0" xfId="27" applyFont="1" applyBorder="1" applyAlignment="1">
      <alignment horizontal="center"/>
    </xf>
    <xf numFmtId="0" fontId="23" fillId="0" borderId="0" xfId="27" applyFont="1" applyFill="1" applyBorder="1" applyAlignment="1">
      <alignment horizontal="center"/>
    </xf>
    <xf numFmtId="2" fontId="23" fillId="0" borderId="0" xfId="27" applyNumberFormat="1" applyFont="1" applyFill="1" applyBorder="1" applyAlignment="1">
      <alignment horizontal="center"/>
    </xf>
    <xf numFmtId="2" fontId="23" fillId="0" borderId="0" xfId="27" applyNumberFormat="1" applyFont="1" applyBorder="1" applyAlignment="1">
      <alignment horizontal="center"/>
    </xf>
    <xf numFmtId="0" fontId="31" fillId="0" borderId="0" xfId="27" applyFont="1" applyBorder="1"/>
    <xf numFmtId="0" fontId="31" fillId="0" borderId="1" xfId="27" applyFont="1" applyBorder="1"/>
    <xf numFmtId="0" fontId="23" fillId="0" borderId="1" xfId="27" applyFont="1" applyBorder="1"/>
    <xf numFmtId="0" fontId="4" fillId="0" borderId="0" xfId="25" applyFont="1" applyFill="1" applyBorder="1"/>
    <xf numFmtId="0" fontId="4" fillId="0" borderId="0" xfId="25" applyFont="1" applyFill="1"/>
    <xf numFmtId="43" fontId="4" fillId="0" borderId="0" xfId="25" applyNumberFormat="1" applyFont="1" applyFill="1" applyBorder="1" applyAlignment="1">
      <alignment vertical="center"/>
    </xf>
    <xf numFmtId="0" fontId="4" fillId="0" borderId="0" xfId="25" applyFont="1" applyFill="1" applyBorder="1" applyAlignment="1">
      <alignment vertical="center"/>
    </xf>
    <xf numFmtId="0" fontId="4" fillId="0" borderId="0" xfId="25" applyFont="1" applyFill="1" applyAlignment="1">
      <alignment vertical="center"/>
    </xf>
    <xf numFmtId="0" fontId="24" fillId="0" borderId="0" xfId="25" applyFont="1" applyFill="1" applyBorder="1" applyAlignment="1">
      <alignment vertical="center"/>
    </xf>
    <xf numFmtId="0" fontId="24" fillId="0" borderId="0" xfId="25" applyFont="1" applyFill="1" applyAlignment="1">
      <alignment vertical="center"/>
    </xf>
    <xf numFmtId="0" fontId="27" fillId="0" borderId="0" xfId="25" applyFont="1" applyFill="1" applyBorder="1" applyAlignment="1">
      <alignment vertical="center"/>
    </xf>
    <xf numFmtId="0" fontId="27" fillId="0" borderId="0" xfId="25" applyFont="1" applyFill="1" applyAlignment="1">
      <alignment vertical="center"/>
    </xf>
    <xf numFmtId="0" fontId="44" fillId="0" borderId="0" xfId="25" applyFont="1" applyFill="1" applyBorder="1" applyAlignment="1">
      <alignment vertical="center" wrapText="1"/>
    </xf>
    <xf numFmtId="0" fontId="24" fillId="0" borderId="0" xfId="25" applyFont="1" applyFill="1" applyAlignment="1">
      <alignment horizontal="center" wrapText="1"/>
    </xf>
    <xf numFmtId="0" fontId="4" fillId="0" borderId="0" xfId="25" applyFont="1" applyFill="1" applyAlignment="1">
      <alignment horizontal="justify" vertical="center"/>
    </xf>
    <xf numFmtId="43" fontId="4" fillId="0" borderId="0" xfId="7" applyFont="1" applyFill="1" applyAlignment="1">
      <alignment horizontal="right"/>
    </xf>
    <xf numFmtId="0" fontId="4" fillId="0" borderId="0" xfId="25" applyFont="1" applyFill="1" applyBorder="1" applyAlignment="1">
      <alignment horizontal="center" wrapText="1"/>
    </xf>
    <xf numFmtId="0" fontId="4" fillId="0" borderId="0" xfId="25" applyFont="1" applyFill="1" applyAlignment="1">
      <alignment horizontal="right"/>
    </xf>
    <xf numFmtId="43" fontId="4" fillId="0" borderId="0" xfId="25" applyNumberFormat="1" applyFont="1" applyFill="1" applyBorder="1"/>
    <xf numFmtId="0" fontId="42" fillId="0" borderId="20" xfId="0" applyFont="1" applyFill="1" applyBorder="1" applyAlignment="1">
      <alignment horizontal="justify" vertical="center" wrapText="1"/>
    </xf>
    <xf numFmtId="0" fontId="42" fillId="0" borderId="20" xfId="18" applyFont="1" applyFill="1" applyBorder="1" applyAlignment="1">
      <alignment horizontal="center" vertical="center"/>
    </xf>
    <xf numFmtId="43" fontId="42" fillId="0" borderId="20" xfId="18" applyNumberFormat="1" applyFont="1" applyFill="1" applyBorder="1" applyAlignment="1">
      <alignment horizontal="center" vertical="center"/>
    </xf>
    <xf numFmtId="43" fontId="42" fillId="0" borderId="20" xfId="1" applyFont="1" applyFill="1" applyBorder="1" applyAlignment="1">
      <alignment horizontal="center" vertical="center" wrapText="1"/>
    </xf>
    <xf numFmtId="43" fontId="42" fillId="0" borderId="20" xfId="7" applyFont="1" applyFill="1" applyBorder="1" applyAlignment="1">
      <alignment horizontal="center" vertical="center" wrapText="1"/>
    </xf>
    <xf numFmtId="0" fontId="42" fillId="0" borderId="20" xfId="0" applyFont="1" applyFill="1" applyBorder="1" applyAlignment="1">
      <alignment vertical="top" wrapText="1"/>
    </xf>
    <xf numFmtId="0" fontId="43" fillId="0" borderId="20" xfId="0" applyFont="1" applyFill="1" applyBorder="1" applyAlignment="1">
      <alignment horizontal="center" vertical="center" wrapText="1"/>
    </xf>
    <xf numFmtId="43" fontId="42" fillId="0" borderId="20" xfId="7" applyFont="1" applyFill="1" applyBorder="1" applyAlignment="1">
      <alignment horizontal="center" vertical="center"/>
    </xf>
    <xf numFmtId="0" fontId="42" fillId="0" borderId="20" xfId="13" applyFont="1" applyFill="1" applyBorder="1" applyAlignment="1">
      <alignment vertical="center" wrapText="1"/>
    </xf>
    <xf numFmtId="0" fontId="43" fillId="7" borderId="20" xfId="18" applyFont="1" applyFill="1" applyBorder="1" applyAlignment="1">
      <alignment horizontal="center" vertical="center" wrapText="1"/>
    </xf>
    <xf numFmtId="0" fontId="43" fillId="7" borderId="20" xfId="19" applyFont="1" applyFill="1" applyBorder="1" applyAlignment="1">
      <alignment horizontal="right" vertical="center" wrapText="1"/>
    </xf>
    <xf numFmtId="43" fontId="43" fillId="7" borderId="20" xfId="1" applyFont="1" applyFill="1" applyBorder="1" applyAlignment="1">
      <alignment horizontal="center" vertical="center"/>
    </xf>
    <xf numFmtId="43" fontId="43" fillId="7" borderId="20" xfId="7" applyFont="1" applyFill="1" applyBorder="1" applyAlignment="1">
      <alignment horizontal="center" vertical="center" wrapText="1"/>
    </xf>
    <xf numFmtId="0" fontId="42" fillId="0" borderId="20" xfId="19" applyFont="1" applyFill="1" applyBorder="1" applyAlignment="1">
      <alignment horizontal="center" vertical="center" wrapText="1"/>
    </xf>
    <xf numFmtId="0" fontId="43" fillId="0" borderId="20" xfId="13" applyFont="1" applyFill="1" applyBorder="1" applyAlignment="1" applyProtection="1">
      <alignment horizontal="left" vertical="center"/>
      <protection locked="0"/>
    </xf>
    <xf numFmtId="43" fontId="42" fillId="0" borderId="20" xfId="1" applyFont="1" applyFill="1" applyBorder="1" applyAlignment="1">
      <alignment horizontal="center" vertical="center"/>
    </xf>
    <xf numFmtId="0" fontId="48" fillId="4" borderId="20" xfId="13" applyFont="1" applyFill="1" applyBorder="1" applyAlignment="1">
      <alignment horizontal="center" vertical="center" wrapText="1"/>
    </xf>
    <xf numFmtId="0" fontId="42" fillId="0" borderId="20" xfId="13" applyFont="1" applyFill="1" applyBorder="1" applyAlignment="1" applyProtection="1">
      <alignment horizontal="left" vertical="center" wrapText="1"/>
      <protection locked="0"/>
    </xf>
    <xf numFmtId="0" fontId="43" fillId="0" borderId="20" xfId="13" applyFont="1" applyFill="1" applyBorder="1" applyAlignment="1" applyProtection="1">
      <alignment horizontal="left" vertical="center" wrapText="1"/>
      <protection locked="0"/>
    </xf>
    <xf numFmtId="0" fontId="42" fillId="0" borderId="20" xfId="13" applyFont="1" applyFill="1" applyBorder="1" applyAlignment="1">
      <alignment vertical="center"/>
    </xf>
    <xf numFmtId="179" fontId="23" fillId="0" borderId="20" xfId="27" applyNumberFormat="1" applyFont="1" applyFill="1" applyBorder="1" applyAlignment="1">
      <alignment horizontal="center"/>
    </xf>
    <xf numFmtId="0" fontId="4" fillId="0" borderId="0" xfId="0" applyFont="1" applyAlignment="1">
      <alignment vertical="center" wrapText="1"/>
    </xf>
    <xf numFmtId="0" fontId="29"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right" vertical="center" wrapText="1"/>
    </xf>
    <xf numFmtId="0" fontId="24" fillId="0" borderId="0" xfId="0" applyFont="1" applyAlignment="1">
      <alignment vertical="center" wrapText="1"/>
    </xf>
    <xf numFmtId="0" fontId="24" fillId="0" borderId="20" xfId="0" applyFont="1" applyBorder="1" applyAlignment="1">
      <alignment horizontal="right" vertical="center" wrapText="1"/>
    </xf>
    <xf numFmtId="0" fontId="27" fillId="0" borderId="0" xfId="0" applyFont="1" applyAlignment="1">
      <alignment vertical="center" wrapText="1"/>
    </xf>
    <xf numFmtId="0" fontId="29" fillId="0" borderId="20" xfId="0" applyFont="1" applyBorder="1" applyAlignment="1">
      <alignment vertical="center" wrapText="1"/>
    </xf>
    <xf numFmtId="0" fontId="27" fillId="0" borderId="20" xfId="0" applyFont="1" applyBorder="1" applyAlignment="1">
      <alignment horizontal="center" vertical="center" wrapText="1"/>
    </xf>
    <xf numFmtId="0" fontId="27" fillId="0" borderId="20" xfId="0" applyFont="1" applyBorder="1" applyAlignment="1">
      <alignment horizontal="right" vertical="center" wrapText="1"/>
    </xf>
    <xf numFmtId="0" fontId="24" fillId="0" borderId="20" xfId="0" applyFont="1" applyBorder="1" applyAlignment="1">
      <alignment vertical="center" wrapText="1"/>
    </xf>
    <xf numFmtId="0" fontId="4" fillId="0" borderId="20" xfId="0" applyFont="1" applyBorder="1" applyAlignment="1">
      <alignment horizontal="center" vertical="center" wrapText="1"/>
    </xf>
    <xf numFmtId="0" fontId="4" fillId="0" borderId="20" xfId="0" applyFont="1" applyBorder="1" applyAlignment="1">
      <alignment horizontal="right" vertical="center" wrapText="1"/>
    </xf>
    <xf numFmtId="0" fontId="0" fillId="0" borderId="20" xfId="0" applyBorder="1" applyAlignment="1">
      <alignment horizontal="right" vertical="center" wrapText="1"/>
    </xf>
    <xf numFmtId="0" fontId="38" fillId="0" borderId="0" xfId="0" applyFont="1" applyAlignment="1">
      <alignment vertical="center" wrapText="1"/>
    </xf>
    <xf numFmtId="0" fontId="39" fillId="0" borderId="20" xfId="0" applyFont="1" applyBorder="1" applyAlignment="1">
      <alignment vertical="center" wrapText="1"/>
    </xf>
    <xf numFmtId="0" fontId="38" fillId="0" borderId="20" xfId="0" applyFont="1" applyBorder="1" applyAlignment="1">
      <alignment horizontal="center" vertical="center" wrapText="1"/>
    </xf>
    <xf numFmtId="0" fontId="38" fillId="0" borderId="20" xfId="0" applyFont="1" applyBorder="1" applyAlignment="1">
      <alignment horizontal="right" vertical="center" wrapText="1"/>
    </xf>
    <xf numFmtId="0" fontId="0" fillId="0" borderId="20" xfId="0" applyBorder="1" applyAlignment="1">
      <alignment horizontal="center" vertical="center" wrapText="1"/>
    </xf>
    <xf numFmtId="2" fontId="0" fillId="0" borderId="20" xfId="0" applyNumberFormat="1" applyBorder="1" applyAlignment="1">
      <alignment horizontal="right" vertical="center" wrapText="1"/>
    </xf>
    <xf numFmtId="1" fontId="4" fillId="0" borderId="20" xfId="19" applyNumberFormat="1" applyFont="1" applyFill="1" applyBorder="1" applyAlignment="1">
      <alignment horizontal="right" vertical="center" wrapText="1"/>
    </xf>
    <xf numFmtId="0" fontId="0" fillId="0" borderId="20" xfId="0" applyBorder="1" applyAlignment="1">
      <alignment vertical="center" wrapText="1"/>
    </xf>
    <xf numFmtId="0" fontId="27" fillId="0" borderId="20" xfId="0" applyFont="1" applyBorder="1" applyAlignment="1">
      <alignment vertical="center" wrapText="1"/>
    </xf>
    <xf numFmtId="0" fontId="0" fillId="0" borderId="20" xfId="0" applyFill="1" applyBorder="1" applyAlignment="1">
      <alignment horizontal="right" vertical="center" wrapText="1"/>
    </xf>
    <xf numFmtId="0" fontId="4" fillId="0" borderId="20" xfId="0" applyFont="1" applyBorder="1" applyAlignment="1">
      <alignment vertical="center" wrapText="1"/>
    </xf>
    <xf numFmtId="0" fontId="4" fillId="0" borderId="34" xfId="0" applyFont="1" applyBorder="1" applyAlignment="1">
      <alignment vertical="center"/>
    </xf>
    <xf numFmtId="0" fontId="4" fillId="0" borderId="35" xfId="0" applyFont="1" applyBorder="1" applyAlignment="1">
      <alignment vertical="center"/>
    </xf>
    <xf numFmtId="0" fontId="51" fillId="0" borderId="23" xfId="24" applyFont="1" applyFill="1" applyBorder="1"/>
    <xf numFmtId="168" fontId="51" fillId="0" borderId="24" xfId="24" applyNumberFormat="1" applyFont="1" applyFill="1" applyBorder="1"/>
    <xf numFmtId="0" fontId="50" fillId="0" borderId="0" xfId="24" applyFont="1" applyFill="1" applyAlignment="1">
      <alignment horizontal="left"/>
    </xf>
    <xf numFmtId="0" fontId="50" fillId="0" borderId="0" xfId="24" quotePrefix="1" applyFont="1" applyFill="1" applyAlignment="1">
      <alignment horizontal="left"/>
    </xf>
    <xf numFmtId="0" fontId="50" fillId="0" borderId="0" xfId="24" quotePrefix="1" applyFont="1" applyFill="1" applyAlignment="1">
      <alignment horizontal="left" vertical="top"/>
    </xf>
    <xf numFmtId="0" fontId="50" fillId="0" borderId="20" xfId="24" applyFont="1" applyFill="1" applyBorder="1" applyAlignment="1">
      <alignment vertical="center"/>
    </xf>
    <xf numFmtId="0" fontId="50" fillId="0" borderId="6" xfId="24" applyFont="1" applyFill="1" applyBorder="1" applyAlignment="1">
      <alignment horizontal="centerContinuous" vertical="center"/>
    </xf>
    <xf numFmtId="0" fontId="50" fillId="0" borderId="7" xfId="24" applyFont="1" applyFill="1" applyBorder="1" applyAlignment="1">
      <alignment horizontal="centerContinuous" vertical="center"/>
    </xf>
    <xf numFmtId="0" fontId="50" fillId="0" borderId="8" xfId="24" applyFont="1" applyFill="1" applyBorder="1" applyAlignment="1">
      <alignment horizontal="center" vertical="center"/>
    </xf>
    <xf numFmtId="0" fontId="50" fillId="0" borderId="9" xfId="24" applyFont="1" applyFill="1" applyBorder="1" applyAlignment="1">
      <alignment horizontal="center" vertical="center"/>
    </xf>
    <xf numFmtId="0" fontId="50" fillId="0" borderId="10" xfId="24" applyFont="1" applyFill="1" applyBorder="1" applyAlignment="1">
      <alignment horizontal="center" vertical="center"/>
    </xf>
    <xf numFmtId="0" fontId="50" fillId="0" borderId="5" xfId="24" applyNumberFormat="1" applyFont="1" applyFill="1" applyBorder="1" applyAlignment="1">
      <alignment horizontal="left" vertical="center"/>
    </xf>
    <xf numFmtId="0" fontId="50" fillId="0" borderId="41" xfId="24" applyFont="1" applyFill="1" applyBorder="1" applyAlignment="1">
      <alignment vertical="center"/>
    </xf>
    <xf numFmtId="0" fontId="50" fillId="0" borderId="12" xfId="24" applyFont="1" applyFill="1" applyBorder="1" applyAlignment="1">
      <alignment horizontal="center" vertical="center"/>
    </xf>
    <xf numFmtId="166" fontId="50" fillId="0" borderId="12" xfId="1" applyNumberFormat="1" applyFont="1" applyFill="1" applyBorder="1" applyAlignment="1">
      <alignment vertical="center"/>
    </xf>
    <xf numFmtId="43" fontId="50" fillId="0" borderId="12" xfId="1" applyFont="1" applyFill="1" applyBorder="1" applyAlignment="1">
      <alignment vertical="center"/>
    </xf>
    <xf numFmtId="43" fontId="50" fillId="0" borderId="13" xfId="1" applyFont="1" applyFill="1" applyBorder="1" applyAlignment="1">
      <alignment vertical="center"/>
    </xf>
    <xf numFmtId="0" fontId="50" fillId="0" borderId="11" xfId="24" applyFont="1" applyFill="1" applyBorder="1" applyAlignment="1">
      <alignment vertical="center"/>
    </xf>
    <xf numFmtId="0" fontId="51" fillId="0" borderId="5" xfId="24" applyNumberFormat="1" applyFont="1" applyFill="1" applyBorder="1" applyAlignment="1">
      <alignment horizontal="center" vertical="center"/>
    </xf>
    <xf numFmtId="0" fontId="51" fillId="0" borderId="5" xfId="24" applyNumberFormat="1" applyFont="1" applyFill="1" applyBorder="1" applyAlignment="1">
      <alignment horizontal="center"/>
    </xf>
    <xf numFmtId="178" fontId="50" fillId="0" borderId="14" xfId="1" applyNumberFormat="1" applyFont="1" applyFill="1" applyBorder="1" applyAlignment="1">
      <alignment vertical="center"/>
    </xf>
    <xf numFmtId="0" fontId="50" fillId="0" borderId="16" xfId="24" applyNumberFormat="1" applyFont="1" applyFill="1" applyBorder="1" applyAlignment="1">
      <alignment vertical="center"/>
    </xf>
    <xf numFmtId="0" fontId="50" fillId="0" borderId="16" xfId="24" applyFont="1" applyFill="1" applyBorder="1" applyAlignment="1">
      <alignment vertical="center"/>
    </xf>
    <xf numFmtId="0" fontId="50" fillId="0" borderId="17" xfId="24" applyFont="1" applyFill="1" applyBorder="1" applyAlignment="1">
      <alignment vertical="center"/>
    </xf>
    <xf numFmtId="0" fontId="50" fillId="0" borderId="17" xfId="24" quotePrefix="1" applyFont="1" applyFill="1" applyBorder="1" applyAlignment="1">
      <alignment horizontal="right" vertical="center"/>
    </xf>
    <xf numFmtId="43" fontId="50" fillId="0" borderId="18" xfId="1" applyFont="1" applyFill="1" applyBorder="1" applyAlignment="1">
      <alignment horizontal="right" vertical="center"/>
    </xf>
    <xf numFmtId="0" fontId="50" fillId="0" borderId="17" xfId="24" applyFont="1" applyFill="1" applyBorder="1" applyAlignment="1">
      <alignment horizontal="right" vertical="center"/>
    </xf>
    <xf numFmtId="0" fontId="50" fillId="0" borderId="0" xfId="24" applyNumberFormat="1" applyFont="1" applyFill="1"/>
    <xf numFmtId="43" fontId="50" fillId="0" borderId="0" xfId="1" applyFont="1" applyFill="1"/>
    <xf numFmtId="0" fontId="50" fillId="0" borderId="0" xfId="24" applyFont="1" applyFill="1" applyBorder="1"/>
    <xf numFmtId="0" fontId="50" fillId="0" borderId="0" xfId="24" quotePrefix="1" applyFont="1" applyFill="1" applyBorder="1" applyAlignment="1">
      <alignment horizontal="right"/>
    </xf>
    <xf numFmtId="43" fontId="50" fillId="0" borderId="0" xfId="1" applyFont="1" applyFill="1" applyBorder="1"/>
    <xf numFmtId="0" fontId="50" fillId="0" borderId="0" xfId="24" quotePrefix="1" applyFont="1" applyFill="1" applyAlignment="1">
      <alignment horizontal="right"/>
    </xf>
    <xf numFmtId="0" fontId="50" fillId="0" borderId="0" xfId="24" applyNumberFormat="1" applyFont="1" applyFill="1" applyBorder="1"/>
    <xf numFmtId="0" fontId="51" fillId="0" borderId="0" xfId="24" applyFont="1" applyFill="1" applyBorder="1" applyAlignment="1">
      <alignment horizontal="right"/>
    </xf>
    <xf numFmtId="43" fontId="51" fillId="0" borderId="0" xfId="1" applyFont="1" applyFill="1" applyBorder="1"/>
    <xf numFmtId="0" fontId="50" fillId="0" borderId="0" xfId="24" quotePrefix="1" applyFont="1" applyFill="1" applyBorder="1" applyAlignment="1">
      <alignment horizontal="left"/>
    </xf>
    <xf numFmtId="0" fontId="50" fillId="0" borderId="1" xfId="24" applyFont="1" applyFill="1" applyBorder="1" applyAlignment="1"/>
    <xf numFmtId="0" fontId="50" fillId="0" borderId="4" xfId="24" applyFont="1" applyFill="1" applyBorder="1" applyAlignment="1">
      <alignment vertical="center"/>
    </xf>
    <xf numFmtId="0" fontId="50" fillId="0" borderId="3" xfId="24" applyFont="1" applyFill="1" applyBorder="1" applyAlignment="1">
      <alignment horizontal="left" vertical="center"/>
    </xf>
    <xf numFmtId="167" fontId="50" fillId="0" borderId="5" xfId="24" applyNumberFormat="1" applyFont="1" applyFill="1" applyBorder="1" applyAlignment="1">
      <alignment horizontal="left" vertical="center"/>
    </xf>
    <xf numFmtId="0" fontId="50" fillId="0" borderId="0" xfId="0" applyFont="1" applyFill="1"/>
    <xf numFmtId="0" fontId="51" fillId="0" borderId="0" xfId="0" applyFont="1" applyFill="1"/>
    <xf numFmtId="43" fontId="51" fillId="0" borderId="0" xfId="0" applyNumberFormat="1" applyFont="1" applyFill="1"/>
    <xf numFmtId="43" fontId="50" fillId="0" borderId="0" xfId="24" applyNumberFormat="1" applyFont="1" applyFill="1"/>
    <xf numFmtId="0" fontId="50" fillId="0" borderId="0" xfId="24" applyFont="1" applyFill="1" applyBorder="1" applyAlignment="1"/>
    <xf numFmtId="0" fontId="50" fillId="0" borderId="0" xfId="0" applyFont="1" applyFill="1" applyBorder="1" applyAlignment="1">
      <alignment wrapText="1"/>
    </xf>
    <xf numFmtId="0" fontId="50" fillId="0" borderId="21" xfId="24" applyFont="1" applyFill="1" applyBorder="1" applyAlignment="1">
      <alignment horizontal="centerContinuous" vertical="center"/>
    </xf>
    <xf numFmtId="0" fontId="50" fillId="0" borderId="22" xfId="24" applyFont="1" applyFill="1" applyBorder="1" applyAlignment="1">
      <alignment horizontal="centerContinuous" vertical="center"/>
    </xf>
    <xf numFmtId="0" fontId="51" fillId="0" borderId="0" xfId="24" quotePrefix="1" applyFont="1" applyFill="1" applyBorder="1" applyAlignment="1">
      <alignment horizontal="right"/>
    </xf>
    <xf numFmtId="0" fontId="50" fillId="0" borderId="1" xfId="24" applyFont="1" applyFill="1" applyBorder="1" applyAlignment="1">
      <alignment vertical="center"/>
    </xf>
    <xf numFmtId="167" fontId="50" fillId="0" borderId="5" xfId="24" applyNumberFormat="1" applyFont="1" applyFill="1" applyBorder="1" applyAlignment="1">
      <alignment horizontal="center" vertical="center" wrapText="1"/>
    </xf>
    <xf numFmtId="165" fontId="50" fillId="0" borderId="0" xfId="24" applyNumberFormat="1" applyFont="1" applyFill="1" applyBorder="1" applyAlignment="1">
      <alignment wrapText="1"/>
    </xf>
    <xf numFmtId="165" fontId="50" fillId="0" borderId="0" xfId="24" applyNumberFormat="1" applyFont="1" applyFill="1" applyBorder="1" applyAlignment="1">
      <alignment horizontal="left"/>
    </xf>
    <xf numFmtId="0" fontId="50" fillId="0" borderId="0" xfId="24" applyFont="1" applyFill="1" applyBorder="1" applyAlignment="1">
      <alignment horizontal="left"/>
    </xf>
    <xf numFmtId="165" fontId="50" fillId="0" borderId="0" xfId="24" applyNumberFormat="1" applyFont="1" applyFill="1" applyBorder="1" applyAlignment="1"/>
    <xf numFmtId="165" fontId="50" fillId="0" borderId="0" xfId="24" applyNumberFormat="1" applyFont="1" applyFill="1" applyBorder="1" applyAlignment="1">
      <alignment horizontal="center"/>
    </xf>
    <xf numFmtId="0" fontId="50" fillId="0" borderId="1" xfId="24" quotePrefix="1" applyFont="1" applyFill="1" applyBorder="1" applyAlignment="1">
      <alignment horizontal="right"/>
    </xf>
    <xf numFmtId="43" fontId="50" fillId="0" borderId="1" xfId="1" applyFont="1" applyFill="1" applyBorder="1"/>
    <xf numFmtId="0" fontId="50" fillId="0" borderId="3" xfId="24" applyFont="1" applyFill="1" applyBorder="1" applyAlignment="1">
      <alignment vertical="center" wrapText="1"/>
    </xf>
    <xf numFmtId="0" fontId="50" fillId="0" borderId="15" xfId="24" applyFont="1" applyFill="1" applyBorder="1" applyAlignment="1">
      <alignment horizontal="center" vertical="center"/>
    </xf>
    <xf numFmtId="0" fontId="50" fillId="0" borderId="6" xfId="24" applyFont="1" applyFill="1" applyBorder="1" applyAlignment="1">
      <alignment horizontal="center" vertical="center"/>
    </xf>
    <xf numFmtId="0" fontId="50" fillId="0" borderId="4" xfId="24" applyNumberFormat="1" applyFont="1" applyFill="1" applyBorder="1" applyAlignment="1">
      <alignment vertical="center"/>
    </xf>
    <xf numFmtId="1" fontId="50" fillId="0" borderId="0" xfId="24" applyNumberFormat="1" applyFont="1" applyFill="1"/>
    <xf numFmtId="0" fontId="51" fillId="0" borderId="0" xfId="24" applyNumberFormat="1" applyFont="1" applyFill="1"/>
    <xf numFmtId="0" fontId="51" fillId="0" borderId="0" xfId="24" applyFont="1" applyFill="1"/>
    <xf numFmtId="169" fontId="50" fillId="0" borderId="0" xfId="24" applyNumberFormat="1" applyFont="1" applyFill="1" applyAlignment="1">
      <alignment horizontal="left"/>
    </xf>
    <xf numFmtId="0" fontId="50" fillId="0" borderId="0" xfId="24" applyNumberFormat="1" applyFont="1" applyFill="1" applyAlignment="1">
      <alignment horizontal="right"/>
    </xf>
    <xf numFmtId="0" fontId="50" fillId="0" borderId="5" xfId="24" applyFont="1" applyFill="1" applyBorder="1" applyAlignment="1">
      <alignment vertical="center"/>
    </xf>
    <xf numFmtId="166" fontId="50" fillId="0" borderId="0" xfId="1" applyNumberFormat="1" applyFont="1" applyFill="1" applyBorder="1" applyAlignment="1">
      <alignment vertical="center"/>
    </xf>
    <xf numFmtId="43" fontId="50" fillId="0" borderId="0" xfId="1" applyFont="1" applyFill="1" applyBorder="1" applyAlignment="1">
      <alignment vertical="center"/>
    </xf>
    <xf numFmtId="0" fontId="50" fillId="0" borderId="3" xfId="24" applyFont="1" applyFill="1" applyBorder="1" applyAlignment="1">
      <alignment horizontal="center" vertical="center"/>
    </xf>
    <xf numFmtId="0" fontId="38" fillId="0" borderId="20" xfId="0" applyFont="1" applyFill="1" applyBorder="1" applyAlignment="1">
      <alignment horizontal="right" vertical="center" wrapText="1"/>
    </xf>
    <xf numFmtId="0" fontId="0" fillId="0" borderId="20" xfId="0" applyFill="1" applyBorder="1" applyAlignment="1">
      <alignment vertical="center" wrapText="1"/>
    </xf>
    <xf numFmtId="2" fontId="23" fillId="0" borderId="0" xfId="27" applyNumberFormat="1" applyFont="1" applyFill="1"/>
    <xf numFmtId="0" fontId="24" fillId="0" borderId="20" xfId="18" applyFont="1" applyFill="1" applyBorder="1" applyAlignment="1">
      <alignment vertical="center"/>
    </xf>
    <xf numFmtId="0" fontId="24" fillId="0" borderId="0" xfId="18" applyFont="1" applyFill="1" applyBorder="1" applyAlignment="1">
      <alignment vertical="center"/>
    </xf>
    <xf numFmtId="0" fontId="4" fillId="7" borderId="20" xfId="18" applyFont="1" applyFill="1" applyBorder="1" applyAlignment="1">
      <alignment horizontal="center" vertical="center"/>
    </xf>
    <xf numFmtId="0" fontId="42" fillId="7" borderId="20" xfId="18" applyFont="1" applyFill="1" applyBorder="1" applyAlignment="1">
      <alignment horizontal="center" vertical="center"/>
    </xf>
    <xf numFmtId="0" fontId="4" fillId="0" borderId="0" xfId="25" applyFont="1" applyFill="1" applyAlignment="1">
      <alignment horizontal="center" vertical="top"/>
    </xf>
    <xf numFmtId="0" fontId="4" fillId="0" borderId="20" xfId="18" applyFont="1" applyFill="1" applyBorder="1" applyAlignment="1">
      <alignment vertical="center" wrapText="1"/>
    </xf>
    <xf numFmtId="0" fontId="24" fillId="0" borderId="0" xfId="25" applyFont="1" applyFill="1" applyAlignment="1">
      <alignment horizontal="center" vertical="top" wrapText="1"/>
    </xf>
    <xf numFmtId="43" fontId="4" fillId="0" borderId="20" xfId="18" applyNumberFormat="1" applyFont="1" applyFill="1" applyBorder="1" applyAlignment="1">
      <alignment vertical="center"/>
    </xf>
    <xf numFmtId="43" fontId="4" fillId="7" borderId="20" xfId="1" applyFont="1" applyFill="1" applyBorder="1" applyAlignment="1">
      <alignment horizontal="center" vertical="center"/>
    </xf>
    <xf numFmtId="43" fontId="42" fillId="7" borderId="20" xfId="1" applyFont="1" applyFill="1" applyBorder="1" applyAlignment="1">
      <alignment horizontal="center" vertical="center"/>
    </xf>
    <xf numFmtId="0" fontId="4" fillId="11" borderId="20" xfId="18" applyFont="1" applyFill="1" applyBorder="1" applyAlignment="1">
      <alignment horizontal="center" vertical="center"/>
    </xf>
    <xf numFmtId="0" fontId="24" fillId="11" borderId="20" xfId="19" applyFont="1" applyFill="1" applyBorder="1" applyAlignment="1">
      <alignment horizontal="right" vertical="center" wrapText="1"/>
    </xf>
    <xf numFmtId="0" fontId="24" fillId="11" borderId="20" xfId="18" applyFont="1" applyFill="1" applyBorder="1" applyAlignment="1">
      <alignment horizontal="center" vertical="center" wrapText="1"/>
    </xf>
    <xf numFmtId="43" fontId="4" fillId="11" borderId="20" xfId="1" applyFont="1" applyFill="1" applyBorder="1" applyAlignment="1">
      <alignment horizontal="center" vertical="center"/>
    </xf>
    <xf numFmtId="43" fontId="24" fillId="11" borderId="20" xfId="1" applyFont="1" applyFill="1" applyBorder="1" applyAlignment="1">
      <alignment horizontal="center" vertical="center"/>
    </xf>
    <xf numFmtId="43" fontId="24" fillId="11" borderId="20" xfId="7" applyFont="1" applyFill="1" applyBorder="1" applyAlignment="1">
      <alignment horizontal="center" vertical="center" wrapText="1"/>
    </xf>
    <xf numFmtId="0" fontId="49" fillId="0" borderId="0" xfId="27" applyFont="1" applyFill="1"/>
    <xf numFmtId="43" fontId="4" fillId="0" borderId="35" xfId="0" applyNumberFormat="1" applyFont="1" applyBorder="1" applyAlignment="1">
      <alignment vertical="center"/>
    </xf>
    <xf numFmtId="0" fontId="24" fillId="0" borderId="20" xfId="25" applyFont="1" applyFill="1" applyBorder="1" applyAlignment="1">
      <alignment horizontal="center" vertical="center" wrapText="1"/>
    </xf>
    <xf numFmtId="0" fontId="47" fillId="0" borderId="0" xfId="0" applyFont="1" applyFill="1" applyBorder="1"/>
    <xf numFmtId="43" fontId="24" fillId="0" borderId="20" xfId="1" applyFont="1" applyFill="1" applyBorder="1" applyAlignment="1">
      <alignment horizontal="center" vertical="center" wrapText="1"/>
    </xf>
    <xf numFmtId="0" fontId="24" fillId="0" borderId="20" xfId="18" applyFont="1" applyFill="1" applyBorder="1" applyAlignment="1">
      <alignment horizontal="center" vertical="center" wrapText="1"/>
    </xf>
    <xf numFmtId="49" fontId="42" fillId="0" borderId="20" xfId="18" applyNumberFormat="1" applyFont="1" applyFill="1" applyBorder="1" applyAlignment="1">
      <alignment horizontal="center" vertical="top" wrapText="1"/>
    </xf>
    <xf numFmtId="43" fontId="10" fillId="13" borderId="0" xfId="1" applyNumberFormat="1" applyFont="1" applyFill="1" applyBorder="1" applyAlignment="1">
      <alignment horizontal="center" vertical="center"/>
    </xf>
    <xf numFmtId="0" fontId="56" fillId="0" borderId="0" xfId="0" applyFont="1" applyBorder="1"/>
    <xf numFmtId="0" fontId="10" fillId="13" borderId="0" xfId="0" applyFont="1" applyFill="1" applyBorder="1" applyAlignment="1">
      <alignment horizontal="left" vertical="center" wrapText="1"/>
    </xf>
    <xf numFmtId="0" fontId="0" fillId="0" borderId="0" xfId="0"/>
    <xf numFmtId="0" fontId="0" fillId="0" borderId="0" xfId="0"/>
    <xf numFmtId="0" fontId="42" fillId="0" borderId="0" xfId="0" applyFont="1"/>
    <xf numFmtId="0" fontId="42" fillId="0" borderId="0" xfId="0" applyFont="1" applyAlignment="1">
      <alignment horizontal="center"/>
    </xf>
    <xf numFmtId="0" fontId="43" fillId="0" borderId="0" xfId="0" applyFont="1" applyBorder="1" applyAlignment="1">
      <alignment vertical="center"/>
    </xf>
    <xf numFmtId="0" fontId="42" fillId="0" borderId="0" xfId="0" applyFont="1" applyAlignment="1"/>
    <xf numFmtId="0" fontId="42" fillId="0" borderId="0" xfId="0" applyFont="1" applyAlignment="1">
      <alignment wrapText="1"/>
    </xf>
    <xf numFmtId="0" fontId="4" fillId="0" borderId="0" xfId="30" applyFont="1" applyAlignment="1">
      <alignment horizontal="left" vertical="center" wrapText="1"/>
    </xf>
    <xf numFmtId="1" fontId="4" fillId="0" borderId="34" xfId="30" applyNumberFormat="1" applyFont="1" applyBorder="1" applyAlignment="1">
      <alignment horizontal="left" vertical="center" wrapText="1"/>
    </xf>
    <xf numFmtId="0" fontId="4" fillId="0" borderId="20" xfId="30" applyFont="1" applyBorder="1" applyAlignment="1">
      <alignment horizontal="left" vertical="center" wrapText="1"/>
    </xf>
    <xf numFmtId="0" fontId="4" fillId="0" borderId="35" xfId="30" applyFont="1" applyBorder="1" applyAlignment="1">
      <alignment horizontal="left" vertical="center" wrapText="1"/>
    </xf>
    <xf numFmtId="1" fontId="4" fillId="0" borderId="36" xfId="30" applyNumberFormat="1" applyFont="1" applyBorder="1" applyAlignment="1">
      <alignment horizontal="left" vertical="center" wrapText="1"/>
    </xf>
    <xf numFmtId="0" fontId="4" fillId="0" borderId="37" xfId="30" applyFont="1" applyBorder="1" applyAlignment="1">
      <alignment horizontal="left" vertical="center" wrapText="1"/>
    </xf>
    <xf numFmtId="0" fontId="4" fillId="0" borderId="38" xfId="30" applyFont="1" applyBorder="1" applyAlignment="1">
      <alignment horizontal="left" vertical="center" wrapText="1"/>
    </xf>
    <xf numFmtId="0" fontId="4" fillId="0" borderId="34" xfId="30" applyFont="1" applyBorder="1" applyAlignment="1">
      <alignment horizontal="left" vertical="center" wrapText="1"/>
    </xf>
    <xf numFmtId="0" fontId="4" fillId="0" borderId="36" xfId="30" applyFont="1" applyBorder="1" applyAlignment="1">
      <alignment horizontal="left" vertical="center" wrapText="1"/>
    </xf>
    <xf numFmtId="1" fontId="4" fillId="0" borderId="0" xfId="30" applyNumberFormat="1" applyFont="1" applyAlignment="1">
      <alignment horizontal="left" vertical="center" wrapText="1"/>
    </xf>
    <xf numFmtId="1" fontId="4" fillId="0" borderId="0" xfId="30" applyNumberFormat="1" applyFont="1" applyBorder="1" applyAlignment="1">
      <alignment horizontal="left" vertical="center" wrapText="1"/>
    </xf>
    <xf numFmtId="0" fontId="4" fillId="0" borderId="0" xfId="30" applyFont="1" applyBorder="1" applyAlignment="1">
      <alignment horizontal="left" vertical="center" wrapText="1"/>
    </xf>
    <xf numFmtId="0" fontId="29" fillId="0" borderId="0" xfId="30" applyFont="1" applyAlignment="1">
      <alignment vertical="center" wrapText="1"/>
    </xf>
    <xf numFmtId="0" fontId="4" fillId="11" borderId="27" xfId="18" applyFont="1" applyFill="1" applyBorder="1" applyAlignment="1">
      <alignment horizontal="center" vertical="center"/>
    </xf>
    <xf numFmtId="0" fontId="24" fillId="11" borderId="27" xfId="18" applyFont="1" applyFill="1" applyBorder="1" applyAlignment="1">
      <alignment horizontal="center" vertical="center" wrapText="1"/>
    </xf>
    <xf numFmtId="0" fontId="24" fillId="11" borderId="27" xfId="19" applyFont="1" applyFill="1" applyBorder="1" applyAlignment="1">
      <alignment horizontal="right" vertical="center" wrapText="1"/>
    </xf>
    <xf numFmtId="0" fontId="4" fillId="11" borderId="27" xfId="18" applyFont="1" applyFill="1" applyBorder="1" applyAlignment="1">
      <alignment vertical="center"/>
    </xf>
    <xf numFmtId="43" fontId="24" fillId="11" borderId="27" xfId="18" applyNumberFormat="1" applyFont="1" applyFill="1" applyBorder="1" applyAlignment="1">
      <alignment vertical="center"/>
    </xf>
    <xf numFmtId="0" fontId="24" fillId="11" borderId="27" xfId="18" applyFont="1" applyFill="1" applyBorder="1" applyAlignment="1">
      <alignment vertical="center"/>
    </xf>
    <xf numFmtId="0" fontId="4" fillId="0" borderId="0" xfId="12" applyFont="1" applyFill="1" applyBorder="1" applyAlignment="1">
      <alignment vertical="center" wrapText="1"/>
    </xf>
    <xf numFmtId="0" fontId="23" fillId="0" borderId="20" xfId="12" applyFont="1" applyFill="1" applyBorder="1" applyAlignment="1">
      <alignment vertical="center" wrapText="1"/>
    </xf>
    <xf numFmtId="2" fontId="30" fillId="0" borderId="20" xfId="0" applyNumberFormat="1" applyFont="1" applyFill="1" applyBorder="1" applyAlignment="1">
      <alignment wrapText="1"/>
    </xf>
    <xf numFmtId="2" fontId="4" fillId="0" borderId="20" xfId="0" applyNumberFormat="1" applyFont="1" applyFill="1" applyBorder="1" applyAlignment="1">
      <alignment wrapText="1"/>
    </xf>
    <xf numFmtId="0" fontId="4" fillId="0" borderId="0" xfId="12" applyFont="1" applyBorder="1" applyAlignment="1">
      <alignment wrapText="1"/>
    </xf>
    <xf numFmtId="2" fontId="4" fillId="4" borderId="20" xfId="0" applyNumberFormat="1" applyFont="1" applyFill="1" applyBorder="1" applyAlignment="1">
      <alignment wrapText="1"/>
    </xf>
    <xf numFmtId="0" fontId="23" fillId="0" borderId="20" xfId="12" quotePrefix="1" applyFont="1" applyFill="1" applyBorder="1" applyAlignment="1">
      <alignment vertical="center" wrapText="1"/>
    </xf>
    <xf numFmtId="0" fontId="23" fillId="0" borderId="20" xfId="13" applyFont="1" applyFill="1" applyBorder="1" applyAlignment="1">
      <alignment vertical="center" wrapText="1"/>
    </xf>
    <xf numFmtId="0" fontId="4" fillId="0" borderId="20" xfId="12" applyFont="1" applyBorder="1" applyAlignment="1">
      <alignment wrapText="1"/>
    </xf>
    <xf numFmtId="0" fontId="4" fillId="4" borderId="20" xfId="12" applyFont="1" applyFill="1" applyBorder="1" applyAlignment="1">
      <alignment wrapText="1"/>
    </xf>
    <xf numFmtId="0" fontId="6" fillId="0" borderId="0" xfId="0" applyFont="1" applyAlignment="1">
      <alignment vertical="top"/>
    </xf>
    <xf numFmtId="0" fontId="7" fillId="0" borderId="1" xfId="0" applyFont="1" applyBorder="1" applyAlignment="1">
      <alignment horizontal="left" vertical="top"/>
    </xf>
    <xf numFmtId="0" fontId="7" fillId="0" borderId="1" xfId="0" applyFont="1" applyBorder="1" applyAlignment="1">
      <alignment horizontal="center" vertical="top"/>
    </xf>
    <xf numFmtId="0" fontId="6" fillId="0" borderId="0" xfId="0" applyFont="1" applyBorder="1"/>
    <xf numFmtId="0" fontId="7" fillId="0" borderId="0" xfId="0" applyFont="1" applyFill="1" applyBorder="1" applyAlignment="1">
      <alignment vertical="top"/>
    </xf>
    <xf numFmtId="0" fontId="7" fillId="0" borderId="0" xfId="0" applyFont="1" applyFill="1" applyBorder="1" applyAlignment="1">
      <alignment horizontal="left" vertical="top"/>
    </xf>
    <xf numFmtId="0" fontId="6" fillId="0" borderId="0" xfId="0" applyFont="1" applyFill="1" applyBorder="1" applyAlignment="1">
      <alignment vertical="top"/>
    </xf>
    <xf numFmtId="0" fontId="7" fillId="0" borderId="0" xfId="0" applyFont="1" applyBorder="1" applyAlignment="1">
      <alignment horizontal="left" vertical="top" wrapText="1"/>
    </xf>
    <xf numFmtId="0" fontId="4" fillId="0" borderId="0" xfId="0" applyFont="1"/>
    <xf numFmtId="179" fontId="23" fillId="0" borderId="0" xfId="27" applyNumberFormat="1" applyFont="1" applyFill="1" applyBorder="1" applyAlignment="1">
      <alignment horizontal="center"/>
    </xf>
    <xf numFmtId="0" fontId="6" fillId="0" borderId="20" xfId="0" applyFont="1" applyBorder="1" applyAlignment="1">
      <alignment horizontal="center" vertical="center"/>
    </xf>
    <xf numFmtId="0" fontId="6" fillId="0" borderId="0" xfId="0" applyFont="1" applyAlignment="1">
      <alignment horizontal="center"/>
    </xf>
    <xf numFmtId="0" fontId="6" fillId="9" borderId="20" xfId="0" applyFont="1" applyFill="1" applyBorder="1" applyAlignment="1">
      <alignment horizontal="center" vertical="center" wrapText="1"/>
    </xf>
    <xf numFmtId="2" fontId="6" fillId="9" borderId="20" xfId="0" applyNumberFormat="1" applyFont="1" applyFill="1" applyBorder="1" applyAlignment="1">
      <alignment horizontal="center" vertical="center" wrapText="1" shrinkToFit="1"/>
    </xf>
    <xf numFmtId="2" fontId="6" fillId="9" borderId="20" xfId="0" applyNumberFormat="1" applyFont="1" applyFill="1" applyBorder="1" applyAlignment="1">
      <alignment horizontal="right" vertical="center" shrinkToFit="1"/>
    </xf>
    <xf numFmtId="0" fontId="6" fillId="8" borderId="20" xfId="0" applyFont="1" applyFill="1" applyBorder="1" applyAlignment="1">
      <alignment horizontal="center" vertical="center" wrapText="1"/>
    </xf>
    <xf numFmtId="0" fontId="6" fillId="8" borderId="20" xfId="0" applyFont="1" applyFill="1" applyBorder="1" applyAlignment="1">
      <alignment horizontal="center" vertical="center" wrapText="1" shrinkToFit="1"/>
    </xf>
    <xf numFmtId="171" fontId="6" fillId="8" borderId="20" xfId="0" applyNumberFormat="1" applyFont="1" applyFill="1" applyBorder="1" applyAlignment="1">
      <alignment horizontal="right" vertical="center" shrinkToFit="1"/>
    </xf>
    <xf numFmtId="0" fontId="6" fillId="10" borderId="20" xfId="0" applyFont="1" applyFill="1" applyBorder="1" applyAlignment="1">
      <alignment horizontal="center" vertical="center" wrapText="1"/>
    </xf>
    <xf numFmtId="172" fontId="6" fillId="10" borderId="20" xfId="0" applyNumberFormat="1" applyFont="1" applyFill="1" applyBorder="1" applyAlignment="1">
      <alignment horizontal="center" vertical="center" wrapText="1" shrinkToFit="1"/>
    </xf>
    <xf numFmtId="0" fontId="6" fillId="10" borderId="20" xfId="0" applyFont="1" applyFill="1" applyBorder="1" applyAlignment="1">
      <alignment horizontal="left" vertical="center" shrinkToFit="1"/>
    </xf>
    <xf numFmtId="0" fontId="7" fillId="0" borderId="0" xfId="0" applyFont="1" applyFill="1" applyBorder="1" applyAlignment="1">
      <alignment horizontal="center" vertical="top"/>
    </xf>
    <xf numFmtId="0" fontId="6" fillId="0" borderId="5" xfId="0" applyFont="1" applyBorder="1" applyAlignment="1">
      <alignment vertical="center" wrapText="1"/>
    </xf>
    <xf numFmtId="0" fontId="6" fillId="0" borderId="0" xfId="0" applyFont="1" applyBorder="1" applyAlignment="1">
      <alignment vertical="center" wrapText="1"/>
    </xf>
    <xf numFmtId="0" fontId="6" fillId="0" borderId="28" xfId="0" applyFont="1" applyBorder="1" applyAlignment="1">
      <alignment vertical="center" wrapText="1"/>
    </xf>
    <xf numFmtId="1" fontId="6" fillId="9" borderId="20" xfId="0" applyNumberFormat="1" applyFont="1" applyFill="1" applyBorder="1" applyAlignment="1">
      <alignment horizontal="right" vertical="center" shrinkToFit="1"/>
    </xf>
    <xf numFmtId="1" fontId="6" fillId="8" borderId="20" xfId="0" applyNumberFormat="1" applyFont="1" applyFill="1" applyBorder="1" applyAlignment="1">
      <alignment horizontal="left" vertical="center" shrinkToFit="1"/>
    </xf>
    <xf numFmtId="1" fontId="6" fillId="10" borderId="20" xfId="0" applyNumberFormat="1" applyFont="1" applyFill="1" applyBorder="1" applyAlignment="1">
      <alignment horizontal="right" vertical="center" shrinkToFit="1"/>
    </xf>
    <xf numFmtId="0" fontId="6" fillId="0" borderId="0" xfId="0" applyFont="1" applyAlignment="1">
      <alignment horizontal="center" vertical="center"/>
    </xf>
    <xf numFmtId="2" fontId="6" fillId="0" borderId="20" xfId="0" applyNumberFormat="1" applyFont="1" applyFill="1" applyBorder="1" applyAlignment="1">
      <alignment horizontal="center" vertical="center" shrinkToFit="1"/>
    </xf>
    <xf numFmtId="0" fontId="6" fillId="0" borderId="0" xfId="0" applyFont="1" applyAlignment="1">
      <alignment vertical="center"/>
    </xf>
    <xf numFmtId="2" fontId="6" fillId="8" borderId="20" xfId="0" applyNumberFormat="1" applyFont="1" applyFill="1" applyBorder="1" applyAlignment="1">
      <alignment horizontal="right" vertical="center" shrinkToFit="1"/>
    </xf>
    <xf numFmtId="2" fontId="6" fillId="10" borderId="20" xfId="0" applyNumberFormat="1" applyFont="1" applyFill="1" applyBorder="1" applyAlignment="1">
      <alignment horizontal="left" vertical="center" shrinkToFit="1"/>
    </xf>
    <xf numFmtId="0" fontId="6" fillId="0" borderId="0" xfId="0" applyFont="1" applyBorder="1" applyAlignment="1">
      <alignment vertical="center"/>
    </xf>
    <xf numFmtId="2" fontId="6" fillId="0" borderId="20" xfId="0" applyNumberFormat="1" applyFont="1" applyFill="1" applyBorder="1" applyAlignment="1">
      <alignment horizontal="center" vertical="center" wrapText="1"/>
    </xf>
    <xf numFmtId="185" fontId="23" fillId="0" borderId="42" xfId="27" applyNumberFormat="1" applyFont="1" applyFill="1" applyBorder="1" applyAlignment="1">
      <alignment horizontal="center"/>
    </xf>
    <xf numFmtId="0" fontId="7" fillId="0" borderId="0" xfId="0" applyFont="1" applyFill="1" applyBorder="1" applyAlignment="1">
      <alignment horizontal="left" vertical="top" wrapText="1"/>
    </xf>
    <xf numFmtId="0" fontId="6" fillId="0" borderId="16" xfId="0" applyFont="1" applyBorder="1" applyAlignment="1">
      <alignment horizontal="left" vertical="center" wrapText="1"/>
    </xf>
    <xf numFmtId="0" fontId="6" fillId="0" borderId="16" xfId="0" applyFont="1" applyFill="1" applyBorder="1" applyAlignment="1">
      <alignment horizontal="left" vertical="center" wrapText="1" shrinkToFit="1"/>
    </xf>
    <xf numFmtId="0" fontId="6" fillId="0" borderId="20" xfId="0" applyFont="1" applyFill="1" applyBorder="1" applyAlignment="1">
      <alignment horizontal="left" vertical="center" wrapText="1"/>
    </xf>
    <xf numFmtId="2" fontId="6" fillId="0" borderId="20" xfId="0" applyNumberFormat="1" applyFont="1" applyFill="1" applyBorder="1" applyAlignment="1">
      <alignment horizontal="left" vertical="center" shrinkToFit="1"/>
    </xf>
    <xf numFmtId="171" fontId="6" fillId="0" borderId="20" xfId="0" applyNumberFormat="1" applyFont="1" applyFill="1" applyBorder="1" applyAlignment="1">
      <alignment horizontal="left" vertical="center" shrinkToFit="1"/>
    </xf>
    <xf numFmtId="0" fontId="6" fillId="0" borderId="20" xfId="0" applyFont="1" applyFill="1" applyBorder="1" applyAlignment="1">
      <alignment horizontal="left" vertical="center" shrinkToFit="1"/>
    </xf>
    <xf numFmtId="0" fontId="42" fillId="0" borderId="0" xfId="0" applyFont="1"/>
    <xf numFmtId="0" fontId="4" fillId="0" borderId="0" xfId="0" applyFont="1"/>
    <xf numFmtId="0" fontId="10" fillId="0" borderId="0" xfId="0" applyFont="1" applyAlignment="1">
      <alignment horizontal="left"/>
    </xf>
    <xf numFmtId="0" fontId="60" fillId="0" borderId="0" xfId="0" applyFont="1" applyAlignment="1">
      <alignment horizontal="left" vertical="top"/>
    </xf>
    <xf numFmtId="0" fontId="8" fillId="0" borderId="0" xfId="0" applyFont="1" applyAlignment="1">
      <alignment horizontal="left" vertical="top"/>
    </xf>
    <xf numFmtId="0" fontId="8" fillId="0" borderId="0" xfId="0" applyFont="1" applyAlignment="1">
      <alignment horizontal="left" vertical="top" indent="5"/>
    </xf>
    <xf numFmtId="0" fontId="4" fillId="0" borderId="0" xfId="0" applyFont="1" applyAlignment="1">
      <alignment horizontal="left"/>
    </xf>
    <xf numFmtId="1" fontId="6" fillId="0" borderId="20" xfId="31" applyNumberFormat="1" applyFont="1" applyFill="1" applyBorder="1" applyAlignment="1">
      <alignment horizontal="center" vertical="center" wrapText="1"/>
    </xf>
    <xf numFmtId="43" fontId="6" fillId="0" borderId="20" xfId="1" applyFont="1" applyFill="1" applyBorder="1" applyAlignment="1"/>
    <xf numFmtId="0" fontId="6" fillId="0" borderId="0" xfId="31" applyFont="1" applyFill="1" applyBorder="1"/>
    <xf numFmtId="0" fontId="6" fillId="0" borderId="20" xfId="31" applyFont="1" applyFill="1" applyBorder="1"/>
    <xf numFmtId="43" fontId="4" fillId="0" borderId="0" xfId="1" applyFont="1" applyAlignment="1">
      <alignment vertical="center"/>
    </xf>
    <xf numFmtId="43" fontId="4" fillId="0" borderId="20" xfId="1" applyFont="1" applyBorder="1" applyAlignment="1">
      <alignment vertical="center"/>
    </xf>
    <xf numFmtId="43" fontId="24" fillId="0" borderId="20" xfId="1" applyFont="1" applyBorder="1" applyAlignment="1">
      <alignment vertical="center"/>
    </xf>
    <xf numFmtId="43" fontId="4" fillId="0" borderId="37" xfId="1" applyFont="1" applyBorder="1" applyAlignment="1">
      <alignment vertical="center"/>
    </xf>
    <xf numFmtId="43" fontId="4" fillId="0" borderId="0" xfId="0" applyNumberFormat="1" applyFont="1" applyBorder="1" applyAlignment="1">
      <alignment vertical="center" wrapText="1"/>
    </xf>
    <xf numFmtId="0" fontId="6" fillId="0" borderId="0" xfId="31" applyFont="1" applyFill="1" applyBorder="1" applyAlignment="1">
      <alignment vertical="top" wrapText="1"/>
    </xf>
    <xf numFmtId="0" fontId="6" fillId="0" borderId="0" xfId="32" applyFont="1" applyFill="1" applyBorder="1"/>
    <xf numFmtId="1" fontId="6" fillId="0" borderId="20" xfId="31" quotePrefix="1" applyNumberFormat="1" applyFont="1" applyFill="1" applyBorder="1" applyAlignment="1">
      <alignment horizontal="center" vertical="center"/>
    </xf>
    <xf numFmtId="171" fontId="6" fillId="0" borderId="20" xfId="31" applyNumberFormat="1" applyFont="1" applyFill="1" applyBorder="1" applyAlignment="1">
      <alignment horizontal="center" vertical="center"/>
    </xf>
    <xf numFmtId="0" fontId="6" fillId="0" borderId="20" xfId="31" applyFont="1" applyFill="1" applyBorder="1" applyAlignment="1">
      <alignment horizontal="center" vertical="top"/>
    </xf>
    <xf numFmtId="1" fontId="6" fillId="0" borderId="20" xfId="31" applyNumberFormat="1" applyFont="1" applyFill="1" applyBorder="1" applyAlignment="1"/>
    <xf numFmtId="171" fontId="6" fillId="0" borderId="20" xfId="31" applyNumberFormat="1" applyFont="1" applyFill="1" applyBorder="1" applyAlignment="1"/>
    <xf numFmtId="43" fontId="6" fillId="0" borderId="20" xfId="3" applyFont="1" applyFill="1" applyBorder="1" applyAlignment="1"/>
    <xf numFmtId="43" fontId="6" fillId="0" borderId="20" xfId="3" applyFont="1" applyFill="1" applyBorder="1" applyAlignment="1">
      <alignment horizontal="right"/>
    </xf>
    <xf numFmtId="0" fontId="6" fillId="0" borderId="20" xfId="32" applyFont="1" applyFill="1" applyBorder="1" applyAlignment="1">
      <alignment vertical="top"/>
    </xf>
    <xf numFmtId="0" fontId="6" fillId="0" borderId="20" xfId="32" applyFont="1" applyFill="1" applyBorder="1" applyAlignment="1"/>
    <xf numFmtId="1" fontId="6" fillId="0" borderId="20" xfId="32" applyNumberFormat="1" applyFont="1" applyFill="1" applyBorder="1" applyAlignment="1">
      <alignment horizontal="center" vertical="center"/>
    </xf>
    <xf numFmtId="2" fontId="6" fillId="0" borderId="20" xfId="32" applyNumberFormat="1" applyFont="1" applyFill="1" applyBorder="1" applyAlignment="1">
      <alignment horizontal="center" vertical="center"/>
    </xf>
    <xf numFmtId="171" fontId="61" fillId="0" borderId="20" xfId="32" applyNumberFormat="1" applyFont="1" applyFill="1" applyBorder="1" applyAlignment="1">
      <alignment horizontal="center" vertical="center"/>
    </xf>
    <xf numFmtId="2" fontId="6" fillId="0" borderId="20" xfId="3" applyNumberFormat="1" applyFont="1" applyFill="1" applyBorder="1" applyAlignment="1">
      <alignment horizontal="center" vertical="center"/>
    </xf>
    <xf numFmtId="171" fontId="6" fillId="0" borderId="20" xfId="32" applyNumberFormat="1" applyFont="1" applyFill="1" applyBorder="1" applyAlignment="1">
      <alignment horizontal="center" vertical="center"/>
    </xf>
    <xf numFmtId="0" fontId="61" fillId="0" borderId="20" xfId="32" applyFont="1" applyFill="1" applyBorder="1" applyAlignment="1">
      <alignment vertical="top"/>
    </xf>
    <xf numFmtId="0" fontId="62" fillId="0" borderId="20" xfId="32" applyFont="1" applyFill="1" applyBorder="1" applyAlignment="1"/>
    <xf numFmtId="1" fontId="62" fillId="0" borderId="20" xfId="32" applyNumberFormat="1" applyFont="1" applyFill="1" applyBorder="1" applyAlignment="1">
      <alignment horizontal="center" vertical="center"/>
    </xf>
    <xf numFmtId="43" fontId="61" fillId="0" borderId="20" xfId="3" applyFont="1" applyFill="1" applyBorder="1" applyAlignment="1">
      <alignment horizontal="right"/>
    </xf>
    <xf numFmtId="0" fontId="61" fillId="0" borderId="20" xfId="31" applyFont="1" applyFill="1" applyBorder="1"/>
    <xf numFmtId="0" fontId="6" fillId="0" borderId="20" xfId="32" applyFont="1" applyFill="1" applyBorder="1" applyAlignment="1">
      <alignment horizontal="center" vertical="center"/>
    </xf>
    <xf numFmtId="0" fontId="6" fillId="0" borderId="20" xfId="32" applyFont="1" applyFill="1" applyBorder="1" applyAlignment="1">
      <alignment horizontal="left" indent="2"/>
    </xf>
    <xf numFmtId="0" fontId="6" fillId="0" borderId="20" xfId="33" applyFont="1" applyFill="1" applyBorder="1" applyAlignment="1">
      <alignment horizontal="center" vertical="center"/>
    </xf>
    <xf numFmtId="43" fontId="7" fillId="0" borderId="20" xfId="3" applyFont="1" applyFill="1" applyBorder="1" applyAlignment="1">
      <alignment horizontal="right"/>
    </xf>
    <xf numFmtId="1" fontId="6" fillId="0" borderId="20" xfId="31" quotePrefix="1" applyNumberFormat="1" applyFont="1" applyFill="1" applyBorder="1" applyAlignment="1"/>
    <xf numFmtId="43" fontId="7" fillId="0" borderId="20" xfId="3" applyNumberFormat="1" applyFont="1" applyFill="1" applyBorder="1" applyAlignment="1">
      <alignment horizontal="right"/>
    </xf>
    <xf numFmtId="0" fontId="6" fillId="0" borderId="20" xfId="31" applyFont="1" applyFill="1" applyBorder="1" applyAlignment="1">
      <alignment vertical="top" wrapText="1"/>
    </xf>
    <xf numFmtId="171" fontId="6" fillId="0" borderId="20" xfId="32" applyNumberFormat="1" applyFont="1" applyFill="1" applyBorder="1" applyAlignment="1"/>
    <xf numFmtId="170" fontId="7" fillId="0" borderId="20" xfId="3" applyNumberFormat="1" applyFont="1" applyFill="1" applyBorder="1" applyAlignment="1">
      <alignment horizontal="right"/>
    </xf>
    <xf numFmtId="0" fontId="6" fillId="0" borderId="20" xfId="31" quotePrefix="1" applyFont="1" applyFill="1" applyBorder="1" applyAlignment="1">
      <alignment horizontal="center" vertical="top"/>
    </xf>
    <xf numFmtId="0" fontId="6" fillId="0" borderId="20" xfId="32" applyFont="1" applyFill="1" applyBorder="1"/>
    <xf numFmtId="2" fontId="61" fillId="0" borderId="20" xfId="32" applyNumberFormat="1" applyFont="1" applyFill="1" applyBorder="1" applyAlignment="1">
      <alignment horizontal="center" vertical="center"/>
    </xf>
    <xf numFmtId="0" fontId="61" fillId="0" borderId="20" xfId="32" applyFont="1" applyFill="1" applyBorder="1" applyAlignment="1">
      <alignment horizontal="center" vertical="center"/>
    </xf>
    <xf numFmtId="0" fontId="6" fillId="0" borderId="0" xfId="32" applyFont="1" applyFill="1" applyBorder="1" applyAlignment="1">
      <alignment horizontal="left" indent="2"/>
    </xf>
    <xf numFmtId="0" fontId="6" fillId="0" borderId="20" xfId="0" applyFont="1" applyFill="1" applyBorder="1" applyAlignment="1">
      <alignment horizontal="center" vertical="top"/>
    </xf>
    <xf numFmtId="0" fontId="46" fillId="0" borderId="17" xfId="18" applyFont="1" applyFill="1" applyBorder="1" applyAlignment="1">
      <alignment horizontal="left" vertical="center"/>
    </xf>
    <xf numFmtId="0" fontId="45" fillId="0" borderId="20" xfId="18" applyFont="1" applyFill="1" applyBorder="1" applyAlignment="1">
      <alignment horizontal="left" vertical="center"/>
    </xf>
    <xf numFmtId="0" fontId="46" fillId="0" borderId="20" xfId="18" applyFont="1" applyFill="1" applyBorder="1" applyAlignment="1">
      <alignment horizontal="left" vertical="center"/>
    </xf>
    <xf numFmtId="0" fontId="0" fillId="0" borderId="0" xfId="0" applyFill="1" applyBorder="1" applyAlignment="1">
      <alignment horizontal="left" vertical="top"/>
    </xf>
    <xf numFmtId="0" fontId="0" fillId="15" borderId="68" xfId="0" applyFill="1" applyBorder="1" applyAlignment="1">
      <alignment horizontal="center" vertical="top" wrapText="1"/>
    </xf>
    <xf numFmtId="186" fontId="65" fillId="15" borderId="68" xfId="0" applyNumberFormat="1" applyFont="1" applyFill="1" applyBorder="1" applyAlignment="1">
      <alignment horizontal="left" vertical="top" indent="2" shrinkToFit="1"/>
    </xf>
    <xf numFmtId="0" fontId="66" fillId="15" borderId="68" xfId="0" applyFont="1" applyFill="1" applyBorder="1" applyAlignment="1">
      <alignment horizontal="left" vertical="top" wrapText="1"/>
    </xf>
    <xf numFmtId="2" fontId="65" fillId="15" borderId="68" xfId="0" applyNumberFormat="1" applyFont="1" applyFill="1" applyBorder="1" applyAlignment="1">
      <alignment horizontal="left" vertical="top" shrinkToFit="1"/>
    </xf>
    <xf numFmtId="0" fontId="0" fillId="15" borderId="68" xfId="0" applyFill="1" applyBorder="1" applyAlignment="1">
      <alignment horizontal="left" vertical="center" wrapText="1"/>
    </xf>
    <xf numFmtId="186" fontId="65" fillId="15" borderId="68" xfId="0" applyNumberFormat="1" applyFont="1" applyFill="1" applyBorder="1" applyAlignment="1">
      <alignment horizontal="right" vertical="top" indent="1" shrinkToFit="1"/>
    </xf>
    <xf numFmtId="1" fontId="65" fillId="15" borderId="68" xfId="0" applyNumberFormat="1" applyFont="1" applyFill="1" applyBorder="1" applyAlignment="1">
      <alignment horizontal="left" vertical="top" shrinkToFit="1"/>
    </xf>
    <xf numFmtId="0" fontId="0" fillId="15" borderId="68" xfId="0" applyFill="1" applyBorder="1" applyAlignment="1">
      <alignment horizontal="left" vertical="top" wrapText="1"/>
    </xf>
    <xf numFmtId="186" fontId="65" fillId="15" borderId="68" xfId="0" applyNumberFormat="1" applyFont="1" applyFill="1" applyBorder="1" applyAlignment="1">
      <alignment horizontal="right" vertical="top" shrinkToFit="1"/>
    </xf>
    <xf numFmtId="186" fontId="67" fillId="15" borderId="68" xfId="0" applyNumberFormat="1" applyFont="1" applyFill="1" applyBorder="1" applyAlignment="1">
      <alignment horizontal="right" vertical="top" shrinkToFit="1"/>
    </xf>
    <xf numFmtId="0" fontId="13" fillId="15" borderId="68" xfId="0" applyFont="1" applyFill="1" applyBorder="1" applyAlignment="1">
      <alignment horizontal="left" vertical="top" wrapText="1"/>
    </xf>
    <xf numFmtId="2" fontId="67" fillId="15" borderId="68" xfId="0" applyNumberFormat="1" applyFont="1" applyFill="1" applyBorder="1" applyAlignment="1">
      <alignment horizontal="left" vertical="top" shrinkToFit="1"/>
    </xf>
    <xf numFmtId="0" fontId="68" fillId="15" borderId="68" xfId="0" applyFont="1" applyFill="1" applyBorder="1" applyAlignment="1">
      <alignment horizontal="left" vertical="top" wrapText="1"/>
    </xf>
    <xf numFmtId="43" fontId="24" fillId="0" borderId="0" xfId="25" applyNumberFormat="1" applyFont="1" applyFill="1" applyBorder="1" applyAlignment="1">
      <alignment vertical="center"/>
    </xf>
    <xf numFmtId="0" fontId="4" fillId="4" borderId="0" xfId="0" applyFont="1" applyFill="1" applyAlignment="1">
      <alignment vertical="center"/>
    </xf>
    <xf numFmtId="43" fontId="4" fillId="4" borderId="0" xfId="1" applyFont="1" applyFill="1" applyAlignment="1">
      <alignment vertical="center"/>
    </xf>
    <xf numFmtId="0" fontId="24" fillId="4" borderId="0" xfId="0" applyFont="1" applyFill="1" applyAlignment="1">
      <alignment vertical="center"/>
    </xf>
    <xf numFmtId="43" fontId="6" fillId="0" borderId="20" xfId="1" applyFont="1" applyFill="1" applyBorder="1" applyAlignment="1">
      <alignment vertical="center"/>
    </xf>
    <xf numFmtId="0" fontId="35" fillId="0" borderId="0" xfId="25" applyFont="1" applyFill="1" applyAlignment="1">
      <alignment horizontal="center"/>
    </xf>
    <xf numFmtId="0" fontId="24" fillId="0" borderId="0" xfId="12" applyFont="1" applyBorder="1" applyAlignment="1">
      <alignment horizontal="left" wrapText="1"/>
    </xf>
    <xf numFmtId="0" fontId="24" fillId="0" borderId="1" xfId="0" applyFont="1" applyBorder="1" applyAlignment="1">
      <alignment vertical="center" wrapText="1"/>
    </xf>
    <xf numFmtId="0" fontId="0" fillId="0" borderId="1" xfId="0" applyBorder="1" applyAlignment="1">
      <alignment vertical="center" wrapText="1"/>
    </xf>
    <xf numFmtId="0" fontId="4" fillId="0" borderId="0" xfId="25" applyFont="1" applyFill="1" applyAlignment="1">
      <alignment wrapText="1"/>
    </xf>
    <xf numFmtId="0" fontId="4" fillId="0" borderId="0" xfId="13" applyFont="1" applyAlignment="1">
      <alignment wrapText="1"/>
    </xf>
    <xf numFmtId="0" fontId="28" fillId="0" borderId="0" xfId="25" applyFont="1" applyFill="1" applyAlignment="1">
      <alignment wrapText="1"/>
    </xf>
    <xf numFmtId="0" fontId="33" fillId="0" borderId="0" xfId="25" applyFont="1" applyFill="1" applyAlignment="1">
      <alignment wrapText="1"/>
    </xf>
    <xf numFmtId="1" fontId="4" fillId="0" borderId="0" xfId="13" applyNumberFormat="1" applyFont="1" applyAlignment="1">
      <alignment wrapText="1"/>
    </xf>
    <xf numFmtId="1" fontId="24" fillId="3" borderId="34" xfId="13" applyNumberFormat="1" applyFont="1" applyFill="1" applyBorder="1" applyAlignment="1">
      <alignment horizontal="center" vertical="center" wrapText="1"/>
    </xf>
    <xf numFmtId="0" fontId="24" fillId="3" borderId="20" xfId="13" applyFont="1" applyFill="1" applyBorder="1" applyAlignment="1">
      <alignment vertical="center" wrapText="1"/>
    </xf>
    <xf numFmtId="0" fontId="24" fillId="3" borderId="20" xfId="13" applyFont="1" applyFill="1" applyBorder="1" applyAlignment="1">
      <alignment horizontal="center" vertical="center" wrapText="1"/>
    </xf>
    <xf numFmtId="0" fontId="26" fillId="3" borderId="20" xfId="13" applyFont="1" applyFill="1" applyBorder="1" applyAlignment="1">
      <alignment vertical="center" wrapText="1"/>
    </xf>
    <xf numFmtId="0" fontId="26" fillId="3" borderId="20" xfId="13" applyFont="1" applyFill="1" applyBorder="1" applyAlignment="1">
      <alignment horizontal="center" vertical="center" wrapText="1"/>
    </xf>
    <xf numFmtId="1" fontId="4" fillId="0" borderId="34" xfId="0" applyNumberFormat="1" applyFont="1" applyFill="1" applyBorder="1" applyAlignment="1">
      <alignment horizontal="center" vertical="top" wrapText="1"/>
    </xf>
    <xf numFmtId="0" fontId="4" fillId="0" borderId="0" xfId="13" applyFont="1" applyBorder="1" applyAlignment="1">
      <alignment wrapText="1"/>
    </xf>
    <xf numFmtId="1" fontId="4" fillId="4" borderId="34" xfId="0" applyNumberFormat="1" applyFont="1" applyFill="1" applyBorder="1" applyAlignment="1">
      <alignment horizontal="center" vertical="top" wrapText="1"/>
    </xf>
    <xf numFmtId="2" fontId="4" fillId="0" borderId="20" xfId="0" applyNumberFormat="1" applyFont="1" applyFill="1" applyBorder="1" applyAlignment="1">
      <alignment horizontal="left" wrapText="1"/>
    </xf>
    <xf numFmtId="2" fontId="4" fillId="0" borderId="37" xfId="0" applyNumberFormat="1" applyFont="1" applyFill="1" applyBorder="1" applyAlignment="1">
      <alignment wrapText="1"/>
    </xf>
    <xf numFmtId="1" fontId="26" fillId="3" borderId="34" xfId="13" applyNumberFormat="1" applyFont="1" applyFill="1" applyBorder="1" applyAlignment="1">
      <alignment horizontal="center" vertical="center" wrapText="1"/>
    </xf>
    <xf numFmtId="0" fontId="4" fillId="4" borderId="0" xfId="13" applyFont="1" applyFill="1" applyAlignment="1">
      <alignment wrapText="1"/>
    </xf>
    <xf numFmtId="1" fontId="26" fillId="3" borderId="31" xfId="13" applyNumberFormat="1" applyFont="1" applyFill="1" applyBorder="1" applyAlignment="1">
      <alignment horizontal="center" vertical="center" wrapText="1"/>
    </xf>
    <xf numFmtId="0" fontId="26" fillId="3" borderId="32" xfId="13" applyFont="1" applyFill="1" applyBorder="1" applyAlignment="1">
      <alignment vertical="center" wrapText="1"/>
    </xf>
    <xf numFmtId="0" fontId="23" fillId="0" borderId="20" xfId="12" applyFont="1" applyFill="1" applyBorder="1" applyAlignment="1">
      <alignment horizontal="center" vertical="center" wrapText="1"/>
    </xf>
    <xf numFmtId="2" fontId="4" fillId="0" borderId="20" xfId="0" applyNumberFormat="1" applyFont="1" applyFill="1" applyBorder="1" applyAlignment="1">
      <alignment horizontal="left" vertical="top" wrapText="1"/>
    </xf>
    <xf numFmtId="2" fontId="4" fillId="0" borderId="37" xfId="0" applyNumberFormat="1" applyFont="1" applyFill="1" applyBorder="1" applyAlignment="1">
      <alignment horizontal="left" wrapText="1"/>
    </xf>
    <xf numFmtId="1" fontId="4" fillId="4" borderId="36" xfId="0" applyNumberFormat="1" applyFont="1" applyFill="1" applyBorder="1" applyAlignment="1">
      <alignment horizontal="center" vertical="top" wrapText="1"/>
    </xf>
    <xf numFmtId="2" fontId="4" fillId="4" borderId="37" xfId="0" applyNumberFormat="1" applyFont="1" applyFill="1" applyBorder="1" applyAlignment="1">
      <alignment wrapText="1"/>
    </xf>
    <xf numFmtId="2" fontId="4" fillId="4" borderId="37" xfId="0" applyNumberFormat="1" applyFont="1" applyFill="1" applyBorder="1" applyAlignment="1">
      <alignment horizontal="center" vertical="top" wrapText="1"/>
    </xf>
    <xf numFmtId="1" fontId="4" fillId="0" borderId="0" xfId="0" applyNumberFormat="1" applyFont="1" applyFill="1" applyBorder="1" applyAlignment="1">
      <alignment horizontal="center" vertical="top" wrapText="1"/>
    </xf>
    <xf numFmtId="2" fontId="4" fillId="0" borderId="0" xfId="0" applyNumberFormat="1" applyFont="1" applyFill="1" applyBorder="1" applyAlignment="1">
      <alignment wrapText="1"/>
    </xf>
    <xf numFmtId="2" fontId="4" fillId="0" borderId="0" xfId="0" applyNumberFormat="1" applyFont="1" applyFill="1" applyBorder="1" applyAlignment="1">
      <alignment horizontal="center" vertical="top" wrapText="1"/>
    </xf>
    <xf numFmtId="0" fontId="4" fillId="4" borderId="0" xfId="13" applyFont="1" applyFill="1" applyBorder="1" applyAlignment="1">
      <alignment wrapText="1"/>
    </xf>
    <xf numFmtId="1" fontId="4" fillId="0" borderId="0" xfId="13" applyNumberFormat="1" applyFont="1" applyFill="1" applyBorder="1" applyAlignment="1">
      <alignment horizontal="center" vertical="center" wrapText="1"/>
    </xf>
    <xf numFmtId="0" fontId="4" fillId="0" borderId="0" xfId="13" applyFont="1" applyFill="1" applyBorder="1" applyAlignment="1">
      <alignment vertical="center" wrapText="1"/>
    </xf>
    <xf numFmtId="0" fontId="4" fillId="0" borderId="0" xfId="13" applyFont="1" applyFill="1" applyBorder="1" applyAlignment="1">
      <alignment horizontal="center" vertical="center" wrapText="1"/>
    </xf>
    <xf numFmtId="43" fontId="4" fillId="0" borderId="0" xfId="1" applyFont="1" applyAlignment="1">
      <alignment wrapText="1"/>
    </xf>
    <xf numFmtId="43" fontId="26" fillId="3" borderId="33" xfId="1" applyFont="1" applyFill="1" applyBorder="1" applyAlignment="1">
      <alignment horizontal="left" vertical="center" wrapText="1"/>
    </xf>
    <xf numFmtId="43" fontId="26" fillId="3" borderId="35" xfId="1" applyFont="1" applyFill="1" applyBorder="1" applyAlignment="1">
      <alignment horizontal="left" vertical="center" wrapText="1"/>
    </xf>
    <xf numFmtId="43" fontId="4" fillId="0" borderId="0" xfId="1" applyFont="1" applyFill="1" applyBorder="1" applyAlignment="1">
      <alignment horizontal="left" vertical="top" wrapText="1"/>
    </xf>
    <xf numFmtId="43" fontId="4" fillId="0" borderId="0" xfId="1" applyFont="1" applyFill="1" applyAlignment="1">
      <alignment horizontal="left" wrapText="1"/>
    </xf>
    <xf numFmtId="43" fontId="4" fillId="0" borderId="0" xfId="1" applyFont="1" applyBorder="1" applyAlignment="1">
      <alignment wrapText="1"/>
    </xf>
    <xf numFmtId="43" fontId="4" fillId="0" borderId="0" xfId="1" applyFont="1" applyFill="1" applyBorder="1" applyAlignment="1">
      <alignment horizontal="left" vertical="center" wrapText="1"/>
    </xf>
    <xf numFmtId="0" fontId="31" fillId="0" borderId="0" xfId="27" applyFont="1" applyAlignment="1"/>
    <xf numFmtId="0" fontId="35" fillId="0" borderId="0" xfId="25" applyFont="1" applyFill="1" applyAlignment="1"/>
    <xf numFmtId="0" fontId="24" fillId="0" borderId="0" xfId="13" applyFont="1" applyAlignment="1">
      <alignment vertical="center" wrapText="1"/>
    </xf>
    <xf numFmtId="0" fontId="6" fillId="0" borderId="20" xfId="0" applyFont="1" applyFill="1" applyBorder="1" applyAlignment="1">
      <alignment horizontal="left" vertical="center"/>
    </xf>
    <xf numFmtId="0" fontId="24" fillId="0" borderId="0" xfId="13" applyFont="1" applyBorder="1" applyAlignment="1">
      <alignment wrapText="1"/>
    </xf>
    <xf numFmtId="43" fontId="24" fillId="0" borderId="0" xfId="13" applyNumberFormat="1" applyFont="1" applyBorder="1" applyAlignment="1">
      <alignment horizontal="center" wrapText="1"/>
    </xf>
    <xf numFmtId="0" fontId="6" fillId="0" borderId="35" xfId="0" applyFont="1" applyFill="1" applyBorder="1" applyAlignment="1">
      <alignment horizontal="left" vertical="center"/>
    </xf>
    <xf numFmtId="2" fontId="6" fillId="0" borderId="35" xfId="0" applyNumberFormat="1" applyFont="1" applyFill="1" applyBorder="1" applyAlignment="1">
      <alignment horizontal="left" vertical="center" shrinkToFit="1"/>
    </xf>
    <xf numFmtId="2" fontId="6" fillId="0" borderId="37" xfId="0" applyNumberFormat="1" applyFont="1" applyFill="1" applyBorder="1" applyAlignment="1">
      <alignment horizontal="left" vertical="center" shrinkToFit="1"/>
    </xf>
    <xf numFmtId="2" fontId="6" fillId="0" borderId="38" xfId="0" applyNumberFormat="1" applyFont="1" applyFill="1" applyBorder="1" applyAlignment="1">
      <alignment horizontal="left" vertical="center" shrinkToFit="1"/>
    </xf>
    <xf numFmtId="0" fontId="7" fillId="0" borderId="0" xfId="0" applyFont="1" applyBorder="1" applyAlignment="1">
      <alignment vertical="top"/>
    </xf>
    <xf numFmtId="0" fontId="6" fillId="0" borderId="34" xfId="0" applyFont="1" applyBorder="1" applyAlignment="1">
      <alignment horizontal="left" vertical="center" wrapText="1"/>
    </xf>
    <xf numFmtId="0" fontId="6" fillId="0" borderId="34" xfId="0" applyFont="1" applyFill="1" applyBorder="1" applyAlignment="1">
      <alignment horizontal="left" vertical="center" wrapText="1" shrinkToFit="1"/>
    </xf>
    <xf numFmtId="0" fontId="6" fillId="0" borderId="36" xfId="0" applyFont="1" applyFill="1" applyBorder="1" applyAlignment="1">
      <alignment horizontal="left" vertical="center" wrapText="1" shrinkToFit="1"/>
    </xf>
    <xf numFmtId="43" fontId="4" fillId="0" borderId="38" xfId="0" applyNumberFormat="1" applyFont="1" applyBorder="1" applyAlignment="1">
      <alignment vertical="center"/>
    </xf>
    <xf numFmtId="2" fontId="4" fillId="0" borderId="20" xfId="0" applyNumberFormat="1" applyFont="1" applyFill="1" applyBorder="1" applyAlignment="1">
      <alignment vertical="center" wrapText="1"/>
    </xf>
    <xf numFmtId="0" fontId="24" fillId="3" borderId="32" xfId="12" applyFont="1" applyFill="1" applyBorder="1" applyAlignment="1">
      <alignment vertical="center" wrapText="1"/>
    </xf>
    <xf numFmtId="0" fontId="26" fillId="3" borderId="33" xfId="12" applyFont="1" applyFill="1" applyBorder="1" applyAlignment="1">
      <alignment horizontal="left" vertical="center" wrapText="1"/>
    </xf>
    <xf numFmtId="1" fontId="4" fillId="0" borderId="0" xfId="12" applyNumberFormat="1" applyFont="1" applyAlignment="1">
      <alignment wrapText="1"/>
    </xf>
    <xf numFmtId="0" fontId="4" fillId="0" borderId="0" xfId="12" applyFont="1" applyFill="1" applyAlignment="1">
      <alignment horizontal="left" wrapText="1"/>
    </xf>
    <xf numFmtId="0" fontId="4" fillId="0" borderId="0" xfId="12" applyFont="1" applyFill="1" applyBorder="1" applyAlignment="1">
      <alignment horizontal="left" wrapText="1"/>
    </xf>
    <xf numFmtId="0" fontId="4" fillId="0" borderId="0" xfId="12" applyFont="1" applyAlignment="1">
      <alignment horizontal="left" wrapText="1"/>
    </xf>
    <xf numFmtId="0" fontId="24" fillId="0" borderId="0" xfId="12" applyFont="1" applyBorder="1" applyAlignment="1">
      <alignment horizontal="left" vertical="center" wrapText="1"/>
    </xf>
    <xf numFmtId="0" fontId="24" fillId="0" borderId="0" xfId="12" applyFont="1" applyAlignment="1">
      <alignment wrapText="1"/>
    </xf>
    <xf numFmtId="1" fontId="24" fillId="0" borderId="0" xfId="12" applyNumberFormat="1" applyFont="1" applyAlignment="1">
      <alignment horizontal="left" vertical="center" wrapText="1"/>
    </xf>
    <xf numFmtId="1" fontId="24" fillId="3" borderId="31" xfId="12" applyNumberFormat="1" applyFont="1" applyFill="1" applyBorder="1" applyAlignment="1">
      <alignment horizontal="center" vertical="center" wrapText="1"/>
    </xf>
    <xf numFmtId="0" fontId="24" fillId="3" borderId="32" xfId="12" applyFont="1" applyFill="1" applyBorder="1" applyAlignment="1">
      <alignment horizontal="center" vertical="center" wrapText="1"/>
    </xf>
    <xf numFmtId="1" fontId="26" fillId="3" borderId="31" xfId="12" applyNumberFormat="1" applyFont="1" applyFill="1" applyBorder="1" applyAlignment="1">
      <alignment horizontal="center" vertical="center" wrapText="1"/>
    </xf>
    <xf numFmtId="0" fontId="26" fillId="3" borderId="32" xfId="12" applyFont="1" applyFill="1" applyBorder="1" applyAlignment="1">
      <alignment vertical="center" wrapText="1"/>
    </xf>
    <xf numFmtId="0" fontId="26" fillId="3" borderId="32" xfId="12" applyFont="1" applyFill="1" applyBorder="1" applyAlignment="1">
      <alignment horizontal="center" vertical="center" wrapText="1"/>
    </xf>
    <xf numFmtId="1" fontId="30" fillId="0" borderId="0" xfId="0" applyNumberFormat="1" applyFont="1" applyFill="1" applyBorder="1" applyAlignment="1">
      <alignment horizontal="left" vertical="top" wrapText="1"/>
    </xf>
    <xf numFmtId="1" fontId="24" fillId="0" borderId="0" xfId="12" applyNumberFormat="1" applyFont="1" applyAlignment="1">
      <alignment wrapText="1"/>
    </xf>
    <xf numFmtId="2" fontId="4" fillId="4" borderId="20" xfId="0" applyNumberFormat="1" applyFont="1" applyFill="1" applyBorder="1" applyAlignment="1">
      <alignment horizontal="left" vertical="top" wrapText="1"/>
    </xf>
    <xf numFmtId="0" fontId="4" fillId="4" borderId="0" xfId="12" applyFont="1" applyFill="1" applyAlignment="1">
      <alignment wrapText="1"/>
    </xf>
    <xf numFmtId="0" fontId="4" fillId="4" borderId="20" xfId="0" applyFont="1" applyFill="1" applyBorder="1" applyAlignment="1">
      <alignment horizontal="left" vertical="top" wrapText="1"/>
    </xf>
    <xf numFmtId="1" fontId="4" fillId="0" borderId="0" xfId="12" applyNumberFormat="1" applyFont="1" applyFill="1" applyBorder="1" applyAlignment="1">
      <alignment horizontal="center" vertical="center" wrapText="1"/>
    </xf>
    <xf numFmtId="0" fontId="4" fillId="0" borderId="0" xfId="12" applyFont="1" applyFill="1" applyBorder="1" applyAlignment="1">
      <alignment horizontal="center" vertical="center" wrapText="1"/>
    </xf>
    <xf numFmtId="43" fontId="4" fillId="0" borderId="0" xfId="2" applyFont="1" applyFill="1" applyBorder="1" applyAlignment="1">
      <alignment horizontal="left" vertical="center" wrapText="1"/>
    </xf>
    <xf numFmtId="43" fontId="4" fillId="0" borderId="0" xfId="12" applyNumberFormat="1" applyFont="1" applyFill="1" applyBorder="1" applyAlignment="1">
      <alignment horizontal="left" vertical="center" wrapText="1"/>
    </xf>
    <xf numFmtId="2" fontId="4" fillId="0" borderId="0" xfId="26" applyNumberFormat="1" applyFont="1" applyFill="1" applyBorder="1" applyAlignment="1">
      <alignment wrapText="1"/>
    </xf>
    <xf numFmtId="0" fontId="4" fillId="0" borderId="0" xfId="12" applyFont="1" applyBorder="1" applyAlignment="1">
      <alignment horizontal="left" wrapText="1"/>
    </xf>
    <xf numFmtId="0" fontId="4" fillId="0" borderId="0" xfId="13" applyFont="1" applyAlignment="1">
      <alignment horizontal="left" wrapText="1"/>
    </xf>
    <xf numFmtId="2" fontId="30" fillId="0" borderId="20" xfId="0" applyNumberFormat="1" applyFont="1" applyFill="1" applyBorder="1" applyAlignment="1">
      <alignment horizontal="left" vertical="top" wrapText="1"/>
    </xf>
    <xf numFmtId="1" fontId="4" fillId="4" borderId="34" xfId="0" applyNumberFormat="1" applyFont="1" applyFill="1" applyBorder="1" applyAlignment="1">
      <alignment horizontal="center" vertical="center" wrapText="1"/>
    </xf>
    <xf numFmtId="2" fontId="30" fillId="0" borderId="37" xfId="0" applyNumberFormat="1" applyFont="1" applyFill="1" applyBorder="1" applyAlignment="1">
      <alignment horizontal="left" vertical="top" wrapText="1"/>
    </xf>
    <xf numFmtId="2" fontId="4" fillId="4" borderId="37" xfId="0" applyNumberFormat="1" applyFont="1" applyFill="1" applyBorder="1" applyAlignment="1">
      <alignment horizontal="left" vertical="top" wrapText="1"/>
    </xf>
    <xf numFmtId="0" fontId="26" fillId="0" borderId="0" xfId="12" applyFont="1" applyFill="1" applyBorder="1" applyAlignment="1">
      <alignment horizontal="left" vertical="center" wrapText="1"/>
    </xf>
    <xf numFmtId="2" fontId="4" fillId="0" borderId="20" xfId="0" applyNumberFormat="1" applyFont="1" applyFill="1" applyBorder="1" applyAlignment="1">
      <alignment horizontal="center" vertical="center" wrapText="1"/>
    </xf>
    <xf numFmtId="1" fontId="30" fillId="0" borderId="0" xfId="0" applyNumberFormat="1" applyFont="1" applyFill="1" applyBorder="1" applyAlignment="1">
      <alignment horizontal="left" vertical="center" wrapText="1"/>
    </xf>
    <xf numFmtId="0" fontId="4" fillId="0" borderId="0" xfId="12" applyFont="1" applyAlignment="1">
      <alignment vertical="center" wrapText="1"/>
    </xf>
    <xf numFmtId="0" fontId="26" fillId="0" borderId="0" xfId="12" applyFont="1" applyFill="1" applyBorder="1" applyAlignment="1">
      <alignment vertical="center" wrapText="1"/>
    </xf>
    <xf numFmtId="0" fontId="4" fillId="0" borderId="0" xfId="12" applyFont="1" applyAlignment="1">
      <alignment horizontal="right" wrapText="1"/>
    </xf>
    <xf numFmtId="0" fontId="26" fillId="3" borderId="33" xfId="12" applyFont="1" applyFill="1" applyBorder="1" applyAlignment="1">
      <alignment horizontal="right" vertical="center" wrapText="1"/>
    </xf>
    <xf numFmtId="0" fontId="4" fillId="0" borderId="0" xfId="12" applyFont="1" applyBorder="1" applyAlignment="1">
      <alignment horizontal="right" wrapText="1"/>
    </xf>
    <xf numFmtId="0" fontId="4" fillId="0" borderId="0" xfId="13" applyFont="1" applyAlignment="1">
      <alignment horizontal="right" wrapText="1"/>
    </xf>
    <xf numFmtId="187" fontId="50" fillId="0" borderId="14" xfId="1" applyNumberFormat="1" applyFont="1" applyFill="1" applyBorder="1" applyAlignment="1">
      <alignment vertical="center"/>
    </xf>
    <xf numFmtId="2" fontId="4" fillId="0" borderId="20" xfId="0" applyNumberFormat="1" applyFont="1" applyFill="1" applyBorder="1" applyAlignment="1">
      <alignment horizontal="center" vertical="top" wrapText="1"/>
    </xf>
    <xf numFmtId="2" fontId="4" fillId="0" borderId="35" xfId="0" applyNumberFormat="1" applyFont="1" applyFill="1" applyBorder="1" applyAlignment="1">
      <alignment horizontal="center" vertical="top" wrapText="1"/>
    </xf>
    <xf numFmtId="0" fontId="50" fillId="0" borderId="0" xfId="24" applyFont="1" applyFill="1"/>
    <xf numFmtId="0" fontId="50" fillId="0" borderId="0" xfId="24" applyFont="1" applyFill="1" applyBorder="1" applyAlignment="1">
      <alignment vertical="center"/>
    </xf>
    <xf numFmtId="13" fontId="50" fillId="0" borderId="14" xfId="1" applyNumberFormat="1" applyFont="1" applyFill="1" applyBorder="1" applyAlignment="1">
      <alignment vertical="center"/>
    </xf>
    <xf numFmtId="0" fontId="50" fillId="0" borderId="1" xfId="24" applyFont="1" applyFill="1" applyBorder="1" applyAlignment="1">
      <alignment horizontal="right"/>
    </xf>
    <xf numFmtId="13" fontId="50" fillId="0" borderId="14" xfId="1" applyNumberFormat="1" applyFont="1" applyFill="1" applyBorder="1" applyAlignment="1">
      <alignment horizontal="right" vertical="center"/>
    </xf>
    <xf numFmtId="2" fontId="4" fillId="4" borderId="0" xfId="0" applyNumberFormat="1" applyFont="1" applyFill="1" applyBorder="1" applyAlignment="1">
      <alignment wrapText="1"/>
    </xf>
    <xf numFmtId="0" fontId="23" fillId="0" borderId="0" xfId="13" applyFont="1" applyFill="1" applyBorder="1" applyAlignment="1">
      <alignment vertical="center" wrapText="1"/>
    </xf>
    <xf numFmtId="0" fontId="23" fillId="0" borderId="0" xfId="12" applyFont="1" applyFill="1" applyBorder="1" applyAlignment="1">
      <alignment horizontal="center" vertical="center" wrapText="1"/>
    </xf>
    <xf numFmtId="2" fontId="4" fillId="0" borderId="20" xfId="0" applyNumberFormat="1" applyFont="1" applyFill="1" applyBorder="1" applyAlignment="1">
      <alignment horizontal="center" vertical="top" wrapText="1"/>
    </xf>
    <xf numFmtId="2" fontId="30" fillId="0" borderId="20" xfId="0" applyNumberFormat="1" applyFont="1" applyFill="1" applyBorder="1" applyAlignment="1">
      <alignment horizontal="center" vertical="top" wrapText="1"/>
    </xf>
    <xf numFmtId="0" fontId="4" fillId="0" borderId="3" xfId="24" applyFont="1" applyFill="1" applyBorder="1" applyAlignment="1">
      <alignment vertical="center"/>
    </xf>
    <xf numFmtId="1" fontId="30" fillId="0" borderId="20" xfId="0" applyNumberFormat="1" applyFont="1" applyFill="1" applyBorder="1" applyAlignment="1">
      <alignment horizontal="center" vertical="top" wrapText="1"/>
    </xf>
    <xf numFmtId="1" fontId="30" fillId="0" borderId="20" xfId="0" applyNumberFormat="1" applyFont="1" applyFill="1" applyBorder="1" applyAlignment="1">
      <alignment horizontal="left" vertical="top" wrapText="1"/>
    </xf>
    <xf numFmtId="1" fontId="30" fillId="0" borderId="20" xfId="0" applyNumberFormat="1" applyFont="1" applyFill="1" applyBorder="1" applyAlignment="1">
      <alignment horizontal="left" vertical="center" wrapText="1"/>
    </xf>
    <xf numFmtId="1" fontId="23" fillId="0" borderId="20" xfId="12" applyNumberFormat="1" applyFont="1" applyFill="1" applyBorder="1" applyAlignment="1">
      <alignment horizontal="center" vertical="center" wrapText="1"/>
    </xf>
    <xf numFmtId="2" fontId="4" fillId="0" borderId="20" xfId="26" applyNumberFormat="1" applyFont="1" applyFill="1" applyBorder="1" applyAlignment="1">
      <alignment wrapText="1"/>
    </xf>
    <xf numFmtId="1" fontId="30" fillId="0" borderId="20" xfId="0" applyNumberFormat="1" applyFont="1" applyFill="1" applyBorder="1" applyAlignment="1">
      <alignment horizontal="right" vertical="top" wrapText="1"/>
    </xf>
    <xf numFmtId="2" fontId="4" fillId="0" borderId="20" xfId="26" applyNumberFormat="1" applyFont="1" applyFill="1" applyBorder="1" applyAlignment="1">
      <alignment horizontal="right" vertical="center" wrapText="1"/>
    </xf>
    <xf numFmtId="2" fontId="4" fillId="0" borderId="20" xfId="26" applyNumberFormat="1" applyFont="1" applyFill="1" applyBorder="1" applyAlignment="1">
      <alignment horizontal="right" wrapText="1"/>
    </xf>
    <xf numFmtId="1" fontId="4" fillId="0" borderId="20" xfId="12" applyNumberFormat="1" applyFont="1" applyBorder="1" applyAlignment="1">
      <alignment wrapText="1"/>
    </xf>
    <xf numFmtId="0" fontId="4" fillId="0" borderId="20" xfId="12" applyFont="1" applyBorder="1" applyAlignment="1">
      <alignment horizontal="center" wrapText="1"/>
    </xf>
    <xf numFmtId="0" fontId="4" fillId="0" borderId="20" xfId="12" applyFont="1" applyBorder="1" applyAlignment="1">
      <alignment horizontal="right" wrapText="1"/>
    </xf>
    <xf numFmtId="43" fontId="4" fillId="0" borderId="20" xfId="12" applyNumberFormat="1" applyFont="1" applyBorder="1" applyAlignment="1">
      <alignment horizontal="right" wrapText="1"/>
    </xf>
    <xf numFmtId="0" fontId="74" fillId="0" borderId="0" xfId="0" applyFont="1" applyFill="1"/>
    <xf numFmtId="0" fontId="75" fillId="0" borderId="0" xfId="0" applyNumberFormat="1" applyFont="1" applyFill="1" applyAlignment="1">
      <alignment horizontal="left" vertical="top"/>
    </xf>
    <xf numFmtId="0" fontId="76" fillId="0" borderId="72" xfId="0" applyNumberFormat="1" applyFont="1" applyFill="1" applyBorder="1" applyAlignment="1">
      <alignment horizontal="left" vertical="center" wrapText="1"/>
    </xf>
    <xf numFmtId="43" fontId="4" fillId="0" borderId="0" xfId="12" applyNumberFormat="1" applyFont="1" applyAlignment="1">
      <alignment horizontal="right" wrapText="1"/>
    </xf>
    <xf numFmtId="0" fontId="6" fillId="0" borderId="0" xfId="25" applyFont="1" applyFill="1" applyAlignment="1"/>
    <xf numFmtId="0" fontId="5" fillId="0" borderId="0" xfId="23" applyFont="1" applyAlignment="1">
      <alignment vertical="center"/>
    </xf>
    <xf numFmtId="0" fontId="8" fillId="0" borderId="0" xfId="25" applyFont="1" applyFill="1" applyAlignment="1"/>
    <xf numFmtId="0" fontId="16" fillId="0" borderId="0" xfId="25" applyFont="1" applyFill="1" applyAlignment="1"/>
    <xf numFmtId="0" fontId="77" fillId="0" borderId="0" xfId="25" applyFont="1" applyFill="1" applyAlignment="1"/>
    <xf numFmtId="0" fontId="60" fillId="0" borderId="0" xfId="23" applyFont="1" applyAlignment="1">
      <alignment horizontal="center" vertical="center"/>
    </xf>
    <xf numFmtId="0" fontId="78" fillId="0" borderId="0" xfId="23" applyFont="1" applyAlignment="1">
      <alignment vertical="center"/>
    </xf>
    <xf numFmtId="0" fontId="60" fillId="0" borderId="0" xfId="23" applyFont="1" applyAlignment="1">
      <alignment horizontal="centerContinuous" vertical="top"/>
    </xf>
    <xf numFmtId="0" fontId="8" fillId="0" borderId="0" xfId="23" applyFont="1" applyAlignment="1">
      <alignment horizontal="centerContinuous" vertical="center"/>
    </xf>
    <xf numFmtId="0" fontId="10" fillId="0" borderId="0" xfId="23" applyFont="1" applyAlignment="1">
      <alignment horizontal="centerContinuous" vertical="center"/>
    </xf>
    <xf numFmtId="43" fontId="8" fillId="0" borderId="0" xfId="23" applyNumberFormat="1" applyFont="1" applyFill="1" applyAlignment="1">
      <alignment horizontal="centerContinuous" vertical="center"/>
    </xf>
    <xf numFmtId="0" fontId="7" fillId="0" borderId="0" xfId="24" quotePrefix="1" applyFont="1" applyAlignment="1">
      <alignment horizontal="left"/>
    </xf>
    <xf numFmtId="0" fontId="5" fillId="0" borderId="0" xfId="23" applyFont="1" applyFill="1" applyAlignment="1">
      <alignment vertical="center"/>
    </xf>
    <xf numFmtId="0" fontId="7" fillId="3" borderId="20" xfId="23" applyFont="1" applyFill="1" applyBorder="1" applyAlignment="1">
      <alignment horizontal="center" vertical="center" wrapText="1"/>
    </xf>
    <xf numFmtId="0" fontId="7" fillId="3" borderId="20" xfId="23" applyFont="1" applyFill="1" applyBorder="1" applyAlignment="1">
      <alignment horizontal="center" vertical="center"/>
    </xf>
    <xf numFmtId="0" fontId="7" fillId="0" borderId="20" xfId="23" applyFont="1" applyFill="1" applyBorder="1" applyAlignment="1">
      <alignment horizontal="center" vertical="center" wrapText="1"/>
    </xf>
    <xf numFmtId="0" fontId="7" fillId="0" borderId="20" xfId="23" applyFont="1" applyFill="1" applyBorder="1" applyAlignment="1">
      <alignment horizontal="center" vertical="center"/>
    </xf>
    <xf numFmtId="3" fontId="8" fillId="0" borderId="20" xfId="23" applyNumberFormat="1" applyFont="1" applyFill="1" applyBorder="1" applyAlignment="1">
      <alignment horizontal="center" vertical="center"/>
    </xf>
    <xf numFmtId="0" fontId="6" fillId="0" borderId="20" xfId="23" quotePrefix="1" applyFont="1" applyFill="1" applyBorder="1" applyAlignment="1">
      <alignment horizontal="center" vertical="top" wrapText="1"/>
    </xf>
    <xf numFmtId="0" fontId="6" fillId="0" borderId="20" xfId="23" quotePrefix="1" applyFont="1" applyFill="1" applyBorder="1" applyAlignment="1">
      <alignment horizontal="center" vertical="center" wrapText="1"/>
    </xf>
    <xf numFmtId="0" fontId="6" fillId="0" borderId="20" xfId="23" applyFont="1" applyFill="1" applyBorder="1" applyAlignment="1">
      <alignment horizontal="center" vertical="center" wrapText="1"/>
    </xf>
    <xf numFmtId="43" fontId="6" fillId="0" borderId="20" xfId="1" applyFont="1" applyFill="1" applyBorder="1" applyAlignment="1">
      <alignment vertical="center" wrapText="1"/>
    </xf>
    <xf numFmtId="43" fontId="5" fillId="0" borderId="20" xfId="1" applyFont="1" applyBorder="1" applyAlignment="1">
      <alignment vertical="center"/>
    </xf>
    <xf numFmtId="0" fontId="7" fillId="0" borderId="20" xfId="23" applyFont="1" applyFill="1" applyBorder="1" applyAlignment="1">
      <alignment horizontal="left" vertical="center" wrapText="1"/>
    </xf>
    <xf numFmtId="0" fontId="5" fillId="0" borderId="0" xfId="23" applyFont="1" applyFill="1" applyBorder="1" applyAlignment="1">
      <alignment horizontal="center" vertical="center"/>
    </xf>
    <xf numFmtId="0" fontId="5" fillId="0" borderId="0" xfId="23" applyFont="1" applyFill="1" applyAlignment="1">
      <alignment horizontal="center" vertical="center"/>
    </xf>
    <xf numFmtId="0" fontId="6" fillId="0" borderId="1" xfId="24" applyFont="1" applyFill="1" applyBorder="1" applyAlignment="1">
      <alignment vertical="center" wrapText="1"/>
    </xf>
    <xf numFmtId="0" fontId="6" fillId="0" borderId="20" xfId="23" quotePrefix="1" applyFont="1" applyFill="1" applyBorder="1" applyAlignment="1">
      <alignment horizontal="left" vertical="center" wrapText="1"/>
    </xf>
    <xf numFmtId="0" fontId="6" fillId="0" borderId="1" xfId="24" applyFont="1" applyFill="1" applyBorder="1" applyAlignment="1">
      <alignment wrapText="1"/>
    </xf>
    <xf numFmtId="0" fontId="5" fillId="0" borderId="0" xfId="23" applyFont="1" applyFill="1" applyBorder="1" applyAlignment="1">
      <alignment horizontal="center" vertical="top"/>
    </xf>
    <xf numFmtId="0" fontId="5" fillId="0" borderId="0" xfId="23" applyFont="1" applyFill="1" applyAlignment="1">
      <alignment horizontal="center" vertical="top"/>
    </xf>
    <xf numFmtId="43" fontId="5" fillId="0" borderId="20" xfId="1" applyFont="1" applyFill="1" applyBorder="1" applyAlignment="1">
      <alignment vertical="center"/>
    </xf>
    <xf numFmtId="0" fontId="5" fillId="0" borderId="0" xfId="23" applyFont="1" applyAlignment="1">
      <alignment vertical="top"/>
    </xf>
    <xf numFmtId="0" fontId="6" fillId="0" borderId="20" xfId="24" applyFont="1" applyFill="1" applyBorder="1" applyAlignment="1">
      <alignment horizontal="left" vertical="top" wrapText="1"/>
    </xf>
    <xf numFmtId="0" fontId="6" fillId="0" borderId="20" xfId="24" applyFont="1" applyFill="1" applyBorder="1" applyAlignment="1">
      <alignment horizontal="left" wrapText="1"/>
    </xf>
    <xf numFmtId="0" fontId="6" fillId="0" borderId="20" xfId="24" applyFont="1" applyFill="1" applyBorder="1" applyAlignment="1">
      <alignment vertical="top" wrapText="1"/>
    </xf>
    <xf numFmtId="1" fontId="30" fillId="0" borderId="0" xfId="0" applyNumberFormat="1" applyFont="1" applyFill="1" applyBorder="1" applyAlignment="1">
      <alignment horizontal="center" vertical="top" wrapText="1"/>
    </xf>
    <xf numFmtId="1" fontId="4" fillId="0" borderId="0" xfId="12" applyNumberFormat="1" applyFont="1" applyBorder="1" applyAlignment="1">
      <alignment wrapText="1"/>
    </xf>
    <xf numFmtId="43" fontId="4" fillId="0" borderId="0" xfId="12" applyNumberFormat="1" applyFont="1" applyBorder="1" applyAlignment="1">
      <alignment horizontal="right" wrapText="1"/>
    </xf>
    <xf numFmtId="1" fontId="30" fillId="0" borderId="34" xfId="0" applyNumberFormat="1" applyFont="1" applyFill="1" applyBorder="1" applyAlignment="1">
      <alignment horizontal="center" vertical="top" wrapText="1"/>
    </xf>
    <xf numFmtId="2" fontId="4" fillId="4" borderId="35" xfId="0" applyNumberFormat="1" applyFont="1" applyFill="1" applyBorder="1" applyAlignment="1">
      <alignment horizontal="left" vertical="top" wrapText="1"/>
    </xf>
    <xf numFmtId="1" fontId="30" fillId="0" borderId="36" xfId="0" applyNumberFormat="1" applyFont="1" applyFill="1" applyBorder="1" applyAlignment="1">
      <alignment horizontal="center" vertical="top" wrapText="1"/>
    </xf>
    <xf numFmtId="2" fontId="4" fillId="4" borderId="38" xfId="0" applyNumberFormat="1" applyFont="1" applyFill="1" applyBorder="1" applyAlignment="1">
      <alignment horizontal="left" vertical="top" wrapText="1"/>
    </xf>
    <xf numFmtId="2" fontId="4" fillId="4" borderId="0" xfId="0" applyNumberFormat="1" applyFont="1" applyFill="1" applyBorder="1" applyAlignment="1">
      <alignment horizontal="left" vertical="top" wrapText="1"/>
    </xf>
    <xf numFmtId="1" fontId="4" fillId="0" borderId="0" xfId="0" applyNumberFormat="1" applyFont="1" applyFill="1" applyBorder="1" applyAlignment="1">
      <alignment vertical="top" wrapText="1"/>
    </xf>
    <xf numFmtId="0" fontId="5" fillId="0" borderId="0" xfId="23" applyFont="1" applyFill="1" applyAlignment="1">
      <alignment horizontal="center" vertical="center"/>
    </xf>
    <xf numFmtId="0" fontId="5" fillId="0" borderId="0" xfId="23" applyFont="1" applyFill="1" applyAlignment="1">
      <alignment horizontal="center" vertical="top"/>
    </xf>
    <xf numFmtId="0" fontId="13" fillId="0" borderId="0" xfId="0" applyNumberFormat="1" applyFont="1" applyFill="1" applyBorder="1" applyAlignment="1">
      <alignment vertical="center"/>
    </xf>
    <xf numFmtId="0" fontId="13" fillId="0" borderId="0" xfId="0" applyNumberFormat="1" applyFont="1" applyFill="1" applyBorder="1" applyAlignment="1">
      <alignment horizontal="right" vertical="center"/>
    </xf>
    <xf numFmtId="2" fontId="13" fillId="0" borderId="0" xfId="0" applyNumberFormat="1" applyFont="1" applyFill="1" applyBorder="1" applyAlignment="1">
      <alignment vertical="center"/>
    </xf>
    <xf numFmtId="0" fontId="13" fillId="0" borderId="0" xfId="0" applyNumberFormat="1" applyFont="1" applyFill="1" applyAlignment="1">
      <alignment vertical="center"/>
    </xf>
    <xf numFmtId="43" fontId="13" fillId="0" borderId="0" xfId="0" applyNumberFormat="1" applyFont="1" applyFill="1" applyBorder="1" applyAlignment="1">
      <alignment horizontal="right" vertical="center"/>
    </xf>
    <xf numFmtId="43" fontId="80" fillId="0" borderId="0" xfId="0" applyNumberFormat="1" applyFont="1" applyFill="1" applyBorder="1" applyAlignment="1">
      <alignment vertical="center"/>
    </xf>
    <xf numFmtId="0" fontId="13" fillId="0" borderId="0" xfId="0" quotePrefix="1" applyNumberFormat="1" applyFont="1" applyFill="1" applyBorder="1" applyAlignment="1">
      <alignment horizontal="left" vertical="top"/>
    </xf>
    <xf numFmtId="0" fontId="13" fillId="0" borderId="0" xfId="0" applyNumberFormat="1" applyFont="1" applyFill="1" applyAlignment="1">
      <alignment vertical="top"/>
    </xf>
    <xf numFmtId="0" fontId="13" fillId="0" borderId="2" xfId="0" applyNumberFormat="1" applyFont="1" applyFill="1" applyBorder="1" applyAlignment="1">
      <alignment vertical="top" wrapText="1"/>
    </xf>
    <xf numFmtId="0" fontId="13" fillId="0" borderId="1" xfId="0" applyNumberFormat="1" applyFont="1" applyFill="1" applyBorder="1" applyAlignment="1">
      <alignment vertical="top" wrapText="1"/>
    </xf>
    <xf numFmtId="0" fontId="71" fillId="0" borderId="3" xfId="34" applyFill="1" applyBorder="1" applyAlignment="1">
      <alignment vertical="center"/>
    </xf>
    <xf numFmtId="0" fontId="71" fillId="0" borderId="14" xfId="34" applyFill="1" applyBorder="1" applyAlignment="1">
      <alignment horizontal="center" vertical="center"/>
    </xf>
    <xf numFmtId="166" fontId="71" fillId="0" borderId="14" xfId="34" applyNumberFormat="1" applyFill="1" applyBorder="1" applyAlignment="1">
      <alignment vertical="center"/>
    </xf>
    <xf numFmtId="43" fontId="71" fillId="0" borderId="14" xfId="34" applyNumberFormat="1" applyFill="1" applyBorder="1" applyAlignment="1">
      <alignment vertical="center"/>
    </xf>
    <xf numFmtId="43" fontId="71" fillId="0" borderId="15" xfId="34" applyNumberFormat="1" applyFill="1" applyBorder="1" applyAlignment="1">
      <alignment vertical="center"/>
    </xf>
    <xf numFmtId="0" fontId="50" fillId="0" borderId="16" xfId="24" applyNumberFormat="1" applyFont="1" applyFill="1" applyBorder="1" applyAlignment="1">
      <alignment horizontal="left" vertical="center"/>
    </xf>
    <xf numFmtId="43" fontId="50" fillId="0" borderId="17" xfId="1" applyFont="1" applyFill="1" applyBorder="1" applyAlignment="1">
      <alignment vertical="center"/>
    </xf>
    <xf numFmtId="43" fontId="50" fillId="0" borderId="25" xfId="1" applyFont="1" applyFill="1" applyBorder="1" applyAlignment="1">
      <alignment vertical="center"/>
    </xf>
    <xf numFmtId="0" fontId="50" fillId="0" borderId="17" xfId="24" applyNumberFormat="1" applyFont="1" applyFill="1" applyBorder="1" applyAlignment="1">
      <alignment horizontal="left" vertical="center"/>
    </xf>
    <xf numFmtId="0" fontId="50" fillId="0" borderId="25" xfId="24" applyNumberFormat="1" applyFont="1" applyFill="1" applyBorder="1" applyAlignment="1">
      <alignment horizontal="left" vertical="center"/>
    </xf>
    <xf numFmtId="170" fontId="79" fillId="0" borderId="0" xfId="0" applyNumberFormat="1" applyFont="1" applyFill="1" applyBorder="1" applyAlignment="1">
      <alignment horizontal="right" vertical="center"/>
    </xf>
    <xf numFmtId="43" fontId="79" fillId="0" borderId="0" xfId="0" applyNumberFormat="1" applyFont="1" applyFill="1" applyBorder="1" applyAlignment="1">
      <alignment vertical="center"/>
    </xf>
    <xf numFmtId="43" fontId="81" fillId="0" borderId="0" xfId="0" applyNumberFormat="1" applyFont="1" applyFill="1" applyBorder="1" applyAlignment="1">
      <alignment horizontal="center" vertical="center"/>
    </xf>
    <xf numFmtId="0" fontId="6" fillId="0" borderId="1" xfId="24" applyFont="1" applyFill="1" applyBorder="1" applyAlignment="1">
      <alignment horizontal="left" vertical="center" wrapText="1" indent="7"/>
    </xf>
    <xf numFmtId="0" fontId="6" fillId="0" borderId="20" xfId="24" applyFont="1" applyFill="1" applyBorder="1" applyAlignment="1">
      <alignment horizontal="left" vertical="top" wrapText="1" indent="4"/>
    </xf>
    <xf numFmtId="0" fontId="78" fillId="0" borderId="0" xfId="23" applyFont="1" applyAlignment="1">
      <alignment horizontal="left" vertical="center" indent="9"/>
    </xf>
    <xf numFmtId="0" fontId="7" fillId="0" borderId="20" xfId="24" applyFont="1" applyFill="1" applyBorder="1" applyAlignment="1">
      <alignment horizontal="left" vertical="top" wrapText="1"/>
    </xf>
    <xf numFmtId="0" fontId="7" fillId="0" borderId="20" xfId="24" applyFont="1" applyFill="1" applyBorder="1" applyAlignment="1">
      <alignment horizontal="left" vertical="top" wrapText="1" indent="7"/>
    </xf>
    <xf numFmtId="0" fontId="52" fillId="0" borderId="3" xfId="24" applyFont="1" applyFill="1" applyBorder="1" applyAlignment="1">
      <alignment vertical="center" wrapText="1"/>
    </xf>
    <xf numFmtId="43" fontId="27" fillId="0" borderId="20" xfId="1" applyFont="1" applyFill="1" applyBorder="1" applyAlignment="1">
      <alignment horizontal="right" vertical="justify"/>
    </xf>
    <xf numFmtId="0" fontId="27" fillId="0" borderId="35" xfId="0" applyFont="1" applyBorder="1" applyAlignment="1">
      <alignment horizontal="justify" vertical="justify"/>
    </xf>
    <xf numFmtId="0" fontId="0" fillId="0" borderId="0" xfId="0" applyFont="1"/>
    <xf numFmtId="0" fontId="0" fillId="0" borderId="0" xfId="0" applyFont="1" applyAlignment="1">
      <alignment vertical="top"/>
    </xf>
    <xf numFmtId="43" fontId="0" fillId="0" borderId="0" xfId="0" applyNumberFormat="1" applyFont="1" applyAlignment="1">
      <alignment vertical="center"/>
    </xf>
    <xf numFmtId="0" fontId="46" fillId="0" borderId="17" xfId="18" applyFont="1" applyFill="1" applyBorder="1" applyAlignment="1">
      <alignment horizontal="left" vertical="center"/>
    </xf>
    <xf numFmtId="0" fontId="5" fillId="0" borderId="0" xfId="23" applyFont="1" applyFill="1" applyAlignment="1">
      <alignment horizontal="center" vertical="center"/>
    </xf>
    <xf numFmtId="0" fontId="60" fillId="0" borderId="0" xfId="23" applyFont="1" applyAlignment="1">
      <alignment horizontal="center" vertical="center"/>
    </xf>
    <xf numFmtId="0" fontId="4" fillId="0" borderId="20" xfId="23" quotePrefix="1" applyFont="1" applyBorder="1" applyAlignment="1">
      <alignment horizontal="center" vertical="top" wrapText="1"/>
    </xf>
    <xf numFmtId="0" fontId="4" fillId="0" borderId="20" xfId="23" applyFont="1" applyBorder="1" applyAlignment="1">
      <alignment horizontal="center" vertical="center" wrapText="1"/>
    </xf>
    <xf numFmtId="43" fontId="27" fillId="0" borderId="20" xfId="1" applyFont="1" applyBorder="1" applyAlignment="1">
      <alignment vertical="center"/>
    </xf>
    <xf numFmtId="0" fontId="4" fillId="0" borderId="20" xfId="23" quotePrefix="1" applyFont="1" applyBorder="1" applyAlignment="1">
      <alignment horizontal="center" vertical="top"/>
    </xf>
    <xf numFmtId="0" fontId="50" fillId="0" borderId="0" xfId="24" applyNumberFormat="1" applyFont="1" applyFill="1" applyAlignment="1">
      <alignment vertical="center"/>
    </xf>
    <xf numFmtId="0" fontId="5" fillId="0" borderId="0" xfId="23" applyFont="1" applyFill="1" applyAlignment="1">
      <alignment horizontal="center" vertical="top"/>
    </xf>
    <xf numFmtId="0" fontId="5" fillId="0" borderId="0" xfId="23" applyFont="1" applyFill="1" applyAlignment="1">
      <alignment horizontal="center" vertical="center"/>
    </xf>
    <xf numFmtId="0" fontId="50" fillId="0" borderId="4" xfId="24" applyFont="1" applyFill="1" applyBorder="1" applyAlignment="1">
      <alignment horizontal="centerContinuous" vertical="center"/>
    </xf>
    <xf numFmtId="0" fontId="50" fillId="0" borderId="74" xfId="24" applyFont="1" applyFill="1" applyBorder="1" applyAlignment="1">
      <alignment horizontal="center" vertical="center"/>
    </xf>
    <xf numFmtId="43" fontId="50" fillId="0" borderId="51" xfId="1" applyFont="1" applyFill="1" applyBorder="1" applyAlignment="1">
      <alignment vertical="center"/>
    </xf>
    <xf numFmtId="43" fontId="50" fillId="0" borderId="75" xfId="1" applyFont="1" applyFill="1" applyBorder="1" applyAlignment="1">
      <alignment vertical="center"/>
    </xf>
    <xf numFmtId="43" fontId="50" fillId="0" borderId="76" xfId="1" applyFont="1" applyFill="1" applyBorder="1" applyAlignment="1">
      <alignment vertical="center"/>
    </xf>
    <xf numFmtId="0" fontId="50" fillId="0" borderId="2" xfId="24" applyFont="1" applyFill="1" applyBorder="1" applyAlignment="1">
      <alignment vertical="center"/>
    </xf>
    <xf numFmtId="43" fontId="50" fillId="0" borderId="77" xfId="1" applyFont="1" applyFill="1" applyBorder="1" applyAlignment="1">
      <alignment vertical="center"/>
    </xf>
    <xf numFmtId="0" fontId="5" fillId="0" borderId="20" xfId="23" applyFont="1" applyBorder="1" applyAlignment="1">
      <alignment vertical="center"/>
    </xf>
    <xf numFmtId="0" fontId="5" fillId="0" borderId="20" xfId="23" applyFont="1" applyBorder="1" applyAlignment="1">
      <alignment vertical="center" wrapText="1"/>
    </xf>
    <xf numFmtId="0" fontId="5" fillId="0" borderId="20" xfId="23" applyFont="1" applyFill="1" applyBorder="1" applyAlignment="1">
      <alignment vertical="center" wrapText="1"/>
    </xf>
    <xf numFmtId="0" fontId="5" fillId="0" borderId="0" xfId="23" applyFont="1" applyFill="1" applyBorder="1" applyAlignment="1">
      <alignment horizontal="center" vertical="top"/>
    </xf>
    <xf numFmtId="0" fontId="0" fillId="0" borderId="20" xfId="0" applyFont="1" applyBorder="1" applyAlignment="1">
      <alignment horizontal="center" vertical="center" wrapText="1"/>
    </xf>
    <xf numFmtId="0" fontId="0" fillId="0" borderId="20" xfId="0" applyFont="1" applyBorder="1"/>
    <xf numFmtId="0" fontId="7" fillId="0" borderId="20" xfId="24" applyFont="1" applyFill="1" applyBorder="1" applyAlignment="1">
      <alignment horizontal="left" vertical="center" wrapText="1"/>
    </xf>
    <xf numFmtId="43" fontId="4" fillId="0" borderId="20" xfId="1" quotePrefix="1" applyFont="1" applyFill="1" applyBorder="1" applyAlignment="1">
      <alignment horizontal="center" vertical="center" wrapText="1"/>
    </xf>
    <xf numFmtId="0" fontId="7" fillId="0" borderId="1" xfId="24" applyFont="1" applyFill="1" applyBorder="1" applyAlignment="1">
      <alignment wrapText="1"/>
    </xf>
    <xf numFmtId="0" fontId="6" fillId="0" borderId="20" xfId="23" quotePrefix="1" applyFont="1" applyFill="1" applyBorder="1" applyAlignment="1">
      <alignment horizontal="left" vertical="center" wrapText="1" indent="5"/>
    </xf>
    <xf numFmtId="171" fontId="6" fillId="0" borderId="20" xfId="31" applyNumberFormat="1" applyFont="1" applyFill="1" applyBorder="1" applyAlignment="1">
      <alignment horizontal="center" vertical="center" wrapText="1"/>
    </xf>
    <xf numFmtId="0" fontId="6" fillId="0" borderId="20" xfId="0" applyFont="1" applyFill="1" applyBorder="1" applyAlignment="1">
      <alignment horizontal="center"/>
    </xf>
    <xf numFmtId="2" fontId="6" fillId="0" borderId="20" xfId="1" applyNumberFormat="1" applyFont="1" applyFill="1" applyBorder="1" applyAlignment="1">
      <alignment horizontal="center" vertical="center"/>
    </xf>
    <xf numFmtId="0" fontId="6" fillId="0" borderId="20" xfId="0" applyFont="1" applyFill="1" applyBorder="1" applyAlignment="1">
      <alignment horizontal="left" vertical="center" wrapText="1" indent="2"/>
    </xf>
    <xf numFmtId="0" fontId="6" fillId="0" borderId="0" xfId="10" applyNumberFormat="1" applyFont="1" applyFill="1" applyAlignment="1" applyProtection="1">
      <alignment horizontal="center" vertical="top"/>
      <protection locked="0"/>
    </xf>
    <xf numFmtId="0" fontId="7" fillId="0" borderId="0" xfId="10" applyNumberFormat="1" applyFont="1" applyFill="1" applyAlignment="1" applyProtection="1">
      <alignment horizontal="center" vertical="center" wrapText="1"/>
      <protection locked="0"/>
    </xf>
    <xf numFmtId="0" fontId="6" fillId="0" borderId="0" xfId="10" applyNumberFormat="1" applyFont="1" applyFill="1" applyAlignment="1" applyProtection="1">
      <alignment horizontal="center" vertical="center"/>
      <protection locked="0"/>
    </xf>
    <xf numFmtId="0" fontId="7" fillId="0" borderId="0" xfId="10" applyNumberFormat="1" applyFont="1" applyFill="1" applyAlignment="1" applyProtection="1">
      <alignment horizontal="center" vertical="center"/>
      <protection locked="0"/>
    </xf>
    <xf numFmtId="43" fontId="7" fillId="0" borderId="0" xfId="10" applyNumberFormat="1" applyFont="1" applyFill="1" applyAlignment="1" applyProtection="1">
      <alignment horizontal="center" vertical="center"/>
      <protection locked="0"/>
    </xf>
    <xf numFmtId="173" fontId="7" fillId="0" borderId="0" xfId="10" applyNumberFormat="1" applyFont="1" applyFill="1" applyAlignment="1" applyProtection="1">
      <alignment horizontal="center" vertical="center"/>
      <protection locked="0"/>
    </xf>
    <xf numFmtId="43" fontId="6" fillId="0" borderId="0" xfId="1" applyNumberFormat="1" applyFont="1" applyFill="1" applyAlignment="1" applyProtection="1">
      <alignment horizontal="center" vertical="center"/>
      <protection locked="0"/>
    </xf>
    <xf numFmtId="0" fontId="7" fillId="0" borderId="0" xfId="10" applyNumberFormat="1" applyFont="1" applyFill="1" applyAlignment="1" applyProtection="1">
      <alignment horizontal="center" vertical="top"/>
      <protection locked="0"/>
    </xf>
    <xf numFmtId="43" fontId="7" fillId="0" borderId="0" xfId="10" applyNumberFormat="1" applyFont="1" applyFill="1" applyAlignment="1" applyProtection="1">
      <alignment horizontal="center" vertical="top"/>
      <protection locked="0"/>
    </xf>
    <xf numFmtId="0" fontId="6" fillId="0" borderId="0" xfId="0" applyFont="1" applyAlignment="1">
      <alignment horizontal="right"/>
    </xf>
    <xf numFmtId="0" fontId="61" fillId="0" borderId="0" xfId="0" applyFont="1"/>
    <xf numFmtId="2" fontId="6" fillId="0" borderId="20" xfId="13" applyNumberFormat="1" applyFont="1" applyFill="1" applyBorder="1" applyAlignment="1">
      <alignment horizontal="center" vertical="center" wrapText="1"/>
    </xf>
    <xf numFmtId="2" fontId="7" fillId="0" borderId="20" xfId="13" applyNumberFormat="1" applyFont="1" applyFill="1" applyBorder="1" applyAlignment="1">
      <alignment horizontal="center" vertical="center" wrapText="1"/>
    </xf>
    <xf numFmtId="2" fontId="7" fillId="0" borderId="20" xfId="13" applyNumberFormat="1" applyFont="1" applyFill="1" applyBorder="1" applyAlignment="1">
      <alignment horizontal="center" vertical="center"/>
    </xf>
    <xf numFmtId="43" fontId="7" fillId="0" borderId="20" xfId="13" applyNumberFormat="1" applyFont="1" applyFill="1" applyBorder="1" applyAlignment="1">
      <alignment horizontal="center" vertical="center" wrapText="1"/>
    </xf>
    <xf numFmtId="43" fontId="6" fillId="0" borderId="20" xfId="1" applyNumberFormat="1" applyFont="1" applyFill="1" applyBorder="1" applyAlignment="1">
      <alignment horizontal="center" vertical="center"/>
    </xf>
    <xf numFmtId="0" fontId="6" fillId="6" borderId="20" xfId="13" applyFont="1" applyFill="1" applyBorder="1" applyAlignment="1">
      <alignment horizontal="left" vertical="top"/>
    </xf>
    <xf numFmtId="0" fontId="7" fillId="6" borderId="20" xfId="13" applyFont="1" applyFill="1" applyBorder="1" applyAlignment="1">
      <alignment horizontal="left" vertical="center" wrapText="1"/>
    </xf>
    <xf numFmtId="0" fontId="7" fillId="6" borderId="20" xfId="13" applyFont="1" applyFill="1" applyBorder="1" applyAlignment="1">
      <alignment horizontal="left" vertical="top"/>
    </xf>
    <xf numFmtId="0" fontId="6" fillId="0" borderId="20" xfId="0" applyFont="1" applyFill="1" applyBorder="1" applyAlignment="1">
      <alignment horizontal="center" vertical="center"/>
    </xf>
    <xf numFmtId="0" fontId="7" fillId="0" borderId="20" xfId="0" applyFont="1" applyFill="1" applyBorder="1" applyAlignment="1">
      <alignment horizontal="center" vertical="center" wrapText="1"/>
    </xf>
    <xf numFmtId="0" fontId="6" fillId="0" borderId="20" xfId="0" applyFont="1" applyFill="1" applyBorder="1" applyAlignment="1">
      <alignment horizontal="justify" vertical="center"/>
    </xf>
    <xf numFmtId="43" fontId="6" fillId="0" borderId="20" xfId="0" applyNumberFormat="1" applyFont="1" applyFill="1" applyBorder="1" applyAlignment="1">
      <alignment horizontal="left" vertical="center" wrapText="1"/>
    </xf>
    <xf numFmtId="0" fontId="6" fillId="0" borderId="20" xfId="0" applyFont="1" applyFill="1" applyBorder="1" applyAlignment="1">
      <alignment horizontal="justify" vertical="top"/>
    </xf>
    <xf numFmtId="0" fontId="6" fillId="0" borderId="20" xfId="18" applyFont="1" applyFill="1" applyBorder="1" applyAlignment="1">
      <alignment horizontal="justify" vertical="center" wrapText="1"/>
    </xf>
    <xf numFmtId="0" fontId="6" fillId="6" borderId="20" xfId="13" applyFont="1" applyFill="1" applyBorder="1" applyAlignment="1">
      <alignment horizontal="left" vertical="center"/>
    </xf>
    <xf numFmtId="0" fontId="7" fillId="6" borderId="20" xfId="13" applyFont="1" applyFill="1" applyBorder="1" applyAlignment="1">
      <alignment horizontal="left" vertical="center"/>
    </xf>
    <xf numFmtId="43" fontId="7" fillId="6" borderId="20" xfId="13" applyNumberFormat="1" applyFont="1" applyFill="1" applyBorder="1" applyAlignment="1">
      <alignment horizontal="center" vertical="center"/>
    </xf>
    <xf numFmtId="43" fontId="6" fillId="6" borderId="20" xfId="1" applyNumberFormat="1" applyFont="1" applyFill="1" applyBorder="1" applyAlignment="1">
      <alignment horizontal="center" vertical="center"/>
    </xf>
    <xf numFmtId="0" fontId="7" fillId="6" borderId="20" xfId="13" applyFont="1" applyFill="1" applyBorder="1" applyAlignment="1">
      <alignment horizontal="center" vertical="center"/>
    </xf>
    <xf numFmtId="2" fontId="6" fillId="0" borderId="20" xfId="3" applyNumberFormat="1" applyFont="1" applyFill="1" applyBorder="1" applyAlignment="1">
      <alignment horizontal="center" vertical="top"/>
    </xf>
    <xf numFmtId="1" fontId="7" fillId="0" borderId="20" xfId="3" applyNumberFormat="1" applyFont="1" applyFill="1" applyBorder="1" applyAlignment="1">
      <alignment horizontal="center" vertical="center" wrapText="1"/>
    </xf>
    <xf numFmtId="0" fontId="6" fillId="0" borderId="20" xfId="0" applyFont="1" applyFill="1" applyBorder="1" applyAlignment="1">
      <alignment horizontal="justify" vertical="top" wrapText="1"/>
    </xf>
    <xf numFmtId="0" fontId="7" fillId="0" borderId="20" xfId="13" applyFont="1" applyFill="1" applyBorder="1" applyAlignment="1">
      <alignment horizontal="center" vertical="center"/>
    </xf>
    <xf numFmtId="43" fontId="7" fillId="0" borderId="20" xfId="13" applyNumberFormat="1" applyFont="1" applyFill="1" applyBorder="1" applyAlignment="1">
      <alignment horizontal="center" vertical="center"/>
    </xf>
    <xf numFmtId="0" fontId="7" fillId="0" borderId="20" xfId="13" applyFont="1" applyFill="1" applyBorder="1" applyAlignment="1">
      <alignment wrapText="1"/>
    </xf>
    <xf numFmtId="2" fontId="7" fillId="0" borderId="20" xfId="3" applyNumberFormat="1" applyFont="1" applyFill="1" applyBorder="1" applyAlignment="1">
      <alignment horizontal="center" vertical="center" wrapText="1"/>
    </xf>
    <xf numFmtId="0" fontId="6" fillId="0" borderId="20" xfId="0" applyFont="1" applyFill="1" applyBorder="1" applyAlignment="1">
      <alignment horizontal="left" vertical="top" wrapText="1" indent="1"/>
    </xf>
    <xf numFmtId="0" fontId="6" fillId="0" borderId="20" xfId="13" applyFont="1" applyFill="1" applyBorder="1" applyAlignment="1">
      <alignment horizontal="left" vertical="center" wrapText="1" indent="2"/>
    </xf>
    <xf numFmtId="0" fontId="6" fillId="0" borderId="20" xfId="13" applyFont="1" applyFill="1" applyBorder="1" applyAlignment="1">
      <alignment horizontal="center" vertical="center"/>
    </xf>
    <xf numFmtId="43" fontId="83" fillId="0" borderId="20" xfId="13" applyNumberFormat="1" applyFont="1" applyFill="1" applyBorder="1" applyAlignment="1">
      <alignment horizontal="center" vertical="center"/>
    </xf>
    <xf numFmtId="174" fontId="61" fillId="0" borderId="20" xfId="13" applyNumberFormat="1" applyFont="1" applyFill="1" applyBorder="1" applyAlignment="1">
      <alignment horizontal="center" vertical="center"/>
    </xf>
    <xf numFmtId="43" fontId="6" fillId="0" borderId="20" xfId="13" applyNumberFormat="1" applyFont="1" applyFill="1" applyBorder="1" applyAlignment="1">
      <alignment horizontal="center" vertical="center"/>
    </xf>
    <xf numFmtId="0" fontId="7" fillId="0" borderId="16" xfId="13" applyFont="1" applyFill="1" applyBorder="1" applyAlignment="1">
      <alignment wrapText="1"/>
    </xf>
    <xf numFmtId="0" fontId="6" fillId="0" borderId="20" xfId="13" applyFont="1" applyFill="1" applyBorder="1" applyAlignment="1">
      <alignment horizontal="right" vertical="center" wrapText="1"/>
    </xf>
    <xf numFmtId="0" fontId="7" fillId="0" borderId="20" xfId="13" applyNumberFormat="1" applyFont="1" applyFill="1" applyBorder="1" applyAlignment="1">
      <alignment horizontal="center" vertical="center"/>
    </xf>
    <xf numFmtId="0" fontId="6" fillId="0" borderId="20" xfId="13" applyFont="1" applyFill="1" applyBorder="1" applyAlignment="1">
      <alignment horizontal="left" vertical="center" wrapText="1" indent="1"/>
    </xf>
    <xf numFmtId="43" fontId="61" fillId="0" borderId="20" xfId="13" applyNumberFormat="1" applyFont="1" applyFill="1" applyBorder="1" applyAlignment="1">
      <alignment vertical="center"/>
    </xf>
    <xf numFmtId="43" fontId="6" fillId="0" borderId="20" xfId="13" applyNumberFormat="1" applyFont="1" applyFill="1" applyBorder="1" applyAlignment="1">
      <alignment vertical="center"/>
    </xf>
    <xf numFmtId="0" fontId="7" fillId="0" borderId="20" xfId="13" applyFont="1" applyFill="1" applyBorder="1" applyAlignment="1">
      <alignment horizontal="center" vertical="center" wrapText="1"/>
    </xf>
    <xf numFmtId="0" fontId="6" fillId="0" borderId="20" xfId="13" applyFont="1" applyFill="1" applyBorder="1" applyAlignment="1">
      <alignment horizontal="left" wrapText="1" indent="1"/>
    </xf>
    <xf numFmtId="0" fontId="6" fillId="0" borderId="20" xfId="3" applyNumberFormat="1" applyFont="1" applyFill="1" applyBorder="1" applyAlignment="1">
      <alignment horizontal="center" vertical="top"/>
    </xf>
    <xf numFmtId="0" fontId="7" fillId="0" borderId="20" xfId="3" applyNumberFormat="1" applyFont="1" applyFill="1" applyBorder="1" applyAlignment="1">
      <alignment horizontal="center" vertical="center" wrapText="1"/>
    </xf>
    <xf numFmtId="0" fontId="7" fillId="0" borderId="20" xfId="0" applyFont="1" applyFill="1" applyBorder="1" applyAlignment="1">
      <alignment horizontal="center" vertical="center"/>
    </xf>
    <xf numFmtId="43" fontId="7" fillId="0" borderId="20" xfId="0" applyNumberFormat="1" applyFont="1" applyFill="1" applyBorder="1" applyAlignment="1">
      <alignment horizontal="center" vertical="center"/>
    </xf>
    <xf numFmtId="0" fontId="6" fillId="0" borderId="20" xfId="13" applyFont="1" applyFill="1" applyBorder="1" applyAlignment="1">
      <alignment wrapText="1"/>
    </xf>
    <xf numFmtId="0" fontId="6" fillId="0" borderId="20" xfId="13" applyNumberFormat="1" applyFont="1" applyFill="1" applyBorder="1" applyAlignment="1">
      <alignment horizontal="center" vertical="top"/>
    </xf>
    <xf numFmtId="0" fontId="7" fillId="0" borderId="20" xfId="13" applyNumberFormat="1" applyFont="1" applyFill="1" applyBorder="1" applyAlignment="1">
      <alignment horizontal="center" vertical="center" wrapText="1"/>
    </xf>
    <xf numFmtId="0" fontId="6" fillId="0" borderId="20" xfId="13" applyFont="1" applyFill="1" applyBorder="1" applyAlignment="1">
      <alignment horizontal="right" vertical="center" wrapText="1" indent="1"/>
    </xf>
    <xf numFmtId="43" fontId="7" fillId="0" borderId="20" xfId="13" applyNumberFormat="1" applyFont="1" applyFill="1" applyBorder="1" applyAlignment="1">
      <alignment horizontal="center"/>
    </xf>
    <xf numFmtId="0" fontId="7" fillId="0" borderId="20" xfId="13" applyFont="1" applyFill="1" applyBorder="1" applyAlignment="1">
      <alignment vertical="center" wrapText="1"/>
    </xf>
    <xf numFmtId="0" fontId="6" fillId="0" borderId="0" xfId="0" applyFont="1" applyAlignment="1">
      <alignment vertical="center" wrapText="1"/>
    </xf>
    <xf numFmtId="0" fontId="6" fillId="0" borderId="20" xfId="13" applyFont="1" applyFill="1" applyBorder="1" applyAlignment="1">
      <alignment horizontal="left" vertical="center" wrapText="1"/>
    </xf>
    <xf numFmtId="0" fontId="75" fillId="0" borderId="0" xfId="0" applyFont="1" applyFill="1"/>
    <xf numFmtId="0" fontId="7" fillId="0" borderId="0" xfId="0" applyFont="1" applyFill="1"/>
    <xf numFmtId="0" fontId="85" fillId="0" borderId="0" xfId="0" applyFont="1" applyFill="1"/>
    <xf numFmtId="0" fontId="61" fillId="6" borderId="20" xfId="13" applyFont="1" applyFill="1" applyBorder="1" applyAlignment="1">
      <alignment horizontal="left" vertical="top"/>
    </xf>
    <xf numFmtId="0" fontId="82" fillId="6" borderId="20" xfId="13" applyFont="1" applyFill="1" applyBorder="1" applyAlignment="1">
      <alignment horizontal="left" vertical="center" wrapText="1"/>
    </xf>
    <xf numFmtId="0" fontId="82" fillId="6" borderId="20" xfId="13" applyFont="1" applyFill="1" applyBorder="1" applyAlignment="1">
      <alignment horizontal="left" vertical="center"/>
    </xf>
    <xf numFmtId="43" fontId="82" fillId="6" borderId="20" xfId="13" applyNumberFormat="1" applyFont="1" applyFill="1" applyBorder="1" applyAlignment="1">
      <alignment horizontal="center" vertical="center"/>
    </xf>
    <xf numFmtId="43" fontId="61" fillId="6" borderId="20" xfId="1" applyNumberFormat="1" applyFont="1" applyFill="1" applyBorder="1" applyAlignment="1">
      <alignment horizontal="center" vertical="center"/>
    </xf>
    <xf numFmtId="0" fontId="82" fillId="6" borderId="20" xfId="13" applyFont="1" applyFill="1" applyBorder="1" applyAlignment="1">
      <alignment horizontal="center" vertical="center"/>
    </xf>
    <xf numFmtId="0" fontId="7" fillId="0" borderId="0" xfId="3" applyNumberFormat="1" applyFont="1" applyFill="1" applyBorder="1" applyAlignment="1">
      <alignment horizontal="center" vertical="center" wrapText="1"/>
    </xf>
    <xf numFmtId="0" fontId="6" fillId="0" borderId="0" xfId="0" applyFont="1" applyAlignment="1">
      <alignment horizontal="left" indent="1"/>
    </xf>
    <xf numFmtId="43" fontId="6" fillId="0" borderId="16" xfId="13" applyNumberFormat="1" applyFont="1" applyFill="1" applyBorder="1" applyAlignment="1">
      <alignment horizontal="center" vertical="center"/>
    </xf>
    <xf numFmtId="43" fontId="61" fillId="0" borderId="16" xfId="13" applyNumberFormat="1" applyFont="1" applyFill="1" applyBorder="1" applyAlignment="1">
      <alignment horizontal="center" vertical="center"/>
    </xf>
    <xf numFmtId="43" fontId="61" fillId="0" borderId="17" xfId="13" applyNumberFormat="1" applyFont="1" applyFill="1" applyBorder="1" applyAlignment="1">
      <alignment horizontal="center" vertical="center"/>
    </xf>
    <xf numFmtId="2" fontId="6" fillId="0" borderId="0" xfId="0" applyNumberFormat="1" applyFont="1" applyFill="1"/>
    <xf numFmtId="2" fontId="7" fillId="0" borderId="0" xfId="0" applyNumberFormat="1" applyFont="1" applyFill="1"/>
    <xf numFmtId="0" fontId="6" fillId="0" borderId="58" xfId="0" applyFont="1" applyFill="1" applyBorder="1" applyAlignment="1"/>
    <xf numFmtId="0" fontId="6" fillId="0" borderId="56" xfId="0" applyFont="1" applyFill="1" applyBorder="1" applyAlignment="1">
      <alignment horizontal="left"/>
    </xf>
    <xf numFmtId="0" fontId="6" fillId="0" borderId="56" xfId="0" applyFont="1" applyFill="1" applyBorder="1" applyAlignment="1"/>
    <xf numFmtId="0" fontId="6" fillId="0" borderId="56" xfId="0" applyFont="1" applyFill="1" applyBorder="1" applyAlignment="1">
      <alignment horizontal="center" vertical="center"/>
    </xf>
    <xf numFmtId="0" fontId="61" fillId="0" borderId="56" xfId="0" applyFont="1" applyFill="1" applyBorder="1" applyAlignment="1">
      <alignment vertical="center"/>
    </xf>
    <xf numFmtId="43" fontId="6" fillId="0" borderId="59" xfId="1" applyFont="1" applyFill="1" applyBorder="1" applyAlignment="1">
      <alignment vertical="center"/>
    </xf>
    <xf numFmtId="0" fontId="6" fillId="0" borderId="39"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horizontal="left" vertical="center"/>
    </xf>
    <xf numFmtId="0" fontId="6" fillId="0" borderId="0" xfId="0" applyFont="1" applyFill="1" applyBorder="1" applyAlignment="1"/>
    <xf numFmtId="0" fontId="6" fillId="0" borderId="0" xfId="0" applyFont="1" applyFill="1" applyBorder="1" applyAlignment="1">
      <alignment horizontal="left" vertical="center" indent="1"/>
    </xf>
    <xf numFmtId="43" fontId="6" fillId="0" borderId="60" xfId="1" applyFont="1" applyFill="1" applyBorder="1" applyAlignment="1">
      <alignment vertical="center"/>
    </xf>
    <xf numFmtId="0" fontId="6" fillId="0" borderId="0" xfId="0" applyFont="1" applyFill="1" applyBorder="1" applyAlignment="1">
      <alignment horizontal="center" vertical="center"/>
    </xf>
    <xf numFmtId="0" fontId="61" fillId="0" borderId="0" xfId="0" applyFont="1" applyFill="1" applyBorder="1" applyAlignment="1">
      <alignment vertical="center"/>
    </xf>
    <xf numFmtId="180" fontId="6" fillId="0" borderId="20" xfId="13" applyNumberFormat="1" applyFont="1" applyFill="1" applyBorder="1" applyAlignment="1">
      <alignment horizontal="center" vertical="center"/>
    </xf>
    <xf numFmtId="40" fontId="6" fillId="0" borderId="20" xfId="13" applyNumberFormat="1" applyFont="1" applyFill="1" applyBorder="1" applyAlignment="1">
      <alignment horizontal="center" vertical="center"/>
    </xf>
    <xf numFmtId="183" fontId="6" fillId="0" borderId="20" xfId="13" applyNumberFormat="1" applyFont="1" applyFill="1" applyBorder="1" applyAlignment="1">
      <alignment horizontal="center" vertical="center"/>
    </xf>
    <xf numFmtId="2" fontId="6" fillId="0" borderId="20" xfId="13" applyNumberFormat="1" applyFont="1" applyFill="1" applyBorder="1" applyAlignment="1">
      <alignment horizontal="center" vertical="center"/>
    </xf>
    <xf numFmtId="0" fontId="6" fillId="0" borderId="0" xfId="0" applyFont="1" applyFill="1" applyBorder="1"/>
    <xf numFmtId="0" fontId="6" fillId="0" borderId="0" xfId="0" applyFont="1" applyFill="1" applyBorder="1" applyAlignment="1">
      <alignment horizontal="center"/>
    </xf>
    <xf numFmtId="0" fontId="6" fillId="0" borderId="20" xfId="0" applyFont="1" applyFill="1" applyBorder="1" applyAlignment="1">
      <alignment horizontal="justify" vertical="center" wrapText="1"/>
    </xf>
    <xf numFmtId="43" fontId="61" fillId="0" borderId="20" xfId="13" applyNumberFormat="1" applyFont="1" applyFill="1" applyBorder="1" applyAlignment="1">
      <alignment horizontal="center" vertical="center"/>
    </xf>
    <xf numFmtId="0" fontId="7" fillId="0" borderId="0" xfId="13" applyFont="1" applyFill="1" applyAlignment="1">
      <alignment horizontal="center"/>
    </xf>
    <xf numFmtId="43" fontId="6" fillId="0" borderId="25" xfId="13" applyNumberFormat="1" applyFont="1" applyFill="1" applyBorder="1" applyAlignment="1">
      <alignment horizontal="center" vertical="center"/>
    </xf>
    <xf numFmtId="43" fontId="7" fillId="0" borderId="16" xfId="13" applyNumberFormat="1" applyFont="1" applyFill="1" applyBorder="1" applyAlignment="1">
      <alignment horizontal="center" vertical="center"/>
    </xf>
    <xf numFmtId="43" fontId="7" fillId="0" borderId="25" xfId="13" applyNumberFormat="1" applyFont="1" applyFill="1" applyBorder="1" applyAlignment="1">
      <alignment horizontal="center" vertical="center"/>
    </xf>
    <xf numFmtId="0" fontId="6" fillId="0" borderId="39" xfId="0" applyFont="1" applyFill="1" applyBorder="1"/>
    <xf numFmtId="43" fontId="6" fillId="0" borderId="0" xfId="1" applyFont="1" applyFill="1" applyBorder="1" applyAlignment="1">
      <alignment vertical="center"/>
    </xf>
    <xf numFmtId="0" fontId="6" fillId="0" borderId="60" xfId="0" applyFont="1" applyFill="1" applyBorder="1" applyAlignment="1"/>
    <xf numFmtId="0" fontId="75" fillId="0" borderId="20" xfId="0" applyFont="1" applyFill="1" applyBorder="1" applyAlignment="1">
      <alignment horizontal="center"/>
    </xf>
    <xf numFmtId="0" fontId="6" fillId="0" borderId="60" xfId="0" applyFont="1" applyFill="1" applyBorder="1"/>
    <xf numFmtId="181" fontId="6" fillId="0" borderId="20" xfId="0" applyNumberFormat="1" applyFont="1" applyFill="1" applyBorder="1" applyAlignment="1">
      <alignment horizontal="center"/>
    </xf>
    <xf numFmtId="0" fontId="6" fillId="0" borderId="60" xfId="0" applyFont="1" applyBorder="1"/>
    <xf numFmtId="0" fontId="85" fillId="0" borderId="0" xfId="0" applyFont="1" applyFill="1" applyBorder="1" applyAlignment="1">
      <alignment horizontal="center"/>
    </xf>
    <xf numFmtId="43" fontId="6" fillId="0" borderId="0" xfId="1" applyFont="1" applyFill="1" applyBorder="1" applyAlignment="1">
      <alignment horizontal="center" vertical="center"/>
    </xf>
    <xf numFmtId="0" fontId="6" fillId="0" borderId="0" xfId="0" applyFont="1" applyBorder="1" applyAlignment="1">
      <alignment horizontal="center"/>
    </xf>
    <xf numFmtId="0" fontId="6" fillId="0" borderId="39" xfId="0" applyFont="1" applyBorder="1"/>
    <xf numFmtId="0" fontId="6" fillId="0" borderId="40" xfId="0" applyFont="1" applyBorder="1"/>
    <xf numFmtId="0" fontId="6" fillId="0" borderId="57" xfId="0" applyFont="1" applyBorder="1"/>
    <xf numFmtId="0" fontId="6" fillId="0" borderId="61" xfId="0" applyFont="1" applyBorder="1"/>
    <xf numFmtId="0" fontId="75" fillId="0" borderId="58" xfId="0" applyFont="1" applyFill="1" applyBorder="1"/>
    <xf numFmtId="0" fontId="75" fillId="0" borderId="56" xfId="0" applyFont="1" applyFill="1" applyBorder="1"/>
    <xf numFmtId="0" fontId="75" fillId="0" borderId="59" xfId="0" applyFont="1" applyFill="1" applyBorder="1"/>
    <xf numFmtId="0" fontId="75" fillId="0" borderId="39" xfId="0" applyFont="1" applyFill="1" applyBorder="1"/>
    <xf numFmtId="0" fontId="61" fillId="0" borderId="0" xfId="0" applyFont="1" applyFill="1" applyAlignment="1">
      <alignment horizontal="right" vertical="center" wrapText="1"/>
    </xf>
    <xf numFmtId="0" fontId="75" fillId="0" borderId="0" xfId="0" applyFont="1" applyFill="1" applyBorder="1"/>
    <xf numFmtId="0" fontId="75" fillId="0" borderId="60" xfId="0" applyFont="1" applyFill="1" applyBorder="1"/>
    <xf numFmtId="0" fontId="75" fillId="0" borderId="20" xfId="0" applyFont="1" applyBorder="1" applyAlignment="1"/>
    <xf numFmtId="0" fontId="75" fillId="0" borderId="0" xfId="0" applyFont="1" applyFill="1" applyBorder="1" applyAlignment="1">
      <alignment horizontal="right"/>
    </xf>
    <xf numFmtId="0" fontId="85" fillId="0" borderId="39" xfId="0" applyFont="1" applyFill="1" applyBorder="1"/>
    <xf numFmtId="43" fontId="6" fillId="12" borderId="20" xfId="1" applyFont="1" applyFill="1" applyBorder="1" applyAlignment="1">
      <alignment horizontal="center"/>
    </xf>
    <xf numFmtId="43" fontId="75" fillId="0" borderId="0" xfId="1" applyFont="1" applyFill="1" applyBorder="1" applyAlignment="1">
      <alignment horizontal="right"/>
    </xf>
    <xf numFmtId="43" fontId="75" fillId="0" borderId="0" xfId="1" applyFont="1" applyFill="1" applyBorder="1" applyAlignment="1">
      <alignment horizontal="center"/>
    </xf>
    <xf numFmtId="171" fontId="6" fillId="0" borderId="0" xfId="0" applyNumberFormat="1" applyFont="1" applyFill="1" applyBorder="1" applyAlignment="1">
      <alignment horizontal="center"/>
    </xf>
    <xf numFmtId="0" fontId="85" fillId="0" borderId="60" xfId="0" applyFont="1" applyFill="1" applyBorder="1"/>
    <xf numFmtId="0" fontId="7" fillId="0" borderId="20" xfId="13" applyFont="1" applyFill="1" applyBorder="1" applyAlignment="1">
      <alignment horizontal="left" vertical="center" wrapText="1" indent="1"/>
    </xf>
    <xf numFmtId="0" fontId="85" fillId="0" borderId="0" xfId="0" applyFont="1" applyFill="1" applyAlignment="1">
      <alignment horizontal="right" vertical="center" wrapText="1"/>
    </xf>
    <xf numFmtId="2" fontId="7" fillId="0" borderId="0" xfId="0" applyNumberFormat="1" applyFont="1" applyFill="1" applyAlignment="1">
      <alignment horizontal="right"/>
    </xf>
    <xf numFmtId="43" fontId="75" fillId="0" borderId="0" xfId="1" applyFont="1" applyFill="1" applyBorder="1"/>
    <xf numFmtId="43" fontId="75" fillId="0" borderId="0" xfId="1" applyFont="1" applyFill="1" applyBorder="1" applyAlignment="1"/>
    <xf numFmtId="43" fontId="75" fillId="0" borderId="0" xfId="1" applyFont="1" applyFill="1" applyBorder="1" applyAlignment="1">
      <alignment horizontal="right" vertical="center"/>
    </xf>
    <xf numFmtId="43" fontId="75" fillId="0" borderId="20" xfId="1" applyFont="1" applyFill="1" applyBorder="1" applyAlignment="1">
      <alignment horizontal="center"/>
    </xf>
    <xf numFmtId="43" fontId="75" fillId="0" borderId="20" xfId="1" applyFont="1" applyFill="1" applyBorder="1" applyAlignment="1">
      <alignment horizontal="right"/>
    </xf>
    <xf numFmtId="0" fontId="6" fillId="0" borderId="20" xfId="13" applyFont="1" applyFill="1" applyBorder="1" applyAlignment="1">
      <alignment horizontal="left" vertical="center" wrapText="1" indent="7"/>
    </xf>
    <xf numFmtId="171" fontId="75" fillId="0" borderId="0" xfId="0" applyNumberFormat="1" applyFont="1" applyFill="1" applyBorder="1" applyAlignment="1">
      <alignment horizontal="center"/>
    </xf>
    <xf numFmtId="171" fontId="75" fillId="0" borderId="0" xfId="0" applyNumberFormat="1" applyFont="1" applyFill="1" applyBorder="1"/>
    <xf numFmtId="0" fontId="85" fillId="0" borderId="0" xfId="0" applyFont="1" applyFill="1" applyBorder="1"/>
    <xf numFmtId="43" fontId="85" fillId="0" borderId="0" xfId="0" applyNumberFormat="1" applyFont="1" applyFill="1" applyBorder="1"/>
    <xf numFmtId="0" fontId="6" fillId="0" borderId="20" xfId="13" applyFont="1" applyFill="1" applyBorder="1" applyAlignment="1">
      <alignment horizontal="left" vertical="center" wrapText="1" indent="4"/>
    </xf>
    <xf numFmtId="182" fontId="6" fillId="0" borderId="25" xfId="13" applyNumberFormat="1" applyFont="1" applyFill="1" applyBorder="1" applyAlignment="1">
      <alignment vertical="center"/>
    </xf>
    <xf numFmtId="43" fontId="6" fillId="0" borderId="16" xfId="13" applyNumberFormat="1" applyFont="1" applyFill="1" applyBorder="1" applyAlignment="1">
      <alignment vertical="center"/>
    </xf>
    <xf numFmtId="2" fontId="85" fillId="0" borderId="0" xfId="0" applyNumberFormat="1" applyFont="1" applyFill="1"/>
    <xf numFmtId="43" fontId="6" fillId="0" borderId="25" xfId="13" applyNumberFormat="1" applyFont="1" applyFill="1" applyBorder="1" applyAlignment="1">
      <alignment vertical="center"/>
    </xf>
    <xf numFmtId="0" fontId="6" fillId="0" borderId="20" xfId="13" applyFont="1" applyFill="1" applyBorder="1" applyAlignment="1">
      <alignment horizontal="left" vertical="center" wrapText="1" indent="13"/>
    </xf>
    <xf numFmtId="0" fontId="62" fillId="0" borderId="0" xfId="0" applyFont="1" applyFill="1" applyBorder="1"/>
    <xf numFmtId="0" fontId="62" fillId="0" borderId="0" xfId="0" applyFont="1" applyFill="1" applyBorder="1" applyAlignment="1">
      <alignment horizontal="right" vertical="center"/>
    </xf>
    <xf numFmtId="0" fontId="62" fillId="0" borderId="0" xfId="0" applyFont="1" applyFill="1" applyBorder="1" applyAlignment="1">
      <alignment horizontal="right"/>
    </xf>
    <xf numFmtId="43" fontId="7" fillId="0" borderId="16" xfId="13" applyNumberFormat="1" applyFont="1" applyFill="1" applyBorder="1" applyAlignment="1">
      <alignment vertical="center"/>
    </xf>
    <xf numFmtId="43" fontId="7" fillId="0" borderId="25" xfId="13" applyNumberFormat="1" applyFont="1" applyFill="1" applyBorder="1" applyAlignment="1">
      <alignment vertical="center"/>
    </xf>
    <xf numFmtId="171" fontId="85" fillId="0" borderId="0" xfId="0" applyNumberFormat="1" applyFont="1" applyFill="1" applyBorder="1" applyAlignment="1">
      <alignment horizontal="right"/>
    </xf>
    <xf numFmtId="0" fontId="75" fillId="0" borderId="0" xfId="0" applyFont="1" applyBorder="1" applyAlignment="1">
      <alignment horizontal="center" vertical="center" wrapText="1"/>
    </xf>
    <xf numFmtId="0" fontId="61" fillId="0" borderId="39" xfId="0" applyFont="1" applyBorder="1"/>
    <xf numFmtId="0" fontId="61" fillId="0" borderId="0" xfId="0" applyFont="1" applyBorder="1"/>
    <xf numFmtId="0" fontId="61" fillId="0" borderId="60" xfId="0" applyFont="1" applyBorder="1"/>
    <xf numFmtId="0" fontId="6" fillId="0" borderId="16" xfId="13" applyFont="1" applyFill="1" applyBorder="1" applyAlignment="1">
      <alignment vertical="center"/>
    </xf>
    <xf numFmtId="0" fontId="6" fillId="0" borderId="25" xfId="13" applyFont="1" applyFill="1" applyBorder="1" applyAlignment="1">
      <alignment vertical="center"/>
    </xf>
    <xf numFmtId="43" fontId="6" fillId="0" borderId="20" xfId="1" applyFont="1" applyFill="1" applyBorder="1" applyAlignment="1">
      <alignment horizontal="center" vertical="center"/>
    </xf>
    <xf numFmtId="0" fontId="85" fillId="0" borderId="58" xfId="0" applyFont="1" applyFill="1" applyBorder="1"/>
    <xf numFmtId="0" fontId="85" fillId="0" borderId="56" xfId="0" applyFont="1" applyFill="1" applyBorder="1"/>
    <xf numFmtId="0" fontId="85" fillId="0" borderId="59" xfId="0" applyFont="1" applyFill="1" applyBorder="1"/>
    <xf numFmtId="182" fontId="6" fillId="0" borderId="16" xfId="13" applyNumberFormat="1" applyFont="1" applyFill="1" applyBorder="1" applyAlignment="1">
      <alignment horizontal="center" vertical="center"/>
    </xf>
    <xf numFmtId="0" fontId="6" fillId="0" borderId="5" xfId="0" applyFont="1" applyBorder="1" applyAlignment="1">
      <alignment horizontal="left" wrapText="1"/>
    </xf>
    <xf numFmtId="0" fontId="61" fillId="0" borderId="0" xfId="0" applyFont="1" applyBorder="1" applyAlignment="1">
      <alignment horizontal="right" vertical="center"/>
    </xf>
    <xf numFmtId="0" fontId="6" fillId="0" borderId="0" xfId="0" applyFont="1" applyBorder="1" applyAlignment="1">
      <alignment horizontal="left" vertical="center"/>
    </xf>
    <xf numFmtId="0" fontId="6" fillId="0" borderId="5" xfId="0" applyFont="1" applyBorder="1" applyAlignment="1">
      <alignment horizontal="center" wrapText="1"/>
    </xf>
    <xf numFmtId="0" fontId="6" fillId="0" borderId="20" xfId="13" applyFont="1" applyFill="1" applyBorder="1" applyAlignment="1">
      <alignment horizontal="left" vertical="center" wrapText="1" indent="14"/>
    </xf>
    <xf numFmtId="43" fontId="6" fillId="0" borderId="20" xfId="13" applyNumberFormat="1" applyFont="1" applyFill="1" applyBorder="1" applyAlignment="1">
      <alignment horizontal="right" vertical="center"/>
    </xf>
    <xf numFmtId="2" fontId="75" fillId="0" borderId="20" xfId="3" applyNumberFormat="1" applyFont="1" applyFill="1" applyBorder="1" applyAlignment="1">
      <alignment horizontal="center" vertical="top"/>
    </xf>
    <xf numFmtId="2" fontId="85" fillId="0" borderId="20" xfId="3" applyNumberFormat="1" applyFont="1" applyFill="1" applyBorder="1" applyAlignment="1">
      <alignment horizontal="center" vertical="center" wrapText="1"/>
    </xf>
    <xf numFmtId="0" fontId="85" fillId="0" borderId="20" xfId="13" applyFont="1" applyFill="1" applyBorder="1" applyAlignment="1">
      <alignment horizontal="center" vertical="center"/>
    </xf>
    <xf numFmtId="0" fontId="85" fillId="0" borderId="20" xfId="0" applyFont="1" applyFill="1" applyBorder="1" applyAlignment="1">
      <alignment wrapText="1"/>
    </xf>
    <xf numFmtId="0" fontId="6" fillId="0" borderId="58" xfId="0" applyFont="1" applyBorder="1"/>
    <xf numFmtId="0" fontId="6" fillId="0" borderId="56" xfId="0" applyFont="1" applyBorder="1"/>
    <xf numFmtId="0" fontId="6" fillId="0" borderId="59" xfId="0" applyFont="1" applyBorder="1"/>
    <xf numFmtId="43" fontId="75" fillId="0" borderId="20" xfId="13" applyNumberFormat="1" applyFont="1" applyFill="1" applyBorder="1" applyAlignment="1">
      <alignment horizontal="center" vertical="center"/>
    </xf>
    <xf numFmtId="43" fontId="85" fillId="0" borderId="20" xfId="13" applyNumberFormat="1" applyFont="1" applyFill="1" applyBorder="1" applyAlignment="1">
      <alignment horizontal="center" vertical="center"/>
    </xf>
    <xf numFmtId="0" fontId="6" fillId="0" borderId="20" xfId="13" applyFont="1" applyFill="1" applyBorder="1" applyAlignment="1">
      <alignment horizontal="center" vertical="center" wrapText="1"/>
    </xf>
    <xf numFmtId="0" fontId="75" fillId="0" borderId="20" xfId="13" applyFont="1" applyFill="1" applyBorder="1" applyAlignment="1">
      <alignment horizontal="center" vertical="center"/>
    </xf>
    <xf numFmtId="0" fontId="7" fillId="0" borderId="20" xfId="0" applyFont="1" applyBorder="1" applyAlignment="1">
      <alignment vertical="center" wrapText="1"/>
    </xf>
    <xf numFmtId="0" fontId="6" fillId="0" borderId="20" xfId="0" applyFont="1" applyBorder="1"/>
    <xf numFmtId="0" fontId="7" fillId="0" borderId="0" xfId="0" applyFont="1"/>
    <xf numFmtId="0" fontId="7" fillId="0" borderId="20" xfId="13" applyFont="1" applyFill="1" applyBorder="1"/>
    <xf numFmtId="0" fontId="7" fillId="0" borderId="20" xfId="13" applyFont="1" applyFill="1" applyBorder="1" applyAlignment="1">
      <alignment horizontal="center"/>
    </xf>
    <xf numFmtId="43" fontId="6" fillId="0" borderId="20" xfId="1" applyNumberFormat="1" applyFont="1" applyFill="1" applyBorder="1" applyAlignment="1">
      <alignment horizontal="center"/>
    </xf>
    <xf numFmtId="43" fontId="6" fillId="0" borderId="20" xfId="13" applyNumberFormat="1" applyFont="1" applyFill="1" applyBorder="1" applyAlignment="1">
      <alignment horizontal="center"/>
    </xf>
    <xf numFmtId="0" fontId="6" fillId="0" borderId="20" xfId="13" applyFont="1" applyFill="1" applyBorder="1"/>
    <xf numFmtId="0" fontId="7" fillId="0" borderId="20" xfId="13" applyFont="1" applyFill="1" applyBorder="1" applyAlignment="1">
      <alignment vertical="center"/>
    </xf>
    <xf numFmtId="0" fontId="6" fillId="0" borderId="20" xfId="13" applyFont="1" applyFill="1" applyBorder="1" applyAlignment="1">
      <alignment horizontal="right" wrapText="1"/>
    </xf>
    <xf numFmtId="43" fontId="6" fillId="0" borderId="16" xfId="13" applyNumberFormat="1" applyFont="1" applyFill="1" applyBorder="1" applyAlignment="1">
      <alignment horizontal="center"/>
    </xf>
    <xf numFmtId="43" fontId="6" fillId="0" borderId="17" xfId="13" applyNumberFormat="1" applyFont="1" applyFill="1" applyBorder="1" applyAlignment="1">
      <alignment horizontal="center"/>
    </xf>
    <xf numFmtId="43" fontId="6" fillId="0" borderId="25" xfId="13" applyNumberFormat="1" applyFont="1" applyFill="1" applyBorder="1" applyAlignment="1">
      <alignment horizontal="center"/>
    </xf>
    <xf numFmtId="184" fontId="6" fillId="0" borderId="20" xfId="13" applyNumberFormat="1" applyFont="1" applyFill="1" applyBorder="1" applyAlignment="1">
      <alignment vertical="center"/>
    </xf>
    <xf numFmtId="184" fontId="6" fillId="0" borderId="20" xfId="13" applyNumberFormat="1" applyFont="1" applyFill="1" applyBorder="1" applyAlignment="1">
      <alignment horizontal="center" vertical="center"/>
    </xf>
    <xf numFmtId="176" fontId="7" fillId="0" borderId="20" xfId="13" applyNumberFormat="1" applyFont="1" applyFill="1" applyBorder="1" applyAlignment="1">
      <alignment horizontal="left" wrapText="1"/>
    </xf>
    <xf numFmtId="43" fontId="6" fillId="0" borderId="20" xfId="3" applyNumberFormat="1" applyFont="1" applyFill="1" applyBorder="1" applyAlignment="1">
      <alignment horizontal="center" vertical="center"/>
    </xf>
    <xf numFmtId="2" fontId="6" fillId="0" borderId="20" xfId="3" applyNumberFormat="1" applyFont="1" applyFill="1" applyBorder="1" applyAlignment="1">
      <alignment horizontal="center" vertical="center" wrapText="1"/>
    </xf>
    <xf numFmtId="0" fontId="61" fillId="0" borderId="20" xfId="13" applyFont="1" applyFill="1" applyBorder="1" applyAlignment="1">
      <alignment horizontal="center" vertical="center"/>
    </xf>
    <xf numFmtId="43" fontId="6" fillId="0" borderId="0" xfId="0" applyNumberFormat="1" applyFont="1"/>
    <xf numFmtId="2" fontId="7" fillId="0" borderId="20" xfId="3" applyNumberFormat="1" applyFont="1" applyFill="1" applyBorder="1" applyAlignment="1">
      <alignment horizontal="center" vertical="top" wrapText="1"/>
    </xf>
    <xf numFmtId="0" fontId="7" fillId="0" borderId="20" xfId="0" applyFont="1" applyFill="1" applyBorder="1" applyAlignment="1">
      <alignment horizontal="left" vertical="center" wrapText="1"/>
    </xf>
    <xf numFmtId="43" fontId="6" fillId="6" borderId="20" xfId="3" applyNumberFormat="1" applyFont="1" applyFill="1" applyBorder="1" applyAlignment="1">
      <alignment horizontal="left" vertical="top"/>
    </xf>
    <xf numFmtId="43" fontId="7" fillId="6" borderId="20" xfId="3" applyNumberFormat="1" applyFont="1" applyFill="1" applyBorder="1" applyAlignment="1">
      <alignment horizontal="left" vertical="center" wrapText="1"/>
    </xf>
    <xf numFmtId="43" fontId="6" fillId="0" borderId="20" xfId="3" applyNumberFormat="1" applyFont="1" applyFill="1" applyBorder="1" applyAlignment="1">
      <alignment horizontal="center" vertical="top"/>
    </xf>
    <xf numFmtId="43" fontId="7" fillId="0" borderId="20" xfId="3" applyNumberFormat="1" applyFont="1" applyFill="1" applyBorder="1" applyAlignment="1">
      <alignment horizontal="center" vertical="center" wrapText="1"/>
    </xf>
    <xf numFmtId="43" fontId="6" fillId="0" borderId="20" xfId="13" applyNumberFormat="1" applyFont="1" applyFill="1" applyBorder="1" applyAlignment="1">
      <alignment horizontal="left" vertical="center"/>
    </xf>
    <xf numFmtId="177" fontId="7" fillId="0" borderId="16" xfId="13" applyNumberFormat="1" applyFont="1" applyFill="1" applyBorder="1" applyAlignment="1">
      <alignment horizontal="center" vertical="center"/>
    </xf>
    <xf numFmtId="177" fontId="7" fillId="0" borderId="25" xfId="13" applyNumberFormat="1" applyFont="1" applyFill="1" applyBorder="1" applyAlignment="1">
      <alignment horizontal="center" vertical="center"/>
    </xf>
    <xf numFmtId="43" fontId="61" fillId="0" borderId="20" xfId="1" applyNumberFormat="1" applyFont="1" applyFill="1" applyBorder="1" applyAlignment="1">
      <alignment horizontal="center" vertical="center"/>
    </xf>
    <xf numFmtId="177" fontId="6" fillId="0" borderId="16" xfId="13" applyNumberFormat="1" applyFont="1" applyFill="1" applyBorder="1" applyAlignment="1">
      <alignment horizontal="center" vertical="center"/>
    </xf>
    <xf numFmtId="177" fontId="6" fillId="0" borderId="25" xfId="13" applyNumberFormat="1" applyFont="1" applyFill="1" applyBorder="1" applyAlignment="1">
      <alignment horizontal="center" vertical="center"/>
    </xf>
    <xf numFmtId="43" fontId="7" fillId="0" borderId="0" xfId="3" applyNumberFormat="1" applyFont="1" applyFill="1" applyBorder="1" applyAlignment="1">
      <alignment horizontal="center" vertical="center" wrapText="1"/>
    </xf>
    <xf numFmtId="0" fontId="75" fillId="0" borderId="20" xfId="0" applyFont="1" applyFill="1" applyBorder="1" applyAlignment="1">
      <alignment horizontal="justify" vertical="center" wrapText="1"/>
    </xf>
    <xf numFmtId="43" fontId="82" fillId="0" borderId="20" xfId="13" applyNumberFormat="1" applyFont="1" applyFill="1" applyBorder="1" applyAlignment="1">
      <alignment horizontal="center" vertical="center"/>
    </xf>
    <xf numFmtId="0" fontId="82" fillId="0" borderId="16" xfId="13" applyNumberFormat="1" applyFont="1" applyFill="1" applyBorder="1" applyAlignment="1">
      <alignment horizontal="center" vertical="center"/>
    </xf>
    <xf numFmtId="0" fontId="82" fillId="0" borderId="25" xfId="13" applyNumberFormat="1" applyFont="1" applyFill="1" applyBorder="1" applyAlignment="1">
      <alignment horizontal="center" vertical="center"/>
    </xf>
    <xf numFmtId="43" fontId="6" fillId="6" borderId="20" xfId="3" applyNumberFormat="1" applyFont="1" applyFill="1" applyBorder="1" applyAlignment="1">
      <alignment horizontal="center" vertical="center"/>
    </xf>
    <xf numFmtId="0" fontId="7" fillId="0" borderId="20" xfId="13" quotePrefix="1" applyFont="1" applyFill="1" applyBorder="1" applyAlignment="1">
      <alignment vertical="center" wrapText="1"/>
    </xf>
    <xf numFmtId="0" fontId="6" fillId="0" borderId="20" xfId="0" applyFont="1" applyFill="1" applyBorder="1" applyAlignment="1">
      <alignment horizontal="center" vertical="center" wrapText="1"/>
    </xf>
    <xf numFmtId="0" fontId="7" fillId="0" borderId="0" xfId="0" applyFont="1" applyAlignment="1">
      <alignment vertical="center" wrapText="1"/>
    </xf>
    <xf numFmtId="2" fontId="6" fillId="0" borderId="6" xfId="3" applyNumberFormat="1" applyFont="1" applyFill="1" applyBorder="1" applyAlignment="1">
      <alignment horizontal="center" vertical="top"/>
    </xf>
    <xf numFmtId="2" fontId="7" fillId="0" borderId="6" xfId="3" applyNumberFormat="1" applyFont="1" applyFill="1" applyBorder="1" applyAlignment="1">
      <alignment horizontal="center" vertical="center" wrapText="1"/>
    </xf>
    <xf numFmtId="0" fontId="6" fillId="0" borderId="6" xfId="13" applyFont="1" applyFill="1" applyBorder="1" applyAlignment="1">
      <alignment wrapText="1"/>
    </xf>
    <xf numFmtId="0" fontId="7" fillId="0" borderId="6" xfId="13" applyFont="1" applyFill="1" applyBorder="1" applyAlignment="1">
      <alignment vertical="center"/>
    </xf>
    <xf numFmtId="43" fontId="7" fillId="0" borderId="6" xfId="13" applyNumberFormat="1" applyFont="1" applyFill="1" applyBorder="1" applyAlignment="1">
      <alignment horizontal="center" vertical="center"/>
    </xf>
    <xf numFmtId="43" fontId="6" fillId="0" borderId="6" xfId="1" applyNumberFormat="1" applyFont="1" applyFill="1" applyBorder="1" applyAlignment="1">
      <alignment horizontal="center" vertical="center"/>
    </xf>
    <xf numFmtId="0" fontId="7" fillId="0" borderId="6" xfId="13" applyFont="1" applyFill="1" applyBorder="1" applyAlignment="1">
      <alignment horizontal="center" vertical="center"/>
    </xf>
    <xf numFmtId="0" fontId="7" fillId="0" borderId="6" xfId="13" applyFont="1" applyFill="1" applyBorder="1" applyAlignment="1">
      <alignment wrapText="1"/>
    </xf>
    <xf numFmtId="0" fontId="26" fillId="3" borderId="32" xfId="13" applyFont="1" applyFill="1" applyBorder="1" applyAlignment="1">
      <alignment horizontal="center" vertical="center" wrapText="1"/>
    </xf>
    <xf numFmtId="2" fontId="4" fillId="4" borderId="20" xfId="0" applyNumberFormat="1" applyFont="1" applyFill="1" applyBorder="1" applyAlignment="1">
      <alignment horizontal="center" vertical="top" wrapText="1"/>
    </xf>
    <xf numFmtId="0" fontId="4" fillId="0" borderId="0" xfId="13" applyAlignment="1">
      <alignment wrapText="1"/>
    </xf>
    <xf numFmtId="1" fontId="4" fillId="0" borderId="34" xfId="0" applyNumberFormat="1" applyFont="1" applyBorder="1" applyAlignment="1">
      <alignment horizontal="center" vertical="top" wrapText="1"/>
    </xf>
    <xf numFmtId="2" fontId="4" fillId="0" borderId="20" xfId="0" applyNumberFormat="1" applyFont="1" applyBorder="1" applyAlignment="1">
      <alignment wrapText="1"/>
    </xf>
    <xf numFmtId="2" fontId="4" fillId="0" borderId="20" xfId="0" applyNumberFormat="1" applyFont="1" applyBorder="1" applyAlignment="1">
      <alignment horizontal="center" vertical="top" wrapText="1"/>
    </xf>
    <xf numFmtId="43" fontId="4" fillId="16" borderId="35" xfId="1" applyFill="1" applyBorder="1" applyAlignment="1">
      <alignment horizontal="left" vertical="top" wrapText="1"/>
    </xf>
    <xf numFmtId="43" fontId="4" fillId="0" borderId="35" xfId="1" applyBorder="1" applyAlignment="1">
      <alignment horizontal="left" vertical="top" wrapText="1"/>
    </xf>
    <xf numFmtId="0" fontId="4" fillId="0" borderId="20" xfId="13" applyBorder="1" applyAlignment="1">
      <alignment wrapText="1"/>
    </xf>
    <xf numFmtId="2" fontId="4" fillId="0" borderId="20" xfId="0" applyNumberFormat="1" applyFont="1" applyBorder="1" applyAlignment="1">
      <alignment horizontal="left" wrapText="1"/>
    </xf>
    <xf numFmtId="1" fontId="4" fillId="0" borderId="36" xfId="0" applyNumberFormat="1" applyFont="1" applyBorder="1" applyAlignment="1">
      <alignment horizontal="center" vertical="top" wrapText="1"/>
    </xf>
    <xf numFmtId="2" fontId="4" fillId="0" borderId="37" xfId="0" applyNumberFormat="1" applyFont="1" applyBorder="1" applyAlignment="1">
      <alignment wrapText="1"/>
    </xf>
    <xf numFmtId="2" fontId="4" fillId="0" borderId="37" xfId="0" applyNumberFormat="1" applyFont="1" applyBorder="1" applyAlignment="1">
      <alignment horizontal="center" vertical="top" wrapText="1"/>
    </xf>
    <xf numFmtId="43" fontId="4" fillId="16" borderId="38" xfId="1" applyFill="1" applyBorder="1" applyAlignment="1">
      <alignment horizontal="left" vertical="top" wrapText="1"/>
    </xf>
    <xf numFmtId="1" fontId="4" fillId="0" borderId="0" xfId="13" applyNumberFormat="1" applyAlignment="1">
      <alignment wrapText="1"/>
    </xf>
    <xf numFmtId="43" fontId="4" fillId="0" borderId="0" xfId="1" applyAlignment="1">
      <alignment horizontal="left" wrapText="1"/>
    </xf>
    <xf numFmtId="43" fontId="4" fillId="0" borderId="35" xfId="1" applyBorder="1" applyAlignment="1">
      <alignment horizontal="left" vertical="center" wrapText="1"/>
    </xf>
    <xf numFmtId="0" fontId="4" fillId="4" borderId="0" xfId="13" applyFill="1" applyAlignment="1">
      <alignment wrapText="1"/>
    </xf>
    <xf numFmtId="0" fontId="4" fillId="0" borderId="37" xfId="13" applyBorder="1" applyAlignment="1">
      <alignment wrapText="1"/>
    </xf>
    <xf numFmtId="43" fontId="4" fillId="0" borderId="38" xfId="1" applyBorder="1" applyAlignment="1">
      <alignment wrapText="1"/>
    </xf>
    <xf numFmtId="43" fontId="4" fillId="0" borderId="0" xfId="1" applyAlignment="1">
      <alignment wrapText="1"/>
    </xf>
    <xf numFmtId="0" fontId="4" fillId="4" borderId="20" xfId="13" applyFill="1" applyBorder="1" applyAlignment="1">
      <alignment wrapText="1"/>
    </xf>
    <xf numFmtId="43" fontId="4" fillId="0" borderId="38" xfId="1" applyBorder="1" applyAlignment="1">
      <alignment horizontal="left" vertical="top" wrapText="1"/>
    </xf>
    <xf numFmtId="2" fontId="4" fillId="0" borderId="37" xfId="0" applyNumberFormat="1" applyFont="1" applyBorder="1" applyAlignment="1">
      <alignment vertical="center" wrapText="1"/>
    </xf>
    <xf numFmtId="1" fontId="23" fillId="0" borderId="34" xfId="13" applyNumberFormat="1" applyFont="1" applyBorder="1" applyAlignment="1">
      <alignment horizontal="center" vertical="center" wrapText="1"/>
    </xf>
    <xf numFmtId="0" fontId="23" fillId="0" borderId="20" xfId="13" applyFont="1" applyBorder="1" applyAlignment="1">
      <alignment vertical="center" wrapText="1"/>
    </xf>
    <xf numFmtId="0" fontId="23" fillId="0" borderId="20" xfId="13" applyFont="1" applyBorder="1" applyAlignment="1">
      <alignment horizontal="center" vertical="center" wrapText="1"/>
    </xf>
    <xf numFmtId="43" fontId="4" fillId="0" borderId="35" xfId="1" applyBorder="1" applyAlignment="1">
      <alignment horizontal="left" wrapText="1"/>
    </xf>
    <xf numFmtId="1" fontId="4" fillId="0" borderId="34" xfId="0" applyNumberFormat="1" applyFont="1" applyBorder="1" applyAlignment="1">
      <alignment horizontal="left" vertical="top" wrapText="1"/>
    </xf>
    <xf numFmtId="2" fontId="4" fillId="0" borderId="20" xfId="0" applyNumberFormat="1" applyFont="1" applyBorder="1" applyAlignment="1">
      <alignment horizontal="left" vertical="top" wrapText="1"/>
    </xf>
    <xf numFmtId="1" fontId="4" fillId="0" borderId="36" xfId="0" applyNumberFormat="1" applyFont="1" applyBorder="1" applyAlignment="1">
      <alignment horizontal="left" vertical="top" wrapText="1"/>
    </xf>
    <xf numFmtId="2" fontId="4" fillId="0" borderId="37" xfId="0" applyNumberFormat="1" applyFont="1" applyBorder="1" applyAlignment="1">
      <alignment horizontal="left" wrapText="1"/>
    </xf>
    <xf numFmtId="2" fontId="4" fillId="0" borderId="37" xfId="0" applyNumberFormat="1" applyFont="1" applyBorder="1" applyAlignment="1">
      <alignment horizontal="left" vertical="top" wrapText="1"/>
    </xf>
    <xf numFmtId="0" fontId="23" fillId="0" borderId="20" xfId="13" quotePrefix="1" applyFont="1" applyBorder="1" applyAlignment="1">
      <alignment vertical="center" wrapText="1"/>
    </xf>
    <xf numFmtId="1" fontId="4" fillId="4" borderId="0" xfId="0" applyNumberFormat="1" applyFont="1" applyFill="1" applyAlignment="1">
      <alignment horizontal="center" vertical="top" wrapText="1"/>
    </xf>
    <xf numFmtId="2" fontId="4" fillId="4" borderId="0" xfId="0" applyNumberFormat="1" applyFont="1" applyFill="1" applyAlignment="1">
      <alignment wrapText="1"/>
    </xf>
    <xf numFmtId="2" fontId="4" fillId="4" borderId="0" xfId="0" applyNumberFormat="1" applyFont="1" applyFill="1" applyAlignment="1">
      <alignment horizontal="center" vertical="top" wrapText="1"/>
    </xf>
    <xf numFmtId="43" fontId="4" fillId="0" borderId="0" xfId="1" applyAlignment="1">
      <alignment horizontal="left" vertical="top" wrapText="1"/>
    </xf>
    <xf numFmtId="43" fontId="4" fillId="0" borderId="35" xfId="1" applyBorder="1" applyAlignment="1">
      <alignment horizontal="right" wrapText="1"/>
    </xf>
    <xf numFmtId="1" fontId="23" fillId="0" borderId="36" xfId="13" applyNumberFormat="1" applyFont="1" applyBorder="1" applyAlignment="1">
      <alignment horizontal="center" vertical="center" wrapText="1"/>
    </xf>
    <xf numFmtId="0" fontId="23" fillId="0" borderId="37" xfId="13" applyFont="1" applyBorder="1" applyAlignment="1">
      <alignment vertical="center" wrapText="1"/>
    </xf>
    <xf numFmtId="0" fontId="23" fillId="0" borderId="37" xfId="13" applyFont="1" applyBorder="1" applyAlignment="1">
      <alignment horizontal="center" vertical="center" wrapText="1"/>
    </xf>
    <xf numFmtId="43" fontId="4" fillId="0" borderId="38" xfId="1" applyBorder="1" applyAlignment="1">
      <alignment horizontal="right" wrapText="1"/>
    </xf>
    <xf numFmtId="1" fontId="23" fillId="0" borderId="0" xfId="13" applyNumberFormat="1" applyFont="1" applyAlignment="1">
      <alignment horizontal="center" vertical="center" wrapText="1"/>
    </xf>
    <xf numFmtId="0" fontId="23" fillId="0" borderId="0" xfId="13" applyFont="1" applyAlignment="1">
      <alignment vertical="center" wrapText="1"/>
    </xf>
    <xf numFmtId="0" fontId="23" fillId="0" borderId="0" xfId="13" applyFont="1" applyAlignment="1">
      <alignment horizontal="center" vertical="center" wrapText="1"/>
    </xf>
    <xf numFmtId="43" fontId="4" fillId="0" borderId="0" xfId="1" applyAlignment="1">
      <alignment horizontal="right" wrapText="1"/>
    </xf>
    <xf numFmtId="0" fontId="4" fillId="0" borderId="0" xfId="0" applyFont="1"/>
    <xf numFmtId="187" fontId="6" fillId="0" borderId="20" xfId="3" applyNumberFormat="1" applyFont="1" applyFill="1" applyBorder="1" applyAlignment="1"/>
    <xf numFmtId="43" fontId="4" fillId="0" borderId="20" xfId="0" applyNumberFormat="1" applyFont="1" applyBorder="1" applyAlignment="1">
      <alignment vertical="center" wrapText="1"/>
    </xf>
    <xf numFmtId="43" fontId="4" fillId="0" borderId="37" xfId="0" applyNumberFormat="1" applyFont="1" applyBorder="1" applyAlignment="1">
      <alignment vertical="center" wrapText="1"/>
    </xf>
    <xf numFmtId="0" fontId="24" fillId="0" borderId="45" xfId="0" applyFont="1" applyBorder="1" applyAlignment="1">
      <alignment horizontal="center" vertical="center"/>
    </xf>
    <xf numFmtId="0" fontId="24" fillId="0" borderId="46" xfId="0" applyFont="1" applyBorder="1" applyAlignment="1">
      <alignment horizontal="center" vertical="center"/>
    </xf>
    <xf numFmtId="43" fontId="24" fillId="0" borderId="46" xfId="1" applyFont="1" applyBorder="1" applyAlignment="1">
      <alignment horizontal="center" vertical="center"/>
    </xf>
    <xf numFmtId="0" fontId="24" fillId="0" borderId="47" xfId="0" applyFont="1" applyBorder="1" applyAlignment="1">
      <alignment horizontal="center" vertical="center"/>
    </xf>
    <xf numFmtId="0" fontId="4" fillId="0" borderId="31" xfId="0" applyFont="1" applyBorder="1" applyAlignment="1">
      <alignment vertical="center"/>
    </xf>
    <xf numFmtId="0" fontId="4" fillId="0" borderId="32" xfId="0" applyFont="1" applyBorder="1" applyAlignment="1">
      <alignment vertical="center"/>
    </xf>
    <xf numFmtId="43" fontId="4" fillId="0" borderId="32" xfId="1" applyFont="1" applyBorder="1" applyAlignment="1">
      <alignment vertical="center"/>
    </xf>
    <xf numFmtId="43" fontId="4" fillId="0" borderId="32" xfId="0" applyNumberFormat="1" applyFont="1" applyBorder="1" applyAlignment="1">
      <alignment vertical="center" wrapText="1"/>
    </xf>
    <xf numFmtId="0" fontId="4" fillId="0" borderId="33" xfId="0" applyFont="1" applyBorder="1" applyAlignment="1">
      <alignment vertical="center"/>
    </xf>
    <xf numFmtId="0" fontId="4" fillId="0" borderId="0" xfId="0" applyFont="1"/>
    <xf numFmtId="43" fontId="71" fillId="0" borderId="0" xfId="34" applyNumberFormat="1" applyFill="1"/>
    <xf numFmtId="43" fontId="71" fillId="0" borderId="0" xfId="34" applyNumberFormat="1" applyFill="1" applyBorder="1"/>
    <xf numFmtId="0" fontId="50" fillId="0" borderId="0" xfId="24" applyFont="1" applyFill="1" applyBorder="1" applyAlignment="1">
      <alignment horizontal="right"/>
    </xf>
    <xf numFmtId="0" fontId="50" fillId="0" borderId="0" xfId="24" quotePrefix="1" applyFont="1" applyFill="1" applyBorder="1" applyAlignment="1">
      <alignment horizontal="left" vertical="top"/>
    </xf>
    <xf numFmtId="170" fontId="50" fillId="0" borderId="18" xfId="1" applyNumberFormat="1" applyFont="1" applyFill="1" applyBorder="1" applyAlignment="1">
      <alignment horizontal="right" vertical="center"/>
    </xf>
    <xf numFmtId="0" fontId="50" fillId="0" borderId="26" xfId="24" applyFont="1" applyFill="1" applyBorder="1" applyAlignment="1">
      <alignment horizontal="center" vertical="center"/>
    </xf>
    <xf numFmtId="0" fontId="50" fillId="0" borderId="7" xfId="24" applyFont="1" applyFill="1" applyBorder="1" applyAlignment="1">
      <alignment horizontal="center" vertical="center"/>
    </xf>
    <xf numFmtId="0" fontId="50" fillId="0" borderId="0" xfId="24" applyFont="1" applyFill="1" applyBorder="1" applyAlignment="1">
      <alignment horizontal="center" vertical="center"/>
    </xf>
    <xf numFmtId="0" fontId="71" fillId="0" borderId="0" xfId="34" applyFill="1" applyAlignment="1">
      <alignment horizontal="right"/>
    </xf>
    <xf numFmtId="0" fontId="50" fillId="0" borderId="0" xfId="24" applyFont="1" applyFill="1" applyAlignment="1">
      <alignment horizontal="right"/>
    </xf>
    <xf numFmtId="0" fontId="50" fillId="0" borderId="3" xfId="24" applyFont="1" applyFill="1" applyBorder="1" applyAlignment="1">
      <alignment vertical="center"/>
    </xf>
    <xf numFmtId="0" fontId="50" fillId="0" borderId="14" xfId="24" applyFont="1" applyFill="1" applyBorder="1" applyAlignment="1">
      <alignment horizontal="center" vertical="center"/>
    </xf>
    <xf numFmtId="166" fontId="50" fillId="0" borderId="14" xfId="1" applyNumberFormat="1" applyFont="1" applyFill="1" applyBorder="1" applyAlignment="1">
      <alignment vertical="center"/>
    </xf>
    <xf numFmtId="43" fontId="50" fillId="0" borderId="14" xfId="1" applyFont="1" applyFill="1" applyBorder="1" applyAlignment="1">
      <alignment vertical="center"/>
    </xf>
    <xf numFmtId="43" fontId="50" fillId="0" borderId="15" xfId="1" applyFont="1" applyFill="1" applyBorder="1" applyAlignment="1">
      <alignment vertical="center"/>
    </xf>
    <xf numFmtId="0" fontId="51" fillId="0" borderId="0" xfId="12" applyFont="1" applyFill="1" applyAlignment="1">
      <alignment horizontal="left" wrapText="1"/>
    </xf>
    <xf numFmtId="0" fontId="50" fillId="0" borderId="1" xfId="24" applyFont="1" applyFill="1" applyBorder="1"/>
    <xf numFmtId="187" fontId="50" fillId="0" borderId="12" xfId="1" applyNumberFormat="1" applyFont="1" applyFill="1" applyBorder="1" applyAlignment="1">
      <alignment vertical="center"/>
    </xf>
    <xf numFmtId="0" fontId="50" fillId="0" borderId="5" xfId="24" applyFont="1" applyFill="1" applyBorder="1" applyAlignment="1">
      <alignment horizontal="left" vertical="center"/>
    </xf>
    <xf numFmtId="0" fontId="51" fillId="0" borderId="0" xfId="24" applyFont="1" applyFill="1" applyAlignment="1">
      <alignment horizontal="right"/>
    </xf>
    <xf numFmtId="0" fontId="60" fillId="0" borderId="0" xfId="23" applyFont="1" applyFill="1" applyAlignment="1">
      <alignment horizontal="center" vertical="center"/>
    </xf>
    <xf numFmtId="43" fontId="4" fillId="0" borderId="20" xfId="1" applyFill="1" applyBorder="1" applyAlignment="1">
      <alignment vertical="center" wrapText="1"/>
    </xf>
    <xf numFmtId="43" fontId="5" fillId="0" borderId="20" xfId="23" applyNumberFormat="1" applyFont="1" applyFill="1" applyBorder="1" applyAlignment="1">
      <alignment vertical="center"/>
    </xf>
    <xf numFmtId="0" fontId="50" fillId="0" borderId="4" xfId="24" applyFont="1" applyFill="1" applyBorder="1" applyAlignment="1">
      <alignment horizontal="center" vertical="center"/>
    </xf>
    <xf numFmtId="0" fontId="50" fillId="0" borderId="3" xfId="24" applyFont="1" applyFill="1" applyBorder="1" applyAlignment="1">
      <alignment vertical="center"/>
    </xf>
    <xf numFmtId="0" fontId="6" fillId="0" borderId="20" xfId="23" quotePrefix="1" applyFont="1" applyBorder="1" applyAlignment="1">
      <alignment horizontal="center" vertical="top" wrapText="1"/>
    </xf>
    <xf numFmtId="0" fontId="6" fillId="0" borderId="20" xfId="23" quotePrefix="1" applyFont="1" applyBorder="1" applyAlignment="1">
      <alignment horizontal="center" vertical="center" wrapText="1"/>
    </xf>
    <xf numFmtId="0" fontId="6" fillId="0" borderId="20" xfId="23" applyFont="1" applyBorder="1" applyAlignment="1">
      <alignment horizontal="center" vertical="center" wrapText="1"/>
    </xf>
    <xf numFmtId="0" fontId="5" fillId="0" borderId="0" xfId="23" applyAlignment="1">
      <alignment vertical="center"/>
    </xf>
    <xf numFmtId="0" fontId="78" fillId="0" borderId="27" xfId="23" applyFont="1" applyBorder="1" applyAlignment="1">
      <alignment horizontal="left" vertical="center" indent="9"/>
    </xf>
    <xf numFmtId="43" fontId="6" fillId="0" borderId="20" xfId="13" applyNumberFormat="1" applyFont="1" applyFill="1" applyBorder="1" applyAlignment="1">
      <alignment horizontal="center" vertical="center"/>
    </xf>
    <xf numFmtId="2" fontId="7" fillId="0" borderId="79" xfId="31" applyNumberFormat="1" applyFont="1" applyBorder="1" applyAlignment="1">
      <alignment horizontal="center" vertical="center"/>
    </xf>
    <xf numFmtId="0" fontId="7" fillId="0" borderId="27" xfId="0" applyFont="1" applyBorder="1" applyAlignment="1">
      <alignment vertical="center" wrapText="1"/>
    </xf>
    <xf numFmtId="0" fontId="6" fillId="0" borderId="27" xfId="32" applyFont="1" applyBorder="1" applyAlignment="1">
      <alignment horizontal="center" vertical="center"/>
    </xf>
    <xf numFmtId="171" fontId="6" fillId="0" borderId="27" xfId="32" applyNumberFormat="1" applyFont="1" applyBorder="1" applyAlignment="1">
      <alignment horizontal="center"/>
    </xf>
    <xf numFmtId="171" fontId="6" fillId="0" borderId="27" xfId="31" applyNumberFormat="1" applyFont="1" applyBorder="1" applyAlignment="1">
      <alignment horizontal="center" vertical="center"/>
    </xf>
    <xf numFmtId="2" fontId="7" fillId="0" borderId="27" xfId="1" applyNumberFormat="1" applyFont="1" applyFill="1" applyBorder="1" applyAlignment="1">
      <alignment horizontal="right" vertical="center"/>
    </xf>
    <xf numFmtId="43" fontId="7" fillId="0" borderId="27" xfId="1" applyFont="1" applyFill="1" applyBorder="1" applyAlignment="1">
      <alignment horizontal="right"/>
    </xf>
    <xf numFmtId="0" fontId="7" fillId="0" borderId="80" xfId="0" applyFont="1" applyBorder="1"/>
    <xf numFmtId="0" fontId="7" fillId="0" borderId="81" xfId="31" applyFont="1" applyBorder="1" applyAlignment="1">
      <alignment horizontal="center" vertical="center"/>
    </xf>
    <xf numFmtId="0" fontId="7" fillId="0" borderId="19" xfId="0" applyFont="1" applyBorder="1" applyAlignment="1">
      <alignment vertical="center" wrapText="1"/>
    </xf>
    <xf numFmtId="0" fontId="6" fillId="0" borderId="19" xfId="32" applyFont="1" applyBorder="1" applyAlignment="1">
      <alignment vertical="top" wrapText="1"/>
    </xf>
    <xf numFmtId="0" fontId="6" fillId="0" borderId="19" xfId="32" applyFont="1" applyBorder="1" applyAlignment="1">
      <alignment horizontal="center" vertical="center"/>
    </xf>
    <xf numFmtId="171" fontId="6" fillId="0" borderId="19" xfId="32" applyNumberFormat="1" applyFont="1" applyBorder="1" applyAlignment="1">
      <alignment horizontal="center"/>
    </xf>
    <xf numFmtId="171" fontId="6" fillId="0" borderId="19" xfId="31" applyNumberFormat="1" applyFont="1" applyBorder="1" applyAlignment="1">
      <alignment horizontal="center" vertical="center"/>
    </xf>
    <xf numFmtId="2" fontId="6" fillId="0" borderId="19" xfId="1" applyNumberFormat="1" applyFont="1" applyFill="1" applyBorder="1" applyAlignment="1">
      <alignment horizontal="right" vertical="center"/>
    </xf>
    <xf numFmtId="43" fontId="7" fillId="0" borderId="19" xfId="1" applyFont="1" applyFill="1" applyBorder="1" applyAlignment="1">
      <alignment horizontal="right"/>
    </xf>
    <xf numFmtId="0" fontId="7" fillId="0" borderId="82" xfId="0" applyFont="1" applyBorder="1"/>
    <xf numFmtId="0" fontId="7" fillId="0" borderId="48" xfId="31" applyFont="1" applyBorder="1" applyAlignment="1">
      <alignment horizontal="center" vertical="center"/>
    </xf>
    <xf numFmtId="0" fontId="7" fillId="0" borderId="49" xfId="0" applyFont="1" applyBorder="1" applyAlignment="1">
      <alignment vertical="center" wrapText="1"/>
    </xf>
    <xf numFmtId="0" fontId="7" fillId="0" borderId="49" xfId="32" applyFont="1" applyBorder="1" applyAlignment="1">
      <alignment horizontal="right" vertical="top" wrapText="1"/>
    </xf>
    <xf numFmtId="1" fontId="6" fillId="0" borderId="49" xfId="32" applyNumberFormat="1" applyFont="1" applyBorder="1" applyAlignment="1">
      <alignment horizontal="center" vertical="center"/>
    </xf>
    <xf numFmtId="171" fontId="6" fillId="0" borderId="49" xfId="32" applyNumberFormat="1" applyFont="1" applyBorder="1" applyAlignment="1">
      <alignment horizontal="center"/>
    </xf>
    <xf numFmtId="171" fontId="6" fillId="0" borderId="49" xfId="31" applyNumberFormat="1" applyFont="1" applyBorder="1" applyAlignment="1">
      <alignment horizontal="center" vertical="center"/>
    </xf>
    <xf numFmtId="2" fontId="7" fillId="0" borderId="49" xfId="1" applyNumberFormat="1" applyFont="1" applyFill="1" applyBorder="1" applyAlignment="1">
      <alignment horizontal="right" vertical="center"/>
    </xf>
    <xf numFmtId="43" fontId="7" fillId="0" borderId="49" xfId="1" applyFont="1" applyFill="1" applyBorder="1" applyAlignment="1">
      <alignment horizontal="right"/>
    </xf>
    <xf numFmtId="0" fontId="7" fillId="0" borderId="50" xfId="0" applyFont="1" applyBorder="1"/>
    <xf numFmtId="0" fontId="4" fillId="0" borderId="27" xfId="18" applyFont="1" applyFill="1" applyBorder="1" applyAlignment="1">
      <alignment horizontal="center" vertical="center"/>
    </xf>
    <xf numFmtId="0" fontId="24" fillId="0" borderId="27" xfId="18" applyFont="1" applyFill="1" applyBorder="1" applyAlignment="1">
      <alignment horizontal="center" vertical="center" wrapText="1"/>
    </xf>
    <xf numFmtId="0" fontId="4" fillId="0" borderId="27" xfId="18" applyFont="1" applyFill="1" applyBorder="1" applyAlignment="1">
      <alignment vertical="center" wrapText="1"/>
    </xf>
    <xf numFmtId="43" fontId="4" fillId="0" borderId="27" xfId="18" applyNumberFormat="1" applyFont="1" applyFill="1" applyBorder="1" applyAlignment="1">
      <alignment horizontal="center" vertical="center"/>
    </xf>
    <xf numFmtId="43" fontId="4" fillId="0" borderId="27" xfId="18" applyNumberFormat="1" applyFont="1" applyFill="1" applyBorder="1" applyAlignment="1">
      <alignment vertical="center"/>
    </xf>
    <xf numFmtId="43" fontId="4" fillId="0" borderId="27" xfId="1" applyFont="1" applyFill="1" applyBorder="1" applyAlignment="1">
      <alignment horizontal="center" vertical="center" wrapText="1"/>
    </xf>
    <xf numFmtId="0" fontId="24" fillId="0" borderId="27" xfId="18" applyFont="1" applyFill="1" applyBorder="1" applyAlignment="1">
      <alignment vertical="center"/>
    </xf>
    <xf numFmtId="0" fontId="6" fillId="0" borderId="20" xfId="23" quotePrefix="1" applyFont="1" applyBorder="1" applyAlignment="1">
      <alignment horizontal="left" vertical="center" wrapText="1"/>
    </xf>
    <xf numFmtId="0" fontId="50" fillId="0" borderId="0" xfId="24" applyFont="1"/>
    <xf numFmtId="0" fontId="51" fillId="0" borderId="0" xfId="24" applyFont="1" applyAlignment="1">
      <alignment horizontal="right"/>
    </xf>
    <xf numFmtId="0" fontId="50" fillId="0" borderId="0" xfId="24" applyFont="1" applyAlignment="1">
      <alignment horizontal="left"/>
    </xf>
    <xf numFmtId="169" fontId="50" fillId="0" borderId="0" xfId="24" applyNumberFormat="1" applyFont="1" applyAlignment="1">
      <alignment horizontal="left"/>
    </xf>
    <xf numFmtId="0" fontId="50" fillId="0" borderId="0" xfId="0" applyFont="1"/>
    <xf numFmtId="0" fontId="50" fillId="0" borderId="0" xfId="24" applyFont="1" applyAlignment="1">
      <alignment vertical="center"/>
    </xf>
    <xf numFmtId="0" fontId="50" fillId="0" borderId="0" xfId="24" applyFont="1" applyAlignment="1">
      <alignment horizontal="right"/>
    </xf>
    <xf numFmtId="0" fontId="50" fillId="0" borderId="20" xfId="24" applyFont="1" applyBorder="1" applyAlignment="1">
      <alignment vertical="center"/>
    </xf>
    <xf numFmtId="0" fontId="50" fillId="0" borderId="6" xfId="24" applyFont="1" applyBorder="1" applyAlignment="1">
      <alignment horizontal="centerContinuous" vertical="center"/>
    </xf>
    <xf numFmtId="0" fontId="50" fillId="0" borderId="7" xfId="24" applyFont="1" applyBorder="1" applyAlignment="1">
      <alignment horizontal="centerContinuous" vertical="center"/>
    </xf>
    <xf numFmtId="0" fontId="50" fillId="0" borderId="4" xfId="24" applyFont="1" applyBorder="1" applyAlignment="1">
      <alignment horizontal="centerContinuous" vertical="center"/>
    </xf>
    <xf numFmtId="0" fontId="50" fillId="0" borderId="8" xfId="24" applyFont="1" applyBorder="1" applyAlignment="1">
      <alignment horizontal="center" vertical="center"/>
    </xf>
    <xf numFmtId="0" fontId="50" fillId="0" borderId="9" xfId="24" applyFont="1" applyBorder="1" applyAlignment="1">
      <alignment horizontal="center" vertical="center"/>
    </xf>
    <xf numFmtId="0" fontId="50" fillId="0" borderId="74" xfId="24" applyFont="1" applyBorder="1" applyAlignment="1">
      <alignment horizontal="center" vertical="center"/>
    </xf>
    <xf numFmtId="0" fontId="50" fillId="0" borderId="10" xfId="24" applyFont="1" applyBorder="1" applyAlignment="1">
      <alignment horizontal="center" vertical="center"/>
    </xf>
    <xf numFmtId="0" fontId="50" fillId="0" borderId="5" xfId="24" applyFont="1" applyBorder="1" applyAlignment="1">
      <alignment horizontal="left" vertical="center"/>
    </xf>
    <xf numFmtId="0" fontId="50" fillId="0" borderId="11" xfId="24" applyFont="1" applyBorder="1" applyAlignment="1">
      <alignment vertical="center"/>
    </xf>
    <xf numFmtId="0" fontId="50" fillId="0" borderId="5" xfId="24" applyFont="1" applyBorder="1" applyAlignment="1">
      <alignment vertical="center"/>
    </xf>
    <xf numFmtId="166" fontId="50" fillId="0" borderId="51" xfId="1" applyNumberFormat="1" applyFont="1" applyFill="1" applyBorder="1" applyAlignment="1">
      <alignment vertical="center"/>
    </xf>
    <xf numFmtId="0" fontId="50" fillId="0" borderId="2" xfId="24" applyFont="1" applyBorder="1" applyAlignment="1">
      <alignment vertical="center"/>
    </xf>
    <xf numFmtId="0" fontId="50" fillId="0" borderId="16" xfId="24" applyFont="1" applyBorder="1" applyAlignment="1">
      <alignment vertical="center"/>
    </xf>
    <xf numFmtId="0" fontId="50" fillId="0" borderId="17" xfId="24" applyFont="1" applyBorder="1" applyAlignment="1">
      <alignment vertical="center"/>
    </xf>
    <xf numFmtId="0" fontId="50" fillId="0" borderId="17" xfId="24" quotePrefix="1" applyFont="1" applyBorder="1" applyAlignment="1">
      <alignment horizontal="right" vertical="center"/>
    </xf>
    <xf numFmtId="0" fontId="50" fillId="0" borderId="17" xfId="24" applyFont="1" applyBorder="1" applyAlignment="1">
      <alignment horizontal="right" vertical="center"/>
    </xf>
    <xf numFmtId="0" fontId="51" fillId="0" borderId="0" xfId="24" applyFont="1"/>
    <xf numFmtId="0" fontId="50" fillId="0" borderId="0" xfId="24" quotePrefix="1" applyFont="1" applyAlignment="1">
      <alignment horizontal="right"/>
    </xf>
    <xf numFmtId="0" fontId="50" fillId="0" borderId="1" xfId="24" applyFont="1" applyBorder="1"/>
    <xf numFmtId="0" fontId="50" fillId="0" borderId="1" xfId="24" applyFont="1" applyBorder="1" applyAlignment="1">
      <alignment horizontal="right"/>
    </xf>
    <xf numFmtId="0" fontId="74" fillId="0" borderId="0" xfId="0" applyFont="1"/>
    <xf numFmtId="0" fontId="50" fillId="4" borderId="0" xfId="24" applyFont="1" applyFill="1" applyAlignment="1">
      <alignment horizontal="left"/>
    </xf>
    <xf numFmtId="0" fontId="50" fillId="4" borderId="0" xfId="24" applyFont="1" applyFill="1"/>
    <xf numFmtId="0" fontId="50" fillId="4" borderId="0" xfId="24" applyFont="1" applyFill="1" applyAlignment="1">
      <alignment horizontal="right"/>
    </xf>
    <xf numFmtId="0" fontId="50" fillId="4" borderId="0" xfId="24" quotePrefix="1" applyFont="1" applyFill="1" applyAlignment="1">
      <alignment horizontal="left"/>
    </xf>
    <xf numFmtId="0" fontId="50" fillId="4" borderId="0" xfId="0" applyFont="1" applyFill="1"/>
    <xf numFmtId="0" fontId="50" fillId="4" borderId="0" xfId="24" quotePrefix="1" applyFont="1" applyFill="1" applyAlignment="1">
      <alignment horizontal="left" vertical="top"/>
    </xf>
    <xf numFmtId="0" fontId="50" fillId="4" borderId="20" xfId="24" applyFont="1" applyFill="1" applyBorder="1" applyAlignment="1">
      <alignment vertical="center"/>
    </xf>
    <xf numFmtId="0" fontId="50" fillId="4" borderId="8" xfId="24" applyFont="1" applyFill="1" applyBorder="1" applyAlignment="1">
      <alignment horizontal="center" vertical="center"/>
    </xf>
    <xf numFmtId="0" fontId="50" fillId="4" borderId="9" xfId="24" applyFont="1" applyFill="1" applyBorder="1" applyAlignment="1">
      <alignment horizontal="center" vertical="center"/>
    </xf>
    <xf numFmtId="0" fontId="50" fillId="4" borderId="10" xfId="24" applyFont="1" applyFill="1" applyBorder="1" applyAlignment="1">
      <alignment horizontal="center" vertical="center"/>
    </xf>
    <xf numFmtId="0" fontId="50" fillId="4" borderId="4" xfId="24" applyFont="1" applyFill="1" applyBorder="1" applyAlignment="1">
      <alignment vertical="center"/>
    </xf>
    <xf numFmtId="0" fontId="50" fillId="4" borderId="11" xfId="24" applyFont="1" applyFill="1" applyBorder="1" applyAlignment="1">
      <alignment vertical="center"/>
    </xf>
    <xf numFmtId="0" fontId="50" fillId="4" borderId="12" xfId="24" applyFont="1" applyFill="1" applyBorder="1" applyAlignment="1">
      <alignment horizontal="center" vertical="center"/>
    </xf>
    <xf numFmtId="166" fontId="50" fillId="4" borderId="12" xfId="1" applyNumberFormat="1" applyFont="1" applyFill="1" applyBorder="1" applyAlignment="1">
      <alignment vertical="center"/>
    </xf>
    <xf numFmtId="43" fontId="50" fillId="4" borderId="12" xfId="1" applyFont="1" applyFill="1" applyBorder="1" applyAlignment="1">
      <alignment vertical="center"/>
    </xf>
    <xf numFmtId="43" fontId="50" fillId="4" borderId="13" xfId="1" applyFont="1" applyFill="1" applyBorder="1" applyAlignment="1">
      <alignment vertical="center"/>
    </xf>
    <xf numFmtId="0" fontId="50" fillId="4" borderId="5" xfId="24" applyFont="1" applyFill="1" applyBorder="1" applyAlignment="1">
      <alignment horizontal="left" vertical="center"/>
    </xf>
    <xf numFmtId="0" fontId="50" fillId="4" borderId="3" xfId="24" applyFont="1" applyFill="1" applyBorder="1" applyAlignment="1">
      <alignment vertical="center"/>
    </xf>
    <xf numFmtId="0" fontId="50" fillId="4" borderId="14" xfId="24" applyFont="1" applyFill="1" applyBorder="1" applyAlignment="1">
      <alignment horizontal="center" vertical="center"/>
    </xf>
    <xf numFmtId="166" fontId="50" fillId="4" borderId="14" xfId="1" applyNumberFormat="1" applyFont="1" applyFill="1" applyBorder="1" applyAlignment="1">
      <alignment vertical="center"/>
    </xf>
    <xf numFmtId="43" fontId="50" fillId="4" borderId="14" xfId="1" applyFont="1" applyFill="1" applyBorder="1" applyAlignment="1">
      <alignment vertical="center"/>
    </xf>
    <xf numFmtId="43" fontId="50" fillId="4" borderId="15" xfId="1" applyFont="1" applyFill="1" applyBorder="1" applyAlignment="1">
      <alignment vertical="center"/>
    </xf>
    <xf numFmtId="187" fontId="50" fillId="4" borderId="14" xfId="1" applyNumberFormat="1" applyFont="1" applyFill="1" applyBorder="1" applyAlignment="1">
      <alignment vertical="center"/>
    </xf>
    <xf numFmtId="0" fontId="50" fillId="4" borderId="16" xfId="24" applyFont="1" applyFill="1" applyBorder="1" applyAlignment="1">
      <alignment vertical="center"/>
    </xf>
    <xf numFmtId="0" fontId="50" fillId="4" borderId="17" xfId="24" applyFont="1" applyFill="1" applyBorder="1" applyAlignment="1">
      <alignment vertical="center"/>
    </xf>
    <xf numFmtId="0" fontId="50" fillId="4" borderId="17" xfId="24" quotePrefix="1" applyFont="1" applyFill="1" applyBorder="1" applyAlignment="1">
      <alignment horizontal="right" vertical="center"/>
    </xf>
    <xf numFmtId="43" fontId="50" fillId="4" borderId="18" xfId="1" applyFont="1" applyFill="1" applyBorder="1" applyAlignment="1">
      <alignment horizontal="right" vertical="center"/>
    </xf>
    <xf numFmtId="0" fontId="50" fillId="4" borderId="17" xfId="24" applyFont="1" applyFill="1" applyBorder="1" applyAlignment="1">
      <alignment horizontal="right" vertical="center"/>
    </xf>
    <xf numFmtId="0" fontId="50" fillId="4" borderId="0" xfId="24" quotePrefix="1" applyFont="1" applyFill="1" applyAlignment="1">
      <alignment horizontal="right"/>
    </xf>
    <xf numFmtId="43" fontId="50" fillId="4" borderId="0" xfId="1" applyFont="1" applyFill="1" applyBorder="1"/>
    <xf numFmtId="0" fontId="7" fillId="0" borderId="20" xfId="31" applyFont="1" applyFill="1" applyBorder="1" applyAlignment="1">
      <alignment horizontal="center" vertical="top" wrapText="1"/>
    </xf>
    <xf numFmtId="185" fontId="7" fillId="0" borderId="20" xfId="3" applyNumberFormat="1" applyFont="1" applyFill="1" applyBorder="1" applyAlignment="1">
      <alignment horizontal="center" vertical="center" wrapText="1"/>
    </xf>
    <xf numFmtId="0" fontId="86" fillId="0" borderId="0" xfId="0" applyFont="1" applyAlignment="1">
      <alignment horizontal="center" vertical="top"/>
    </xf>
    <xf numFmtId="43" fontId="4" fillId="0" borderId="20" xfId="1" applyFont="1" applyBorder="1" applyAlignment="1">
      <alignment vertical="center" wrapText="1"/>
    </xf>
    <xf numFmtId="43" fontId="4" fillId="0" borderId="37" xfId="1" applyFont="1" applyBorder="1" applyAlignment="1">
      <alignment vertical="center" wrapText="1"/>
    </xf>
    <xf numFmtId="0" fontId="4" fillId="0" borderId="20" xfId="18" applyFont="1" applyBorder="1" applyAlignment="1">
      <alignment horizontal="center" vertical="center"/>
    </xf>
    <xf numFmtId="43" fontId="4" fillId="0" borderId="20" xfId="18" applyNumberFormat="1" applyFont="1" applyBorder="1" applyAlignment="1">
      <alignment horizontal="center" vertical="center"/>
    </xf>
    <xf numFmtId="0" fontId="4" fillId="0" borderId="20" xfId="19" applyBorder="1" applyAlignment="1">
      <alignment horizontal="justify" vertical="center" wrapText="1"/>
    </xf>
    <xf numFmtId="0" fontId="4" fillId="0" borderId="20" xfId="0" applyFont="1" applyBorder="1" applyAlignment="1">
      <alignment horizontal="justify" vertical="center" wrapText="1"/>
    </xf>
    <xf numFmtId="0" fontId="6" fillId="0" borderId="20" xfId="13" applyFont="1" applyFill="1" applyBorder="1" applyAlignment="1">
      <alignment horizontal="justify" wrapText="1"/>
    </xf>
    <xf numFmtId="43" fontId="50" fillId="0" borderId="15" xfId="1" applyFont="1" applyFill="1" applyBorder="1" applyAlignment="1">
      <alignment vertical="center"/>
    </xf>
    <xf numFmtId="0" fontId="50" fillId="0" borderId="3" xfId="24" applyFont="1" applyFill="1" applyBorder="1" applyAlignment="1">
      <alignment vertical="center"/>
    </xf>
    <xf numFmtId="0" fontId="4" fillId="0" borderId="0" xfId="0" applyFont="1" applyAlignment="1">
      <alignment vertical="top" wrapText="1"/>
    </xf>
    <xf numFmtId="43" fontId="50" fillId="0" borderId="0" xfId="24" applyNumberFormat="1" applyFont="1" applyBorder="1" applyAlignment="1">
      <alignment vertical="center"/>
    </xf>
    <xf numFmtId="0" fontId="50" fillId="0" borderId="0" xfId="24" applyFont="1" applyBorder="1" applyAlignment="1">
      <alignment vertical="center"/>
    </xf>
    <xf numFmtId="0" fontId="50" fillId="0" borderId="0" xfId="24" quotePrefix="1" applyFont="1" applyBorder="1" applyAlignment="1">
      <alignment horizontal="right" vertical="center"/>
    </xf>
    <xf numFmtId="43" fontId="50" fillId="0" borderId="0" xfId="1" applyFont="1" applyFill="1" applyBorder="1" applyAlignment="1">
      <alignment horizontal="right" vertical="center"/>
    </xf>
    <xf numFmtId="0" fontId="50" fillId="0" borderId="0" xfId="24" applyFont="1" applyBorder="1" applyAlignment="1">
      <alignment horizontal="right" vertical="center"/>
    </xf>
    <xf numFmtId="0" fontId="50" fillId="4" borderId="6" xfId="24" applyFont="1" applyFill="1" applyBorder="1" applyAlignment="1">
      <alignment horizontal="center" vertical="center"/>
    </xf>
    <xf numFmtId="0" fontId="50" fillId="4" borderId="7" xfId="24" applyFont="1" applyFill="1" applyBorder="1" applyAlignment="1">
      <alignment horizontal="center" vertical="center"/>
    </xf>
    <xf numFmtId="43" fontId="4" fillId="4" borderId="20" xfId="1" applyFont="1" applyFill="1" applyBorder="1" applyAlignment="1">
      <alignment vertical="center"/>
    </xf>
    <xf numFmtId="2" fontId="6" fillId="0" borderId="20" xfId="23" quotePrefix="1" applyNumberFormat="1" applyFont="1" applyFill="1" applyBorder="1" applyAlignment="1">
      <alignment horizontal="center" vertical="top" wrapText="1"/>
    </xf>
    <xf numFmtId="0" fontId="4" fillId="0" borderId="0" xfId="0" applyFont="1"/>
    <xf numFmtId="0" fontId="50" fillId="0" borderId="0" xfId="24" applyFont="1" applyFill="1" applyAlignment="1">
      <alignment horizontal="right"/>
    </xf>
    <xf numFmtId="0" fontId="50" fillId="0" borderId="3" xfId="24" applyFont="1" applyFill="1" applyBorder="1" applyAlignment="1">
      <alignment vertical="center"/>
    </xf>
    <xf numFmtId="0" fontId="50" fillId="0" borderId="14" xfId="24" applyFont="1" applyFill="1" applyBorder="1" applyAlignment="1">
      <alignment horizontal="center" vertical="center"/>
    </xf>
    <xf numFmtId="166" fontId="50" fillId="0" borderId="14" xfId="1" applyNumberFormat="1" applyFont="1" applyFill="1" applyBorder="1" applyAlignment="1">
      <alignment vertical="center"/>
    </xf>
    <xf numFmtId="43" fontId="50" fillId="0" borderId="14" xfId="1" applyFont="1" applyFill="1" applyBorder="1" applyAlignment="1">
      <alignment vertical="center"/>
    </xf>
    <xf numFmtId="43" fontId="50" fillId="0" borderId="15" xfId="1" applyFont="1" applyFill="1" applyBorder="1" applyAlignment="1">
      <alignment vertical="center"/>
    </xf>
    <xf numFmtId="0" fontId="71" fillId="18" borderId="3" xfId="34" applyBorder="1" applyAlignment="1">
      <alignment vertical="center"/>
    </xf>
    <xf numFmtId="0" fontId="71" fillId="18" borderId="14" xfId="34" applyBorder="1" applyAlignment="1">
      <alignment horizontal="center" vertical="center"/>
    </xf>
    <xf numFmtId="166" fontId="71" fillId="18" borderId="14" xfId="34" applyNumberFormat="1" applyBorder="1" applyAlignment="1">
      <alignment vertical="center"/>
    </xf>
    <xf numFmtId="43" fontId="71" fillId="18" borderId="14" xfId="34" applyNumberFormat="1" applyBorder="1" applyAlignment="1">
      <alignment vertical="center"/>
    </xf>
    <xf numFmtId="43" fontId="71" fillId="18" borderId="15" xfId="34" applyNumberFormat="1" applyBorder="1" applyAlignment="1">
      <alignment vertical="center"/>
    </xf>
    <xf numFmtId="0" fontId="71" fillId="18" borderId="0" xfId="34" applyAlignment="1">
      <alignment horizontal="right"/>
    </xf>
    <xf numFmtId="43" fontId="71" fillId="18" borderId="0" xfId="34" applyNumberFormat="1"/>
    <xf numFmtId="43" fontId="5" fillId="0" borderId="16" xfId="1" applyFont="1" applyBorder="1" applyAlignment="1">
      <alignment vertical="center"/>
    </xf>
    <xf numFmtId="0" fontId="7" fillId="0" borderId="20" xfId="24" applyFont="1" applyFill="1" applyBorder="1" applyAlignment="1">
      <alignment horizontal="left" vertical="top" wrapText="1" indent="4"/>
    </xf>
    <xf numFmtId="0" fontId="4" fillId="0" borderId="0" xfId="0" applyFont="1"/>
    <xf numFmtId="0" fontId="0" fillId="0" borderId="0" xfId="0" applyAlignment="1">
      <alignment horizontal="center"/>
    </xf>
    <xf numFmtId="0" fontId="0" fillId="0" borderId="57" xfId="0" applyBorder="1" applyAlignment="1">
      <alignment horizontal="center"/>
    </xf>
    <xf numFmtId="0" fontId="0" fillId="5" borderId="36" xfId="0" applyFill="1" applyBorder="1"/>
    <xf numFmtId="0" fontId="0" fillId="5" borderId="37" xfId="0" applyFill="1" applyBorder="1"/>
    <xf numFmtId="0" fontId="0" fillId="5" borderId="38" xfId="0" applyFill="1" applyBorder="1"/>
    <xf numFmtId="0" fontId="70" fillId="0" borderId="0" xfId="0" applyFont="1" applyAlignment="1">
      <alignment horizontal="center"/>
    </xf>
    <xf numFmtId="0" fontId="4" fillId="5" borderId="31" xfId="25" applyFont="1" applyFill="1" applyBorder="1" applyAlignment="1"/>
    <xf numFmtId="0" fontId="4" fillId="5" borderId="32" xfId="25" applyFont="1" applyFill="1" applyBorder="1" applyAlignment="1"/>
    <xf numFmtId="0" fontId="4" fillId="5" borderId="33" xfId="25" applyFont="1" applyFill="1" applyBorder="1" applyAlignment="1"/>
    <xf numFmtId="0" fontId="4" fillId="5" borderId="34" xfId="25" applyFont="1" applyFill="1" applyBorder="1" applyAlignment="1"/>
    <xf numFmtId="0" fontId="4" fillId="5" borderId="20" xfId="25" applyFont="1" applyFill="1" applyBorder="1" applyAlignment="1"/>
    <xf numFmtId="0" fontId="4" fillId="5" borderId="35" xfId="25" applyFont="1" applyFill="1" applyBorder="1" applyAlignment="1"/>
    <xf numFmtId="0" fontId="28" fillId="5" borderId="34" xfId="25" applyFont="1" applyFill="1" applyBorder="1" applyAlignment="1"/>
    <xf numFmtId="0" fontId="28" fillId="5" borderId="20" xfId="25" applyFont="1" applyFill="1" applyBorder="1" applyAlignment="1"/>
    <xf numFmtId="0" fontId="28" fillId="5" borderId="35" xfId="25" applyFont="1" applyFill="1" applyBorder="1" applyAlignment="1"/>
    <xf numFmtId="0" fontId="33" fillId="5" borderId="34" xfId="25" applyFont="1" applyFill="1" applyBorder="1" applyAlignment="1"/>
    <xf numFmtId="0" fontId="33" fillId="5" borderId="20" xfId="25" applyFont="1" applyFill="1" applyBorder="1" applyAlignment="1"/>
    <xf numFmtId="0" fontId="33" fillId="5" borderId="35" xfId="25" applyFont="1" applyFill="1" applyBorder="1" applyAlignment="1"/>
    <xf numFmtId="0" fontId="34" fillId="5" borderId="34" xfId="25" applyFont="1" applyFill="1" applyBorder="1" applyAlignment="1"/>
    <xf numFmtId="0" fontId="34" fillId="5" borderId="20" xfId="25" applyFont="1" applyFill="1" applyBorder="1" applyAlignment="1"/>
    <xf numFmtId="0" fontId="34" fillId="5" borderId="35" xfId="25" applyFont="1" applyFill="1" applyBorder="1" applyAlignment="1"/>
    <xf numFmtId="0" fontId="0" fillId="5" borderId="34" xfId="0" applyFill="1" applyBorder="1"/>
    <xf numFmtId="0" fontId="0" fillId="5" borderId="20" xfId="0" applyFill="1" applyBorder="1"/>
    <xf numFmtId="0" fontId="0" fillId="5" borderId="35" xfId="0" applyFill="1" applyBorder="1"/>
    <xf numFmtId="0" fontId="24" fillId="0" borderId="34" xfId="0" applyFont="1" applyBorder="1" applyAlignment="1">
      <alignment horizontal="left" vertical="center" wrapText="1"/>
    </xf>
    <xf numFmtId="0" fontId="24" fillId="0" borderId="20" xfId="0" applyFont="1" applyBorder="1" applyAlignment="1">
      <alignment horizontal="left" vertical="center" wrapText="1"/>
    </xf>
    <xf numFmtId="0" fontId="24" fillId="0" borderId="36" xfId="0" applyFont="1" applyBorder="1" applyAlignment="1">
      <alignment horizontal="left" vertical="center" wrapText="1"/>
    </xf>
    <xf numFmtId="0" fontId="24" fillId="0" borderId="37" xfId="0" applyFont="1" applyBorder="1" applyAlignment="1">
      <alignment horizontal="left" vertical="center" wrapText="1"/>
    </xf>
    <xf numFmtId="0" fontId="4" fillId="0" borderId="0" xfId="25" applyFont="1" applyFill="1" applyAlignment="1">
      <alignment horizontal="center"/>
    </xf>
    <xf numFmtId="0" fontId="4" fillId="4" borderId="0" xfId="25" applyFont="1" applyFill="1" applyAlignment="1">
      <alignment horizontal="center"/>
    </xf>
    <xf numFmtId="0" fontId="33" fillId="4" borderId="0" xfId="25" applyFont="1" applyFill="1" applyAlignment="1">
      <alignment horizontal="center"/>
    </xf>
    <xf numFmtId="0" fontId="33" fillId="4" borderId="0" xfId="0" applyFont="1" applyFill="1" applyAlignment="1">
      <alignment horizontal="center" vertical="center"/>
    </xf>
    <xf numFmtId="0" fontId="28" fillId="4" borderId="0" xfId="25" applyFont="1" applyFill="1" applyAlignment="1">
      <alignment horizontal="center"/>
    </xf>
    <xf numFmtId="43" fontId="24" fillId="4" borderId="0" xfId="0" applyNumberFormat="1" applyFont="1" applyFill="1" applyBorder="1" applyAlignment="1">
      <alignment horizontal="right" vertical="center"/>
    </xf>
    <xf numFmtId="0" fontId="35" fillId="0" borderId="0" xfId="25" applyFont="1" applyFill="1" applyAlignment="1">
      <alignment horizontal="center"/>
    </xf>
    <xf numFmtId="0" fontId="33" fillId="0" borderId="0" xfId="25" applyFont="1" applyFill="1" applyAlignment="1">
      <alignment horizontal="center"/>
    </xf>
    <xf numFmtId="0" fontId="28" fillId="0" borderId="0" xfId="25" applyFont="1" applyFill="1" applyAlignment="1">
      <alignment horizontal="center"/>
    </xf>
    <xf numFmtId="0" fontId="4" fillId="0" borderId="0" xfId="25" applyFont="1" applyFill="1" applyBorder="1" applyAlignment="1">
      <alignment horizontal="left" vertical="top"/>
    </xf>
    <xf numFmtId="0" fontId="46" fillId="0" borderId="20" xfId="13" applyFont="1" applyFill="1" applyBorder="1" applyAlignment="1">
      <alignment horizontal="left" vertical="center"/>
    </xf>
    <xf numFmtId="0" fontId="28" fillId="0" borderId="2" xfId="18" applyFont="1" applyFill="1" applyBorder="1" applyAlignment="1">
      <alignment horizontal="left" vertical="center"/>
    </xf>
    <xf numFmtId="0" fontId="28" fillId="0" borderId="1" xfId="18" applyFont="1" applyFill="1" applyBorder="1" applyAlignment="1">
      <alignment horizontal="left" vertical="center"/>
    </xf>
    <xf numFmtId="0" fontId="28" fillId="0" borderId="78" xfId="18" applyFont="1" applyFill="1" applyBorder="1" applyAlignment="1">
      <alignment horizontal="left" vertical="center"/>
    </xf>
    <xf numFmtId="0" fontId="53" fillId="0" borderId="16" xfId="18" applyFont="1" applyFill="1" applyBorder="1" applyAlignment="1">
      <alignment horizontal="left" vertical="center"/>
    </xf>
    <xf numFmtId="0" fontId="53" fillId="0" borderId="17" xfId="18" applyFont="1" applyFill="1" applyBorder="1" applyAlignment="1">
      <alignment horizontal="left" vertical="center"/>
    </xf>
    <xf numFmtId="0" fontId="53" fillId="0" borderId="25" xfId="18" applyFont="1" applyFill="1" applyBorder="1" applyAlignment="1">
      <alignment horizontal="left" vertical="center"/>
    </xf>
    <xf numFmtId="0" fontId="46" fillId="0" borderId="16" xfId="18" applyFont="1" applyFill="1" applyBorder="1" applyAlignment="1">
      <alignment horizontal="left" vertical="center"/>
    </xf>
    <xf numFmtId="0" fontId="46" fillId="0" borderId="17" xfId="18" applyFont="1" applyFill="1" applyBorder="1" applyAlignment="1">
      <alignment horizontal="left" vertical="center"/>
    </xf>
    <xf numFmtId="0" fontId="46" fillId="0" borderId="25" xfId="18" applyFont="1" applyFill="1" applyBorder="1" applyAlignment="1">
      <alignment horizontal="left" vertical="center"/>
    </xf>
    <xf numFmtId="0" fontId="29" fillId="0" borderId="16" xfId="18" applyFont="1" applyFill="1" applyBorder="1" applyAlignment="1">
      <alignment horizontal="left" vertical="center"/>
    </xf>
    <xf numFmtId="0" fontId="29" fillId="0" borderId="17" xfId="18" applyFont="1" applyFill="1" applyBorder="1" applyAlignment="1">
      <alignment horizontal="left" vertical="center"/>
    </xf>
    <xf numFmtId="0" fontId="29" fillId="0" borderId="25" xfId="18" applyFont="1" applyFill="1" applyBorder="1" applyAlignment="1">
      <alignment horizontal="left" vertical="center"/>
    </xf>
    <xf numFmtId="0" fontId="29" fillId="0" borderId="20" xfId="18" applyFont="1" applyFill="1" applyBorder="1" applyAlignment="1">
      <alignment horizontal="left" vertical="center"/>
    </xf>
    <xf numFmtId="1" fontId="24" fillId="0" borderId="16" xfId="13" applyNumberFormat="1" applyFont="1" applyFill="1" applyBorder="1" applyAlignment="1">
      <alignment horizontal="center" vertical="center" wrapText="1"/>
    </xf>
    <xf numFmtId="1" fontId="24" fillId="0" borderId="25" xfId="13" applyNumberFormat="1" applyFont="1" applyFill="1" applyBorder="1" applyAlignment="1">
      <alignment horizontal="center" vertical="center" wrapText="1"/>
    </xf>
    <xf numFmtId="182" fontId="61" fillId="0" borderId="0" xfId="13" applyNumberFormat="1" applyFont="1" applyFill="1" applyBorder="1" applyAlignment="1">
      <alignment horizontal="center" vertical="center"/>
    </xf>
    <xf numFmtId="175" fontId="61" fillId="0" borderId="20" xfId="13" applyNumberFormat="1" applyFont="1" applyFill="1" applyBorder="1" applyAlignment="1">
      <alignment horizontal="center" vertical="center"/>
    </xf>
    <xf numFmtId="184" fontId="6" fillId="0" borderId="16" xfId="13" applyNumberFormat="1" applyFont="1" applyFill="1" applyBorder="1" applyAlignment="1">
      <alignment horizontal="center" vertical="center"/>
    </xf>
    <xf numFmtId="184" fontId="6" fillId="0" borderId="25" xfId="13" applyNumberFormat="1" applyFont="1" applyFill="1" applyBorder="1" applyAlignment="1">
      <alignment horizontal="center" vertical="center"/>
    </xf>
    <xf numFmtId="0" fontId="8" fillId="0" borderId="0" xfId="25" applyFont="1" applyFill="1" applyAlignment="1">
      <alignment horizontal="center"/>
    </xf>
    <xf numFmtId="0" fontId="7" fillId="0" borderId="0" xfId="25" applyFont="1" applyFill="1" applyAlignment="1">
      <alignment horizontal="center"/>
    </xf>
    <xf numFmtId="0" fontId="6" fillId="0" borderId="0" xfId="25" applyFont="1" applyFill="1" applyAlignment="1">
      <alignment horizontal="center" vertical="center"/>
    </xf>
    <xf numFmtId="0" fontId="7" fillId="0" borderId="0" xfId="10" applyNumberFormat="1" applyFont="1" applyFill="1" applyAlignment="1" applyProtection="1">
      <alignment horizontal="center" vertical="top"/>
      <protection locked="0"/>
    </xf>
    <xf numFmtId="43" fontId="7" fillId="0" borderId="1" xfId="10" applyNumberFormat="1" applyFont="1" applyFill="1" applyBorder="1" applyAlignment="1" applyProtection="1">
      <alignment horizontal="center" vertical="top"/>
      <protection locked="0"/>
    </xf>
    <xf numFmtId="0" fontId="7" fillId="0" borderId="1" xfId="10" applyNumberFormat="1" applyFont="1" applyFill="1" applyBorder="1" applyAlignment="1" applyProtection="1">
      <alignment horizontal="left" vertical="top"/>
      <protection locked="0"/>
    </xf>
    <xf numFmtId="171" fontId="61" fillId="0" borderId="16" xfId="13" applyNumberFormat="1" applyFont="1" applyFill="1" applyBorder="1" applyAlignment="1">
      <alignment horizontal="center" vertical="center"/>
    </xf>
    <xf numFmtId="171" fontId="61" fillId="0" borderId="17" xfId="13" applyNumberFormat="1" applyFont="1" applyFill="1" applyBorder="1" applyAlignment="1">
      <alignment horizontal="center" vertical="center"/>
    </xf>
    <xf numFmtId="171" fontId="61" fillId="0" borderId="25" xfId="13" applyNumberFormat="1" applyFont="1" applyFill="1" applyBorder="1" applyAlignment="1">
      <alignment horizontal="center" vertical="center"/>
    </xf>
    <xf numFmtId="171" fontId="6" fillId="19" borderId="16" xfId="13" applyNumberFormat="1" applyFont="1" applyFill="1" applyBorder="1" applyAlignment="1">
      <alignment horizontal="center" vertical="center"/>
    </xf>
    <xf numFmtId="171" fontId="6" fillId="19" borderId="17" xfId="13" applyNumberFormat="1" applyFont="1" applyFill="1" applyBorder="1" applyAlignment="1">
      <alignment horizontal="center" vertical="center"/>
    </xf>
    <xf numFmtId="171" fontId="6" fillId="19" borderId="25" xfId="13" applyNumberFormat="1" applyFont="1" applyFill="1" applyBorder="1" applyAlignment="1">
      <alignment horizontal="center" vertical="center"/>
    </xf>
    <xf numFmtId="171" fontId="61" fillId="19" borderId="16" xfId="13" applyNumberFormat="1" applyFont="1" applyFill="1" applyBorder="1" applyAlignment="1">
      <alignment horizontal="center" vertical="center"/>
    </xf>
    <xf numFmtId="171" fontId="61" fillId="19" borderId="17" xfId="13" applyNumberFormat="1" applyFont="1" applyFill="1" applyBorder="1" applyAlignment="1">
      <alignment horizontal="center" vertical="center"/>
    </xf>
    <xf numFmtId="171" fontId="61" fillId="19" borderId="25" xfId="13" applyNumberFormat="1" applyFont="1" applyFill="1" applyBorder="1" applyAlignment="1">
      <alignment horizontal="center" vertical="center"/>
    </xf>
    <xf numFmtId="0" fontId="6" fillId="0" borderId="0" xfId="0" applyFont="1" applyFill="1" applyBorder="1" applyAlignment="1">
      <alignment horizontal="left" indent="5"/>
    </xf>
    <xf numFmtId="0" fontId="6" fillId="0" borderId="0" xfId="0" applyFont="1" applyFill="1" applyBorder="1" applyAlignment="1">
      <alignment horizontal="left" vertical="center" indent="5"/>
    </xf>
    <xf numFmtId="184" fontId="61" fillId="0" borderId="16" xfId="13" applyNumberFormat="1" applyFont="1" applyFill="1" applyBorder="1" applyAlignment="1">
      <alignment horizontal="center" vertical="center"/>
    </xf>
    <xf numFmtId="184" fontId="61" fillId="0" borderId="25" xfId="13" applyNumberFormat="1" applyFont="1" applyFill="1" applyBorder="1" applyAlignment="1">
      <alignment horizontal="center" vertical="center"/>
    </xf>
    <xf numFmtId="0" fontId="6" fillId="0" borderId="0" xfId="0" applyFont="1" applyFill="1" applyBorder="1" applyAlignment="1">
      <alignment horizontal="left" vertical="center" indent="1"/>
    </xf>
    <xf numFmtId="184" fontId="6" fillId="0" borderId="20" xfId="13" applyNumberFormat="1" applyFont="1" applyFill="1" applyBorder="1" applyAlignment="1">
      <alignment horizontal="center" vertical="center"/>
    </xf>
    <xf numFmtId="184" fontId="83" fillId="0" borderId="16" xfId="13" applyNumberFormat="1" applyFont="1" applyFill="1" applyBorder="1" applyAlignment="1">
      <alignment horizontal="center" vertical="center"/>
    </xf>
    <xf numFmtId="184" fontId="83" fillId="0" borderId="25" xfId="13" applyNumberFormat="1" applyFont="1" applyFill="1" applyBorder="1" applyAlignment="1">
      <alignment horizontal="center" vertical="center"/>
    </xf>
    <xf numFmtId="43" fontId="6" fillId="0" borderId="20" xfId="13" applyNumberFormat="1" applyFont="1" applyFill="1" applyBorder="1" applyAlignment="1">
      <alignment horizontal="center" vertical="center"/>
    </xf>
    <xf numFmtId="0" fontId="7" fillId="6" borderId="16" xfId="0" applyFont="1" applyFill="1" applyBorder="1" applyAlignment="1">
      <alignment horizontal="left"/>
    </xf>
    <xf numFmtId="0" fontId="7" fillId="6" borderId="17" xfId="0" applyFont="1" applyFill="1" applyBorder="1" applyAlignment="1">
      <alignment horizontal="left"/>
    </xf>
    <xf numFmtId="0" fontId="7" fillId="6" borderId="25" xfId="0" applyFont="1" applyFill="1" applyBorder="1" applyAlignment="1">
      <alignment horizontal="left"/>
    </xf>
    <xf numFmtId="43" fontId="83" fillId="0" borderId="16" xfId="13" applyNumberFormat="1" applyFont="1" applyFill="1" applyBorder="1" applyAlignment="1">
      <alignment horizontal="center" vertical="center"/>
    </xf>
    <xf numFmtId="43" fontId="83" fillId="0" borderId="25" xfId="13" applyNumberFormat="1" applyFont="1" applyFill="1" applyBorder="1" applyAlignment="1">
      <alignment horizontal="center" vertical="center"/>
    </xf>
    <xf numFmtId="182" fontId="61" fillId="0" borderId="5" xfId="13" applyNumberFormat="1" applyFont="1" applyFill="1" applyBorder="1" applyAlignment="1">
      <alignment horizontal="center" vertical="center"/>
    </xf>
    <xf numFmtId="175" fontId="61" fillId="0" borderId="16" xfId="13" applyNumberFormat="1" applyFont="1" applyFill="1" applyBorder="1" applyAlignment="1">
      <alignment horizontal="center" vertical="center"/>
    </xf>
    <xf numFmtId="175" fontId="61" fillId="0" borderId="17" xfId="13" applyNumberFormat="1" applyFont="1" applyFill="1" applyBorder="1" applyAlignment="1">
      <alignment horizontal="center" vertical="center"/>
    </xf>
    <xf numFmtId="175" fontId="61" fillId="0" borderId="25" xfId="13" applyNumberFormat="1" applyFont="1" applyFill="1" applyBorder="1" applyAlignment="1">
      <alignment horizontal="center" vertical="center"/>
    </xf>
    <xf numFmtId="175" fontId="6" fillId="0" borderId="16" xfId="13" applyNumberFormat="1" applyFont="1" applyFill="1" applyBorder="1" applyAlignment="1">
      <alignment horizontal="center" vertical="center"/>
    </xf>
    <xf numFmtId="175" fontId="6" fillId="0" borderId="17" xfId="13" applyNumberFormat="1" applyFont="1" applyFill="1" applyBorder="1" applyAlignment="1">
      <alignment horizontal="center" vertical="center"/>
    </xf>
    <xf numFmtId="175" fontId="6" fillId="0" borderId="25" xfId="13" applyNumberFormat="1" applyFont="1" applyFill="1" applyBorder="1" applyAlignment="1">
      <alignment horizontal="center" vertical="center"/>
    </xf>
    <xf numFmtId="0" fontId="6" fillId="0" borderId="0" xfId="25" applyFont="1" applyFill="1" applyAlignment="1">
      <alignment horizontal="center"/>
    </xf>
    <xf numFmtId="0" fontId="16" fillId="0" borderId="0" xfId="25" applyFont="1" applyFill="1" applyAlignment="1">
      <alignment horizontal="center"/>
    </xf>
    <xf numFmtId="0" fontId="60" fillId="0" borderId="0" xfId="23" applyFont="1" applyAlignment="1">
      <alignment horizontal="center" vertical="center"/>
    </xf>
    <xf numFmtId="0" fontId="77" fillId="0" borderId="0" xfId="25" applyFont="1" applyFill="1" applyAlignment="1">
      <alignment horizontal="center"/>
    </xf>
    <xf numFmtId="0" fontId="7" fillId="3" borderId="16" xfId="23" applyFont="1" applyFill="1" applyBorder="1" applyAlignment="1">
      <alignment horizontal="center" vertical="center" wrapText="1"/>
    </xf>
    <xf numFmtId="0" fontId="7" fillId="3" borderId="25" xfId="23" applyFont="1" applyFill="1" applyBorder="1" applyAlignment="1">
      <alignment horizontal="center" vertical="center" wrapText="1"/>
    </xf>
    <xf numFmtId="0" fontId="5" fillId="0" borderId="5" xfId="23" applyFont="1" applyFill="1" applyBorder="1" applyAlignment="1">
      <alignment horizontal="center" vertical="top"/>
    </xf>
    <xf numFmtId="0" fontId="5" fillId="0" borderId="0" xfId="23" applyFont="1" applyFill="1" applyAlignment="1">
      <alignment horizontal="center" vertical="top"/>
    </xf>
    <xf numFmtId="0" fontId="5" fillId="0" borderId="0" xfId="23" applyFont="1" applyFill="1" applyBorder="1" applyAlignment="1">
      <alignment horizontal="center" vertical="top"/>
    </xf>
    <xf numFmtId="0" fontId="6" fillId="0" borderId="6" xfId="23" applyFont="1" applyFill="1" applyBorder="1" applyAlignment="1">
      <alignment horizontal="center" vertical="center" wrapText="1"/>
    </xf>
    <xf numFmtId="0" fontId="6" fillId="0" borderId="19" xfId="23" applyFont="1" applyFill="1" applyBorder="1" applyAlignment="1">
      <alignment horizontal="center" vertical="center" wrapText="1"/>
    </xf>
    <xf numFmtId="0" fontId="7" fillId="0" borderId="16" xfId="23" applyFont="1" applyFill="1" applyBorder="1" applyAlignment="1">
      <alignment horizontal="left"/>
    </xf>
    <xf numFmtId="0" fontId="7" fillId="0" borderId="17" xfId="23" applyFont="1" applyFill="1" applyBorder="1" applyAlignment="1">
      <alignment horizontal="left"/>
    </xf>
    <xf numFmtId="0" fontId="7" fillId="0" borderId="25" xfId="23" applyFont="1" applyFill="1" applyBorder="1" applyAlignment="1">
      <alignment horizontal="left"/>
    </xf>
    <xf numFmtId="0" fontId="5" fillId="0" borderId="5" xfId="23" applyFont="1" applyFill="1" applyBorder="1" applyAlignment="1">
      <alignment horizontal="center" vertical="center"/>
    </xf>
    <xf numFmtId="0" fontId="5" fillId="0" borderId="0" xfId="23" applyFont="1" applyFill="1" applyAlignment="1">
      <alignment horizontal="center" vertical="center"/>
    </xf>
    <xf numFmtId="0" fontId="29" fillId="0" borderId="0" xfId="0" applyFont="1" applyBorder="1" applyAlignment="1">
      <alignment horizontal="center" vertical="center" wrapText="1"/>
    </xf>
    <xf numFmtId="0" fontId="29" fillId="0" borderId="20" xfId="0" applyFont="1" applyBorder="1" applyAlignment="1">
      <alignment horizontal="center" vertical="center" wrapText="1"/>
    </xf>
    <xf numFmtId="0" fontId="4" fillId="0" borderId="0" xfId="25" applyFont="1" applyFill="1" applyAlignment="1">
      <alignment horizontal="center" wrapText="1"/>
    </xf>
    <xf numFmtId="0" fontId="33" fillId="0" borderId="0" xfId="25" applyFont="1" applyFill="1" applyAlignment="1">
      <alignment horizontal="center" wrapText="1"/>
    </xf>
    <xf numFmtId="0" fontId="28" fillId="0" borderId="0" xfId="25" applyFont="1" applyFill="1" applyAlignment="1">
      <alignment horizontal="center" wrapText="1"/>
    </xf>
    <xf numFmtId="0" fontId="69" fillId="0" borderId="0" xfId="23" applyFont="1" applyAlignment="1">
      <alignment horizontal="center" vertical="center"/>
    </xf>
    <xf numFmtId="1" fontId="24" fillId="0" borderId="31" xfId="13" applyNumberFormat="1" applyFont="1" applyBorder="1" applyAlignment="1">
      <alignment horizontal="center" wrapText="1"/>
    </xf>
    <xf numFmtId="1" fontId="24" fillId="0" borderId="32" xfId="13" applyNumberFormat="1" applyFont="1" applyBorder="1" applyAlignment="1">
      <alignment horizontal="center" wrapText="1"/>
    </xf>
    <xf numFmtId="1" fontId="24" fillId="0" borderId="33" xfId="13" applyNumberFormat="1" applyFont="1" applyBorder="1" applyAlignment="1">
      <alignment horizontal="center" wrapText="1"/>
    </xf>
    <xf numFmtId="1" fontId="24" fillId="0" borderId="62" xfId="13" applyNumberFormat="1" applyFont="1" applyBorder="1" applyAlignment="1">
      <alignment horizontal="center" vertical="center" wrapText="1"/>
    </xf>
    <xf numFmtId="1" fontId="24" fillId="0" borderId="44" xfId="13" applyNumberFormat="1" applyFont="1" applyBorder="1" applyAlignment="1">
      <alignment horizontal="center" vertical="center" wrapText="1"/>
    </xf>
    <xf numFmtId="1" fontId="24" fillId="0" borderId="52" xfId="13" applyNumberFormat="1" applyFont="1" applyBorder="1" applyAlignment="1">
      <alignment horizontal="center" vertical="center" wrapText="1"/>
    </xf>
    <xf numFmtId="1" fontId="24" fillId="0" borderId="62" xfId="13" applyNumberFormat="1" applyFont="1" applyBorder="1" applyAlignment="1">
      <alignment horizontal="center" wrapText="1"/>
    </xf>
    <xf numFmtId="1" fontId="24" fillId="0" borderId="44" xfId="13" applyNumberFormat="1" applyFont="1" applyBorder="1" applyAlignment="1">
      <alignment horizontal="center" wrapText="1"/>
    </xf>
    <xf numFmtId="1" fontId="24" fillId="0" borderId="52" xfId="13" applyNumberFormat="1" applyFont="1" applyBorder="1" applyAlignment="1">
      <alignment horizontal="center" wrapText="1"/>
    </xf>
    <xf numFmtId="1" fontId="24" fillId="0" borderId="23" xfId="13" applyNumberFormat="1" applyFont="1" applyBorder="1" applyAlignment="1">
      <alignment horizontal="center" wrapText="1"/>
    </xf>
    <xf numFmtId="1" fontId="24" fillId="0" borderId="53" xfId="13" applyNumberFormat="1" applyFont="1" applyBorder="1" applyAlignment="1">
      <alignment horizontal="center" wrapText="1"/>
    </xf>
    <xf numFmtId="1" fontId="24" fillId="0" borderId="24" xfId="13" applyNumberFormat="1" applyFont="1" applyBorder="1" applyAlignment="1">
      <alignment horizontal="center" wrapText="1"/>
    </xf>
    <xf numFmtId="1" fontId="4" fillId="0" borderId="0" xfId="13" applyNumberFormat="1" applyFont="1" applyAlignment="1">
      <alignment horizontal="center" wrapText="1"/>
    </xf>
    <xf numFmtId="1" fontId="26" fillId="0" borderId="62" xfId="13" applyNumberFormat="1" applyFont="1" applyBorder="1" applyAlignment="1">
      <alignment horizontal="center" vertical="center" wrapText="1"/>
    </xf>
    <xf numFmtId="1" fontId="26" fillId="0" borderId="44" xfId="13" applyNumberFormat="1" applyFont="1" applyBorder="1" applyAlignment="1">
      <alignment horizontal="center" vertical="center" wrapText="1"/>
    </xf>
    <xf numFmtId="1" fontId="26" fillId="0" borderId="52" xfId="13" applyNumberFormat="1" applyFont="1" applyBorder="1" applyAlignment="1">
      <alignment horizontal="center" vertical="center" wrapText="1"/>
    </xf>
    <xf numFmtId="0" fontId="24" fillId="0" borderId="0" xfId="13" applyFont="1" applyAlignment="1">
      <alignment horizontal="left" vertical="center" wrapText="1"/>
    </xf>
    <xf numFmtId="2" fontId="4" fillId="0" borderId="16" xfId="0" applyNumberFormat="1" applyFont="1" applyBorder="1" applyAlignment="1">
      <alignment horizontal="center" wrapText="1"/>
    </xf>
    <xf numFmtId="2" fontId="4" fillId="0" borderId="17" xfId="0" applyNumberFormat="1" applyFont="1" applyBorder="1" applyAlignment="1">
      <alignment horizontal="center" wrapText="1"/>
    </xf>
    <xf numFmtId="2" fontId="4" fillId="0" borderId="69" xfId="0" applyNumberFormat="1" applyFont="1" applyBorder="1" applyAlignment="1">
      <alignment horizontal="center" wrapText="1"/>
    </xf>
    <xf numFmtId="43" fontId="24" fillId="0" borderId="0" xfId="13" applyNumberFormat="1" applyFont="1" applyAlignment="1">
      <alignment horizontal="center" wrapText="1"/>
    </xf>
    <xf numFmtId="0" fontId="24" fillId="0" borderId="0" xfId="13" applyFont="1" applyAlignment="1">
      <alignment horizontal="center" wrapText="1"/>
    </xf>
    <xf numFmtId="0" fontId="23" fillId="0" borderId="45" xfId="27" applyFont="1" applyBorder="1" applyAlignment="1">
      <alignment horizontal="center" vertical="center" wrapText="1"/>
    </xf>
    <xf numFmtId="0" fontId="23" fillId="0" borderId="48" xfId="27" applyFont="1" applyBorder="1" applyAlignment="1">
      <alignment horizontal="center" vertical="center" wrapText="1"/>
    </xf>
    <xf numFmtId="0" fontId="23" fillId="0" borderId="54" xfId="27" applyFont="1" applyBorder="1" applyAlignment="1">
      <alignment horizontal="center"/>
    </xf>
    <xf numFmtId="0" fontId="23" fillId="0" borderId="44" xfId="27" applyFont="1" applyBorder="1" applyAlignment="1">
      <alignment horizontal="center"/>
    </xf>
    <xf numFmtId="0" fontId="23" fillId="0" borderId="55" xfId="27" applyFont="1" applyBorder="1" applyAlignment="1">
      <alignment horizontal="center"/>
    </xf>
    <xf numFmtId="0" fontId="23" fillId="0" borderId="54" xfId="27" applyFont="1" applyFill="1" applyBorder="1" applyAlignment="1">
      <alignment horizontal="center"/>
    </xf>
    <xf numFmtId="0" fontId="23" fillId="0" borderId="44" xfId="27" applyFont="1" applyFill="1" applyBorder="1" applyAlignment="1">
      <alignment horizontal="center"/>
    </xf>
    <xf numFmtId="0" fontId="23" fillId="0" borderId="55" xfId="27" applyFont="1" applyFill="1" applyBorder="1" applyAlignment="1">
      <alignment horizontal="center"/>
    </xf>
    <xf numFmtId="0" fontId="23" fillId="0" borderId="46" xfId="27" applyFont="1" applyBorder="1" applyAlignment="1">
      <alignment horizontal="center" vertical="center" wrapText="1"/>
    </xf>
    <xf numFmtId="0" fontId="23" fillId="0" borderId="49" xfId="27" applyFont="1" applyBorder="1" applyAlignment="1">
      <alignment horizontal="center" vertical="center" wrapText="1"/>
    </xf>
    <xf numFmtId="0" fontId="23" fillId="0" borderId="47" xfId="27" applyFont="1" applyBorder="1" applyAlignment="1">
      <alignment horizontal="center" vertical="center" wrapText="1"/>
    </xf>
    <xf numFmtId="0" fontId="23" fillId="0" borderId="50" xfId="27" applyFont="1" applyBorder="1" applyAlignment="1">
      <alignment horizontal="center" vertical="center" wrapText="1"/>
    </xf>
    <xf numFmtId="0" fontId="6" fillId="0" borderId="16" xfId="0" applyFont="1" applyFill="1" applyBorder="1" applyAlignment="1">
      <alignment horizontal="left" vertical="center" wrapText="1" shrinkToFit="1"/>
    </xf>
    <xf numFmtId="0" fontId="6" fillId="0" borderId="17" xfId="0" applyFont="1" applyFill="1" applyBorder="1" applyAlignment="1">
      <alignment horizontal="left" vertical="center" wrapText="1" shrinkToFit="1"/>
    </xf>
    <xf numFmtId="0" fontId="6" fillId="0" borderId="25" xfId="0" applyFont="1" applyFill="1" applyBorder="1" applyAlignment="1">
      <alignment horizontal="left" vertical="center" wrapText="1" shrinkToFit="1"/>
    </xf>
    <xf numFmtId="0" fontId="6" fillId="0" borderId="16"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25" xfId="0" applyFont="1" applyFill="1" applyBorder="1" applyAlignment="1">
      <alignment horizontal="center" vertical="center"/>
    </xf>
    <xf numFmtId="171" fontId="6" fillId="0" borderId="16" xfId="0" applyNumberFormat="1" applyFont="1" applyFill="1" applyBorder="1" applyAlignment="1">
      <alignment horizontal="left" vertical="center" shrinkToFit="1"/>
    </xf>
    <xf numFmtId="171" fontId="6" fillId="0" borderId="25" xfId="0" applyNumberFormat="1" applyFont="1" applyFill="1" applyBorder="1" applyAlignment="1">
      <alignment horizontal="left" vertical="center" shrinkToFit="1"/>
    </xf>
    <xf numFmtId="2" fontId="6" fillId="0" borderId="16" xfId="0" applyNumberFormat="1" applyFont="1" applyFill="1" applyBorder="1" applyAlignment="1">
      <alignment vertical="center" shrinkToFit="1"/>
    </xf>
    <xf numFmtId="2" fontId="6" fillId="0" borderId="25" xfId="0" applyNumberFormat="1" applyFont="1" applyFill="1" applyBorder="1" applyAlignment="1">
      <alignment vertical="center" shrinkToFit="1"/>
    </xf>
    <xf numFmtId="2" fontId="6" fillId="0" borderId="16" xfId="0" applyNumberFormat="1" applyFont="1" applyFill="1" applyBorder="1" applyAlignment="1">
      <alignment horizontal="right" vertical="center" shrinkToFit="1"/>
    </xf>
    <xf numFmtId="2" fontId="6" fillId="0" borderId="25" xfId="0" applyNumberFormat="1" applyFont="1" applyFill="1" applyBorder="1" applyAlignment="1">
      <alignment horizontal="right" vertical="center" shrinkToFit="1"/>
    </xf>
    <xf numFmtId="0" fontId="37" fillId="0" borderId="0" xfId="27" applyFont="1" applyAlignment="1">
      <alignment horizontal="right"/>
    </xf>
    <xf numFmtId="0" fontId="7" fillId="0" borderId="0" xfId="0" applyFont="1" applyBorder="1" applyAlignment="1">
      <alignment horizontal="left" vertical="top" wrapText="1"/>
    </xf>
    <xf numFmtId="0" fontId="6" fillId="14" borderId="5" xfId="0" applyFont="1" applyFill="1" applyBorder="1" applyAlignment="1">
      <alignment horizontal="left" vertical="center" shrinkToFit="1"/>
    </xf>
    <xf numFmtId="0" fontId="6" fillId="14" borderId="0" xfId="0" applyFont="1" applyFill="1" applyBorder="1" applyAlignment="1">
      <alignment horizontal="left" vertical="center" shrinkToFit="1"/>
    </xf>
    <xf numFmtId="0" fontId="6" fillId="14" borderId="5" xfId="0" applyFont="1" applyFill="1" applyBorder="1" applyAlignment="1">
      <alignment horizontal="left" vertical="center" wrapText="1" shrinkToFit="1"/>
    </xf>
    <xf numFmtId="0" fontId="6" fillId="14" borderId="0" xfId="0" applyFont="1" applyFill="1" applyBorder="1" applyAlignment="1">
      <alignment horizontal="left" vertical="center" wrapText="1" shrinkToFit="1"/>
    </xf>
    <xf numFmtId="0" fontId="6" fillId="14" borderId="2" xfId="0" applyFont="1" applyFill="1" applyBorder="1" applyAlignment="1">
      <alignment horizontal="left" vertical="center" wrapText="1" shrinkToFit="1"/>
    </xf>
    <xf numFmtId="0" fontId="6" fillId="14" borderId="1" xfId="0" applyFont="1" applyFill="1" applyBorder="1" applyAlignment="1">
      <alignment horizontal="left" vertical="center" wrapText="1" shrinkToFit="1"/>
    </xf>
    <xf numFmtId="0" fontId="7" fillId="0" borderId="0" xfId="0" applyFont="1" applyBorder="1" applyAlignment="1">
      <alignment horizontal="center" vertical="top"/>
    </xf>
    <xf numFmtId="0" fontId="7" fillId="0" borderId="28" xfId="0" applyFont="1" applyBorder="1" applyAlignment="1">
      <alignment horizontal="center" vertical="top"/>
    </xf>
    <xf numFmtId="0" fontId="4" fillId="0" borderId="0" xfId="0" applyFont="1"/>
    <xf numFmtId="0" fontId="55" fillId="0" borderId="0" xfId="27" applyFont="1" applyAlignment="1">
      <alignment horizontal="center"/>
    </xf>
    <xf numFmtId="0" fontId="36" fillId="0" borderId="0" xfId="27" applyFont="1" applyAlignment="1">
      <alignment horizontal="center"/>
    </xf>
    <xf numFmtId="0" fontId="31" fillId="0" borderId="0" xfId="27" applyFont="1" applyAlignment="1">
      <alignment horizontal="left"/>
    </xf>
    <xf numFmtId="43" fontId="31" fillId="0" borderId="0" xfId="27" applyNumberFormat="1" applyFont="1" applyAlignment="1">
      <alignment horizontal="right"/>
    </xf>
    <xf numFmtId="0" fontId="31" fillId="0" borderId="0" xfId="27" applyFont="1" applyAlignment="1">
      <alignment horizontal="right"/>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25" xfId="0" applyFont="1" applyBorder="1" applyAlignment="1">
      <alignment horizontal="center" vertical="center" wrapText="1"/>
    </xf>
    <xf numFmtId="0" fontId="6" fillId="0" borderId="16" xfId="0" applyFont="1" applyFill="1" applyBorder="1" applyAlignment="1">
      <alignment vertical="center" wrapText="1" shrinkToFit="1"/>
    </xf>
    <xf numFmtId="0" fontId="6" fillId="0" borderId="17" xfId="0" applyFont="1" applyFill="1" applyBorder="1" applyAlignment="1">
      <alignment vertical="center" wrapText="1" shrinkToFit="1"/>
    </xf>
    <xf numFmtId="0" fontId="6" fillId="0" borderId="25" xfId="0" applyFont="1" applyFill="1" applyBorder="1" applyAlignment="1">
      <alignment vertical="center" wrapText="1" shrinkToFit="1"/>
    </xf>
    <xf numFmtId="0" fontId="6" fillId="0" borderId="16" xfId="0" applyFont="1" applyFill="1" applyBorder="1" applyAlignment="1">
      <alignment horizontal="center" vertical="center" wrapText="1" shrinkToFit="1"/>
    </xf>
    <xf numFmtId="0" fontId="6" fillId="0" borderId="25" xfId="0" applyFont="1" applyFill="1" applyBorder="1" applyAlignment="1">
      <alignment horizontal="center" vertical="center" wrapText="1" shrinkToFit="1"/>
    </xf>
    <xf numFmtId="0" fontId="6" fillId="0" borderId="16" xfId="0" applyFont="1" applyBorder="1" applyAlignment="1">
      <alignment horizontal="center" vertical="center"/>
    </xf>
    <xf numFmtId="0" fontId="6" fillId="0" borderId="25" xfId="0" applyFont="1" applyBorder="1" applyAlignment="1">
      <alignment horizontal="center" vertical="center"/>
    </xf>
    <xf numFmtId="0" fontId="24" fillId="16" borderId="23" xfId="0" applyFont="1" applyFill="1" applyBorder="1" applyAlignment="1">
      <alignment horizontal="center"/>
    </xf>
    <xf numFmtId="0" fontId="24" fillId="16" borderId="53" xfId="0" applyFont="1" applyFill="1" applyBorder="1" applyAlignment="1">
      <alignment horizontal="center"/>
    </xf>
    <xf numFmtId="0" fontId="24" fillId="16" borderId="24" xfId="0" applyFont="1" applyFill="1" applyBorder="1" applyAlignment="1">
      <alignment horizontal="center"/>
    </xf>
    <xf numFmtId="0" fontId="7" fillId="0" borderId="32" xfId="0" applyFont="1" applyBorder="1" applyAlignment="1">
      <alignment horizontal="center" vertical="top"/>
    </xf>
    <xf numFmtId="0" fontId="7" fillId="0" borderId="33" xfId="0" applyFont="1" applyBorder="1" applyAlignment="1">
      <alignment horizontal="center" vertical="top"/>
    </xf>
    <xf numFmtId="0" fontId="24" fillId="17" borderId="31" xfId="0" applyFont="1" applyFill="1" applyBorder="1" applyAlignment="1">
      <alignment horizontal="center"/>
    </xf>
    <xf numFmtId="0" fontId="24" fillId="17" borderId="32" xfId="0" applyFont="1" applyFill="1" applyBorder="1" applyAlignment="1">
      <alignment horizontal="center"/>
    </xf>
    <xf numFmtId="2" fontId="4" fillId="0" borderId="16" xfId="0" applyNumberFormat="1" applyFont="1" applyFill="1" applyBorder="1" applyAlignment="1">
      <alignment horizontal="center" vertical="top" wrapText="1"/>
    </xf>
    <xf numFmtId="2" fontId="4" fillId="0" borderId="69" xfId="0" applyNumberFormat="1" applyFont="1" applyFill="1" applyBorder="1" applyAlignment="1">
      <alignment horizontal="center" vertical="top" wrapText="1"/>
    </xf>
    <xf numFmtId="0" fontId="24" fillId="0" borderId="0" xfId="12" applyFont="1" applyBorder="1" applyAlignment="1">
      <alignment horizontal="left" wrapText="1"/>
    </xf>
    <xf numFmtId="43" fontId="24" fillId="0" borderId="0" xfId="12" applyNumberFormat="1" applyFont="1" applyAlignment="1">
      <alignment horizontal="center" wrapText="1"/>
    </xf>
    <xf numFmtId="0" fontId="24" fillId="0" borderId="0" xfId="12" applyFont="1" applyAlignment="1">
      <alignment horizontal="center" wrapText="1"/>
    </xf>
    <xf numFmtId="0" fontId="24" fillId="0" borderId="0" xfId="12" applyFont="1" applyAlignment="1">
      <alignment horizontal="left" vertical="center" wrapText="1"/>
    </xf>
    <xf numFmtId="1" fontId="4" fillId="0" borderId="23" xfId="12" applyNumberFormat="1" applyFont="1" applyBorder="1" applyAlignment="1">
      <alignment horizontal="center" wrapText="1"/>
    </xf>
    <xf numFmtId="1" fontId="4" fillId="0" borderId="53" xfId="12" applyNumberFormat="1" applyFont="1" applyBorder="1" applyAlignment="1">
      <alignment horizontal="center" wrapText="1"/>
    </xf>
    <xf numFmtId="1" fontId="4" fillId="0" borderId="24" xfId="12" applyNumberFormat="1" applyFont="1" applyBorder="1" applyAlignment="1">
      <alignment horizontal="center" wrapText="1"/>
    </xf>
    <xf numFmtId="0" fontId="26" fillId="3" borderId="32" xfId="12" applyFont="1" applyFill="1" applyBorder="1" applyAlignment="1">
      <alignment horizontal="center" vertical="center" wrapText="1"/>
    </xf>
    <xf numFmtId="1" fontId="4" fillId="0" borderId="20" xfId="0" applyNumberFormat="1" applyFont="1" applyFill="1" applyBorder="1" applyAlignment="1">
      <alignment horizontal="left" vertical="center" wrapText="1"/>
    </xf>
    <xf numFmtId="1" fontId="4" fillId="0" borderId="20" xfId="0" applyNumberFormat="1" applyFont="1" applyFill="1" applyBorder="1" applyAlignment="1">
      <alignment horizontal="left" vertical="top" wrapText="1"/>
    </xf>
    <xf numFmtId="1" fontId="4" fillId="0" borderId="16" xfId="0" applyNumberFormat="1" applyFont="1" applyFill="1" applyBorder="1" applyAlignment="1">
      <alignment horizontal="left" vertical="top" wrapText="1"/>
    </xf>
    <xf numFmtId="1" fontId="4" fillId="0" borderId="25" xfId="0" applyNumberFormat="1" applyFont="1" applyFill="1" applyBorder="1" applyAlignment="1">
      <alignment horizontal="left" vertical="top" wrapText="1"/>
    </xf>
    <xf numFmtId="1" fontId="4" fillId="0" borderId="70" xfId="0" applyNumberFormat="1" applyFont="1" applyFill="1" applyBorder="1" applyAlignment="1">
      <alignment horizontal="left" vertical="top" wrapText="1"/>
    </xf>
    <xf numFmtId="1" fontId="4" fillId="0" borderId="71" xfId="0" applyNumberFormat="1" applyFont="1" applyFill="1" applyBorder="1" applyAlignment="1">
      <alignment horizontal="left" vertical="top" wrapText="1"/>
    </xf>
    <xf numFmtId="1" fontId="4" fillId="0" borderId="16" xfId="0" applyNumberFormat="1" applyFont="1" applyFill="1" applyBorder="1" applyAlignment="1">
      <alignment horizontal="left" vertical="top"/>
    </xf>
    <xf numFmtId="1" fontId="4" fillId="0" borderId="25" xfId="0" applyNumberFormat="1" applyFont="1" applyFill="1" applyBorder="1" applyAlignment="1">
      <alignment horizontal="left" vertical="top"/>
    </xf>
    <xf numFmtId="1" fontId="4" fillId="0" borderId="20" xfId="12" applyNumberFormat="1" applyFont="1" applyFill="1" applyBorder="1" applyAlignment="1">
      <alignment horizontal="left" wrapText="1"/>
    </xf>
    <xf numFmtId="2" fontId="4" fillId="0" borderId="20" xfId="0" applyNumberFormat="1" applyFont="1" applyFill="1" applyBorder="1" applyAlignment="1">
      <alignment horizontal="center" vertical="top" wrapText="1"/>
    </xf>
    <xf numFmtId="2" fontId="4" fillId="0" borderId="35" xfId="0" applyNumberFormat="1" applyFont="1" applyFill="1" applyBorder="1" applyAlignment="1">
      <alignment horizontal="center" vertical="top" wrapText="1"/>
    </xf>
    <xf numFmtId="2" fontId="4" fillId="4" borderId="20" xfId="0" applyNumberFormat="1" applyFont="1" applyFill="1" applyBorder="1" applyAlignment="1">
      <alignment horizontal="center" vertical="top" wrapText="1"/>
    </xf>
    <xf numFmtId="2" fontId="4" fillId="4" borderId="35" xfId="0" applyNumberFormat="1" applyFont="1" applyFill="1" applyBorder="1" applyAlignment="1">
      <alignment horizontal="center" vertical="top" wrapText="1"/>
    </xf>
    <xf numFmtId="0" fontId="24" fillId="0" borderId="0" xfId="13" applyFont="1" applyBorder="1" applyAlignment="1">
      <alignment horizontal="left" vertical="center" wrapText="1"/>
    </xf>
    <xf numFmtId="0" fontId="26" fillId="3" borderId="33" xfId="12" applyFont="1" applyFill="1" applyBorder="1" applyAlignment="1">
      <alignment horizontal="center" vertical="center" wrapText="1"/>
    </xf>
    <xf numFmtId="2" fontId="30" fillId="0" borderId="20" xfId="0" applyNumberFormat="1" applyFont="1" applyFill="1" applyBorder="1" applyAlignment="1">
      <alignment horizontal="center" vertical="top" wrapText="1"/>
    </xf>
    <xf numFmtId="2" fontId="30" fillId="0" borderId="35" xfId="0" applyNumberFormat="1" applyFont="1" applyFill="1" applyBorder="1" applyAlignment="1">
      <alignment horizontal="center" vertical="top" wrapText="1"/>
    </xf>
    <xf numFmtId="2" fontId="30" fillId="0" borderId="37" xfId="0" applyNumberFormat="1" applyFont="1" applyFill="1" applyBorder="1" applyAlignment="1">
      <alignment horizontal="center" vertical="top" wrapText="1"/>
    </xf>
    <xf numFmtId="2" fontId="30" fillId="0" borderId="38" xfId="0" applyNumberFormat="1" applyFont="1" applyFill="1" applyBorder="1" applyAlignment="1">
      <alignment horizontal="center" vertical="top" wrapText="1"/>
    </xf>
    <xf numFmtId="0" fontId="50" fillId="0" borderId="1" xfId="24" applyFont="1" applyBorder="1" applyAlignment="1">
      <alignment horizontal="left" vertical="top" wrapText="1"/>
    </xf>
    <xf numFmtId="0" fontId="50" fillId="0" borderId="29" xfId="24" applyFont="1" applyBorder="1" applyAlignment="1">
      <alignment horizontal="center" vertical="center"/>
    </xf>
    <xf numFmtId="0" fontId="50" fillId="0" borderId="30" xfId="24" applyFont="1" applyBorder="1" applyAlignment="1">
      <alignment horizontal="center" vertical="center"/>
    </xf>
    <xf numFmtId="0" fontId="50" fillId="0" borderId="22" xfId="24" applyFont="1" applyBorder="1" applyAlignment="1">
      <alignment horizontal="center" vertical="center"/>
    </xf>
    <xf numFmtId="0" fontId="50" fillId="4" borderId="1" xfId="24" applyFont="1" applyFill="1" applyBorder="1" applyAlignment="1">
      <alignment horizontal="left" vertical="top" wrapText="1"/>
    </xf>
    <xf numFmtId="0" fontId="50" fillId="4" borderId="29" xfId="24" applyFont="1" applyFill="1" applyBorder="1" applyAlignment="1">
      <alignment horizontal="center" vertical="center"/>
    </xf>
    <xf numFmtId="0" fontId="50" fillId="4" borderId="30" xfId="24" applyFont="1" applyFill="1" applyBorder="1" applyAlignment="1">
      <alignment horizontal="center" vertical="center"/>
    </xf>
    <xf numFmtId="0" fontId="50" fillId="4" borderId="22" xfId="24" applyFont="1" applyFill="1" applyBorder="1" applyAlignment="1">
      <alignment horizontal="center" vertical="center"/>
    </xf>
    <xf numFmtId="0" fontId="50" fillId="4" borderId="4" xfId="24" applyFont="1" applyFill="1" applyBorder="1" applyAlignment="1">
      <alignment horizontal="center" vertical="center" wrapText="1"/>
    </xf>
    <xf numFmtId="0" fontId="50" fillId="4" borderId="26" xfId="24" applyFont="1" applyFill="1" applyBorder="1" applyAlignment="1">
      <alignment horizontal="center" vertical="center" wrapText="1"/>
    </xf>
    <xf numFmtId="0" fontId="50" fillId="4" borderId="41" xfId="24" applyFont="1" applyFill="1" applyBorder="1" applyAlignment="1">
      <alignment horizontal="center" vertical="center" wrapText="1"/>
    </xf>
    <xf numFmtId="0" fontId="50" fillId="4" borderId="5" xfId="24" applyFont="1" applyFill="1" applyBorder="1" applyAlignment="1">
      <alignment horizontal="center" vertical="center" wrapText="1"/>
    </xf>
    <xf numFmtId="0" fontId="50" fillId="4" borderId="0" xfId="24" applyFont="1" applyFill="1" applyBorder="1" applyAlignment="1">
      <alignment horizontal="center" vertical="center" wrapText="1"/>
    </xf>
    <xf numFmtId="0" fontId="50" fillId="4" borderId="73" xfId="24" applyFont="1" applyFill="1" applyBorder="1" applyAlignment="1">
      <alignment horizontal="center" vertical="center" wrapText="1"/>
    </xf>
    <xf numFmtId="0" fontId="50" fillId="0" borderId="4" xfId="24" applyFont="1" applyFill="1" applyBorder="1" applyAlignment="1">
      <alignment horizontal="center" vertical="center"/>
    </xf>
    <xf numFmtId="0" fontId="50" fillId="0" borderId="26" xfId="24" applyFont="1" applyFill="1" applyBorder="1" applyAlignment="1">
      <alignment horizontal="center" vertical="center"/>
    </xf>
    <xf numFmtId="0" fontId="50" fillId="0" borderId="7" xfId="24" applyFont="1" applyFill="1" applyBorder="1" applyAlignment="1">
      <alignment horizontal="center" vertical="center"/>
    </xf>
    <xf numFmtId="0" fontId="50" fillId="0" borderId="29" xfId="24" applyFont="1" applyFill="1" applyBorder="1" applyAlignment="1">
      <alignment horizontal="center" vertical="center"/>
    </xf>
    <xf numFmtId="0" fontId="50" fillId="0" borderId="30" xfId="24" applyFont="1" applyFill="1" applyBorder="1" applyAlignment="1">
      <alignment horizontal="center" vertical="center"/>
    </xf>
    <xf numFmtId="0" fontId="50" fillId="0" borderId="22" xfId="24" applyFont="1" applyFill="1" applyBorder="1" applyAlignment="1">
      <alignment horizontal="center" vertical="center"/>
    </xf>
    <xf numFmtId="0" fontId="50" fillId="0" borderId="1" xfId="24" applyFont="1" applyFill="1" applyBorder="1" applyAlignment="1">
      <alignment horizontal="left" wrapText="1"/>
    </xf>
    <xf numFmtId="0" fontId="50" fillId="0" borderId="1" xfId="24" applyFont="1" applyFill="1" applyBorder="1" applyAlignment="1">
      <alignment horizontal="left" vertical="top" wrapText="1"/>
    </xf>
    <xf numFmtId="0" fontId="51" fillId="0" borderId="26" xfId="24" quotePrefix="1" applyFont="1" applyFill="1" applyBorder="1" applyAlignment="1">
      <alignment horizontal="center" vertical="center" wrapText="1"/>
    </xf>
    <xf numFmtId="0" fontId="51" fillId="0" borderId="0" xfId="24" quotePrefix="1" applyFont="1" applyFill="1" applyBorder="1" applyAlignment="1">
      <alignment horizontal="center" vertical="center" wrapText="1"/>
    </xf>
    <xf numFmtId="0" fontId="50" fillId="0" borderId="1" xfId="24" applyFont="1" applyFill="1" applyBorder="1" applyAlignment="1">
      <alignment horizontal="center" vertical="top" wrapText="1"/>
    </xf>
    <xf numFmtId="0" fontId="50" fillId="0" borderId="0" xfId="24" applyFont="1" applyFill="1" applyAlignment="1">
      <alignment horizontal="right"/>
    </xf>
    <xf numFmtId="43" fontId="50" fillId="0" borderId="15" xfId="1" applyFont="1" applyFill="1" applyBorder="1" applyAlignment="1">
      <alignment vertical="center"/>
    </xf>
    <xf numFmtId="0" fontId="71" fillId="0" borderId="0" xfId="34" applyFill="1" applyAlignment="1">
      <alignment horizontal="right"/>
    </xf>
    <xf numFmtId="0" fontId="50" fillId="0" borderId="14" xfId="24" applyFont="1" applyFill="1" applyBorder="1" applyAlignment="1">
      <alignment horizontal="center" vertical="center"/>
    </xf>
    <xf numFmtId="166" fontId="50" fillId="0" borderId="14" xfId="1" applyNumberFormat="1" applyFont="1" applyFill="1" applyBorder="1" applyAlignment="1">
      <alignment vertical="center"/>
    </xf>
    <xf numFmtId="43" fontId="50" fillId="0" borderId="14" xfId="1" applyFont="1" applyFill="1" applyBorder="1" applyAlignment="1">
      <alignment vertical="center"/>
    </xf>
    <xf numFmtId="0" fontId="50" fillId="0" borderId="16" xfId="24" quotePrefix="1" applyFont="1" applyFill="1" applyBorder="1" applyAlignment="1">
      <alignment horizontal="center" vertical="center"/>
    </xf>
    <xf numFmtId="0" fontId="50" fillId="0" borderId="17" xfId="24" applyFont="1" applyFill="1" applyBorder="1" applyAlignment="1">
      <alignment horizontal="center" vertical="center"/>
    </xf>
    <xf numFmtId="0" fontId="13" fillId="0" borderId="0" xfId="0" applyNumberFormat="1" applyFont="1" applyFill="1" applyBorder="1" applyAlignment="1">
      <alignment horizontal="left" vertical="top" wrapText="1"/>
    </xf>
    <xf numFmtId="43" fontId="50" fillId="0" borderId="13" xfId="1" applyFont="1" applyFill="1" applyBorder="1" applyAlignment="1">
      <alignment horizontal="center" vertical="center"/>
    </xf>
    <xf numFmtId="43" fontId="50" fillId="0" borderId="15" xfId="1" applyFont="1" applyFill="1" applyBorder="1" applyAlignment="1">
      <alignment horizontal="center" vertical="center"/>
    </xf>
    <xf numFmtId="0" fontId="50" fillId="0" borderId="11" xfId="24" applyFont="1" applyFill="1" applyBorder="1" applyAlignment="1">
      <alignment horizontal="center" vertical="center" wrapText="1"/>
    </xf>
    <xf numFmtId="0" fontId="50" fillId="0" borderId="3" xfId="24" applyFont="1" applyFill="1" applyBorder="1" applyAlignment="1">
      <alignment horizontal="center" vertical="center" wrapText="1"/>
    </xf>
    <xf numFmtId="0" fontId="50" fillId="0" borderId="0" xfId="25" applyFont="1" applyFill="1" applyAlignment="1">
      <alignment horizontal="center"/>
    </xf>
    <xf numFmtId="0" fontId="51" fillId="0" borderId="0" xfId="12" applyFont="1" applyFill="1" applyAlignment="1">
      <alignment horizontal="left" wrapText="1"/>
    </xf>
    <xf numFmtId="0" fontId="50" fillId="0" borderId="3" xfId="24" applyFont="1" applyFill="1" applyBorder="1" applyAlignment="1">
      <alignment vertical="center"/>
    </xf>
    <xf numFmtId="0" fontId="54" fillId="0" borderId="0" xfId="24" applyFont="1" applyFill="1" applyAlignment="1">
      <alignment horizontal="center"/>
    </xf>
    <xf numFmtId="0" fontId="50" fillId="0" borderId="1" xfId="24" applyFont="1" applyFill="1" applyBorder="1" applyAlignment="1">
      <alignment horizontal="center" wrapText="1"/>
    </xf>
    <xf numFmtId="0" fontId="50" fillId="0" borderId="0" xfId="24" applyFont="1" applyFill="1" applyAlignment="1">
      <alignment horizontal="right" wrapText="1"/>
    </xf>
    <xf numFmtId="0" fontId="50" fillId="0" borderId="1" xfId="24" applyFont="1" applyFill="1" applyBorder="1" applyAlignment="1">
      <alignment horizontal="left" vertical="center" wrapText="1"/>
    </xf>
    <xf numFmtId="0" fontId="71" fillId="18" borderId="0" xfId="34" applyAlignment="1">
      <alignment horizontal="right"/>
    </xf>
    <xf numFmtId="2" fontId="67" fillId="15" borderId="64" xfId="0" applyNumberFormat="1" applyFont="1" applyFill="1" applyBorder="1" applyAlignment="1">
      <alignment horizontal="left" vertical="top" shrinkToFit="1"/>
    </xf>
    <xf numFmtId="2" fontId="67" fillId="15" borderId="66" xfId="0" applyNumberFormat="1" applyFont="1" applyFill="1" applyBorder="1" applyAlignment="1">
      <alignment horizontal="left" vertical="top" shrinkToFit="1"/>
    </xf>
    <xf numFmtId="0" fontId="68" fillId="15" borderId="0" xfId="0" applyFont="1" applyFill="1" applyBorder="1" applyAlignment="1">
      <alignment horizontal="left" vertical="top"/>
    </xf>
    <xf numFmtId="2" fontId="65" fillId="15" borderId="64" xfId="0" applyNumberFormat="1" applyFont="1" applyFill="1" applyBorder="1" applyAlignment="1">
      <alignment horizontal="left" vertical="top" shrinkToFit="1"/>
    </xf>
    <xf numFmtId="2" fontId="65" fillId="15" borderId="66" xfId="0" applyNumberFormat="1" applyFont="1" applyFill="1" applyBorder="1" applyAlignment="1">
      <alignment horizontal="left" vertical="top" shrinkToFit="1"/>
    </xf>
    <xf numFmtId="0" fontId="63" fillId="15" borderId="0" xfId="0" applyFont="1" applyFill="1" applyBorder="1" applyAlignment="1">
      <alignment horizontal="center" vertical="top" wrapText="1"/>
    </xf>
    <xf numFmtId="0" fontId="64" fillId="15" borderId="0" xfId="0" applyFont="1" applyFill="1" applyBorder="1" applyAlignment="1">
      <alignment horizontal="center" vertical="top" wrapText="1"/>
    </xf>
    <xf numFmtId="0" fontId="24" fillId="15" borderId="63" xfId="0" applyFont="1" applyFill="1" applyBorder="1" applyAlignment="1">
      <alignment horizontal="left" vertical="top" wrapText="1" indent="2"/>
    </xf>
    <xf numFmtId="0" fontId="24" fillId="15" borderId="67" xfId="0" applyFont="1" applyFill="1" applyBorder="1" applyAlignment="1">
      <alignment horizontal="left" vertical="top" wrapText="1" indent="2"/>
    </xf>
    <xf numFmtId="0" fontId="24" fillId="15" borderId="63" xfId="0" applyFont="1" applyFill="1" applyBorder="1" applyAlignment="1">
      <alignment horizontal="left" vertical="top" wrapText="1" indent="4"/>
    </xf>
    <xf numFmtId="0" fontId="24" fillId="15" borderId="67" xfId="0" applyFont="1" applyFill="1" applyBorder="1" applyAlignment="1">
      <alignment horizontal="left" vertical="top" wrapText="1" indent="4"/>
    </xf>
    <xf numFmtId="0" fontId="24" fillId="15" borderId="64" xfId="0" applyFont="1" applyFill="1" applyBorder="1" applyAlignment="1">
      <alignment horizontal="center" vertical="top" wrapText="1"/>
    </xf>
    <xf numFmtId="0" fontId="24" fillId="15" borderId="65" xfId="0" applyFont="1" applyFill="1" applyBorder="1" applyAlignment="1">
      <alignment horizontal="center" vertical="top" wrapText="1"/>
    </xf>
    <xf numFmtId="0" fontId="24" fillId="15" borderId="66" xfId="0" applyFont="1" applyFill="1" applyBorder="1" applyAlignment="1">
      <alignment horizontal="center" vertical="top" wrapText="1"/>
    </xf>
    <xf numFmtId="0" fontId="0" fillId="15" borderId="64" xfId="0" applyFill="1" applyBorder="1" applyAlignment="1">
      <alignment horizontal="center" vertical="top" wrapText="1"/>
    </xf>
    <xf numFmtId="0" fontId="0" fillId="15" borderId="66" xfId="0" applyFill="1" applyBorder="1" applyAlignment="1">
      <alignment horizontal="center" vertical="top" wrapText="1"/>
    </xf>
    <xf numFmtId="0" fontId="29" fillId="0" borderId="0" xfId="30" applyFont="1" applyAlignment="1">
      <alignment horizontal="center" vertical="center" wrapText="1"/>
    </xf>
    <xf numFmtId="0" fontId="26" fillId="3" borderId="16" xfId="12" applyFont="1" applyFill="1" applyBorder="1" applyAlignment="1">
      <alignment horizontal="center" vertical="center" wrapText="1"/>
    </xf>
    <xf numFmtId="0" fontId="26" fillId="3" borderId="17" xfId="12" applyFont="1" applyFill="1" applyBorder="1" applyAlignment="1">
      <alignment horizontal="center" vertical="center" wrapText="1"/>
    </xf>
    <xf numFmtId="0" fontId="26" fillId="3" borderId="25" xfId="12" applyFont="1" applyFill="1" applyBorder="1" applyAlignment="1">
      <alignment horizontal="center" vertical="center" wrapText="1"/>
    </xf>
    <xf numFmtId="0" fontId="4" fillId="0" borderId="34" xfId="30" applyFont="1" applyBorder="1" applyAlignment="1">
      <alignment horizontal="left" vertical="center" wrapText="1"/>
    </xf>
    <xf numFmtId="0" fontId="4" fillId="0" borderId="20" xfId="30" applyFont="1" applyBorder="1" applyAlignment="1">
      <alignment horizontal="left" vertical="center" wrapText="1"/>
    </xf>
    <xf numFmtId="0" fontId="4" fillId="0" borderId="35" xfId="30" applyFont="1" applyBorder="1" applyAlignment="1">
      <alignment horizontal="left" vertical="center" wrapText="1"/>
    </xf>
    <xf numFmtId="0" fontId="16" fillId="0" borderId="16" xfId="0" applyFont="1" applyFill="1" applyBorder="1" applyAlignment="1">
      <alignment horizontal="center" vertical="center" wrapText="1"/>
    </xf>
    <xf numFmtId="0" fontId="16" fillId="0" borderId="17" xfId="0" applyFont="1" applyFill="1" applyBorder="1" applyAlignment="1">
      <alignment horizontal="center" vertical="center" wrapText="1"/>
    </xf>
    <xf numFmtId="0" fontId="16" fillId="0" borderId="25" xfId="0" applyFont="1" applyFill="1" applyBorder="1" applyAlignment="1">
      <alignment horizontal="center" vertical="center" wrapText="1"/>
    </xf>
  </cellXfs>
  <cellStyles count="35">
    <cellStyle name="Comma" xfId="1" builtinId="3"/>
    <cellStyle name="Comma 2" xfId="2"/>
    <cellStyle name="Comma 2 2" xfId="3"/>
    <cellStyle name="Comma 3" xfId="4"/>
    <cellStyle name="Comma 3 2" xfId="5"/>
    <cellStyle name="Comma 3 3" xfId="6"/>
    <cellStyle name="Comma 4" xfId="7"/>
    <cellStyle name="Comma 4 2" xfId="8"/>
    <cellStyle name="Comma 5" xfId="9"/>
    <cellStyle name="Comma_Est-Dj-Master 2" xfId="10"/>
    <cellStyle name="existing style" xfId="11"/>
    <cellStyle name="Neutral" xfId="34" builtinId="28"/>
    <cellStyle name="Normal" xfId="0" builtinId="0"/>
    <cellStyle name="Normal 2" xfId="12"/>
    <cellStyle name="Normal 2 2" xfId="13"/>
    <cellStyle name="Normal 2 2 2" xfId="14"/>
    <cellStyle name="Normal 2 3" xfId="15"/>
    <cellStyle name="Normal 2 4" xfId="16"/>
    <cellStyle name="Normal 2 5" xfId="17"/>
    <cellStyle name="Normal 2 6" xfId="29"/>
    <cellStyle name="Normal 3" xfId="18"/>
    <cellStyle name="Normal 3 2" xfId="19"/>
    <cellStyle name="Normal 4" xfId="20"/>
    <cellStyle name="Normal 4 2" xfId="21"/>
    <cellStyle name="Normal 5" xfId="22"/>
    <cellStyle name="Normal 6" xfId="30"/>
    <cellStyle name="Normal_abs-cost" xfId="23"/>
    <cellStyle name="Normal_abs-cost Dhikgad" xfId="24"/>
    <cellStyle name="Normal_Abs-Cost-Bannala" xfId="32"/>
    <cellStyle name="Normal_Detailed Estimate" xfId="25"/>
    <cellStyle name="Normal_New-DMS" xfId="31"/>
    <cellStyle name="Normal_Qty Est-MRB" xfId="33"/>
    <cellStyle name="Normal_rate analysis for sarada bridge" xfId="26"/>
    <cellStyle name="Normal_transportation format asim 1" xfId="27"/>
    <cellStyle name="Percent 2" xfId="28"/>
  </cellStyles>
  <dxfs count="51">
    <dxf>
      <font>
        <color theme="0" tint="-4.9989318521683403E-2"/>
      </font>
      <fill>
        <patternFill>
          <bgColor theme="0" tint="-0.24994659260841701"/>
        </patternFill>
      </fill>
    </dxf>
    <dxf>
      <font>
        <b val="0"/>
        <i/>
        <color theme="0" tint="-0.24994659260841701"/>
      </font>
      <fill>
        <patternFill patternType="none">
          <bgColor auto="1"/>
        </patternFill>
      </fill>
    </dxf>
    <dxf>
      <font>
        <color theme="0" tint="-0.24994659260841701"/>
      </font>
    </dxf>
    <dxf>
      <font>
        <color theme="0" tint="-4.9989318521683403E-2"/>
      </font>
      <fill>
        <patternFill>
          <bgColor theme="0" tint="-0.24994659260841701"/>
        </patternFill>
      </fill>
    </dxf>
    <dxf>
      <font>
        <b val="0"/>
        <i/>
        <color theme="0" tint="-0.24994659260841701"/>
      </font>
      <fill>
        <patternFill patternType="none">
          <bgColor auto="1"/>
        </patternFill>
      </fill>
    </dxf>
    <dxf>
      <font>
        <color theme="0" tint="-0.24994659260841701"/>
      </font>
    </dxf>
    <dxf>
      <font>
        <color theme="0" tint="-4.9989318521683403E-2"/>
      </font>
      <fill>
        <patternFill>
          <bgColor theme="0" tint="-0.24994659260841701"/>
        </patternFill>
      </fill>
    </dxf>
    <dxf>
      <font>
        <b val="0"/>
        <i/>
        <color theme="0" tint="-0.24994659260841701"/>
      </font>
      <fill>
        <patternFill patternType="none">
          <bgColor auto="1"/>
        </patternFill>
      </fill>
    </dxf>
    <dxf>
      <font>
        <color theme="0" tint="-0.24994659260841701"/>
      </font>
    </dxf>
    <dxf>
      <font>
        <color theme="0" tint="-4.9989318521683403E-2"/>
      </font>
      <fill>
        <patternFill>
          <bgColor theme="0" tint="-0.24994659260841701"/>
        </patternFill>
      </fill>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fill>
        <patternFill patternType="none">
          <bgColor auto="1"/>
        </patternFill>
      </fill>
    </dxf>
    <dxf>
      <font>
        <color theme="0" tint="-0.24994659260841701"/>
      </font>
    </dxf>
    <dxf>
      <font>
        <b val="0"/>
        <i/>
        <color theme="0" tint="-0.24994659260841701"/>
      </font>
    </dxf>
    <dxf>
      <font>
        <b val="0"/>
        <i/>
        <color theme="0" tint="-0.24994659260841701"/>
      </font>
      <fill>
        <patternFill patternType="none">
          <bgColor auto="1"/>
        </patternFill>
      </fill>
    </dxf>
    <dxf>
      <font>
        <color theme="0" tint="-0.24994659260841701"/>
      </font>
    </dxf>
    <dxf>
      <font>
        <color rgb="FFFFFF00"/>
      </font>
      <fill>
        <patternFill>
          <bgColor rgb="FFFF0000"/>
        </patternFill>
      </fill>
    </dxf>
    <dxf>
      <font>
        <color theme="0" tint="-0.14996795556505021"/>
      </font>
      <fill>
        <patternFill>
          <bgColor theme="0" tint="-0.34998626667073579"/>
        </patternFill>
      </fill>
    </dxf>
    <dxf>
      <font>
        <b val="0"/>
        <i/>
        <color theme="0" tint="-4.9989318521683403E-2"/>
      </font>
    </dxf>
    <dxf>
      <font>
        <color rgb="FFFF0000"/>
      </font>
      <fill>
        <patternFill>
          <bgColor theme="6"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image" Target="../media/image43.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47" Type="http://schemas.openxmlformats.org/officeDocument/2006/relationships/image" Target="../media/image51.png"/><Relationship Id="rId50" Type="http://schemas.openxmlformats.org/officeDocument/2006/relationships/image" Target="../media/image54.png"/><Relationship Id="rId55" Type="http://schemas.openxmlformats.org/officeDocument/2006/relationships/image" Target="../media/image59.png"/><Relationship Id="rId63" Type="http://schemas.openxmlformats.org/officeDocument/2006/relationships/image" Target="../media/image67.png"/><Relationship Id="rId7" Type="http://schemas.openxmlformats.org/officeDocument/2006/relationships/image" Target="../media/image11.png"/><Relationship Id="rId2" Type="http://schemas.openxmlformats.org/officeDocument/2006/relationships/image" Target="../media/image6.png"/><Relationship Id="rId16" Type="http://schemas.openxmlformats.org/officeDocument/2006/relationships/image" Target="../media/image20.png"/><Relationship Id="rId20" Type="http://schemas.openxmlformats.org/officeDocument/2006/relationships/image" Target="../media/image24.png"/><Relationship Id="rId29" Type="http://schemas.openxmlformats.org/officeDocument/2006/relationships/image" Target="../media/image33.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45" Type="http://schemas.openxmlformats.org/officeDocument/2006/relationships/image" Target="../media/image49.png"/><Relationship Id="rId53" Type="http://schemas.openxmlformats.org/officeDocument/2006/relationships/image" Target="../media/image57.png"/><Relationship Id="rId58" Type="http://schemas.openxmlformats.org/officeDocument/2006/relationships/image" Target="../media/image62.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61" Type="http://schemas.openxmlformats.org/officeDocument/2006/relationships/image" Target="../media/image65.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48" Type="http://schemas.openxmlformats.org/officeDocument/2006/relationships/image" Target="../media/image52.png"/><Relationship Id="rId56" Type="http://schemas.openxmlformats.org/officeDocument/2006/relationships/image" Target="../media/image60.png"/><Relationship Id="rId8" Type="http://schemas.openxmlformats.org/officeDocument/2006/relationships/image" Target="../media/image12.png"/><Relationship Id="rId51" Type="http://schemas.openxmlformats.org/officeDocument/2006/relationships/image" Target="../media/image55.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 Id="rId46" Type="http://schemas.openxmlformats.org/officeDocument/2006/relationships/image" Target="../media/image50.png"/><Relationship Id="rId59" Type="http://schemas.openxmlformats.org/officeDocument/2006/relationships/image" Target="../media/image6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485775</xdr:colOff>
          <xdr:row>11</xdr:row>
          <xdr:rowOff>57150</xdr:rowOff>
        </xdr:from>
        <xdr:to>
          <xdr:col>2</xdr:col>
          <xdr:colOff>2143125</xdr:colOff>
          <xdr:row>14</xdr:row>
          <xdr:rowOff>114300</xdr:rowOff>
        </xdr:to>
        <xdr:sp macro="" textlink="">
          <xdr:nvSpPr>
            <xdr:cNvPr id="145418" name="Hide_Sheet_Row" hidden="1">
              <a:extLst>
                <a:ext uri="{63B3BB69-23CF-44E3-9099-C40C66FF867C}">
                  <a14:compatExt spid="_x0000_s145418"/>
                </a:ext>
                <a:ext uri="{FF2B5EF4-FFF2-40B4-BE49-F238E27FC236}">
                  <a16:creationId xmlns:a16="http://schemas.microsoft.com/office/drawing/2014/main" id="{00000000-0008-0000-0000-00000A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11</xdr:row>
          <xdr:rowOff>104775</xdr:rowOff>
        </xdr:from>
        <xdr:to>
          <xdr:col>1</xdr:col>
          <xdr:colOff>438150</xdr:colOff>
          <xdr:row>14</xdr:row>
          <xdr:rowOff>76200</xdr:rowOff>
        </xdr:to>
        <xdr:sp macro="" textlink="">
          <xdr:nvSpPr>
            <xdr:cNvPr id="145419" name="Reset_Normal_UNhide" hidden="1">
              <a:extLst>
                <a:ext uri="{63B3BB69-23CF-44E3-9099-C40C66FF867C}">
                  <a14:compatExt spid="_x0000_s145419"/>
                </a:ext>
                <a:ext uri="{FF2B5EF4-FFF2-40B4-BE49-F238E27FC236}">
                  <a16:creationId xmlns:a16="http://schemas.microsoft.com/office/drawing/2014/main" id="{00000000-0008-0000-0000-00000B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4</xdr:row>
          <xdr:rowOff>152400</xdr:rowOff>
        </xdr:from>
        <xdr:to>
          <xdr:col>0</xdr:col>
          <xdr:colOff>1762125</xdr:colOff>
          <xdr:row>8</xdr:row>
          <xdr:rowOff>57150</xdr:rowOff>
        </xdr:to>
        <xdr:sp macro="" textlink="">
          <xdr:nvSpPr>
            <xdr:cNvPr id="145421" name="Unhide_PCC" hidden="1">
              <a:extLst>
                <a:ext uri="{63B3BB69-23CF-44E3-9099-C40C66FF867C}">
                  <a14:compatExt spid="_x0000_s145421"/>
                </a:ext>
                <a:ext uri="{FF2B5EF4-FFF2-40B4-BE49-F238E27FC236}">
                  <a16:creationId xmlns:a16="http://schemas.microsoft.com/office/drawing/2014/main" id="{00000000-0008-0000-0000-00000D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4</xdr:row>
          <xdr:rowOff>142875</xdr:rowOff>
        </xdr:from>
        <xdr:to>
          <xdr:col>2</xdr:col>
          <xdr:colOff>533400</xdr:colOff>
          <xdr:row>8</xdr:row>
          <xdr:rowOff>47625</xdr:rowOff>
        </xdr:to>
        <xdr:sp macro="" textlink="">
          <xdr:nvSpPr>
            <xdr:cNvPr id="145422" name="hide_pile" hidden="1">
              <a:extLst>
                <a:ext uri="{63B3BB69-23CF-44E3-9099-C40C66FF867C}">
                  <a14:compatExt spid="_x0000_s145422"/>
                </a:ext>
                <a:ext uri="{FF2B5EF4-FFF2-40B4-BE49-F238E27FC236}">
                  <a16:creationId xmlns:a16="http://schemas.microsoft.com/office/drawing/2014/main" id="{00000000-0008-0000-0000-00000E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31</xdr:col>
      <xdr:colOff>381000</xdr:colOff>
      <xdr:row>131</xdr:row>
      <xdr:rowOff>68035</xdr:rowOff>
    </xdr:from>
    <xdr:to>
      <xdr:col>33</xdr:col>
      <xdr:colOff>436629</xdr:colOff>
      <xdr:row>139</xdr:row>
      <xdr:rowOff>59470</xdr:rowOff>
    </xdr:to>
    <xdr:grpSp>
      <xdr:nvGrpSpPr>
        <xdr:cNvPr id="267204" name="Group 489">
          <a:extLst>
            <a:ext uri="{FF2B5EF4-FFF2-40B4-BE49-F238E27FC236}">
              <a16:creationId xmlns:a16="http://schemas.microsoft.com/office/drawing/2014/main" id="{00000000-0008-0000-0400-0000C4130400}"/>
            </a:ext>
          </a:extLst>
        </xdr:cNvPr>
        <xdr:cNvGrpSpPr>
          <a:grpSpLocks/>
        </xdr:cNvGrpSpPr>
      </xdr:nvGrpSpPr>
      <xdr:grpSpPr bwMode="auto">
        <a:xfrm>
          <a:off x="21660971" y="31242800"/>
          <a:ext cx="1288276" cy="1414582"/>
          <a:chOff x="2499787" y="19546773"/>
          <a:chExt cx="154938" cy="238257"/>
        </a:xfrm>
      </xdr:grpSpPr>
      <xdr:grpSp>
        <xdr:nvGrpSpPr>
          <xdr:cNvPr id="267205" name="Group 490">
            <a:extLst>
              <a:ext uri="{FF2B5EF4-FFF2-40B4-BE49-F238E27FC236}">
                <a16:creationId xmlns:a16="http://schemas.microsoft.com/office/drawing/2014/main" id="{00000000-0008-0000-0400-0000C5130400}"/>
              </a:ext>
            </a:extLst>
          </xdr:cNvPr>
          <xdr:cNvGrpSpPr>
            <a:grpSpLocks/>
          </xdr:cNvGrpSpPr>
        </xdr:nvGrpSpPr>
        <xdr:grpSpPr bwMode="auto">
          <a:xfrm>
            <a:off x="2549561" y="19546773"/>
            <a:ext cx="68200" cy="28863"/>
            <a:chOff x="2549561" y="19546773"/>
            <a:chExt cx="68200" cy="28863"/>
          </a:xfrm>
        </xdr:grpSpPr>
        <xdr:cxnSp macro="">
          <xdr:nvCxnSpPr>
            <xdr:cNvPr id="514" name="Straight Connector 513">
              <a:extLst>
                <a:ext uri="{FF2B5EF4-FFF2-40B4-BE49-F238E27FC236}">
                  <a16:creationId xmlns:a16="http://schemas.microsoft.com/office/drawing/2014/main" id="{00000000-0008-0000-0400-000002020000}"/>
                </a:ext>
              </a:extLst>
            </xdr:cNvPr>
            <xdr:cNvCxnSpPr/>
          </xdr:nvCxnSpPr>
          <xdr:spPr>
            <a:xfrm flipV="1">
              <a:off x="2549616" y="19566285"/>
              <a:ext cx="0" cy="924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400-000003020000}"/>
                </a:ext>
              </a:extLst>
            </xdr:cNvPr>
            <xdr:cNvCxnSpPr/>
          </xdr:nvCxnSpPr>
          <xdr:spPr>
            <a:xfrm flipV="1">
              <a:off x="2618132" y="19566285"/>
              <a:ext cx="0" cy="924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400-000004020000}"/>
                </a:ext>
              </a:extLst>
            </xdr:cNvPr>
            <xdr:cNvCxnSpPr/>
          </xdr:nvCxnSpPr>
          <xdr:spPr>
            <a:xfrm>
              <a:off x="2567524" y="19571420"/>
              <a:ext cx="327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17" name="Freeform 516">
              <a:extLst>
                <a:ext uri="{FF2B5EF4-FFF2-40B4-BE49-F238E27FC236}">
                  <a16:creationId xmlns:a16="http://schemas.microsoft.com/office/drawing/2014/main" id="{00000000-0008-0000-0400-000005020000}"/>
                </a:ext>
              </a:extLst>
            </xdr:cNvPr>
            <xdr:cNvSpPr/>
          </xdr:nvSpPr>
          <xdr:spPr>
            <a:xfrm>
              <a:off x="2549616" y="19567312"/>
              <a:ext cx="17907" cy="7189"/>
            </a:xfrm>
            <a:custGeom>
              <a:avLst/>
              <a:gdLst/>
              <a:ahLst/>
              <a:cxnLst/>
              <a:rect l="0" t="0" r="0" b="0"/>
              <a:pathLst>
                <a:path w="18001" h="6000">
                  <a:moveTo>
                    <a:pt x="18000" y="0"/>
                  </a:moveTo>
                  <a:lnTo>
                    <a:pt x="18000" y="5999"/>
                  </a:lnTo>
                  <a:lnTo>
                    <a:pt x="0" y="2999"/>
                  </a:lnTo>
                  <a:lnTo>
                    <a:pt x="0" y="2999"/>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18" name="Freeform 517">
              <a:extLst>
                <a:ext uri="{FF2B5EF4-FFF2-40B4-BE49-F238E27FC236}">
                  <a16:creationId xmlns:a16="http://schemas.microsoft.com/office/drawing/2014/main" id="{00000000-0008-0000-0400-000006020000}"/>
                </a:ext>
              </a:extLst>
            </xdr:cNvPr>
            <xdr:cNvSpPr/>
          </xdr:nvSpPr>
          <xdr:spPr>
            <a:xfrm>
              <a:off x="2600224" y="19567312"/>
              <a:ext cx="17907" cy="7189"/>
            </a:xfrm>
            <a:custGeom>
              <a:avLst/>
              <a:gdLst/>
              <a:ahLst/>
              <a:cxnLst/>
              <a:rect l="0" t="0" r="0" b="0"/>
              <a:pathLst>
                <a:path w="18001" h="6000">
                  <a:moveTo>
                    <a:pt x="0" y="0"/>
                  </a:moveTo>
                  <a:lnTo>
                    <a:pt x="0" y="5999"/>
                  </a:lnTo>
                  <a:lnTo>
                    <a:pt x="18000" y="2999"/>
                  </a:lnTo>
                  <a:lnTo>
                    <a:pt x="18000" y="2999"/>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19" name="TextBox 518">
              <a:extLst>
                <a:ext uri="{FF2B5EF4-FFF2-40B4-BE49-F238E27FC236}">
                  <a16:creationId xmlns:a16="http://schemas.microsoft.com/office/drawing/2014/main" id="{00000000-0008-0000-0400-000007020000}"/>
                </a:ext>
              </a:extLst>
            </xdr:cNvPr>
            <xdr:cNvSpPr txBox="1"/>
          </xdr:nvSpPr>
          <xdr:spPr>
            <a:xfrm>
              <a:off x="2572195" y="19546773"/>
              <a:ext cx="43601" cy="195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400">
                  <a:solidFill>
                    <a:srgbClr val="000000"/>
                  </a:solidFill>
                  <a:latin typeface="Arial" panose="020B0604020202020204" pitchFamily="34" charset="0"/>
                </a:rPr>
                <a:t>b2"</a:t>
              </a:r>
            </a:p>
          </xdr:txBody>
        </xdr:sp>
      </xdr:grpSp>
      <xdr:grpSp>
        <xdr:nvGrpSpPr>
          <xdr:cNvPr id="267206" name="Group 491">
            <a:extLst>
              <a:ext uri="{FF2B5EF4-FFF2-40B4-BE49-F238E27FC236}">
                <a16:creationId xmlns:a16="http://schemas.microsoft.com/office/drawing/2014/main" id="{00000000-0008-0000-0400-0000C6130400}"/>
              </a:ext>
            </a:extLst>
          </xdr:cNvPr>
          <xdr:cNvGrpSpPr>
            <a:grpSpLocks/>
          </xdr:cNvGrpSpPr>
        </xdr:nvGrpSpPr>
        <xdr:grpSpPr bwMode="auto">
          <a:xfrm>
            <a:off x="2499787" y="19642837"/>
            <a:ext cx="24536" cy="94612"/>
            <a:chOff x="2499787" y="19642837"/>
            <a:chExt cx="24536" cy="94612"/>
          </a:xfrm>
        </xdr:grpSpPr>
        <xdr:cxnSp macro="">
          <xdr:nvCxnSpPr>
            <xdr:cNvPr id="508" name="Straight Connector 507">
              <a:extLst>
                <a:ext uri="{FF2B5EF4-FFF2-40B4-BE49-F238E27FC236}">
                  <a16:creationId xmlns:a16="http://schemas.microsoft.com/office/drawing/2014/main" id="{00000000-0008-0000-0400-0000FC010000}"/>
                </a:ext>
              </a:extLst>
            </xdr:cNvPr>
            <xdr:cNvCxnSpPr/>
          </xdr:nvCxnSpPr>
          <xdr:spPr>
            <a:xfrm flipH="1">
              <a:off x="2513801" y="19643308"/>
              <a:ext cx="109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400-0000FD010000}"/>
                </a:ext>
              </a:extLst>
            </xdr:cNvPr>
            <xdr:cNvCxnSpPr/>
          </xdr:nvCxnSpPr>
          <xdr:spPr>
            <a:xfrm flipH="1">
              <a:off x="2513801" y="19738816"/>
              <a:ext cx="109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400-0000FE010000}"/>
                </a:ext>
              </a:extLst>
            </xdr:cNvPr>
            <xdr:cNvCxnSpPr/>
          </xdr:nvCxnSpPr>
          <xdr:spPr>
            <a:xfrm>
              <a:off x="2519252" y="19661794"/>
              <a:ext cx="0" cy="5853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11" name="Freeform 510">
              <a:extLst>
                <a:ext uri="{FF2B5EF4-FFF2-40B4-BE49-F238E27FC236}">
                  <a16:creationId xmlns:a16="http://schemas.microsoft.com/office/drawing/2014/main" id="{00000000-0008-0000-0400-0000FF010000}"/>
                </a:ext>
              </a:extLst>
            </xdr:cNvPr>
            <xdr:cNvSpPr/>
          </xdr:nvSpPr>
          <xdr:spPr>
            <a:xfrm>
              <a:off x="2516137" y="19643308"/>
              <a:ext cx="6229" cy="18485"/>
            </a:xfrm>
            <a:custGeom>
              <a:avLst/>
              <a:gdLst/>
              <a:ahLst/>
              <a:cxnLst/>
              <a:rect l="0" t="0" r="0" b="0"/>
              <a:pathLst>
                <a:path w="6001" h="18001">
                  <a:moveTo>
                    <a:pt x="0" y="18000"/>
                  </a:moveTo>
                  <a:lnTo>
                    <a:pt x="6000" y="18000"/>
                  </a:lnTo>
                  <a:lnTo>
                    <a:pt x="3000" y="0"/>
                  </a:lnTo>
                  <a:lnTo>
                    <a:pt x="3000" y="0"/>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12" name="Freeform 511">
              <a:extLst>
                <a:ext uri="{FF2B5EF4-FFF2-40B4-BE49-F238E27FC236}">
                  <a16:creationId xmlns:a16="http://schemas.microsoft.com/office/drawing/2014/main" id="{00000000-0008-0000-0400-000000020000}"/>
                </a:ext>
              </a:extLst>
            </xdr:cNvPr>
            <xdr:cNvSpPr/>
          </xdr:nvSpPr>
          <xdr:spPr>
            <a:xfrm>
              <a:off x="2516137" y="19720331"/>
              <a:ext cx="6229" cy="18485"/>
            </a:xfrm>
            <a:custGeom>
              <a:avLst/>
              <a:gdLst/>
              <a:ahLst/>
              <a:cxnLst/>
              <a:rect l="0" t="0" r="0" b="0"/>
              <a:pathLst>
                <a:path w="6001" h="18001">
                  <a:moveTo>
                    <a:pt x="0" y="0"/>
                  </a:moveTo>
                  <a:lnTo>
                    <a:pt x="6000" y="0"/>
                  </a:lnTo>
                  <a:lnTo>
                    <a:pt x="3000" y="18000"/>
                  </a:lnTo>
                  <a:lnTo>
                    <a:pt x="3000" y="18000"/>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13" name="TextBox 512">
              <a:extLst>
                <a:ext uri="{FF2B5EF4-FFF2-40B4-BE49-F238E27FC236}">
                  <a16:creationId xmlns:a16="http://schemas.microsoft.com/office/drawing/2014/main" id="{00000000-0008-0000-0400-000001020000}"/>
                </a:ext>
              </a:extLst>
            </xdr:cNvPr>
            <xdr:cNvSpPr txBox="1"/>
          </xdr:nvSpPr>
          <xdr:spPr>
            <a:xfrm rot="16200000">
              <a:off x="2487050" y="19671450"/>
              <a:ext cx="44160" cy="1868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400">
                  <a:solidFill>
                    <a:srgbClr val="000000"/>
                  </a:solidFill>
                  <a:latin typeface="Arial" panose="020B0604020202020204" pitchFamily="34" charset="0"/>
                </a:rPr>
                <a:t>h2"</a:t>
              </a:r>
            </a:p>
          </xdr:txBody>
        </xdr:sp>
      </xdr:grpSp>
      <xdr:grpSp>
        <xdr:nvGrpSpPr>
          <xdr:cNvPr id="267207" name="Group 492">
            <a:extLst>
              <a:ext uri="{FF2B5EF4-FFF2-40B4-BE49-F238E27FC236}">
                <a16:creationId xmlns:a16="http://schemas.microsoft.com/office/drawing/2014/main" id="{00000000-0008-0000-0400-0000C7130400}"/>
              </a:ext>
            </a:extLst>
          </xdr:cNvPr>
          <xdr:cNvGrpSpPr>
            <a:grpSpLocks/>
          </xdr:cNvGrpSpPr>
        </xdr:nvGrpSpPr>
        <xdr:grpSpPr bwMode="auto">
          <a:xfrm>
            <a:off x="2540000" y="19753627"/>
            <a:ext cx="77761" cy="31403"/>
            <a:chOff x="2540000" y="19753627"/>
            <a:chExt cx="77761" cy="31403"/>
          </a:xfrm>
        </xdr:grpSpPr>
        <xdr:cxnSp macro="">
          <xdr:nvCxnSpPr>
            <xdr:cNvPr id="502" name="Straight Connector 501">
              <a:extLst>
                <a:ext uri="{FF2B5EF4-FFF2-40B4-BE49-F238E27FC236}">
                  <a16:creationId xmlns:a16="http://schemas.microsoft.com/office/drawing/2014/main" id="{00000000-0008-0000-0400-0000F6010000}"/>
                </a:ext>
              </a:extLst>
            </xdr:cNvPr>
            <xdr:cNvCxnSpPr/>
          </xdr:nvCxnSpPr>
          <xdr:spPr>
            <a:xfrm>
              <a:off x="2540273" y="19754221"/>
              <a:ext cx="0" cy="1129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400-0000F7010000}"/>
                </a:ext>
              </a:extLst>
            </xdr:cNvPr>
            <xdr:cNvCxnSpPr/>
          </xdr:nvCxnSpPr>
          <xdr:spPr>
            <a:xfrm>
              <a:off x="2618132" y="19754221"/>
              <a:ext cx="0" cy="1129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400-0000F8010000}"/>
                </a:ext>
              </a:extLst>
            </xdr:cNvPr>
            <xdr:cNvCxnSpPr/>
          </xdr:nvCxnSpPr>
          <xdr:spPr>
            <a:xfrm>
              <a:off x="2558181" y="19758329"/>
              <a:ext cx="4204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05" name="Freeform 504">
              <a:extLst>
                <a:ext uri="{FF2B5EF4-FFF2-40B4-BE49-F238E27FC236}">
                  <a16:creationId xmlns:a16="http://schemas.microsoft.com/office/drawing/2014/main" id="{00000000-0008-0000-0400-0000F9010000}"/>
                </a:ext>
              </a:extLst>
            </xdr:cNvPr>
            <xdr:cNvSpPr/>
          </xdr:nvSpPr>
          <xdr:spPr>
            <a:xfrm>
              <a:off x="2540273" y="19755248"/>
              <a:ext cx="17907" cy="7189"/>
            </a:xfrm>
            <a:custGeom>
              <a:avLst/>
              <a:gdLst/>
              <a:ahLst/>
              <a:cxnLst/>
              <a:rect l="0" t="0" r="0" b="0"/>
              <a:pathLst>
                <a:path w="18001" h="6002">
                  <a:moveTo>
                    <a:pt x="18000" y="0"/>
                  </a:moveTo>
                  <a:lnTo>
                    <a:pt x="18000" y="6001"/>
                  </a:lnTo>
                  <a:lnTo>
                    <a:pt x="0" y="2999"/>
                  </a:lnTo>
                  <a:lnTo>
                    <a:pt x="0" y="2999"/>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06" name="Freeform 505">
              <a:extLst>
                <a:ext uri="{FF2B5EF4-FFF2-40B4-BE49-F238E27FC236}">
                  <a16:creationId xmlns:a16="http://schemas.microsoft.com/office/drawing/2014/main" id="{00000000-0008-0000-0400-0000FA010000}"/>
                </a:ext>
              </a:extLst>
            </xdr:cNvPr>
            <xdr:cNvSpPr/>
          </xdr:nvSpPr>
          <xdr:spPr>
            <a:xfrm>
              <a:off x="2600224" y="19755248"/>
              <a:ext cx="17907" cy="7189"/>
            </a:xfrm>
            <a:custGeom>
              <a:avLst/>
              <a:gdLst/>
              <a:ahLst/>
              <a:cxnLst/>
              <a:rect l="0" t="0" r="0" b="0"/>
              <a:pathLst>
                <a:path w="18001" h="6002">
                  <a:moveTo>
                    <a:pt x="0" y="0"/>
                  </a:moveTo>
                  <a:lnTo>
                    <a:pt x="0" y="6001"/>
                  </a:lnTo>
                  <a:lnTo>
                    <a:pt x="18000" y="2999"/>
                  </a:lnTo>
                  <a:lnTo>
                    <a:pt x="18000" y="2999"/>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07" name="TextBox 506">
              <a:extLst>
                <a:ext uri="{FF2B5EF4-FFF2-40B4-BE49-F238E27FC236}">
                  <a16:creationId xmlns:a16="http://schemas.microsoft.com/office/drawing/2014/main" id="{00000000-0008-0000-0400-0000FB010000}"/>
                </a:ext>
              </a:extLst>
            </xdr:cNvPr>
            <xdr:cNvSpPr txBox="1"/>
          </xdr:nvSpPr>
          <xdr:spPr>
            <a:xfrm>
              <a:off x="2569081" y="19766545"/>
              <a:ext cx="43601" cy="1848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400">
                  <a:solidFill>
                    <a:srgbClr val="000000"/>
                  </a:solidFill>
                  <a:latin typeface="Arial" panose="020B0604020202020204" pitchFamily="34" charset="0"/>
                </a:rPr>
                <a:t>b1"</a:t>
              </a:r>
            </a:p>
          </xdr:txBody>
        </xdr:sp>
      </xdr:grpSp>
      <xdr:grpSp>
        <xdr:nvGrpSpPr>
          <xdr:cNvPr id="267208" name="Group 493">
            <a:extLst>
              <a:ext uri="{FF2B5EF4-FFF2-40B4-BE49-F238E27FC236}">
                <a16:creationId xmlns:a16="http://schemas.microsoft.com/office/drawing/2014/main" id="{00000000-0008-0000-0400-0000C8130400}"/>
              </a:ext>
            </a:extLst>
          </xdr:cNvPr>
          <xdr:cNvGrpSpPr>
            <a:grpSpLocks/>
          </xdr:cNvGrpSpPr>
        </xdr:nvGrpSpPr>
        <xdr:grpSpPr bwMode="auto">
          <a:xfrm>
            <a:off x="2630188" y="19584795"/>
            <a:ext cx="24537" cy="152654"/>
            <a:chOff x="2630188" y="19584795"/>
            <a:chExt cx="24537" cy="152654"/>
          </a:xfrm>
        </xdr:grpSpPr>
        <xdr:cxnSp macro="">
          <xdr:nvCxnSpPr>
            <xdr:cNvPr id="496" name="Straight Connector 495">
              <a:extLst>
                <a:ext uri="{FF2B5EF4-FFF2-40B4-BE49-F238E27FC236}">
                  <a16:creationId xmlns:a16="http://schemas.microsoft.com/office/drawing/2014/main" id="{00000000-0008-0000-0400-0000F0010000}"/>
                </a:ext>
              </a:extLst>
            </xdr:cNvPr>
            <xdr:cNvCxnSpPr/>
          </xdr:nvCxnSpPr>
          <xdr:spPr>
            <a:xfrm>
              <a:off x="2643825" y="19738816"/>
              <a:ext cx="109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497" name="Straight Connector 496">
              <a:extLst>
                <a:ext uri="{FF2B5EF4-FFF2-40B4-BE49-F238E27FC236}">
                  <a16:creationId xmlns:a16="http://schemas.microsoft.com/office/drawing/2014/main" id="{00000000-0008-0000-0400-0000F1010000}"/>
                </a:ext>
              </a:extLst>
            </xdr:cNvPr>
            <xdr:cNvCxnSpPr/>
          </xdr:nvCxnSpPr>
          <xdr:spPr>
            <a:xfrm>
              <a:off x="2643825" y="19583744"/>
              <a:ext cx="109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400-0000F2010000}"/>
                </a:ext>
              </a:extLst>
            </xdr:cNvPr>
            <xdr:cNvCxnSpPr/>
          </xdr:nvCxnSpPr>
          <xdr:spPr>
            <a:xfrm flipV="1">
              <a:off x="2649275" y="19602229"/>
              <a:ext cx="0" cy="11810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499" name="Freeform 498">
              <a:extLst>
                <a:ext uri="{FF2B5EF4-FFF2-40B4-BE49-F238E27FC236}">
                  <a16:creationId xmlns:a16="http://schemas.microsoft.com/office/drawing/2014/main" id="{00000000-0008-0000-0400-0000F3010000}"/>
                </a:ext>
              </a:extLst>
            </xdr:cNvPr>
            <xdr:cNvSpPr/>
          </xdr:nvSpPr>
          <xdr:spPr>
            <a:xfrm>
              <a:off x="2646161" y="19720331"/>
              <a:ext cx="6229" cy="18485"/>
            </a:xfrm>
            <a:custGeom>
              <a:avLst/>
              <a:gdLst/>
              <a:ahLst/>
              <a:cxnLst/>
              <a:rect l="0" t="0" r="0" b="0"/>
              <a:pathLst>
                <a:path w="6001" h="18001">
                  <a:moveTo>
                    <a:pt x="0" y="0"/>
                  </a:moveTo>
                  <a:lnTo>
                    <a:pt x="6000" y="0"/>
                  </a:lnTo>
                  <a:lnTo>
                    <a:pt x="3000" y="18000"/>
                  </a:lnTo>
                  <a:lnTo>
                    <a:pt x="3000" y="18000"/>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00" name="Freeform 499">
              <a:extLst>
                <a:ext uri="{FF2B5EF4-FFF2-40B4-BE49-F238E27FC236}">
                  <a16:creationId xmlns:a16="http://schemas.microsoft.com/office/drawing/2014/main" id="{00000000-0008-0000-0400-0000F4010000}"/>
                </a:ext>
              </a:extLst>
            </xdr:cNvPr>
            <xdr:cNvSpPr/>
          </xdr:nvSpPr>
          <xdr:spPr>
            <a:xfrm>
              <a:off x="2646161" y="19583744"/>
              <a:ext cx="6229" cy="18485"/>
            </a:xfrm>
            <a:custGeom>
              <a:avLst/>
              <a:gdLst/>
              <a:ahLst/>
              <a:cxnLst/>
              <a:rect l="0" t="0" r="0" b="0"/>
              <a:pathLst>
                <a:path w="6001" h="18002">
                  <a:moveTo>
                    <a:pt x="0" y="18001"/>
                  </a:moveTo>
                  <a:lnTo>
                    <a:pt x="6000" y="18001"/>
                  </a:lnTo>
                  <a:lnTo>
                    <a:pt x="3000" y="0"/>
                  </a:lnTo>
                  <a:lnTo>
                    <a:pt x="3000" y="0"/>
                  </a:lnTo>
                </a:path>
              </a:pathLst>
            </a:custGeom>
            <a:solidFill>
              <a:srgbClr val="000000"/>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501" name="TextBox 500">
              <a:extLst>
                <a:ext uri="{FF2B5EF4-FFF2-40B4-BE49-F238E27FC236}">
                  <a16:creationId xmlns:a16="http://schemas.microsoft.com/office/drawing/2014/main" id="{00000000-0008-0000-0400-0000F5010000}"/>
                </a:ext>
              </a:extLst>
            </xdr:cNvPr>
            <xdr:cNvSpPr txBox="1"/>
          </xdr:nvSpPr>
          <xdr:spPr>
            <a:xfrm rot="16200000">
              <a:off x="2617073" y="19643721"/>
              <a:ext cx="44160" cy="1868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400">
                  <a:solidFill>
                    <a:srgbClr val="000000"/>
                  </a:solidFill>
                  <a:latin typeface="Arial" panose="020B0604020202020204" pitchFamily="34" charset="0"/>
                </a:rPr>
                <a:t>h1"</a:t>
              </a:r>
            </a:p>
          </xdr:txBody>
        </xdr:sp>
      </xdr:grpSp>
      <xdr:sp macro="" textlink="">
        <xdr:nvSpPr>
          <xdr:cNvPr id="495" name="Freeform 494">
            <a:extLst>
              <a:ext uri="{FF2B5EF4-FFF2-40B4-BE49-F238E27FC236}">
                <a16:creationId xmlns:a16="http://schemas.microsoft.com/office/drawing/2014/main" id="{00000000-0008-0000-0400-0000EF010000}"/>
              </a:ext>
            </a:extLst>
          </xdr:cNvPr>
          <xdr:cNvSpPr/>
        </xdr:nvSpPr>
        <xdr:spPr>
          <a:xfrm>
            <a:off x="2540273" y="19583744"/>
            <a:ext cx="77858" cy="154045"/>
          </a:xfrm>
          <a:custGeom>
            <a:avLst/>
            <a:gdLst/>
            <a:ahLst/>
            <a:cxnLst/>
            <a:rect l="0" t="0" r="0" b="0"/>
            <a:pathLst>
              <a:path w="77761" h="152654">
                <a:moveTo>
                  <a:pt x="77760" y="152653"/>
                </a:moveTo>
                <a:lnTo>
                  <a:pt x="77760" y="0"/>
                </a:lnTo>
                <a:lnTo>
                  <a:pt x="9561" y="58042"/>
                </a:lnTo>
                <a:lnTo>
                  <a:pt x="0" y="152653"/>
                </a:lnTo>
                <a:lnTo>
                  <a:pt x="77760" y="152653"/>
                </a:lnTo>
                <a:close/>
              </a:path>
            </a:pathLst>
          </a:custGeom>
          <a:noFill/>
          <a:ln w="3810" cap="flat" cmpd="sng" algn="ctr">
            <a:solidFill>
              <a:srgbClr val="000000"/>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26</xdr:col>
      <xdr:colOff>276225</xdr:colOff>
      <xdr:row>109</xdr:row>
      <xdr:rowOff>104773</xdr:rowOff>
    </xdr:from>
    <xdr:to>
      <xdr:col>38</xdr:col>
      <xdr:colOff>57150</xdr:colOff>
      <xdr:row>130</xdr:row>
      <xdr:rowOff>2026</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7936696" y="27637626"/>
          <a:ext cx="7692278" cy="3371076"/>
          <a:chOff x="0" y="20373973"/>
          <a:chExt cx="10134600" cy="3359591"/>
        </a:xfrm>
      </xdr:grpSpPr>
      <xdr:grpSp>
        <xdr:nvGrpSpPr>
          <xdr:cNvPr id="449" name="Group 448">
            <a:extLst>
              <a:ext uri="{FF2B5EF4-FFF2-40B4-BE49-F238E27FC236}">
                <a16:creationId xmlns:a16="http://schemas.microsoft.com/office/drawing/2014/main" id="{00000000-0008-0000-0400-0000C1010000}"/>
              </a:ext>
            </a:extLst>
          </xdr:cNvPr>
          <xdr:cNvGrpSpPr/>
        </xdr:nvGrpSpPr>
        <xdr:grpSpPr>
          <a:xfrm>
            <a:off x="0" y="20393067"/>
            <a:ext cx="6724650" cy="3340497"/>
            <a:chOff x="1905689" y="116885358"/>
            <a:chExt cx="3863779" cy="3049045"/>
          </a:xfrm>
        </xdr:grpSpPr>
        <xdr:grpSp>
          <xdr:nvGrpSpPr>
            <xdr:cNvPr id="459" name="Group 458">
              <a:extLst>
                <a:ext uri="{FF2B5EF4-FFF2-40B4-BE49-F238E27FC236}">
                  <a16:creationId xmlns:a16="http://schemas.microsoft.com/office/drawing/2014/main" id="{00000000-0008-0000-0400-0000CB010000}"/>
                </a:ext>
              </a:extLst>
            </xdr:cNvPr>
            <xdr:cNvGrpSpPr/>
          </xdr:nvGrpSpPr>
          <xdr:grpSpPr>
            <a:xfrm>
              <a:off x="1905689" y="116885358"/>
              <a:ext cx="3863779" cy="3036196"/>
              <a:chOff x="1905689" y="116885358"/>
              <a:chExt cx="3863779" cy="3036196"/>
            </a:xfrm>
          </xdr:grpSpPr>
          <xdr:grpSp>
            <xdr:nvGrpSpPr>
              <xdr:cNvPr id="461" name="Group 460">
                <a:extLst>
                  <a:ext uri="{FF2B5EF4-FFF2-40B4-BE49-F238E27FC236}">
                    <a16:creationId xmlns:a16="http://schemas.microsoft.com/office/drawing/2014/main" id="{00000000-0008-0000-0400-0000CD010000}"/>
                  </a:ext>
                </a:extLst>
              </xdr:cNvPr>
              <xdr:cNvGrpSpPr/>
            </xdr:nvGrpSpPr>
            <xdr:grpSpPr>
              <a:xfrm>
                <a:off x="2271536" y="116885358"/>
                <a:ext cx="3497932" cy="3036196"/>
                <a:chOff x="2539999" y="62886214"/>
                <a:chExt cx="3473724" cy="2883310"/>
              </a:xfrm>
            </xdr:grpSpPr>
            <xdr:grpSp>
              <xdr:nvGrpSpPr>
                <xdr:cNvPr id="490" name="Group 489">
                  <a:extLst>
                    <a:ext uri="{FF2B5EF4-FFF2-40B4-BE49-F238E27FC236}">
                      <a16:creationId xmlns:a16="http://schemas.microsoft.com/office/drawing/2014/main" id="{00000000-0008-0000-0400-0000EA010000}"/>
                    </a:ext>
                  </a:extLst>
                </xdr:cNvPr>
                <xdr:cNvGrpSpPr/>
              </xdr:nvGrpSpPr>
              <xdr:grpSpPr>
                <a:xfrm>
                  <a:off x="4309697" y="63412162"/>
                  <a:ext cx="147632" cy="487820"/>
                  <a:chOff x="4309697" y="63412162"/>
                  <a:chExt cx="147632" cy="487820"/>
                </a:xfrm>
              </xdr:grpSpPr>
              <xdr:cxnSp macro="">
                <xdr:nvCxnSpPr>
                  <xdr:cNvPr id="641" name="Straight Connector 640">
                    <a:extLst>
                      <a:ext uri="{FF2B5EF4-FFF2-40B4-BE49-F238E27FC236}">
                        <a16:creationId xmlns:a16="http://schemas.microsoft.com/office/drawing/2014/main" id="{00000000-0008-0000-0400-000081020000}"/>
                      </a:ext>
                    </a:extLst>
                  </xdr:cNvPr>
                  <xdr:cNvCxnSpPr/>
                </xdr:nvCxnSpPr>
                <xdr:spPr>
                  <a:xfrm>
                    <a:off x="4393530" y="63719980"/>
                    <a:ext cx="45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400-000082020000}"/>
                      </a:ext>
                    </a:extLst>
                  </xdr:cNvPr>
                  <xdr:cNvCxnSpPr/>
                </xdr:nvCxnSpPr>
                <xdr:spPr>
                  <a:xfrm>
                    <a:off x="4393530" y="63665398"/>
                    <a:ext cx="45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43" name="Straight Connector 642">
                    <a:extLst>
                      <a:ext uri="{FF2B5EF4-FFF2-40B4-BE49-F238E27FC236}">
                        <a16:creationId xmlns:a16="http://schemas.microsoft.com/office/drawing/2014/main" id="{00000000-0008-0000-0400-000083020000}"/>
                      </a:ext>
                    </a:extLst>
                  </xdr:cNvPr>
                  <xdr:cNvCxnSpPr/>
                </xdr:nvCxnSpPr>
                <xdr:spPr>
                  <a:xfrm>
                    <a:off x="4429530" y="63809984"/>
                    <a:ext cx="0" cy="89998"/>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400-000084020000}"/>
                      </a:ext>
                    </a:extLst>
                  </xdr:cNvPr>
                  <xdr:cNvCxnSpPr/>
                </xdr:nvCxnSpPr>
                <xdr:spPr>
                  <a:xfrm flipV="1">
                    <a:off x="4429530" y="63485396"/>
                    <a:ext cx="0" cy="89998"/>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45" name="TextBox 644">
                    <a:extLst>
                      <a:ext uri="{FF2B5EF4-FFF2-40B4-BE49-F238E27FC236}">
                        <a16:creationId xmlns:a16="http://schemas.microsoft.com/office/drawing/2014/main" id="{00000000-0008-0000-0400-000085020000}"/>
                      </a:ext>
                    </a:extLst>
                  </xdr:cNvPr>
                  <xdr:cNvSpPr txBox="1"/>
                </xdr:nvSpPr>
                <xdr:spPr>
                  <a:xfrm rot="16200000">
                    <a:off x="4314873" y="63406986"/>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h6</a:t>
                    </a:r>
                  </a:p>
                </xdr:txBody>
              </xdr:sp>
              <xdr:sp macro="" textlink="">
                <xdr:nvSpPr>
                  <xdr:cNvPr id="646" name="Freeform 1268">
                    <a:extLst>
                      <a:ext uri="{FF2B5EF4-FFF2-40B4-BE49-F238E27FC236}">
                        <a16:creationId xmlns:a16="http://schemas.microsoft.com/office/drawing/2014/main" id="{00000000-0008-0000-0400-000086020000}"/>
                      </a:ext>
                    </a:extLst>
                  </xdr:cNvPr>
                  <xdr:cNvSpPr/>
                </xdr:nvSpPr>
                <xdr:spPr>
                  <a:xfrm>
                    <a:off x="4414529" y="63719980"/>
                    <a:ext cx="30001" cy="89999"/>
                  </a:xfrm>
                  <a:custGeom>
                    <a:avLst/>
                    <a:gdLst/>
                    <a:ahLst/>
                    <a:cxnLst/>
                    <a:rect l="0" t="0" r="0" b="0"/>
                    <a:pathLst>
                      <a:path w="30001" h="89999">
                        <a:moveTo>
                          <a:pt x="0" y="89998"/>
                        </a:moveTo>
                        <a:lnTo>
                          <a:pt x="30000" y="89998"/>
                        </a:lnTo>
                        <a:lnTo>
                          <a:pt x="15000" y="0"/>
                        </a:lnTo>
                        <a:lnTo>
                          <a:pt x="15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47" name="Freeform 1269">
                    <a:extLst>
                      <a:ext uri="{FF2B5EF4-FFF2-40B4-BE49-F238E27FC236}">
                        <a16:creationId xmlns:a16="http://schemas.microsoft.com/office/drawing/2014/main" id="{00000000-0008-0000-0400-000087020000}"/>
                      </a:ext>
                    </a:extLst>
                  </xdr:cNvPr>
                  <xdr:cNvSpPr/>
                </xdr:nvSpPr>
                <xdr:spPr>
                  <a:xfrm>
                    <a:off x="4414529" y="63575400"/>
                    <a:ext cx="30001" cy="89999"/>
                  </a:xfrm>
                  <a:custGeom>
                    <a:avLst/>
                    <a:gdLst/>
                    <a:ahLst/>
                    <a:cxnLst/>
                    <a:rect l="0" t="0" r="0" b="0"/>
                    <a:pathLst>
                      <a:path w="30001" h="89999">
                        <a:moveTo>
                          <a:pt x="0" y="0"/>
                        </a:moveTo>
                        <a:lnTo>
                          <a:pt x="30000" y="0"/>
                        </a:lnTo>
                        <a:lnTo>
                          <a:pt x="15000" y="89998"/>
                        </a:lnTo>
                        <a:lnTo>
                          <a:pt x="15000" y="89998"/>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491" name="Freeform 940">
                  <a:extLst>
                    <a:ext uri="{FF2B5EF4-FFF2-40B4-BE49-F238E27FC236}">
                      <a16:creationId xmlns:a16="http://schemas.microsoft.com/office/drawing/2014/main" id="{00000000-0008-0000-0400-0000EB010000}"/>
                    </a:ext>
                  </a:extLst>
                </xdr:cNvPr>
                <xdr:cNvSpPr/>
              </xdr:nvSpPr>
              <xdr:spPr>
                <a:xfrm>
                  <a:off x="4114500" y="63665398"/>
                  <a:ext cx="107729" cy="27292"/>
                </a:xfrm>
                <a:custGeom>
                  <a:avLst/>
                  <a:gdLst/>
                  <a:ahLst/>
                  <a:cxnLst/>
                  <a:rect l="0" t="0" r="0" b="0"/>
                  <a:pathLst>
                    <a:path w="107729" h="27292">
                      <a:moveTo>
                        <a:pt x="0" y="27291"/>
                      </a:moveTo>
                      <a:lnTo>
                        <a:pt x="107728" y="27291"/>
                      </a:lnTo>
                      <a:lnTo>
                        <a:pt x="107728" y="0"/>
                      </a:lnTo>
                      <a:lnTo>
                        <a:pt x="0" y="0"/>
                      </a:lnTo>
                      <a:lnTo>
                        <a:pt x="0" y="27291"/>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92" name="Straight Connector 491">
                  <a:extLst>
                    <a:ext uri="{FF2B5EF4-FFF2-40B4-BE49-F238E27FC236}">
                      <a16:creationId xmlns:a16="http://schemas.microsoft.com/office/drawing/2014/main" id="{00000000-0008-0000-0400-0000EC010000}"/>
                    </a:ext>
                  </a:extLst>
                </xdr:cNvPr>
                <xdr:cNvCxnSpPr/>
              </xdr:nvCxnSpPr>
              <xdr:spPr>
                <a:xfrm>
                  <a:off x="3236209" y="63452859"/>
                  <a:ext cx="742354" cy="50000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400-0000ED010000}"/>
                    </a:ext>
                  </a:extLst>
                </xdr:cNvPr>
                <xdr:cNvCxnSpPr/>
              </xdr:nvCxnSpPr>
              <xdr:spPr>
                <a:xfrm>
                  <a:off x="3236209" y="63182860"/>
                  <a:ext cx="0" cy="2699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400-0000EE010000}"/>
                    </a:ext>
                  </a:extLst>
                </xdr:cNvPr>
                <xdr:cNvCxnSpPr/>
              </xdr:nvCxnSpPr>
              <xdr:spPr>
                <a:xfrm>
                  <a:off x="3978563" y="63899250"/>
                  <a:ext cx="0" cy="11943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400-000008020000}"/>
                    </a:ext>
                  </a:extLst>
                </xdr:cNvPr>
                <xdr:cNvCxnSpPr/>
              </xdr:nvCxnSpPr>
              <xdr:spPr>
                <a:xfrm>
                  <a:off x="3867784" y="63809984"/>
                  <a:ext cx="110779" cy="8926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400-000009020000}"/>
                    </a:ext>
                  </a:extLst>
                </xdr:cNvPr>
                <xdr:cNvCxnSpPr/>
              </xdr:nvCxnSpPr>
              <xdr:spPr>
                <a:xfrm flipH="1">
                  <a:off x="3236209" y="63228928"/>
                  <a:ext cx="631575"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400-00000A020000}"/>
                    </a:ext>
                  </a:extLst>
                </xdr:cNvPr>
                <xdr:cNvCxnSpPr/>
              </xdr:nvCxnSpPr>
              <xdr:spPr>
                <a:xfrm flipH="1">
                  <a:off x="3236209" y="63182860"/>
                  <a:ext cx="631575"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400-00000B020000}"/>
                    </a:ext>
                  </a:extLst>
                </xdr:cNvPr>
                <xdr:cNvCxnSpPr/>
              </xdr:nvCxnSpPr>
              <xdr:spPr>
                <a:xfrm flipV="1">
                  <a:off x="3867784" y="63182860"/>
                  <a:ext cx="0" cy="46068"/>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400-00000C020000}"/>
                    </a:ext>
                  </a:extLst>
                </xdr:cNvPr>
                <xdr:cNvCxnSpPr/>
              </xdr:nvCxnSpPr>
              <xdr:spPr>
                <a:xfrm>
                  <a:off x="3823391" y="63228928"/>
                  <a:ext cx="4439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400-00000D020000}"/>
                    </a:ext>
                  </a:extLst>
                </xdr:cNvPr>
                <xdr:cNvCxnSpPr/>
              </xdr:nvCxnSpPr>
              <xdr:spPr>
                <a:xfrm flipV="1">
                  <a:off x="3823391" y="63228928"/>
                  <a:ext cx="0" cy="56418"/>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400-00000E020000}"/>
                    </a:ext>
                  </a:extLst>
                </xdr:cNvPr>
                <xdr:cNvCxnSpPr/>
              </xdr:nvCxnSpPr>
              <xdr:spPr>
                <a:xfrm flipH="1" flipV="1">
                  <a:off x="3823391" y="63285346"/>
                  <a:ext cx="44393" cy="472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nvGrpSpPr>
                <xdr:cNvPr id="527" name="Group 526">
                  <a:extLst>
                    <a:ext uri="{FF2B5EF4-FFF2-40B4-BE49-F238E27FC236}">
                      <a16:creationId xmlns:a16="http://schemas.microsoft.com/office/drawing/2014/main" id="{00000000-0008-0000-0400-00000F020000}"/>
                    </a:ext>
                  </a:extLst>
                </xdr:cNvPr>
                <xdr:cNvGrpSpPr/>
              </xdr:nvGrpSpPr>
              <xdr:grpSpPr>
                <a:xfrm>
                  <a:off x="5846219" y="65097044"/>
                  <a:ext cx="167504" cy="444501"/>
                  <a:chOff x="5846219" y="65097044"/>
                  <a:chExt cx="167504" cy="444501"/>
                </a:xfrm>
              </xdr:grpSpPr>
              <xdr:cxnSp macro="">
                <xdr:nvCxnSpPr>
                  <xdr:cNvPr id="635" name="Straight Connector 634">
                    <a:extLst>
                      <a:ext uri="{FF2B5EF4-FFF2-40B4-BE49-F238E27FC236}">
                        <a16:creationId xmlns:a16="http://schemas.microsoft.com/office/drawing/2014/main" id="{00000000-0008-0000-0400-00007B020000}"/>
                      </a:ext>
                    </a:extLst>
                  </xdr:cNvPr>
                  <xdr:cNvCxnSpPr/>
                </xdr:nvCxnSpPr>
                <xdr:spPr>
                  <a:xfrm>
                    <a:off x="5988679" y="65541544"/>
                    <a:ext cx="19046"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400-00007C020000}"/>
                      </a:ext>
                    </a:extLst>
                  </xdr:cNvPr>
                  <xdr:cNvCxnSpPr/>
                </xdr:nvCxnSpPr>
                <xdr:spPr>
                  <a:xfrm>
                    <a:off x="5988679" y="65097044"/>
                    <a:ext cx="19046"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37" name="Straight Connector 636">
                    <a:extLst>
                      <a:ext uri="{FF2B5EF4-FFF2-40B4-BE49-F238E27FC236}">
                        <a16:creationId xmlns:a16="http://schemas.microsoft.com/office/drawing/2014/main" id="{00000000-0008-0000-0400-00007D020000}"/>
                      </a:ext>
                    </a:extLst>
                  </xdr:cNvPr>
                  <xdr:cNvCxnSpPr/>
                </xdr:nvCxnSpPr>
                <xdr:spPr>
                  <a:xfrm flipV="1">
                    <a:off x="5998725" y="65187041"/>
                    <a:ext cx="0" cy="2644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38" name="Freeform 1062">
                    <a:extLst>
                      <a:ext uri="{FF2B5EF4-FFF2-40B4-BE49-F238E27FC236}">
                        <a16:creationId xmlns:a16="http://schemas.microsoft.com/office/drawing/2014/main" id="{00000000-0008-0000-0400-00007E020000}"/>
                      </a:ext>
                    </a:extLst>
                  </xdr:cNvPr>
                  <xdr:cNvSpPr/>
                </xdr:nvSpPr>
                <xdr:spPr>
                  <a:xfrm>
                    <a:off x="5983722" y="65451546"/>
                    <a:ext cx="30001" cy="89999"/>
                  </a:xfrm>
                  <a:custGeom>
                    <a:avLst/>
                    <a:gdLst/>
                    <a:ahLst/>
                    <a:cxnLst/>
                    <a:rect l="0" t="0" r="0" b="0"/>
                    <a:pathLst>
                      <a:path w="30001" h="89999">
                        <a:moveTo>
                          <a:pt x="0" y="0"/>
                        </a:moveTo>
                        <a:lnTo>
                          <a:pt x="30000" y="0"/>
                        </a:lnTo>
                        <a:lnTo>
                          <a:pt x="15001" y="89998"/>
                        </a:lnTo>
                        <a:lnTo>
                          <a:pt x="15001" y="89998"/>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39" name="Freeform 1063">
                    <a:extLst>
                      <a:ext uri="{FF2B5EF4-FFF2-40B4-BE49-F238E27FC236}">
                        <a16:creationId xmlns:a16="http://schemas.microsoft.com/office/drawing/2014/main" id="{00000000-0008-0000-0400-00007F020000}"/>
                      </a:ext>
                    </a:extLst>
                  </xdr:cNvPr>
                  <xdr:cNvSpPr/>
                </xdr:nvSpPr>
                <xdr:spPr>
                  <a:xfrm>
                    <a:off x="5983722" y="65097044"/>
                    <a:ext cx="30001" cy="89998"/>
                  </a:xfrm>
                  <a:custGeom>
                    <a:avLst/>
                    <a:gdLst/>
                    <a:ahLst/>
                    <a:cxnLst/>
                    <a:rect l="0" t="0" r="0" b="0"/>
                    <a:pathLst>
                      <a:path w="30001" h="89998">
                        <a:moveTo>
                          <a:pt x="0" y="89997"/>
                        </a:moveTo>
                        <a:lnTo>
                          <a:pt x="30000" y="89997"/>
                        </a:lnTo>
                        <a:lnTo>
                          <a:pt x="15001" y="0"/>
                        </a:lnTo>
                        <a:lnTo>
                          <a:pt x="15001"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40" name="TextBox 639">
                    <a:extLst>
                      <a:ext uri="{FF2B5EF4-FFF2-40B4-BE49-F238E27FC236}">
                        <a16:creationId xmlns:a16="http://schemas.microsoft.com/office/drawing/2014/main" id="{00000000-0008-0000-0400-000080020000}"/>
                      </a:ext>
                    </a:extLst>
                  </xdr:cNvPr>
                  <xdr:cNvSpPr txBox="1"/>
                </xdr:nvSpPr>
                <xdr:spPr>
                  <a:xfrm rot="16200000">
                    <a:off x="5851395" y="65257363"/>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h5</a:t>
                    </a:r>
                  </a:p>
                </xdr:txBody>
              </xdr:sp>
            </xdr:grpSp>
            <xdr:grpSp>
              <xdr:nvGrpSpPr>
                <xdr:cNvPr id="528" name="Group 527">
                  <a:extLst>
                    <a:ext uri="{FF2B5EF4-FFF2-40B4-BE49-F238E27FC236}">
                      <a16:creationId xmlns:a16="http://schemas.microsoft.com/office/drawing/2014/main" id="{00000000-0008-0000-0400-000010020000}"/>
                    </a:ext>
                  </a:extLst>
                </xdr:cNvPr>
                <xdr:cNvGrpSpPr/>
              </xdr:nvGrpSpPr>
              <xdr:grpSpPr>
                <a:xfrm>
                  <a:off x="2539999" y="65546671"/>
                  <a:ext cx="3287561" cy="222853"/>
                  <a:chOff x="2539999" y="65546671"/>
                  <a:chExt cx="3287561" cy="222853"/>
                </a:xfrm>
              </xdr:grpSpPr>
              <xdr:cxnSp macro="">
                <xdr:nvCxnSpPr>
                  <xdr:cNvPr id="629" name="Straight Connector 628">
                    <a:extLst>
                      <a:ext uri="{FF2B5EF4-FFF2-40B4-BE49-F238E27FC236}">
                        <a16:creationId xmlns:a16="http://schemas.microsoft.com/office/drawing/2014/main" id="{00000000-0008-0000-0400-000075020000}"/>
                      </a:ext>
                    </a:extLst>
                  </xdr:cNvPr>
                  <xdr:cNvCxnSpPr/>
                </xdr:nvCxnSpPr>
                <xdr:spPr>
                  <a:xfrm>
                    <a:off x="2540003" y="65742040"/>
                    <a:ext cx="0" cy="2148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30" name="Straight Connector 629">
                    <a:extLst>
                      <a:ext uri="{FF2B5EF4-FFF2-40B4-BE49-F238E27FC236}">
                        <a16:creationId xmlns:a16="http://schemas.microsoft.com/office/drawing/2014/main" id="{00000000-0008-0000-0400-000076020000}"/>
                      </a:ext>
                    </a:extLst>
                  </xdr:cNvPr>
                  <xdr:cNvCxnSpPr/>
                </xdr:nvCxnSpPr>
                <xdr:spPr>
                  <a:xfrm>
                    <a:off x="5827556" y="65742040"/>
                    <a:ext cx="0" cy="2148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31" name="Straight Connector 630">
                    <a:extLst>
                      <a:ext uri="{FF2B5EF4-FFF2-40B4-BE49-F238E27FC236}">
                        <a16:creationId xmlns:a16="http://schemas.microsoft.com/office/drawing/2014/main" id="{00000000-0008-0000-0400-000077020000}"/>
                      </a:ext>
                    </a:extLst>
                  </xdr:cNvPr>
                  <xdr:cNvCxnSpPr/>
                </xdr:nvCxnSpPr>
                <xdr:spPr>
                  <a:xfrm>
                    <a:off x="2630002" y="65754529"/>
                    <a:ext cx="310755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32" name="Freeform 1056">
                    <a:extLst>
                      <a:ext uri="{FF2B5EF4-FFF2-40B4-BE49-F238E27FC236}">
                        <a16:creationId xmlns:a16="http://schemas.microsoft.com/office/drawing/2014/main" id="{00000000-0008-0000-0400-000078020000}"/>
                      </a:ext>
                    </a:extLst>
                  </xdr:cNvPr>
                  <xdr:cNvSpPr/>
                </xdr:nvSpPr>
                <xdr:spPr>
                  <a:xfrm>
                    <a:off x="2539999" y="65739522"/>
                    <a:ext cx="90001" cy="30002"/>
                  </a:xfrm>
                  <a:custGeom>
                    <a:avLst/>
                    <a:gdLst/>
                    <a:ahLst/>
                    <a:cxnLst/>
                    <a:rect l="0" t="0" r="0" b="0"/>
                    <a:pathLst>
                      <a:path w="90001" h="30002">
                        <a:moveTo>
                          <a:pt x="90000" y="0"/>
                        </a:moveTo>
                        <a:lnTo>
                          <a:pt x="90000" y="30001"/>
                        </a:lnTo>
                        <a:lnTo>
                          <a:pt x="0" y="15001"/>
                        </a:lnTo>
                        <a:lnTo>
                          <a:pt x="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33" name="Freeform 1057">
                    <a:extLst>
                      <a:ext uri="{FF2B5EF4-FFF2-40B4-BE49-F238E27FC236}">
                        <a16:creationId xmlns:a16="http://schemas.microsoft.com/office/drawing/2014/main" id="{00000000-0008-0000-0400-000079020000}"/>
                      </a:ext>
                    </a:extLst>
                  </xdr:cNvPr>
                  <xdr:cNvSpPr/>
                </xdr:nvSpPr>
                <xdr:spPr>
                  <a:xfrm>
                    <a:off x="5737559" y="65739522"/>
                    <a:ext cx="90001" cy="30002"/>
                  </a:xfrm>
                  <a:custGeom>
                    <a:avLst/>
                    <a:gdLst/>
                    <a:ahLst/>
                    <a:cxnLst/>
                    <a:rect l="0" t="0" r="0" b="0"/>
                    <a:pathLst>
                      <a:path w="90001" h="30002">
                        <a:moveTo>
                          <a:pt x="0" y="0"/>
                        </a:moveTo>
                        <a:lnTo>
                          <a:pt x="0" y="30001"/>
                        </a:lnTo>
                        <a:lnTo>
                          <a:pt x="90000" y="15001"/>
                        </a:lnTo>
                        <a:lnTo>
                          <a:pt x="9000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34" name="TextBox 633">
                    <a:extLst>
                      <a:ext uri="{FF2B5EF4-FFF2-40B4-BE49-F238E27FC236}">
                        <a16:creationId xmlns:a16="http://schemas.microsoft.com/office/drawing/2014/main" id="{00000000-0008-0000-0400-00007A020000}"/>
                      </a:ext>
                    </a:extLst>
                  </xdr:cNvPr>
                  <xdr:cNvSpPr txBox="1"/>
                </xdr:nvSpPr>
                <xdr:spPr>
                  <a:xfrm>
                    <a:off x="4104088" y="65546671"/>
                    <a:ext cx="193220" cy="22144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00">
                        <a:solidFill>
                          <a:srgbClr val="000000"/>
                        </a:solidFill>
                        <a:latin typeface="Arial" panose="020B0604020202020204" pitchFamily="34" charset="0"/>
                      </a:rPr>
                      <a:t>b8</a:t>
                    </a:r>
                  </a:p>
                </xdr:txBody>
              </xdr:sp>
            </xdr:grpSp>
            <xdr:grpSp>
              <xdr:nvGrpSpPr>
                <xdr:cNvPr id="529" name="Group 528">
                  <a:extLst>
                    <a:ext uri="{FF2B5EF4-FFF2-40B4-BE49-F238E27FC236}">
                      <a16:creationId xmlns:a16="http://schemas.microsoft.com/office/drawing/2014/main" id="{00000000-0008-0000-0400-000011020000}"/>
                    </a:ext>
                  </a:extLst>
                </xdr:cNvPr>
                <xdr:cNvGrpSpPr/>
              </xdr:nvGrpSpPr>
              <xdr:grpSpPr>
                <a:xfrm>
                  <a:off x="4507130" y="65071544"/>
                  <a:ext cx="1320430" cy="221448"/>
                  <a:chOff x="4507130" y="65071544"/>
                  <a:chExt cx="1320430" cy="221448"/>
                </a:xfrm>
              </xdr:grpSpPr>
              <xdr:cxnSp macro="">
                <xdr:nvCxnSpPr>
                  <xdr:cNvPr id="623" name="Straight Connector 622">
                    <a:extLst>
                      <a:ext uri="{FF2B5EF4-FFF2-40B4-BE49-F238E27FC236}">
                        <a16:creationId xmlns:a16="http://schemas.microsoft.com/office/drawing/2014/main" id="{00000000-0008-0000-0400-00006F020000}"/>
                      </a:ext>
                    </a:extLst>
                  </xdr:cNvPr>
                  <xdr:cNvCxnSpPr/>
                </xdr:nvCxnSpPr>
                <xdr:spPr>
                  <a:xfrm>
                    <a:off x="4507133" y="65230003"/>
                    <a:ext cx="0" cy="1790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400-000070020000}"/>
                      </a:ext>
                    </a:extLst>
                  </xdr:cNvPr>
                  <xdr:cNvCxnSpPr/>
                </xdr:nvCxnSpPr>
                <xdr:spPr>
                  <a:xfrm>
                    <a:off x="5827556" y="65230003"/>
                    <a:ext cx="0" cy="1790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400-000071020000}"/>
                      </a:ext>
                    </a:extLst>
                  </xdr:cNvPr>
                  <xdr:cNvCxnSpPr/>
                </xdr:nvCxnSpPr>
                <xdr:spPr>
                  <a:xfrm>
                    <a:off x="4597133" y="65238914"/>
                    <a:ext cx="114042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26" name="Freeform 1050">
                    <a:extLst>
                      <a:ext uri="{FF2B5EF4-FFF2-40B4-BE49-F238E27FC236}">
                        <a16:creationId xmlns:a16="http://schemas.microsoft.com/office/drawing/2014/main" id="{00000000-0008-0000-0400-000072020000}"/>
                      </a:ext>
                    </a:extLst>
                  </xdr:cNvPr>
                  <xdr:cNvSpPr/>
                </xdr:nvSpPr>
                <xdr:spPr>
                  <a:xfrm>
                    <a:off x="4507130" y="65223913"/>
                    <a:ext cx="90001" cy="29996"/>
                  </a:xfrm>
                  <a:custGeom>
                    <a:avLst/>
                    <a:gdLst/>
                    <a:ahLst/>
                    <a:cxnLst/>
                    <a:rect l="0" t="0" r="0" b="0"/>
                    <a:pathLst>
                      <a:path w="90001" h="29996">
                        <a:moveTo>
                          <a:pt x="90000" y="0"/>
                        </a:moveTo>
                        <a:lnTo>
                          <a:pt x="90000" y="29995"/>
                        </a:lnTo>
                        <a:lnTo>
                          <a:pt x="0" y="15001"/>
                        </a:lnTo>
                        <a:lnTo>
                          <a:pt x="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27" name="Freeform 1051">
                    <a:extLst>
                      <a:ext uri="{FF2B5EF4-FFF2-40B4-BE49-F238E27FC236}">
                        <a16:creationId xmlns:a16="http://schemas.microsoft.com/office/drawing/2014/main" id="{00000000-0008-0000-0400-000073020000}"/>
                      </a:ext>
                    </a:extLst>
                  </xdr:cNvPr>
                  <xdr:cNvSpPr/>
                </xdr:nvSpPr>
                <xdr:spPr>
                  <a:xfrm>
                    <a:off x="5737559" y="65223913"/>
                    <a:ext cx="90001" cy="29996"/>
                  </a:xfrm>
                  <a:custGeom>
                    <a:avLst/>
                    <a:gdLst/>
                    <a:ahLst/>
                    <a:cxnLst/>
                    <a:rect l="0" t="0" r="0" b="0"/>
                    <a:pathLst>
                      <a:path w="90001" h="29996">
                        <a:moveTo>
                          <a:pt x="0" y="0"/>
                        </a:moveTo>
                        <a:lnTo>
                          <a:pt x="0" y="29995"/>
                        </a:lnTo>
                        <a:lnTo>
                          <a:pt x="90000" y="15001"/>
                        </a:lnTo>
                        <a:lnTo>
                          <a:pt x="9000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28" name="TextBox 627">
                    <a:extLst>
                      <a:ext uri="{FF2B5EF4-FFF2-40B4-BE49-F238E27FC236}">
                        <a16:creationId xmlns:a16="http://schemas.microsoft.com/office/drawing/2014/main" id="{00000000-0008-0000-0400-000074020000}"/>
                      </a:ext>
                    </a:extLst>
                  </xdr:cNvPr>
                  <xdr:cNvSpPr txBox="1"/>
                </xdr:nvSpPr>
                <xdr:spPr>
                  <a:xfrm rot="21600000">
                    <a:off x="5081925" y="65071544"/>
                    <a:ext cx="193220" cy="22144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00">
                        <a:solidFill>
                          <a:srgbClr val="000000"/>
                        </a:solidFill>
                        <a:latin typeface="Arial" panose="020B0604020202020204" pitchFamily="34" charset="0"/>
                      </a:rPr>
                      <a:t>b7</a:t>
                    </a:r>
                  </a:p>
                </xdr:txBody>
              </xdr:sp>
            </xdr:grpSp>
            <xdr:grpSp>
              <xdr:nvGrpSpPr>
                <xdr:cNvPr id="530" name="Group 529">
                  <a:extLst>
                    <a:ext uri="{FF2B5EF4-FFF2-40B4-BE49-F238E27FC236}">
                      <a16:creationId xmlns:a16="http://schemas.microsoft.com/office/drawing/2014/main" id="{00000000-0008-0000-0400-000012020000}"/>
                    </a:ext>
                  </a:extLst>
                </xdr:cNvPr>
                <xdr:cNvGrpSpPr/>
              </xdr:nvGrpSpPr>
              <xdr:grpSpPr>
                <a:xfrm>
                  <a:off x="2539999" y="65051728"/>
                  <a:ext cx="1438564" cy="221448"/>
                  <a:chOff x="2539999" y="65051728"/>
                  <a:chExt cx="1438564" cy="221448"/>
                </a:xfrm>
              </xdr:grpSpPr>
              <xdr:cxnSp macro="">
                <xdr:nvCxnSpPr>
                  <xdr:cNvPr id="617" name="Straight Connector 616">
                    <a:extLst>
                      <a:ext uri="{FF2B5EF4-FFF2-40B4-BE49-F238E27FC236}">
                        <a16:creationId xmlns:a16="http://schemas.microsoft.com/office/drawing/2014/main" id="{00000000-0008-0000-0400-000069020000}"/>
                      </a:ext>
                    </a:extLst>
                  </xdr:cNvPr>
                  <xdr:cNvCxnSpPr/>
                </xdr:nvCxnSpPr>
                <xdr:spPr>
                  <a:xfrm>
                    <a:off x="3978563" y="65203884"/>
                    <a:ext cx="0" cy="4500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400-00006A020000}"/>
                      </a:ext>
                    </a:extLst>
                  </xdr:cNvPr>
                  <xdr:cNvCxnSpPr/>
                </xdr:nvCxnSpPr>
                <xdr:spPr>
                  <a:xfrm>
                    <a:off x="2540003" y="65221712"/>
                    <a:ext cx="0" cy="2717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400-00006B020000}"/>
                      </a:ext>
                    </a:extLst>
                  </xdr:cNvPr>
                  <xdr:cNvCxnSpPr/>
                </xdr:nvCxnSpPr>
                <xdr:spPr>
                  <a:xfrm flipH="1">
                    <a:off x="2630002" y="65239888"/>
                    <a:ext cx="125856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20" name="Freeform 1044">
                    <a:extLst>
                      <a:ext uri="{FF2B5EF4-FFF2-40B4-BE49-F238E27FC236}">
                        <a16:creationId xmlns:a16="http://schemas.microsoft.com/office/drawing/2014/main" id="{00000000-0008-0000-0400-00006C020000}"/>
                      </a:ext>
                    </a:extLst>
                  </xdr:cNvPr>
                  <xdr:cNvSpPr/>
                </xdr:nvSpPr>
                <xdr:spPr>
                  <a:xfrm>
                    <a:off x="3888557" y="65224887"/>
                    <a:ext cx="90001" cy="29996"/>
                  </a:xfrm>
                  <a:custGeom>
                    <a:avLst/>
                    <a:gdLst/>
                    <a:ahLst/>
                    <a:cxnLst/>
                    <a:rect l="0" t="0" r="0" b="0"/>
                    <a:pathLst>
                      <a:path w="90001" h="29996">
                        <a:moveTo>
                          <a:pt x="0" y="0"/>
                        </a:moveTo>
                        <a:lnTo>
                          <a:pt x="0" y="29995"/>
                        </a:lnTo>
                        <a:lnTo>
                          <a:pt x="90000" y="14994"/>
                        </a:lnTo>
                        <a:lnTo>
                          <a:pt x="90000" y="14994"/>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21" name="Freeform 1045">
                    <a:extLst>
                      <a:ext uri="{FF2B5EF4-FFF2-40B4-BE49-F238E27FC236}">
                        <a16:creationId xmlns:a16="http://schemas.microsoft.com/office/drawing/2014/main" id="{00000000-0008-0000-0400-00006D020000}"/>
                      </a:ext>
                    </a:extLst>
                  </xdr:cNvPr>
                  <xdr:cNvSpPr/>
                </xdr:nvSpPr>
                <xdr:spPr>
                  <a:xfrm>
                    <a:off x="2539999" y="65224887"/>
                    <a:ext cx="90001" cy="29996"/>
                  </a:xfrm>
                  <a:custGeom>
                    <a:avLst/>
                    <a:gdLst/>
                    <a:ahLst/>
                    <a:cxnLst/>
                    <a:rect l="0" t="0" r="0" b="0"/>
                    <a:pathLst>
                      <a:path w="90001" h="29996">
                        <a:moveTo>
                          <a:pt x="90000" y="0"/>
                        </a:moveTo>
                        <a:lnTo>
                          <a:pt x="90000" y="29995"/>
                        </a:lnTo>
                        <a:lnTo>
                          <a:pt x="0" y="14994"/>
                        </a:lnTo>
                        <a:lnTo>
                          <a:pt x="0" y="14994"/>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22" name="TextBox 621">
                    <a:extLst>
                      <a:ext uri="{FF2B5EF4-FFF2-40B4-BE49-F238E27FC236}">
                        <a16:creationId xmlns:a16="http://schemas.microsoft.com/office/drawing/2014/main" id="{00000000-0008-0000-0400-00006E020000}"/>
                      </a:ext>
                    </a:extLst>
                  </xdr:cNvPr>
                  <xdr:cNvSpPr txBox="1"/>
                </xdr:nvSpPr>
                <xdr:spPr>
                  <a:xfrm>
                    <a:off x="3168896" y="65051728"/>
                    <a:ext cx="193220" cy="22144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00">
                        <a:solidFill>
                          <a:srgbClr val="000000"/>
                        </a:solidFill>
                        <a:latin typeface="Arial" panose="020B0604020202020204" pitchFamily="34" charset="0"/>
                      </a:rPr>
                      <a:t>b6</a:t>
                    </a:r>
                  </a:p>
                </xdr:txBody>
              </xdr:sp>
            </xdr:grpSp>
            <xdr:sp macro="" textlink="">
              <xdr:nvSpPr>
                <xdr:cNvPr id="531" name="Freeform 955">
                  <a:extLst>
                    <a:ext uri="{FF2B5EF4-FFF2-40B4-BE49-F238E27FC236}">
                      <a16:creationId xmlns:a16="http://schemas.microsoft.com/office/drawing/2014/main" id="{00000000-0008-0000-0400-000013020000}"/>
                    </a:ext>
                  </a:extLst>
                </xdr:cNvPr>
                <xdr:cNvSpPr/>
              </xdr:nvSpPr>
              <xdr:spPr>
                <a:xfrm>
                  <a:off x="2539999" y="65093590"/>
                  <a:ext cx="3287561" cy="444501"/>
                </a:xfrm>
                <a:custGeom>
                  <a:avLst/>
                  <a:gdLst/>
                  <a:ahLst/>
                  <a:cxnLst/>
                  <a:rect l="0" t="0" r="0" b="0"/>
                  <a:pathLst>
                    <a:path w="3287561" h="444501">
                      <a:moveTo>
                        <a:pt x="0" y="0"/>
                      </a:moveTo>
                      <a:lnTo>
                        <a:pt x="3287560" y="0"/>
                      </a:lnTo>
                      <a:lnTo>
                        <a:pt x="3287560" y="444500"/>
                      </a:lnTo>
                      <a:lnTo>
                        <a:pt x="0" y="444500"/>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2" name="TextBox 531">
                  <a:extLst>
                    <a:ext uri="{FF2B5EF4-FFF2-40B4-BE49-F238E27FC236}">
                      <a16:creationId xmlns:a16="http://schemas.microsoft.com/office/drawing/2014/main" id="{00000000-0008-0000-0400-000014020000}"/>
                    </a:ext>
                  </a:extLst>
                </xdr:cNvPr>
                <xdr:cNvSpPr txBox="1"/>
              </xdr:nvSpPr>
              <xdr:spPr>
                <a:xfrm>
                  <a:off x="4028013" y="63362522"/>
                  <a:ext cx="173561" cy="13437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00">
                      <a:solidFill>
                        <a:srgbClr val="000000"/>
                      </a:solidFill>
                      <a:latin typeface="Arial" panose="020B0604020202020204" pitchFamily="34" charset="0"/>
                    </a:rPr>
                    <a:t>P4</a:t>
                  </a:r>
                </a:p>
              </xdr:txBody>
            </xdr:sp>
            <xdr:sp macro="" textlink="">
              <xdr:nvSpPr>
                <xdr:cNvPr id="533" name="TextBox 532">
                  <a:extLst>
                    <a:ext uri="{FF2B5EF4-FFF2-40B4-BE49-F238E27FC236}">
                      <a16:creationId xmlns:a16="http://schemas.microsoft.com/office/drawing/2014/main" id="{00000000-0008-0000-0400-000015020000}"/>
                    </a:ext>
                  </a:extLst>
                </xdr:cNvPr>
                <xdr:cNvSpPr txBox="1"/>
              </xdr:nvSpPr>
              <xdr:spPr>
                <a:xfrm rot="21600000">
                  <a:off x="3922055" y="63718554"/>
                  <a:ext cx="133050" cy="12917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727">
                      <a:solidFill>
                        <a:srgbClr val="000000"/>
                      </a:solidFill>
                      <a:latin typeface="Arial" panose="020B0604020202020204" pitchFamily="34" charset="0"/>
                    </a:rPr>
                    <a:t>P3</a:t>
                  </a:r>
                </a:p>
              </xdr:txBody>
            </xdr:sp>
            <xdr:sp macro="" textlink="">
              <xdr:nvSpPr>
                <xdr:cNvPr id="534" name="TextBox 533">
                  <a:extLst>
                    <a:ext uri="{FF2B5EF4-FFF2-40B4-BE49-F238E27FC236}">
                      <a16:creationId xmlns:a16="http://schemas.microsoft.com/office/drawing/2014/main" id="{00000000-0008-0000-0400-000016020000}"/>
                    </a:ext>
                  </a:extLst>
                </xdr:cNvPr>
                <xdr:cNvSpPr txBox="1"/>
              </xdr:nvSpPr>
              <xdr:spPr>
                <a:xfrm rot="21600000">
                  <a:off x="4298983" y="64608081"/>
                  <a:ext cx="133050" cy="12917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727">
                      <a:solidFill>
                        <a:srgbClr val="000000"/>
                      </a:solidFill>
                      <a:latin typeface="Arial" panose="020B0604020202020204" pitchFamily="34" charset="0"/>
                    </a:rPr>
                    <a:t>P2</a:t>
                  </a:r>
                </a:p>
              </xdr:txBody>
            </xdr:sp>
            <xdr:sp macro="" textlink="">
              <xdr:nvSpPr>
                <xdr:cNvPr id="535" name="TextBox 534">
                  <a:extLst>
                    <a:ext uri="{FF2B5EF4-FFF2-40B4-BE49-F238E27FC236}">
                      <a16:creationId xmlns:a16="http://schemas.microsoft.com/office/drawing/2014/main" id="{00000000-0008-0000-0400-000017020000}"/>
                    </a:ext>
                  </a:extLst>
                </xdr:cNvPr>
                <xdr:cNvSpPr txBox="1"/>
              </xdr:nvSpPr>
              <xdr:spPr>
                <a:xfrm rot="21600000">
                  <a:off x="3995793" y="64595425"/>
                  <a:ext cx="133050" cy="12917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727">
                      <a:solidFill>
                        <a:srgbClr val="000000"/>
                      </a:solidFill>
                      <a:latin typeface="Arial" panose="020B0604020202020204" pitchFamily="34" charset="0"/>
                    </a:rPr>
                    <a:t>P1</a:t>
                  </a:r>
                </a:p>
              </xdr:txBody>
            </xdr:sp>
            <xdr:cxnSp macro="">
              <xdr:nvCxnSpPr>
                <xdr:cNvPr id="536" name="Straight Connector 535">
                  <a:extLst>
                    <a:ext uri="{FF2B5EF4-FFF2-40B4-BE49-F238E27FC236}">
                      <a16:creationId xmlns:a16="http://schemas.microsoft.com/office/drawing/2014/main" id="{00000000-0008-0000-0400-000018020000}"/>
                    </a:ext>
                  </a:extLst>
                </xdr:cNvPr>
                <xdr:cNvCxnSpPr/>
              </xdr:nvCxnSpPr>
              <xdr:spPr>
                <a:xfrm flipH="1">
                  <a:off x="3867784" y="63809984"/>
                  <a:ext cx="315990" cy="0"/>
                </a:xfrm>
                <a:prstGeom prst="line">
                  <a:avLst/>
                </a:prstGeom>
                <a:ln w="3810">
                  <a:solidFill>
                    <a:srgbClr val="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400-000019020000}"/>
                    </a:ext>
                  </a:extLst>
                </xdr:cNvPr>
                <xdr:cNvCxnSpPr/>
              </xdr:nvCxnSpPr>
              <xdr:spPr>
                <a:xfrm flipH="1">
                  <a:off x="3867784" y="63719980"/>
                  <a:ext cx="135990" cy="0"/>
                </a:xfrm>
                <a:prstGeom prst="line">
                  <a:avLst/>
                </a:prstGeom>
                <a:ln w="3810">
                  <a:solidFill>
                    <a:srgbClr val="000000"/>
                  </a:solidFill>
                  <a:prstDash val="dash"/>
                </a:ln>
              </xdr:spPr>
              <xdr:style>
                <a:lnRef idx="1">
                  <a:schemeClr val="accent1"/>
                </a:lnRef>
                <a:fillRef idx="0">
                  <a:schemeClr val="accent1"/>
                </a:fillRef>
                <a:effectRef idx="0">
                  <a:schemeClr val="accent1"/>
                </a:effectRef>
                <a:fontRef idx="minor">
                  <a:schemeClr val="tx1"/>
                </a:fontRef>
              </xdr:style>
            </xdr:cxnSp>
            <xdr:grpSp>
              <xdr:nvGrpSpPr>
                <xdr:cNvPr id="538" name="Group 537">
                  <a:extLst>
                    <a:ext uri="{FF2B5EF4-FFF2-40B4-BE49-F238E27FC236}">
                      <a16:creationId xmlns:a16="http://schemas.microsoft.com/office/drawing/2014/main" id="{00000000-0008-0000-0400-00001A020000}"/>
                    </a:ext>
                  </a:extLst>
                </xdr:cNvPr>
                <xdr:cNvGrpSpPr/>
              </xdr:nvGrpSpPr>
              <xdr:grpSpPr>
                <a:xfrm>
                  <a:off x="3867782" y="62886214"/>
                  <a:ext cx="453615" cy="147632"/>
                  <a:chOff x="3867782" y="62886214"/>
                  <a:chExt cx="453615" cy="147632"/>
                </a:xfrm>
              </xdr:grpSpPr>
              <xdr:cxnSp macro="">
                <xdr:nvCxnSpPr>
                  <xdr:cNvPr id="611" name="Straight Connector 610">
                    <a:extLst>
                      <a:ext uri="{FF2B5EF4-FFF2-40B4-BE49-F238E27FC236}">
                        <a16:creationId xmlns:a16="http://schemas.microsoft.com/office/drawing/2014/main" id="{00000000-0008-0000-0400-000063020000}"/>
                      </a:ext>
                    </a:extLst>
                  </xdr:cNvPr>
                  <xdr:cNvCxnSpPr/>
                </xdr:nvCxnSpPr>
                <xdr:spPr>
                  <a:xfrm flipV="1">
                    <a:off x="4321395" y="63000843"/>
                    <a:ext cx="0" cy="1756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400-000064020000}"/>
                      </a:ext>
                    </a:extLst>
                  </xdr:cNvPr>
                  <xdr:cNvCxnSpPr/>
                </xdr:nvCxnSpPr>
                <xdr:spPr>
                  <a:xfrm flipV="1">
                    <a:off x="3867784" y="63000843"/>
                    <a:ext cx="0" cy="1756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400-000065020000}"/>
                      </a:ext>
                    </a:extLst>
                  </xdr:cNvPr>
                  <xdr:cNvCxnSpPr/>
                </xdr:nvCxnSpPr>
                <xdr:spPr>
                  <a:xfrm flipH="1">
                    <a:off x="3957784" y="63009841"/>
                    <a:ext cx="27361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14" name="Freeform 1038">
                    <a:extLst>
                      <a:ext uri="{FF2B5EF4-FFF2-40B4-BE49-F238E27FC236}">
                        <a16:creationId xmlns:a16="http://schemas.microsoft.com/office/drawing/2014/main" id="{00000000-0008-0000-0400-000066020000}"/>
                      </a:ext>
                    </a:extLst>
                  </xdr:cNvPr>
                  <xdr:cNvSpPr/>
                </xdr:nvSpPr>
                <xdr:spPr>
                  <a:xfrm>
                    <a:off x="4231396" y="62994846"/>
                    <a:ext cx="90001" cy="29996"/>
                  </a:xfrm>
                  <a:custGeom>
                    <a:avLst/>
                    <a:gdLst/>
                    <a:ahLst/>
                    <a:cxnLst/>
                    <a:rect l="0" t="0" r="0" b="0"/>
                    <a:pathLst>
                      <a:path w="90001" h="29996">
                        <a:moveTo>
                          <a:pt x="0" y="0"/>
                        </a:moveTo>
                        <a:lnTo>
                          <a:pt x="0" y="29995"/>
                        </a:lnTo>
                        <a:lnTo>
                          <a:pt x="90000" y="14995"/>
                        </a:lnTo>
                        <a:lnTo>
                          <a:pt x="90000" y="14995"/>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15" name="Freeform 1039">
                    <a:extLst>
                      <a:ext uri="{FF2B5EF4-FFF2-40B4-BE49-F238E27FC236}">
                        <a16:creationId xmlns:a16="http://schemas.microsoft.com/office/drawing/2014/main" id="{00000000-0008-0000-0400-000067020000}"/>
                      </a:ext>
                    </a:extLst>
                  </xdr:cNvPr>
                  <xdr:cNvSpPr/>
                </xdr:nvSpPr>
                <xdr:spPr>
                  <a:xfrm>
                    <a:off x="3867782" y="62994846"/>
                    <a:ext cx="90001" cy="29996"/>
                  </a:xfrm>
                  <a:custGeom>
                    <a:avLst/>
                    <a:gdLst/>
                    <a:ahLst/>
                    <a:cxnLst/>
                    <a:rect l="0" t="0" r="0" b="0"/>
                    <a:pathLst>
                      <a:path w="90001" h="29996">
                        <a:moveTo>
                          <a:pt x="90000" y="0"/>
                        </a:moveTo>
                        <a:lnTo>
                          <a:pt x="90000" y="29995"/>
                        </a:lnTo>
                        <a:lnTo>
                          <a:pt x="0" y="14995"/>
                        </a:lnTo>
                        <a:lnTo>
                          <a:pt x="0" y="14995"/>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16" name="TextBox 615">
                    <a:extLst>
                      <a:ext uri="{FF2B5EF4-FFF2-40B4-BE49-F238E27FC236}">
                        <a16:creationId xmlns:a16="http://schemas.microsoft.com/office/drawing/2014/main" id="{00000000-0008-0000-0400-000068020000}"/>
                      </a:ext>
                    </a:extLst>
                  </xdr:cNvPr>
                  <xdr:cNvSpPr txBox="1"/>
                </xdr:nvSpPr>
                <xdr:spPr>
                  <a:xfrm rot="21600000">
                    <a:off x="4037372" y="62886214"/>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b5</a:t>
                    </a:r>
                  </a:p>
                </xdr:txBody>
              </xdr:sp>
            </xdr:grpSp>
            <xdr:grpSp>
              <xdr:nvGrpSpPr>
                <xdr:cNvPr id="539" name="Group 538">
                  <a:extLst>
                    <a:ext uri="{FF2B5EF4-FFF2-40B4-BE49-F238E27FC236}">
                      <a16:creationId xmlns:a16="http://schemas.microsoft.com/office/drawing/2014/main" id="{00000000-0008-0000-0400-00001B020000}"/>
                    </a:ext>
                  </a:extLst>
                </xdr:cNvPr>
                <xdr:cNvGrpSpPr/>
              </xdr:nvGrpSpPr>
              <xdr:grpSpPr>
                <a:xfrm>
                  <a:off x="3978557" y="63007763"/>
                  <a:ext cx="191256" cy="159581"/>
                  <a:chOff x="3978557" y="63007763"/>
                  <a:chExt cx="191256" cy="159581"/>
                </a:xfrm>
              </xdr:grpSpPr>
              <xdr:cxnSp macro="">
                <xdr:nvCxnSpPr>
                  <xdr:cNvPr id="605" name="Straight Connector 604">
                    <a:extLst>
                      <a:ext uri="{FF2B5EF4-FFF2-40B4-BE49-F238E27FC236}">
                        <a16:creationId xmlns:a16="http://schemas.microsoft.com/office/drawing/2014/main" id="{00000000-0008-0000-0400-00005D020000}"/>
                      </a:ext>
                    </a:extLst>
                  </xdr:cNvPr>
                  <xdr:cNvCxnSpPr/>
                </xdr:nvCxnSpPr>
                <xdr:spPr>
                  <a:xfrm flipV="1">
                    <a:off x="4169813" y="63122342"/>
                    <a:ext cx="0" cy="2225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06" name="Straight Connector 605">
                    <a:extLst>
                      <a:ext uri="{FF2B5EF4-FFF2-40B4-BE49-F238E27FC236}">
                        <a16:creationId xmlns:a16="http://schemas.microsoft.com/office/drawing/2014/main" id="{00000000-0008-0000-0400-00005E020000}"/>
                      </a:ext>
                    </a:extLst>
                  </xdr:cNvPr>
                  <xdr:cNvCxnSpPr/>
                </xdr:nvCxnSpPr>
                <xdr:spPr>
                  <a:xfrm flipV="1">
                    <a:off x="3978563" y="63122342"/>
                    <a:ext cx="0" cy="4500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07" name="Straight Connector 606">
                    <a:extLst>
                      <a:ext uri="{FF2B5EF4-FFF2-40B4-BE49-F238E27FC236}">
                        <a16:creationId xmlns:a16="http://schemas.microsoft.com/office/drawing/2014/main" id="{00000000-0008-0000-0400-00005F020000}"/>
                      </a:ext>
                    </a:extLst>
                  </xdr:cNvPr>
                  <xdr:cNvCxnSpPr/>
                </xdr:nvCxnSpPr>
                <xdr:spPr>
                  <a:xfrm flipH="1">
                    <a:off x="4014562" y="63131340"/>
                    <a:ext cx="11925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08" name="Freeform 1032">
                    <a:extLst>
                      <a:ext uri="{FF2B5EF4-FFF2-40B4-BE49-F238E27FC236}">
                        <a16:creationId xmlns:a16="http://schemas.microsoft.com/office/drawing/2014/main" id="{00000000-0008-0000-0400-000060020000}"/>
                      </a:ext>
                    </a:extLst>
                  </xdr:cNvPr>
                  <xdr:cNvSpPr/>
                </xdr:nvSpPr>
                <xdr:spPr>
                  <a:xfrm>
                    <a:off x="4133809" y="63125344"/>
                    <a:ext cx="36001" cy="12000"/>
                  </a:xfrm>
                  <a:custGeom>
                    <a:avLst/>
                    <a:gdLst/>
                    <a:ahLst/>
                    <a:cxnLst/>
                    <a:rect l="0" t="0" r="0" b="0"/>
                    <a:pathLst>
                      <a:path w="36001" h="12000">
                        <a:moveTo>
                          <a:pt x="0" y="0"/>
                        </a:moveTo>
                        <a:lnTo>
                          <a:pt x="0" y="11999"/>
                        </a:lnTo>
                        <a:lnTo>
                          <a:pt x="36000" y="5996"/>
                        </a:lnTo>
                        <a:lnTo>
                          <a:pt x="36000" y="5996"/>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09" name="Freeform 1033">
                    <a:extLst>
                      <a:ext uri="{FF2B5EF4-FFF2-40B4-BE49-F238E27FC236}">
                        <a16:creationId xmlns:a16="http://schemas.microsoft.com/office/drawing/2014/main" id="{00000000-0008-0000-0400-000061020000}"/>
                      </a:ext>
                    </a:extLst>
                  </xdr:cNvPr>
                  <xdr:cNvSpPr/>
                </xdr:nvSpPr>
                <xdr:spPr>
                  <a:xfrm>
                    <a:off x="3978557" y="63125344"/>
                    <a:ext cx="36001" cy="12000"/>
                  </a:xfrm>
                  <a:custGeom>
                    <a:avLst/>
                    <a:gdLst/>
                    <a:ahLst/>
                    <a:cxnLst/>
                    <a:rect l="0" t="0" r="0" b="0"/>
                    <a:pathLst>
                      <a:path w="36001" h="12000">
                        <a:moveTo>
                          <a:pt x="36000" y="0"/>
                        </a:moveTo>
                        <a:lnTo>
                          <a:pt x="36000" y="11999"/>
                        </a:lnTo>
                        <a:lnTo>
                          <a:pt x="0" y="5996"/>
                        </a:lnTo>
                        <a:lnTo>
                          <a:pt x="0" y="5996"/>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10" name="TextBox 609">
                    <a:extLst>
                      <a:ext uri="{FF2B5EF4-FFF2-40B4-BE49-F238E27FC236}">
                        <a16:creationId xmlns:a16="http://schemas.microsoft.com/office/drawing/2014/main" id="{00000000-0008-0000-0400-000062020000}"/>
                      </a:ext>
                    </a:extLst>
                  </xdr:cNvPr>
                  <xdr:cNvSpPr txBox="1"/>
                </xdr:nvSpPr>
                <xdr:spPr>
                  <a:xfrm rot="21600000">
                    <a:off x="4017383" y="63007763"/>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b4</a:t>
                    </a:r>
                  </a:p>
                </xdr:txBody>
              </xdr:sp>
            </xdr:grpSp>
            <xdr:grpSp>
              <xdr:nvGrpSpPr>
                <xdr:cNvPr id="540" name="Group 539">
                  <a:extLst>
                    <a:ext uri="{FF2B5EF4-FFF2-40B4-BE49-F238E27FC236}">
                      <a16:creationId xmlns:a16="http://schemas.microsoft.com/office/drawing/2014/main" id="{00000000-0008-0000-0400-00001C020000}"/>
                    </a:ext>
                  </a:extLst>
                </xdr:cNvPr>
                <xdr:cNvGrpSpPr/>
              </xdr:nvGrpSpPr>
              <xdr:grpSpPr>
                <a:xfrm>
                  <a:off x="4103426" y="65115343"/>
                  <a:ext cx="583707" cy="147632"/>
                  <a:chOff x="4103426" y="65115343"/>
                  <a:chExt cx="583707" cy="147632"/>
                </a:xfrm>
              </xdr:grpSpPr>
              <xdr:cxnSp macro="">
                <xdr:nvCxnSpPr>
                  <xdr:cNvPr id="598" name="Straight Connector 597">
                    <a:extLst>
                      <a:ext uri="{FF2B5EF4-FFF2-40B4-BE49-F238E27FC236}">
                        <a16:creationId xmlns:a16="http://schemas.microsoft.com/office/drawing/2014/main" id="{00000000-0008-0000-0400-000056020000}"/>
                      </a:ext>
                    </a:extLst>
                  </xdr:cNvPr>
                  <xdr:cNvCxnSpPr/>
                </xdr:nvCxnSpPr>
                <xdr:spPr>
                  <a:xfrm>
                    <a:off x="4283426" y="65228701"/>
                    <a:ext cx="0" cy="1966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400-000057020000}"/>
                      </a:ext>
                    </a:extLst>
                  </xdr:cNvPr>
                  <xdr:cNvCxnSpPr/>
                </xdr:nvCxnSpPr>
                <xdr:spPr>
                  <a:xfrm>
                    <a:off x="4507133" y="65228701"/>
                    <a:ext cx="0" cy="1966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00" name="Straight Connector 599">
                    <a:extLst>
                      <a:ext uri="{FF2B5EF4-FFF2-40B4-BE49-F238E27FC236}">
                        <a16:creationId xmlns:a16="http://schemas.microsoft.com/office/drawing/2014/main" id="{00000000-0008-0000-0400-000058020000}"/>
                      </a:ext>
                    </a:extLst>
                  </xdr:cNvPr>
                  <xdr:cNvCxnSpPr/>
                </xdr:nvCxnSpPr>
                <xdr:spPr>
                  <a:xfrm flipH="1">
                    <a:off x="4103426" y="65239367"/>
                    <a:ext cx="90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400-000059020000}"/>
                      </a:ext>
                    </a:extLst>
                  </xdr:cNvPr>
                  <xdr:cNvCxnSpPr/>
                </xdr:nvCxnSpPr>
                <xdr:spPr>
                  <a:xfrm>
                    <a:off x="4597133" y="65239367"/>
                    <a:ext cx="90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602" name="Freeform 1026">
                    <a:extLst>
                      <a:ext uri="{FF2B5EF4-FFF2-40B4-BE49-F238E27FC236}">
                        <a16:creationId xmlns:a16="http://schemas.microsoft.com/office/drawing/2014/main" id="{00000000-0008-0000-0400-00005A020000}"/>
                      </a:ext>
                    </a:extLst>
                  </xdr:cNvPr>
                  <xdr:cNvSpPr/>
                </xdr:nvSpPr>
                <xdr:spPr>
                  <a:xfrm>
                    <a:off x="4193422" y="65224366"/>
                    <a:ext cx="90001" cy="30002"/>
                  </a:xfrm>
                  <a:custGeom>
                    <a:avLst/>
                    <a:gdLst/>
                    <a:ahLst/>
                    <a:cxnLst/>
                    <a:rect l="0" t="0" r="0" b="0"/>
                    <a:pathLst>
                      <a:path w="90001" h="30002">
                        <a:moveTo>
                          <a:pt x="0" y="0"/>
                        </a:moveTo>
                        <a:lnTo>
                          <a:pt x="0" y="30001"/>
                        </a:lnTo>
                        <a:lnTo>
                          <a:pt x="90000" y="15001"/>
                        </a:lnTo>
                        <a:lnTo>
                          <a:pt x="9000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03" name="Freeform 1027">
                    <a:extLst>
                      <a:ext uri="{FF2B5EF4-FFF2-40B4-BE49-F238E27FC236}">
                        <a16:creationId xmlns:a16="http://schemas.microsoft.com/office/drawing/2014/main" id="{00000000-0008-0000-0400-00005B020000}"/>
                      </a:ext>
                    </a:extLst>
                  </xdr:cNvPr>
                  <xdr:cNvSpPr/>
                </xdr:nvSpPr>
                <xdr:spPr>
                  <a:xfrm>
                    <a:off x="4507130" y="65224366"/>
                    <a:ext cx="90001" cy="30002"/>
                  </a:xfrm>
                  <a:custGeom>
                    <a:avLst/>
                    <a:gdLst/>
                    <a:ahLst/>
                    <a:cxnLst/>
                    <a:rect l="0" t="0" r="0" b="0"/>
                    <a:pathLst>
                      <a:path w="90001" h="30002">
                        <a:moveTo>
                          <a:pt x="90000" y="0"/>
                        </a:moveTo>
                        <a:lnTo>
                          <a:pt x="90000" y="30001"/>
                        </a:lnTo>
                        <a:lnTo>
                          <a:pt x="0" y="15001"/>
                        </a:lnTo>
                        <a:lnTo>
                          <a:pt x="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04" name="TextBox 603">
                    <a:extLst>
                      <a:ext uri="{FF2B5EF4-FFF2-40B4-BE49-F238E27FC236}">
                        <a16:creationId xmlns:a16="http://schemas.microsoft.com/office/drawing/2014/main" id="{00000000-0008-0000-0400-00005C020000}"/>
                      </a:ext>
                    </a:extLst>
                  </xdr:cNvPr>
                  <xdr:cNvSpPr txBox="1"/>
                </xdr:nvSpPr>
                <xdr:spPr>
                  <a:xfrm rot="21600000">
                    <a:off x="4338698" y="65115343"/>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b2</a:t>
                    </a:r>
                  </a:p>
                </xdr:txBody>
              </xdr:sp>
            </xdr:grpSp>
            <xdr:grpSp>
              <xdr:nvGrpSpPr>
                <xdr:cNvPr id="541" name="Group 540">
                  <a:extLst>
                    <a:ext uri="{FF2B5EF4-FFF2-40B4-BE49-F238E27FC236}">
                      <a16:creationId xmlns:a16="http://schemas.microsoft.com/office/drawing/2014/main" id="{00000000-0008-0000-0400-00001D020000}"/>
                    </a:ext>
                  </a:extLst>
                </xdr:cNvPr>
                <xdr:cNvGrpSpPr/>
              </xdr:nvGrpSpPr>
              <xdr:grpSpPr>
                <a:xfrm>
                  <a:off x="3978557" y="65115343"/>
                  <a:ext cx="304869" cy="147632"/>
                  <a:chOff x="3978557" y="65115343"/>
                  <a:chExt cx="304869" cy="147632"/>
                </a:xfrm>
              </xdr:grpSpPr>
              <xdr:cxnSp macro="">
                <xdr:nvCxnSpPr>
                  <xdr:cNvPr id="592" name="Straight Connector 591">
                    <a:extLst>
                      <a:ext uri="{FF2B5EF4-FFF2-40B4-BE49-F238E27FC236}">
                        <a16:creationId xmlns:a16="http://schemas.microsoft.com/office/drawing/2014/main" id="{00000000-0008-0000-0400-000050020000}"/>
                      </a:ext>
                    </a:extLst>
                  </xdr:cNvPr>
                  <xdr:cNvCxnSpPr/>
                </xdr:nvCxnSpPr>
                <xdr:spPr>
                  <a:xfrm>
                    <a:off x="3978563" y="65203369"/>
                    <a:ext cx="0" cy="4499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400-000051020000}"/>
                      </a:ext>
                    </a:extLst>
                  </xdr:cNvPr>
                  <xdr:cNvCxnSpPr/>
                </xdr:nvCxnSpPr>
                <xdr:spPr>
                  <a:xfrm>
                    <a:off x="4283426" y="65228701"/>
                    <a:ext cx="0" cy="1966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400-000052020000}"/>
                      </a:ext>
                    </a:extLst>
                  </xdr:cNvPr>
                  <xdr:cNvCxnSpPr/>
                </xdr:nvCxnSpPr>
                <xdr:spPr>
                  <a:xfrm>
                    <a:off x="4068563" y="65239367"/>
                    <a:ext cx="12486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95" name="Freeform 1019">
                    <a:extLst>
                      <a:ext uri="{FF2B5EF4-FFF2-40B4-BE49-F238E27FC236}">
                        <a16:creationId xmlns:a16="http://schemas.microsoft.com/office/drawing/2014/main" id="{00000000-0008-0000-0400-000053020000}"/>
                      </a:ext>
                    </a:extLst>
                  </xdr:cNvPr>
                  <xdr:cNvSpPr/>
                </xdr:nvSpPr>
                <xdr:spPr>
                  <a:xfrm>
                    <a:off x="3978557" y="65224366"/>
                    <a:ext cx="90001" cy="30002"/>
                  </a:xfrm>
                  <a:custGeom>
                    <a:avLst/>
                    <a:gdLst/>
                    <a:ahLst/>
                    <a:cxnLst/>
                    <a:rect l="0" t="0" r="0" b="0"/>
                    <a:pathLst>
                      <a:path w="90001" h="30002">
                        <a:moveTo>
                          <a:pt x="90000" y="0"/>
                        </a:moveTo>
                        <a:lnTo>
                          <a:pt x="90000" y="30001"/>
                        </a:lnTo>
                        <a:lnTo>
                          <a:pt x="0" y="15001"/>
                        </a:lnTo>
                        <a:lnTo>
                          <a:pt x="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96" name="Freeform 1020">
                    <a:extLst>
                      <a:ext uri="{FF2B5EF4-FFF2-40B4-BE49-F238E27FC236}">
                        <a16:creationId xmlns:a16="http://schemas.microsoft.com/office/drawing/2014/main" id="{00000000-0008-0000-0400-000054020000}"/>
                      </a:ext>
                    </a:extLst>
                  </xdr:cNvPr>
                  <xdr:cNvSpPr/>
                </xdr:nvSpPr>
                <xdr:spPr>
                  <a:xfrm>
                    <a:off x="4193422" y="65224366"/>
                    <a:ext cx="90001" cy="30002"/>
                  </a:xfrm>
                  <a:custGeom>
                    <a:avLst/>
                    <a:gdLst/>
                    <a:ahLst/>
                    <a:cxnLst/>
                    <a:rect l="0" t="0" r="0" b="0"/>
                    <a:pathLst>
                      <a:path w="90001" h="30002">
                        <a:moveTo>
                          <a:pt x="0" y="0"/>
                        </a:moveTo>
                        <a:lnTo>
                          <a:pt x="0" y="30001"/>
                        </a:lnTo>
                        <a:lnTo>
                          <a:pt x="90000" y="15001"/>
                        </a:lnTo>
                        <a:lnTo>
                          <a:pt x="90000" y="15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97" name="TextBox 596">
                    <a:extLst>
                      <a:ext uri="{FF2B5EF4-FFF2-40B4-BE49-F238E27FC236}">
                        <a16:creationId xmlns:a16="http://schemas.microsoft.com/office/drawing/2014/main" id="{00000000-0008-0000-0400-000055020000}"/>
                      </a:ext>
                    </a:extLst>
                  </xdr:cNvPr>
                  <xdr:cNvSpPr txBox="1"/>
                </xdr:nvSpPr>
                <xdr:spPr>
                  <a:xfrm rot="21600000">
                    <a:off x="4080992" y="65115343"/>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b1</a:t>
                    </a:r>
                  </a:p>
                </xdr:txBody>
              </xdr:sp>
            </xdr:grpSp>
            <xdr:sp macro="" textlink="">
              <xdr:nvSpPr>
                <xdr:cNvPr id="542" name="Freeform 966">
                  <a:extLst>
                    <a:ext uri="{FF2B5EF4-FFF2-40B4-BE49-F238E27FC236}">
                      <a16:creationId xmlns:a16="http://schemas.microsoft.com/office/drawing/2014/main" id="{00000000-0008-0000-0400-00001E020000}"/>
                    </a:ext>
                  </a:extLst>
                </xdr:cNvPr>
                <xdr:cNvSpPr/>
              </xdr:nvSpPr>
              <xdr:spPr>
                <a:xfrm>
                  <a:off x="4089256" y="63692689"/>
                  <a:ext cx="158217" cy="27292"/>
                </a:xfrm>
                <a:custGeom>
                  <a:avLst/>
                  <a:gdLst/>
                  <a:ahLst/>
                  <a:cxnLst/>
                  <a:rect l="0" t="0" r="0" b="0"/>
                  <a:pathLst>
                    <a:path w="158217" h="27292">
                      <a:moveTo>
                        <a:pt x="0" y="27291"/>
                      </a:moveTo>
                      <a:lnTo>
                        <a:pt x="158216" y="27291"/>
                      </a:lnTo>
                      <a:lnTo>
                        <a:pt x="158216" y="0"/>
                      </a:lnTo>
                      <a:lnTo>
                        <a:pt x="0" y="0"/>
                      </a:lnTo>
                      <a:lnTo>
                        <a:pt x="0" y="27291"/>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3" name="Group 542">
                  <a:extLst>
                    <a:ext uri="{FF2B5EF4-FFF2-40B4-BE49-F238E27FC236}">
                      <a16:creationId xmlns:a16="http://schemas.microsoft.com/office/drawing/2014/main" id="{00000000-0008-0000-0400-00001F020000}"/>
                    </a:ext>
                  </a:extLst>
                </xdr:cNvPr>
                <xdr:cNvGrpSpPr/>
              </xdr:nvGrpSpPr>
              <xdr:grpSpPr>
                <a:xfrm>
                  <a:off x="4505094" y="63809978"/>
                  <a:ext cx="149177" cy="1283613"/>
                  <a:chOff x="4505094" y="63809978"/>
                  <a:chExt cx="149177" cy="1283613"/>
                </a:xfrm>
              </xdr:grpSpPr>
              <xdr:cxnSp macro="">
                <xdr:nvCxnSpPr>
                  <xdr:cNvPr id="586" name="Straight Connector 585">
                    <a:extLst>
                      <a:ext uri="{FF2B5EF4-FFF2-40B4-BE49-F238E27FC236}">
                        <a16:creationId xmlns:a16="http://schemas.microsoft.com/office/drawing/2014/main" id="{00000000-0008-0000-0400-00004A020000}"/>
                      </a:ext>
                    </a:extLst>
                  </xdr:cNvPr>
                  <xdr:cNvCxnSpPr/>
                </xdr:nvCxnSpPr>
                <xdr:spPr>
                  <a:xfrm>
                    <a:off x="4609688" y="63809984"/>
                    <a:ext cx="1758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400-00004B020000}"/>
                      </a:ext>
                    </a:extLst>
                  </xdr:cNvPr>
                  <xdr:cNvCxnSpPr/>
                </xdr:nvCxnSpPr>
                <xdr:spPr>
                  <a:xfrm flipH="1">
                    <a:off x="4609271" y="65093590"/>
                    <a:ext cx="45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400-00004C020000}"/>
                      </a:ext>
                    </a:extLst>
                  </xdr:cNvPr>
                  <xdr:cNvCxnSpPr/>
                </xdr:nvCxnSpPr>
                <xdr:spPr>
                  <a:xfrm>
                    <a:off x="4618271" y="63899982"/>
                    <a:ext cx="0" cy="110361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89" name="Freeform 1013">
                    <a:extLst>
                      <a:ext uri="{FF2B5EF4-FFF2-40B4-BE49-F238E27FC236}">
                        <a16:creationId xmlns:a16="http://schemas.microsoft.com/office/drawing/2014/main" id="{00000000-0008-0000-0400-00004D020000}"/>
                      </a:ext>
                    </a:extLst>
                  </xdr:cNvPr>
                  <xdr:cNvSpPr/>
                </xdr:nvSpPr>
                <xdr:spPr>
                  <a:xfrm>
                    <a:off x="4603270" y="63809978"/>
                    <a:ext cx="30001" cy="90005"/>
                  </a:xfrm>
                  <a:custGeom>
                    <a:avLst/>
                    <a:gdLst/>
                    <a:ahLst/>
                    <a:cxnLst/>
                    <a:rect l="0" t="0" r="0" b="0"/>
                    <a:pathLst>
                      <a:path w="30001" h="90005">
                        <a:moveTo>
                          <a:pt x="0" y="90004"/>
                        </a:moveTo>
                        <a:lnTo>
                          <a:pt x="30000" y="90004"/>
                        </a:lnTo>
                        <a:lnTo>
                          <a:pt x="15000" y="0"/>
                        </a:lnTo>
                        <a:lnTo>
                          <a:pt x="15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90" name="Freeform 1014">
                    <a:extLst>
                      <a:ext uri="{FF2B5EF4-FFF2-40B4-BE49-F238E27FC236}">
                        <a16:creationId xmlns:a16="http://schemas.microsoft.com/office/drawing/2014/main" id="{00000000-0008-0000-0400-00004E020000}"/>
                      </a:ext>
                    </a:extLst>
                  </xdr:cNvPr>
                  <xdr:cNvSpPr/>
                </xdr:nvSpPr>
                <xdr:spPr>
                  <a:xfrm>
                    <a:off x="4603270" y="65003586"/>
                    <a:ext cx="30001" cy="90005"/>
                  </a:xfrm>
                  <a:custGeom>
                    <a:avLst/>
                    <a:gdLst/>
                    <a:ahLst/>
                    <a:cxnLst/>
                    <a:rect l="0" t="0" r="0" b="0"/>
                    <a:pathLst>
                      <a:path w="30001" h="90005">
                        <a:moveTo>
                          <a:pt x="0" y="0"/>
                        </a:moveTo>
                        <a:lnTo>
                          <a:pt x="30000" y="0"/>
                        </a:lnTo>
                        <a:lnTo>
                          <a:pt x="15000" y="90004"/>
                        </a:lnTo>
                        <a:lnTo>
                          <a:pt x="15000" y="90004"/>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91" name="TextBox 590">
                    <a:extLst>
                      <a:ext uri="{FF2B5EF4-FFF2-40B4-BE49-F238E27FC236}">
                        <a16:creationId xmlns:a16="http://schemas.microsoft.com/office/drawing/2014/main" id="{00000000-0008-0000-0400-00004F020000}"/>
                      </a:ext>
                    </a:extLst>
                  </xdr:cNvPr>
                  <xdr:cNvSpPr txBox="1"/>
                </xdr:nvSpPr>
                <xdr:spPr>
                  <a:xfrm rot="16200000">
                    <a:off x="4510270" y="64494209"/>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h4</a:t>
                    </a:r>
                  </a:p>
                </xdr:txBody>
              </xdr:sp>
            </xdr:grpSp>
            <xdr:grpSp>
              <xdr:nvGrpSpPr>
                <xdr:cNvPr id="544" name="Group 543">
                  <a:extLst>
                    <a:ext uri="{FF2B5EF4-FFF2-40B4-BE49-F238E27FC236}">
                      <a16:creationId xmlns:a16="http://schemas.microsoft.com/office/drawing/2014/main" id="{00000000-0008-0000-0400-000020020000}"/>
                    </a:ext>
                  </a:extLst>
                </xdr:cNvPr>
                <xdr:cNvGrpSpPr/>
              </xdr:nvGrpSpPr>
              <xdr:grpSpPr>
                <a:xfrm>
                  <a:off x="4603270" y="63539979"/>
                  <a:ext cx="191965" cy="450000"/>
                  <a:chOff x="4603270" y="63539979"/>
                  <a:chExt cx="191965" cy="450000"/>
                </a:xfrm>
              </xdr:grpSpPr>
              <xdr:cxnSp macro="">
                <xdr:nvCxnSpPr>
                  <xdr:cNvPr id="579" name="Straight Connector 578">
                    <a:extLst>
                      <a:ext uri="{FF2B5EF4-FFF2-40B4-BE49-F238E27FC236}">
                        <a16:creationId xmlns:a16="http://schemas.microsoft.com/office/drawing/2014/main" id="{00000000-0008-0000-0400-000043020000}"/>
                      </a:ext>
                    </a:extLst>
                  </xdr:cNvPr>
                  <xdr:cNvCxnSpPr/>
                </xdr:nvCxnSpPr>
                <xdr:spPr>
                  <a:xfrm>
                    <a:off x="4609688" y="63719980"/>
                    <a:ext cx="1758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400-000044020000}"/>
                      </a:ext>
                    </a:extLst>
                  </xdr:cNvPr>
                  <xdr:cNvCxnSpPr/>
                </xdr:nvCxnSpPr>
                <xdr:spPr>
                  <a:xfrm>
                    <a:off x="4609688" y="63809984"/>
                    <a:ext cx="1758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400-000045020000}"/>
                      </a:ext>
                    </a:extLst>
                  </xdr:cNvPr>
                  <xdr:cNvCxnSpPr/>
                </xdr:nvCxnSpPr>
                <xdr:spPr>
                  <a:xfrm flipV="1">
                    <a:off x="4618271" y="63539979"/>
                    <a:ext cx="0" cy="900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400-000046020000}"/>
                      </a:ext>
                    </a:extLst>
                  </xdr:cNvPr>
                  <xdr:cNvCxnSpPr/>
                </xdr:nvCxnSpPr>
                <xdr:spPr>
                  <a:xfrm>
                    <a:off x="4618271" y="63899982"/>
                    <a:ext cx="0" cy="8999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83" name="Freeform 1007">
                    <a:extLst>
                      <a:ext uri="{FF2B5EF4-FFF2-40B4-BE49-F238E27FC236}">
                        <a16:creationId xmlns:a16="http://schemas.microsoft.com/office/drawing/2014/main" id="{00000000-0008-0000-0400-000047020000}"/>
                      </a:ext>
                    </a:extLst>
                  </xdr:cNvPr>
                  <xdr:cNvSpPr/>
                </xdr:nvSpPr>
                <xdr:spPr>
                  <a:xfrm>
                    <a:off x="4603270" y="63629977"/>
                    <a:ext cx="30001" cy="90004"/>
                  </a:xfrm>
                  <a:custGeom>
                    <a:avLst/>
                    <a:gdLst/>
                    <a:ahLst/>
                    <a:cxnLst/>
                    <a:rect l="0" t="0" r="0" b="0"/>
                    <a:pathLst>
                      <a:path w="30001" h="90004">
                        <a:moveTo>
                          <a:pt x="0" y="0"/>
                        </a:moveTo>
                        <a:lnTo>
                          <a:pt x="30000" y="0"/>
                        </a:lnTo>
                        <a:lnTo>
                          <a:pt x="15000" y="90003"/>
                        </a:lnTo>
                        <a:lnTo>
                          <a:pt x="15000" y="90003"/>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84" name="Freeform 1008">
                    <a:extLst>
                      <a:ext uri="{FF2B5EF4-FFF2-40B4-BE49-F238E27FC236}">
                        <a16:creationId xmlns:a16="http://schemas.microsoft.com/office/drawing/2014/main" id="{00000000-0008-0000-0400-000048020000}"/>
                      </a:ext>
                    </a:extLst>
                  </xdr:cNvPr>
                  <xdr:cNvSpPr/>
                </xdr:nvSpPr>
                <xdr:spPr>
                  <a:xfrm>
                    <a:off x="4603270" y="63809978"/>
                    <a:ext cx="30001" cy="90005"/>
                  </a:xfrm>
                  <a:custGeom>
                    <a:avLst/>
                    <a:gdLst/>
                    <a:ahLst/>
                    <a:cxnLst/>
                    <a:rect l="0" t="0" r="0" b="0"/>
                    <a:pathLst>
                      <a:path w="30001" h="90005">
                        <a:moveTo>
                          <a:pt x="0" y="90004"/>
                        </a:moveTo>
                        <a:lnTo>
                          <a:pt x="30000" y="90004"/>
                        </a:lnTo>
                        <a:lnTo>
                          <a:pt x="15000" y="0"/>
                        </a:lnTo>
                        <a:lnTo>
                          <a:pt x="15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85" name="TextBox 584">
                    <a:extLst>
                      <a:ext uri="{FF2B5EF4-FFF2-40B4-BE49-F238E27FC236}">
                        <a16:creationId xmlns:a16="http://schemas.microsoft.com/office/drawing/2014/main" id="{00000000-0008-0000-0400-000049020000}"/>
                      </a:ext>
                    </a:extLst>
                  </xdr:cNvPr>
                  <xdr:cNvSpPr txBox="1"/>
                </xdr:nvSpPr>
                <xdr:spPr>
                  <a:xfrm rot="16200000">
                    <a:off x="4652779" y="63677455"/>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h3</a:t>
                    </a:r>
                  </a:p>
                </xdr:txBody>
              </xdr:sp>
            </xdr:grpSp>
            <xdr:grpSp>
              <xdr:nvGrpSpPr>
                <xdr:cNvPr id="545" name="Group 544">
                  <a:extLst>
                    <a:ext uri="{FF2B5EF4-FFF2-40B4-BE49-F238E27FC236}">
                      <a16:creationId xmlns:a16="http://schemas.microsoft.com/office/drawing/2014/main" id="{00000000-0008-0000-0400-000021020000}"/>
                    </a:ext>
                  </a:extLst>
                </xdr:cNvPr>
                <xdr:cNvGrpSpPr/>
              </xdr:nvGrpSpPr>
              <xdr:grpSpPr>
                <a:xfrm>
                  <a:off x="3676225" y="63015020"/>
                  <a:ext cx="374337" cy="152982"/>
                  <a:chOff x="3676225" y="63015020"/>
                  <a:chExt cx="374337" cy="152982"/>
                </a:xfrm>
              </xdr:grpSpPr>
              <xdr:cxnSp macro="">
                <xdr:nvCxnSpPr>
                  <xdr:cNvPr id="572" name="Straight Connector 571">
                    <a:extLst>
                      <a:ext uri="{FF2B5EF4-FFF2-40B4-BE49-F238E27FC236}">
                        <a16:creationId xmlns:a16="http://schemas.microsoft.com/office/drawing/2014/main" id="{00000000-0008-0000-0400-00003C020000}"/>
                      </a:ext>
                    </a:extLst>
                  </xdr:cNvPr>
                  <xdr:cNvCxnSpPr/>
                </xdr:nvCxnSpPr>
                <xdr:spPr>
                  <a:xfrm flipV="1">
                    <a:off x="3867784" y="63123000"/>
                    <a:ext cx="0" cy="1868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400-00003D020000}"/>
                      </a:ext>
                    </a:extLst>
                  </xdr:cNvPr>
                  <xdr:cNvCxnSpPr/>
                </xdr:nvCxnSpPr>
                <xdr:spPr>
                  <a:xfrm flipV="1">
                    <a:off x="3978563" y="63123000"/>
                    <a:ext cx="0" cy="4500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400-00003E020000}"/>
                      </a:ext>
                    </a:extLst>
                  </xdr:cNvPr>
                  <xdr:cNvCxnSpPr/>
                </xdr:nvCxnSpPr>
                <xdr:spPr>
                  <a:xfrm flipH="1">
                    <a:off x="3795784" y="63131998"/>
                    <a:ext cx="36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400-00003F020000}"/>
                      </a:ext>
                    </a:extLst>
                  </xdr:cNvPr>
                  <xdr:cNvCxnSpPr/>
                </xdr:nvCxnSpPr>
                <xdr:spPr>
                  <a:xfrm>
                    <a:off x="4014562" y="63131998"/>
                    <a:ext cx="36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76" name="TextBox 575">
                    <a:extLst>
                      <a:ext uri="{FF2B5EF4-FFF2-40B4-BE49-F238E27FC236}">
                        <a16:creationId xmlns:a16="http://schemas.microsoft.com/office/drawing/2014/main" id="{00000000-0008-0000-0400-000040020000}"/>
                      </a:ext>
                    </a:extLst>
                  </xdr:cNvPr>
                  <xdr:cNvSpPr txBox="1"/>
                </xdr:nvSpPr>
                <xdr:spPr>
                  <a:xfrm>
                    <a:off x="3676225" y="63015020"/>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b3</a:t>
                    </a:r>
                  </a:p>
                </xdr:txBody>
              </xdr:sp>
              <xdr:sp macro="" textlink="">
                <xdr:nvSpPr>
                  <xdr:cNvPr id="577" name="Freeform 1001">
                    <a:extLst>
                      <a:ext uri="{FF2B5EF4-FFF2-40B4-BE49-F238E27FC236}">
                        <a16:creationId xmlns:a16="http://schemas.microsoft.com/office/drawing/2014/main" id="{00000000-0008-0000-0400-000041020000}"/>
                      </a:ext>
                    </a:extLst>
                  </xdr:cNvPr>
                  <xdr:cNvSpPr/>
                </xdr:nvSpPr>
                <xdr:spPr>
                  <a:xfrm>
                    <a:off x="3831782" y="63126001"/>
                    <a:ext cx="36001" cy="12000"/>
                  </a:xfrm>
                  <a:custGeom>
                    <a:avLst/>
                    <a:gdLst/>
                    <a:ahLst/>
                    <a:cxnLst/>
                    <a:rect l="0" t="0" r="0" b="0"/>
                    <a:pathLst>
                      <a:path w="36001" h="12000">
                        <a:moveTo>
                          <a:pt x="0" y="0"/>
                        </a:moveTo>
                        <a:lnTo>
                          <a:pt x="0" y="11999"/>
                        </a:lnTo>
                        <a:lnTo>
                          <a:pt x="36000" y="5997"/>
                        </a:lnTo>
                        <a:lnTo>
                          <a:pt x="36000" y="5997"/>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78" name="Freeform 1002">
                    <a:extLst>
                      <a:ext uri="{FF2B5EF4-FFF2-40B4-BE49-F238E27FC236}">
                        <a16:creationId xmlns:a16="http://schemas.microsoft.com/office/drawing/2014/main" id="{00000000-0008-0000-0400-000042020000}"/>
                      </a:ext>
                    </a:extLst>
                  </xdr:cNvPr>
                  <xdr:cNvSpPr/>
                </xdr:nvSpPr>
                <xdr:spPr>
                  <a:xfrm>
                    <a:off x="3978557" y="63126001"/>
                    <a:ext cx="36001" cy="12000"/>
                  </a:xfrm>
                  <a:custGeom>
                    <a:avLst/>
                    <a:gdLst/>
                    <a:ahLst/>
                    <a:cxnLst/>
                    <a:rect l="0" t="0" r="0" b="0"/>
                    <a:pathLst>
                      <a:path w="36001" h="12000">
                        <a:moveTo>
                          <a:pt x="36000" y="0"/>
                        </a:moveTo>
                        <a:lnTo>
                          <a:pt x="36000" y="11999"/>
                        </a:lnTo>
                        <a:lnTo>
                          <a:pt x="0" y="5997"/>
                        </a:lnTo>
                        <a:lnTo>
                          <a:pt x="0" y="5997"/>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grpSp>
              <xdr:nvGrpSpPr>
                <xdr:cNvPr id="546" name="Group 545">
                  <a:extLst>
                    <a:ext uri="{FF2B5EF4-FFF2-40B4-BE49-F238E27FC236}">
                      <a16:creationId xmlns:a16="http://schemas.microsoft.com/office/drawing/2014/main" id="{00000000-0008-0000-0400-000022020000}"/>
                    </a:ext>
                  </a:extLst>
                </xdr:cNvPr>
                <xdr:cNvGrpSpPr/>
              </xdr:nvGrpSpPr>
              <xdr:grpSpPr>
                <a:xfrm>
                  <a:off x="3603702" y="63719980"/>
                  <a:ext cx="215414" cy="1373611"/>
                  <a:chOff x="3603702" y="63719980"/>
                  <a:chExt cx="215414" cy="1373611"/>
                </a:xfrm>
              </xdr:grpSpPr>
              <xdr:cxnSp macro="">
                <xdr:nvCxnSpPr>
                  <xdr:cNvPr id="566" name="Straight Connector 565">
                    <a:extLst>
                      <a:ext uri="{FF2B5EF4-FFF2-40B4-BE49-F238E27FC236}">
                        <a16:creationId xmlns:a16="http://schemas.microsoft.com/office/drawing/2014/main" id="{00000000-0008-0000-0400-000036020000}"/>
                      </a:ext>
                    </a:extLst>
                  </xdr:cNvPr>
                  <xdr:cNvCxnSpPr/>
                </xdr:nvCxnSpPr>
                <xdr:spPr>
                  <a:xfrm flipH="1">
                    <a:off x="3774116" y="63719980"/>
                    <a:ext cx="1695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400-000037020000}"/>
                      </a:ext>
                    </a:extLst>
                  </xdr:cNvPr>
                  <xdr:cNvCxnSpPr/>
                </xdr:nvCxnSpPr>
                <xdr:spPr>
                  <a:xfrm flipH="1">
                    <a:off x="3774116" y="65093590"/>
                    <a:ext cx="45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400-000038020000}"/>
                      </a:ext>
                    </a:extLst>
                  </xdr:cNvPr>
                  <xdr:cNvCxnSpPr/>
                </xdr:nvCxnSpPr>
                <xdr:spPr>
                  <a:xfrm>
                    <a:off x="3783116" y="63809984"/>
                    <a:ext cx="0" cy="1193608"/>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69" name="Freeform 992">
                    <a:extLst>
                      <a:ext uri="{FF2B5EF4-FFF2-40B4-BE49-F238E27FC236}">
                        <a16:creationId xmlns:a16="http://schemas.microsoft.com/office/drawing/2014/main" id="{00000000-0008-0000-0400-000039020000}"/>
                      </a:ext>
                    </a:extLst>
                  </xdr:cNvPr>
                  <xdr:cNvSpPr/>
                </xdr:nvSpPr>
                <xdr:spPr>
                  <a:xfrm>
                    <a:off x="3768114" y="63719980"/>
                    <a:ext cx="30001" cy="89999"/>
                  </a:xfrm>
                  <a:custGeom>
                    <a:avLst/>
                    <a:gdLst/>
                    <a:ahLst/>
                    <a:cxnLst/>
                    <a:rect l="0" t="0" r="0" b="0"/>
                    <a:pathLst>
                      <a:path w="30001" h="89999">
                        <a:moveTo>
                          <a:pt x="0" y="89998"/>
                        </a:moveTo>
                        <a:lnTo>
                          <a:pt x="30000" y="89998"/>
                        </a:lnTo>
                        <a:lnTo>
                          <a:pt x="15000" y="0"/>
                        </a:lnTo>
                        <a:lnTo>
                          <a:pt x="15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70" name="Freeform 993">
                    <a:extLst>
                      <a:ext uri="{FF2B5EF4-FFF2-40B4-BE49-F238E27FC236}">
                        <a16:creationId xmlns:a16="http://schemas.microsoft.com/office/drawing/2014/main" id="{00000000-0008-0000-0400-00003A020000}"/>
                      </a:ext>
                    </a:extLst>
                  </xdr:cNvPr>
                  <xdr:cNvSpPr/>
                </xdr:nvSpPr>
                <xdr:spPr>
                  <a:xfrm>
                    <a:off x="3768114" y="65003586"/>
                    <a:ext cx="30001" cy="90005"/>
                  </a:xfrm>
                  <a:custGeom>
                    <a:avLst/>
                    <a:gdLst/>
                    <a:ahLst/>
                    <a:cxnLst/>
                    <a:rect l="0" t="0" r="0" b="0"/>
                    <a:pathLst>
                      <a:path w="30001" h="90005">
                        <a:moveTo>
                          <a:pt x="0" y="0"/>
                        </a:moveTo>
                        <a:lnTo>
                          <a:pt x="30000" y="0"/>
                        </a:lnTo>
                        <a:lnTo>
                          <a:pt x="15000" y="90004"/>
                        </a:lnTo>
                        <a:lnTo>
                          <a:pt x="15000" y="90004"/>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71" name="TextBox 570">
                    <a:extLst>
                      <a:ext uri="{FF2B5EF4-FFF2-40B4-BE49-F238E27FC236}">
                        <a16:creationId xmlns:a16="http://schemas.microsoft.com/office/drawing/2014/main" id="{00000000-0008-0000-0400-00003B020000}"/>
                      </a:ext>
                    </a:extLst>
                  </xdr:cNvPr>
                  <xdr:cNvSpPr txBox="1"/>
                </xdr:nvSpPr>
                <xdr:spPr>
                  <a:xfrm rot="16200000">
                    <a:off x="3608878" y="64357830"/>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h1</a:t>
                    </a:r>
                  </a:p>
                </xdr:txBody>
              </xdr:sp>
            </xdr:grpSp>
            <xdr:grpSp>
              <xdr:nvGrpSpPr>
                <xdr:cNvPr id="547" name="Group 546">
                  <a:extLst>
                    <a:ext uri="{FF2B5EF4-FFF2-40B4-BE49-F238E27FC236}">
                      <a16:creationId xmlns:a16="http://schemas.microsoft.com/office/drawing/2014/main" id="{00000000-0008-0000-0400-000023020000}"/>
                    </a:ext>
                  </a:extLst>
                </xdr:cNvPr>
                <xdr:cNvGrpSpPr/>
              </xdr:nvGrpSpPr>
              <xdr:grpSpPr>
                <a:xfrm>
                  <a:off x="3636599" y="63182860"/>
                  <a:ext cx="161516" cy="537121"/>
                  <a:chOff x="3636599" y="63182860"/>
                  <a:chExt cx="161516" cy="537121"/>
                </a:xfrm>
              </xdr:grpSpPr>
              <xdr:cxnSp macro="">
                <xdr:nvCxnSpPr>
                  <xdr:cNvPr id="560" name="Straight Connector 559">
                    <a:extLst>
                      <a:ext uri="{FF2B5EF4-FFF2-40B4-BE49-F238E27FC236}">
                        <a16:creationId xmlns:a16="http://schemas.microsoft.com/office/drawing/2014/main" id="{00000000-0008-0000-0400-000030020000}"/>
                      </a:ext>
                    </a:extLst>
                  </xdr:cNvPr>
                  <xdr:cNvCxnSpPr/>
                </xdr:nvCxnSpPr>
                <xdr:spPr>
                  <a:xfrm flipH="1">
                    <a:off x="3774116" y="63182860"/>
                    <a:ext cx="1695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400-000031020000}"/>
                      </a:ext>
                    </a:extLst>
                  </xdr:cNvPr>
                  <xdr:cNvCxnSpPr/>
                </xdr:nvCxnSpPr>
                <xdr:spPr>
                  <a:xfrm flipH="1">
                    <a:off x="3774116" y="63719980"/>
                    <a:ext cx="1695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400-000032020000}"/>
                      </a:ext>
                    </a:extLst>
                  </xdr:cNvPr>
                  <xdr:cNvCxnSpPr/>
                </xdr:nvCxnSpPr>
                <xdr:spPr>
                  <a:xfrm>
                    <a:off x="3783116" y="63272863"/>
                    <a:ext cx="0" cy="35712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63" name="Freeform 986">
                    <a:extLst>
                      <a:ext uri="{FF2B5EF4-FFF2-40B4-BE49-F238E27FC236}">
                        <a16:creationId xmlns:a16="http://schemas.microsoft.com/office/drawing/2014/main" id="{00000000-0008-0000-0400-000033020000}"/>
                      </a:ext>
                    </a:extLst>
                  </xdr:cNvPr>
                  <xdr:cNvSpPr/>
                </xdr:nvSpPr>
                <xdr:spPr>
                  <a:xfrm>
                    <a:off x="3768114" y="63182860"/>
                    <a:ext cx="30001" cy="89998"/>
                  </a:xfrm>
                  <a:custGeom>
                    <a:avLst/>
                    <a:gdLst/>
                    <a:ahLst/>
                    <a:cxnLst/>
                    <a:rect l="0" t="0" r="0" b="0"/>
                    <a:pathLst>
                      <a:path w="30001" h="89998">
                        <a:moveTo>
                          <a:pt x="0" y="89997"/>
                        </a:moveTo>
                        <a:lnTo>
                          <a:pt x="30000" y="89997"/>
                        </a:lnTo>
                        <a:lnTo>
                          <a:pt x="15000" y="0"/>
                        </a:lnTo>
                        <a:lnTo>
                          <a:pt x="15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64" name="Freeform 987">
                    <a:extLst>
                      <a:ext uri="{FF2B5EF4-FFF2-40B4-BE49-F238E27FC236}">
                        <a16:creationId xmlns:a16="http://schemas.microsoft.com/office/drawing/2014/main" id="{00000000-0008-0000-0400-000034020000}"/>
                      </a:ext>
                    </a:extLst>
                  </xdr:cNvPr>
                  <xdr:cNvSpPr/>
                </xdr:nvSpPr>
                <xdr:spPr>
                  <a:xfrm>
                    <a:off x="3768114" y="63629977"/>
                    <a:ext cx="30001" cy="90004"/>
                  </a:xfrm>
                  <a:custGeom>
                    <a:avLst/>
                    <a:gdLst/>
                    <a:ahLst/>
                    <a:cxnLst/>
                    <a:rect l="0" t="0" r="0" b="0"/>
                    <a:pathLst>
                      <a:path w="30001" h="90004">
                        <a:moveTo>
                          <a:pt x="0" y="0"/>
                        </a:moveTo>
                        <a:lnTo>
                          <a:pt x="30000" y="0"/>
                        </a:lnTo>
                        <a:lnTo>
                          <a:pt x="15000" y="90003"/>
                        </a:lnTo>
                        <a:lnTo>
                          <a:pt x="15000" y="90003"/>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65" name="TextBox 564">
                    <a:extLst>
                      <a:ext uri="{FF2B5EF4-FFF2-40B4-BE49-F238E27FC236}">
                        <a16:creationId xmlns:a16="http://schemas.microsoft.com/office/drawing/2014/main" id="{00000000-0008-0000-0400-000035020000}"/>
                      </a:ext>
                    </a:extLst>
                  </xdr:cNvPr>
                  <xdr:cNvSpPr txBox="1"/>
                </xdr:nvSpPr>
                <xdr:spPr>
                  <a:xfrm rot="16200000">
                    <a:off x="3641775" y="63401362"/>
                    <a:ext cx="137280" cy="1476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30">
                        <a:solidFill>
                          <a:srgbClr val="000000"/>
                        </a:solidFill>
                        <a:latin typeface="Arial" panose="020B0604020202020204" pitchFamily="34" charset="0"/>
                      </a:rPr>
                      <a:t>h2</a:t>
                    </a:r>
                  </a:p>
                </xdr:txBody>
              </xdr:sp>
            </xdr:grpSp>
            <xdr:cxnSp macro="">
              <xdr:nvCxnSpPr>
                <xdr:cNvPr id="548" name="Straight Connector 547">
                  <a:extLst>
                    <a:ext uri="{FF2B5EF4-FFF2-40B4-BE49-F238E27FC236}">
                      <a16:creationId xmlns:a16="http://schemas.microsoft.com/office/drawing/2014/main" id="{00000000-0008-0000-0400-000024020000}"/>
                    </a:ext>
                  </a:extLst>
                </xdr:cNvPr>
                <xdr:cNvCxnSpPr/>
              </xdr:nvCxnSpPr>
              <xdr:spPr>
                <a:xfrm flipH="1">
                  <a:off x="4183774" y="65093590"/>
                  <a:ext cx="32335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400-000025020000}"/>
                    </a:ext>
                  </a:extLst>
                </xdr:cNvPr>
                <xdr:cNvCxnSpPr/>
              </xdr:nvCxnSpPr>
              <xdr:spPr>
                <a:xfrm>
                  <a:off x="4283426" y="63809984"/>
                  <a:ext cx="223707" cy="128360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0" name="Straight Connector 549">
                  <a:extLst>
                    <a:ext uri="{FF2B5EF4-FFF2-40B4-BE49-F238E27FC236}">
                      <a16:creationId xmlns:a16="http://schemas.microsoft.com/office/drawing/2014/main" id="{00000000-0008-0000-0400-000026020000}"/>
                    </a:ext>
                  </a:extLst>
                </xdr:cNvPr>
                <xdr:cNvCxnSpPr/>
              </xdr:nvCxnSpPr>
              <xdr:spPr>
                <a:xfrm flipH="1">
                  <a:off x="3867784" y="65093590"/>
                  <a:ext cx="31599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400-000027020000}"/>
                    </a:ext>
                  </a:extLst>
                </xdr:cNvPr>
                <xdr:cNvCxnSpPr/>
              </xdr:nvCxnSpPr>
              <xdr:spPr>
                <a:xfrm>
                  <a:off x="4283426" y="63809984"/>
                  <a:ext cx="0" cy="1283606"/>
                </a:xfrm>
                <a:prstGeom prst="line">
                  <a:avLst/>
                </a:prstGeom>
                <a:ln w="3810">
                  <a:solidFill>
                    <a:srgbClr val="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400-000028020000}"/>
                    </a:ext>
                  </a:extLst>
                </xdr:cNvPr>
                <xdr:cNvCxnSpPr/>
              </xdr:nvCxnSpPr>
              <xdr:spPr>
                <a:xfrm flipH="1">
                  <a:off x="4183774" y="63809984"/>
                  <a:ext cx="174217"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400-000029020000}"/>
                    </a:ext>
                  </a:extLst>
                </xdr:cNvPr>
                <xdr:cNvCxnSpPr/>
              </xdr:nvCxnSpPr>
              <xdr:spPr>
                <a:xfrm>
                  <a:off x="4357991" y="63719980"/>
                  <a:ext cx="0" cy="900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400-00002A020000}"/>
                    </a:ext>
                  </a:extLst>
                </xdr:cNvPr>
                <xdr:cNvCxnSpPr/>
              </xdr:nvCxnSpPr>
              <xdr:spPr>
                <a:xfrm>
                  <a:off x="4003774" y="63719980"/>
                  <a:ext cx="354217"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400-00002B020000}"/>
                    </a:ext>
                  </a:extLst>
                </xdr:cNvPr>
                <xdr:cNvCxnSpPr/>
              </xdr:nvCxnSpPr>
              <xdr:spPr>
                <a:xfrm>
                  <a:off x="3978563" y="63182860"/>
                  <a:ext cx="0" cy="53387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400-00002C020000}"/>
                    </a:ext>
                  </a:extLst>
                </xdr:cNvPr>
                <xdr:cNvCxnSpPr/>
              </xdr:nvCxnSpPr>
              <xdr:spPr>
                <a:xfrm>
                  <a:off x="3867784" y="63182860"/>
                  <a:ext cx="11077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400-00002D020000}"/>
                    </a:ext>
                  </a:extLst>
                </xdr:cNvPr>
                <xdr:cNvCxnSpPr/>
              </xdr:nvCxnSpPr>
              <xdr:spPr>
                <a:xfrm flipV="1">
                  <a:off x="3867784" y="63332550"/>
                  <a:ext cx="0" cy="38743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400-00002E020000}"/>
                    </a:ext>
                  </a:extLst>
                </xdr:cNvPr>
                <xdr:cNvCxnSpPr/>
              </xdr:nvCxnSpPr>
              <xdr:spPr>
                <a:xfrm flipV="1">
                  <a:off x="3867784" y="63719980"/>
                  <a:ext cx="0" cy="900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559" name="TextBox 558">
                  <a:extLst>
                    <a:ext uri="{FF2B5EF4-FFF2-40B4-BE49-F238E27FC236}">
                      <a16:creationId xmlns:a16="http://schemas.microsoft.com/office/drawing/2014/main" id="{00000000-0008-0000-0400-00002F020000}"/>
                    </a:ext>
                  </a:extLst>
                </xdr:cNvPr>
                <xdr:cNvSpPr txBox="1"/>
              </xdr:nvSpPr>
              <xdr:spPr>
                <a:xfrm>
                  <a:off x="3460354" y="63289447"/>
                  <a:ext cx="173561" cy="13437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800">
                      <a:solidFill>
                        <a:srgbClr val="000000"/>
                      </a:solidFill>
                      <a:latin typeface="Arial" panose="020B0604020202020204" pitchFamily="34" charset="0"/>
                    </a:rPr>
                    <a:t>P5</a:t>
                  </a:r>
                </a:p>
              </xdr:txBody>
            </xdr:sp>
          </xdr:grpSp>
          <xdr:sp macro="" textlink="">
            <xdr:nvSpPr>
              <xdr:cNvPr id="489" name="TextBox 488">
                <a:extLst>
                  <a:ext uri="{FF2B5EF4-FFF2-40B4-BE49-F238E27FC236}">
                    <a16:creationId xmlns:a16="http://schemas.microsoft.com/office/drawing/2014/main" id="{00000000-0008-0000-0400-0000E9010000}"/>
                  </a:ext>
                </a:extLst>
              </xdr:cNvPr>
              <xdr:cNvSpPr txBox="1"/>
            </xdr:nvSpPr>
            <xdr:spPr>
              <a:xfrm>
                <a:off x="1905689" y="119653824"/>
                <a:ext cx="542191" cy="249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Heel </a:t>
                </a:r>
              </a:p>
            </xdr:txBody>
          </xdr:sp>
        </xdr:grpSp>
        <xdr:sp macro="" textlink="">
          <xdr:nvSpPr>
            <xdr:cNvPr id="460" name="TextBox 459">
              <a:extLst>
                <a:ext uri="{FF2B5EF4-FFF2-40B4-BE49-F238E27FC236}">
                  <a16:creationId xmlns:a16="http://schemas.microsoft.com/office/drawing/2014/main" id="{00000000-0008-0000-0400-0000CC010000}"/>
                </a:ext>
              </a:extLst>
            </xdr:cNvPr>
            <xdr:cNvSpPr txBox="1"/>
          </xdr:nvSpPr>
          <xdr:spPr>
            <a:xfrm>
              <a:off x="5148695" y="119685288"/>
              <a:ext cx="566307" cy="249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Toe </a:t>
              </a:r>
            </a:p>
          </xdr:txBody>
        </xdr:sp>
      </xdr:grpSp>
      <xdr:grpSp>
        <xdr:nvGrpSpPr>
          <xdr:cNvPr id="648" name="Group 647">
            <a:extLst>
              <a:ext uri="{FF2B5EF4-FFF2-40B4-BE49-F238E27FC236}">
                <a16:creationId xmlns:a16="http://schemas.microsoft.com/office/drawing/2014/main" id="{00000000-0008-0000-0400-000088020000}"/>
              </a:ext>
            </a:extLst>
          </xdr:cNvPr>
          <xdr:cNvGrpSpPr/>
        </xdr:nvGrpSpPr>
        <xdr:grpSpPr>
          <a:xfrm>
            <a:off x="6724651" y="20373973"/>
            <a:ext cx="3409949" cy="3352223"/>
            <a:chOff x="3476626" y="21678902"/>
            <a:chExt cx="2676524" cy="3352799"/>
          </a:xfrm>
        </xdr:grpSpPr>
        <xdr:grpSp>
          <xdr:nvGrpSpPr>
            <xdr:cNvPr id="649" name="Group 648">
              <a:extLst>
                <a:ext uri="{FF2B5EF4-FFF2-40B4-BE49-F238E27FC236}">
                  <a16:creationId xmlns:a16="http://schemas.microsoft.com/office/drawing/2014/main" id="{00000000-0008-0000-0400-000089020000}"/>
                </a:ext>
              </a:extLst>
            </xdr:cNvPr>
            <xdr:cNvGrpSpPr/>
          </xdr:nvGrpSpPr>
          <xdr:grpSpPr>
            <a:xfrm>
              <a:off x="3486150" y="24726901"/>
              <a:ext cx="2667000" cy="304800"/>
              <a:chOff x="3486150" y="24726901"/>
              <a:chExt cx="2667000" cy="304800"/>
            </a:xfrm>
          </xdr:grpSpPr>
          <xdr:cxnSp macro="">
            <xdr:nvCxnSpPr>
              <xdr:cNvPr id="746" name="Straight Arrow Connector 745">
                <a:extLst>
                  <a:ext uri="{FF2B5EF4-FFF2-40B4-BE49-F238E27FC236}">
                    <a16:creationId xmlns:a16="http://schemas.microsoft.com/office/drawing/2014/main" id="{00000000-0008-0000-0400-0000EA020000}"/>
                  </a:ext>
                </a:extLst>
              </xdr:cNvPr>
              <xdr:cNvCxnSpPr/>
            </xdr:nvCxnSpPr>
            <xdr:spPr>
              <a:xfrm>
                <a:off x="3486150" y="24974550"/>
                <a:ext cx="2667000" cy="0"/>
              </a:xfrm>
              <a:prstGeom prst="straightConnector1">
                <a:avLst/>
              </a:prstGeom>
              <a:ln>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7" name="TextBox 746">
                <a:extLst>
                  <a:ext uri="{FF2B5EF4-FFF2-40B4-BE49-F238E27FC236}">
                    <a16:creationId xmlns:a16="http://schemas.microsoft.com/office/drawing/2014/main" id="{00000000-0008-0000-0400-0000EB020000}"/>
                  </a:ext>
                </a:extLst>
              </xdr:cNvPr>
              <xdr:cNvSpPr txBox="1"/>
            </xdr:nvSpPr>
            <xdr:spPr>
              <a:xfrm>
                <a:off x="4495800" y="24726901"/>
                <a:ext cx="3810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b9</a:t>
                </a:r>
                <a:endParaRPr lang="en-US" sz="1100" baseline="-25000"/>
              </a:p>
            </xdr:txBody>
          </xdr:sp>
        </xdr:grpSp>
        <xdr:grpSp>
          <xdr:nvGrpSpPr>
            <xdr:cNvPr id="650" name="Group 649">
              <a:extLst>
                <a:ext uri="{FF2B5EF4-FFF2-40B4-BE49-F238E27FC236}">
                  <a16:creationId xmlns:a16="http://schemas.microsoft.com/office/drawing/2014/main" id="{00000000-0008-0000-0400-00008A020000}"/>
                </a:ext>
              </a:extLst>
            </xdr:cNvPr>
            <xdr:cNvGrpSpPr/>
          </xdr:nvGrpSpPr>
          <xdr:grpSpPr>
            <a:xfrm>
              <a:off x="3476626" y="21678902"/>
              <a:ext cx="2666999" cy="3077228"/>
              <a:chOff x="2539997" y="1270000"/>
              <a:chExt cx="414001" cy="462061"/>
            </a:xfrm>
          </xdr:grpSpPr>
          <xdr:sp macro="" textlink="">
            <xdr:nvSpPr>
              <xdr:cNvPr id="651" name="Freeform: Shape 650">
                <a:extLst>
                  <a:ext uri="{FF2B5EF4-FFF2-40B4-BE49-F238E27FC236}">
                    <a16:creationId xmlns:a16="http://schemas.microsoft.com/office/drawing/2014/main" id="{00000000-0008-0000-0400-00008B020000}"/>
                  </a:ext>
                </a:extLst>
              </xdr:cNvPr>
              <xdr:cNvSpPr/>
            </xdr:nvSpPr>
            <xdr:spPr>
              <a:xfrm>
                <a:off x="2539997" y="1659864"/>
                <a:ext cx="414001" cy="72197"/>
              </a:xfrm>
              <a:custGeom>
                <a:avLst/>
                <a:gdLst/>
                <a:ahLst/>
                <a:cxnLst/>
                <a:rect l="0" t="0" r="0" b="0"/>
                <a:pathLst>
                  <a:path w="414001" h="57601">
                    <a:moveTo>
                      <a:pt x="0" y="0"/>
                    </a:moveTo>
                    <a:lnTo>
                      <a:pt x="414000" y="0"/>
                    </a:lnTo>
                    <a:lnTo>
                      <a:pt x="414000" y="57600"/>
                    </a:lnTo>
                    <a:lnTo>
                      <a:pt x="0" y="57600"/>
                    </a:lnTo>
                    <a:lnTo>
                      <a:pt x="0" y="0"/>
                    </a:lnTo>
                    <a:close/>
                  </a:path>
                </a:pathLst>
              </a:custGeom>
              <a:noFill/>
              <a:ln w="13"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2" name="Freeform: Shape 651">
                <a:extLst>
                  <a:ext uri="{FF2B5EF4-FFF2-40B4-BE49-F238E27FC236}">
                    <a16:creationId xmlns:a16="http://schemas.microsoft.com/office/drawing/2014/main" id="{00000000-0008-0000-0400-00008C020000}"/>
                  </a:ext>
                </a:extLst>
              </xdr:cNvPr>
              <xdr:cNvSpPr/>
            </xdr:nvSpPr>
            <xdr:spPr>
              <a:xfrm>
                <a:off x="2611097" y="1384665"/>
                <a:ext cx="21600" cy="33476"/>
              </a:xfrm>
              <a:custGeom>
                <a:avLst/>
                <a:gdLst/>
                <a:ahLst/>
                <a:cxnLst/>
                <a:rect l="0" t="0" r="0" b="0"/>
                <a:pathLst>
                  <a:path w="21600" h="33476">
                    <a:moveTo>
                      <a:pt x="0" y="33475"/>
                    </a:moveTo>
                    <a:lnTo>
                      <a:pt x="0" y="0"/>
                    </a:lnTo>
                    <a:lnTo>
                      <a:pt x="19721" y="17203"/>
                    </a:lnTo>
                    <a:lnTo>
                      <a:pt x="21599" y="33475"/>
                    </a:lnTo>
                  </a:path>
                </a:pathLst>
              </a:custGeom>
              <a:ln w="13">
                <a:solidFill>
                  <a:srgbClr val="00FF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53" name="Freeform: Shape 652">
                <a:extLst>
                  <a:ext uri="{FF2B5EF4-FFF2-40B4-BE49-F238E27FC236}">
                    <a16:creationId xmlns:a16="http://schemas.microsoft.com/office/drawing/2014/main" id="{00000000-0008-0000-0400-00008D020000}"/>
                  </a:ext>
                </a:extLst>
              </xdr:cNvPr>
              <xdr:cNvSpPr/>
            </xdr:nvSpPr>
            <xdr:spPr>
              <a:xfrm>
                <a:off x="2861296" y="1384665"/>
                <a:ext cx="21602" cy="33476"/>
              </a:xfrm>
              <a:custGeom>
                <a:avLst/>
                <a:gdLst/>
                <a:ahLst/>
                <a:cxnLst/>
                <a:rect l="0" t="0" r="0" b="0"/>
                <a:pathLst>
                  <a:path w="21602" h="33476">
                    <a:moveTo>
                      <a:pt x="21601" y="33475"/>
                    </a:moveTo>
                    <a:lnTo>
                      <a:pt x="21601" y="0"/>
                    </a:lnTo>
                    <a:lnTo>
                      <a:pt x="1879" y="17203"/>
                    </a:lnTo>
                    <a:lnTo>
                      <a:pt x="0" y="33475"/>
                    </a:lnTo>
                  </a:path>
                </a:pathLst>
              </a:custGeom>
              <a:ln w="13">
                <a:solidFill>
                  <a:srgbClr val="00FF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54" name="Freeform: Shape 653">
                <a:extLst>
                  <a:ext uri="{FF2B5EF4-FFF2-40B4-BE49-F238E27FC236}">
                    <a16:creationId xmlns:a16="http://schemas.microsoft.com/office/drawing/2014/main" id="{00000000-0008-0000-0400-00008E020000}"/>
                  </a:ext>
                </a:extLst>
              </xdr:cNvPr>
              <xdr:cNvSpPr/>
            </xdr:nvSpPr>
            <xdr:spPr>
              <a:xfrm>
                <a:off x="2827997" y="1409140"/>
                <a:ext cx="18001" cy="2161"/>
              </a:xfrm>
              <a:custGeom>
                <a:avLst/>
                <a:gdLst/>
                <a:ahLst/>
                <a:cxnLst/>
                <a:rect l="0" t="0" r="0" b="0"/>
                <a:pathLst>
                  <a:path w="18001" h="2161">
                    <a:moveTo>
                      <a:pt x="0" y="0"/>
                    </a:moveTo>
                    <a:lnTo>
                      <a:pt x="18000" y="0"/>
                    </a:lnTo>
                    <a:lnTo>
                      <a:pt x="18000" y="2160"/>
                    </a:lnTo>
                    <a:lnTo>
                      <a:pt x="0" y="2160"/>
                    </a:lnTo>
                    <a:lnTo>
                      <a:pt x="0" y="0"/>
                    </a:lnTo>
                    <a:close/>
                  </a:path>
                </a:pathLst>
              </a:custGeom>
              <a:noFill/>
              <a:ln w="13"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55" name="Straight Connector 654">
                <a:extLst>
                  <a:ext uri="{FF2B5EF4-FFF2-40B4-BE49-F238E27FC236}">
                    <a16:creationId xmlns:a16="http://schemas.microsoft.com/office/drawing/2014/main" id="{00000000-0008-0000-0400-00008F020000}"/>
                  </a:ext>
                </a:extLst>
              </xdr:cNvPr>
              <xdr:cNvCxnSpPr/>
            </xdr:nvCxnSpPr>
            <xdr:spPr>
              <a:xfrm>
                <a:off x="2845998" y="1410940"/>
                <a:ext cx="3960" cy="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400-000090020000}"/>
                  </a:ext>
                </a:extLst>
              </xdr:cNvPr>
              <xdr:cNvCxnSpPr/>
            </xdr:nvCxnSpPr>
            <xdr:spPr>
              <a:xfrm>
                <a:off x="2824038" y="1410940"/>
                <a:ext cx="3960" cy="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57" name="Straight Connector 656">
                <a:extLst>
                  <a:ext uri="{FF2B5EF4-FFF2-40B4-BE49-F238E27FC236}">
                    <a16:creationId xmlns:a16="http://schemas.microsoft.com/office/drawing/2014/main" id="{00000000-0008-0000-0400-000091020000}"/>
                  </a:ext>
                </a:extLst>
              </xdr:cNvPr>
              <xdr:cNvCxnSpPr/>
            </xdr:nvCxnSpPr>
            <xdr:spPr>
              <a:xfrm flipH="1">
                <a:off x="2823498" y="1410940"/>
                <a:ext cx="540" cy="54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400-000092020000}"/>
                  </a:ext>
                </a:extLst>
              </xdr:cNvPr>
              <xdr:cNvCxnSpPr/>
            </xdr:nvCxnSpPr>
            <xdr:spPr>
              <a:xfrm flipV="1">
                <a:off x="2823498" y="1411480"/>
                <a:ext cx="0" cy="666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400-000093020000}"/>
                  </a:ext>
                </a:extLst>
              </xdr:cNvPr>
              <xdr:cNvCxnSpPr/>
            </xdr:nvCxnSpPr>
            <xdr:spPr>
              <a:xfrm>
                <a:off x="2849958" y="1410940"/>
                <a:ext cx="540" cy="54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0" name="Straight Connector 659">
                <a:extLst>
                  <a:ext uri="{FF2B5EF4-FFF2-40B4-BE49-F238E27FC236}">
                    <a16:creationId xmlns:a16="http://schemas.microsoft.com/office/drawing/2014/main" id="{00000000-0008-0000-0400-000094020000}"/>
                  </a:ext>
                </a:extLst>
              </xdr:cNvPr>
              <xdr:cNvCxnSpPr/>
            </xdr:nvCxnSpPr>
            <xdr:spPr>
              <a:xfrm flipV="1">
                <a:off x="2850498" y="1411480"/>
                <a:ext cx="0" cy="666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400-000095020000}"/>
                  </a:ext>
                </a:extLst>
              </xdr:cNvPr>
              <xdr:cNvCxnSpPr/>
            </xdr:nvCxnSpPr>
            <xdr:spPr>
              <a:xfrm flipV="1">
                <a:off x="2836998" y="1396716"/>
                <a:ext cx="0" cy="32304"/>
              </a:xfrm>
              <a:prstGeom prst="line">
                <a:avLst/>
              </a:prstGeom>
              <a:ln w="13">
                <a:solidFill>
                  <a:srgbClr val="FF0000"/>
                </a:solidFill>
                <a:prstDash val="lgDashDot"/>
              </a:ln>
            </xdr:spPr>
            <xdr:style>
              <a:lnRef idx="1">
                <a:schemeClr val="accent1"/>
              </a:lnRef>
              <a:fillRef idx="0">
                <a:schemeClr val="accent1"/>
              </a:fillRef>
              <a:effectRef idx="0">
                <a:schemeClr val="accent1"/>
              </a:effectRef>
              <a:fontRef idx="minor">
                <a:schemeClr val="tx1"/>
              </a:fontRef>
            </xdr:style>
          </xdr:cxnSp>
          <xdr:sp macro="" textlink="">
            <xdr:nvSpPr>
              <xdr:cNvPr id="662" name="Freeform: Shape 661">
                <a:extLst>
                  <a:ext uri="{FF2B5EF4-FFF2-40B4-BE49-F238E27FC236}">
                    <a16:creationId xmlns:a16="http://schemas.microsoft.com/office/drawing/2014/main" id="{00000000-0008-0000-0400-000096020000}"/>
                  </a:ext>
                </a:extLst>
              </xdr:cNvPr>
              <xdr:cNvSpPr/>
            </xdr:nvSpPr>
            <xdr:spPr>
              <a:xfrm>
                <a:off x="2647997" y="1409140"/>
                <a:ext cx="18001" cy="2161"/>
              </a:xfrm>
              <a:custGeom>
                <a:avLst/>
                <a:gdLst/>
                <a:ahLst/>
                <a:cxnLst/>
                <a:rect l="0" t="0" r="0" b="0"/>
                <a:pathLst>
                  <a:path w="18001" h="2161">
                    <a:moveTo>
                      <a:pt x="18000" y="0"/>
                    </a:moveTo>
                    <a:lnTo>
                      <a:pt x="0" y="0"/>
                    </a:lnTo>
                    <a:lnTo>
                      <a:pt x="0" y="2160"/>
                    </a:lnTo>
                    <a:lnTo>
                      <a:pt x="18000" y="2160"/>
                    </a:lnTo>
                    <a:lnTo>
                      <a:pt x="18000" y="0"/>
                    </a:lnTo>
                    <a:close/>
                  </a:path>
                </a:pathLst>
              </a:custGeom>
              <a:noFill/>
              <a:ln w="13"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63" name="Straight Connector 662">
                <a:extLst>
                  <a:ext uri="{FF2B5EF4-FFF2-40B4-BE49-F238E27FC236}">
                    <a16:creationId xmlns:a16="http://schemas.microsoft.com/office/drawing/2014/main" id="{00000000-0008-0000-0400-000097020000}"/>
                  </a:ext>
                </a:extLst>
              </xdr:cNvPr>
              <xdr:cNvCxnSpPr/>
            </xdr:nvCxnSpPr>
            <xdr:spPr>
              <a:xfrm flipH="1">
                <a:off x="2644038" y="1410940"/>
                <a:ext cx="3960" cy="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400-000098020000}"/>
                  </a:ext>
                </a:extLst>
              </xdr:cNvPr>
              <xdr:cNvCxnSpPr/>
            </xdr:nvCxnSpPr>
            <xdr:spPr>
              <a:xfrm flipH="1">
                <a:off x="2665998" y="1410940"/>
                <a:ext cx="3960" cy="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400-000099020000}"/>
                  </a:ext>
                </a:extLst>
              </xdr:cNvPr>
              <xdr:cNvCxnSpPr/>
            </xdr:nvCxnSpPr>
            <xdr:spPr>
              <a:xfrm>
                <a:off x="2669958" y="1410940"/>
                <a:ext cx="540" cy="54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6" name="Straight Connector 665">
                <a:extLst>
                  <a:ext uri="{FF2B5EF4-FFF2-40B4-BE49-F238E27FC236}">
                    <a16:creationId xmlns:a16="http://schemas.microsoft.com/office/drawing/2014/main" id="{00000000-0008-0000-0400-00009A020000}"/>
                  </a:ext>
                </a:extLst>
              </xdr:cNvPr>
              <xdr:cNvCxnSpPr/>
            </xdr:nvCxnSpPr>
            <xdr:spPr>
              <a:xfrm flipV="1">
                <a:off x="2670498" y="1411480"/>
                <a:ext cx="0" cy="666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7" name="Straight Connector 666">
                <a:extLst>
                  <a:ext uri="{FF2B5EF4-FFF2-40B4-BE49-F238E27FC236}">
                    <a16:creationId xmlns:a16="http://schemas.microsoft.com/office/drawing/2014/main" id="{00000000-0008-0000-0400-00009B020000}"/>
                  </a:ext>
                </a:extLst>
              </xdr:cNvPr>
              <xdr:cNvCxnSpPr/>
            </xdr:nvCxnSpPr>
            <xdr:spPr>
              <a:xfrm flipH="1">
                <a:off x="2643498" y="1410940"/>
                <a:ext cx="540" cy="54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8" name="Straight Connector 667">
                <a:extLst>
                  <a:ext uri="{FF2B5EF4-FFF2-40B4-BE49-F238E27FC236}">
                    <a16:creationId xmlns:a16="http://schemas.microsoft.com/office/drawing/2014/main" id="{00000000-0008-0000-0400-00009C020000}"/>
                  </a:ext>
                </a:extLst>
              </xdr:cNvPr>
              <xdr:cNvCxnSpPr/>
            </xdr:nvCxnSpPr>
            <xdr:spPr>
              <a:xfrm flipV="1">
                <a:off x="2643498" y="1411480"/>
                <a:ext cx="0" cy="666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69" name="Straight Connector 668">
                <a:extLst>
                  <a:ext uri="{FF2B5EF4-FFF2-40B4-BE49-F238E27FC236}">
                    <a16:creationId xmlns:a16="http://schemas.microsoft.com/office/drawing/2014/main" id="{00000000-0008-0000-0400-00009D020000}"/>
                  </a:ext>
                </a:extLst>
              </xdr:cNvPr>
              <xdr:cNvCxnSpPr/>
            </xdr:nvCxnSpPr>
            <xdr:spPr>
              <a:xfrm flipV="1">
                <a:off x="2656998" y="1396716"/>
                <a:ext cx="0" cy="32304"/>
              </a:xfrm>
              <a:prstGeom prst="line">
                <a:avLst/>
              </a:prstGeom>
              <a:ln w="13">
                <a:solidFill>
                  <a:srgbClr val="FF0000"/>
                </a:solidFill>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670" name="Straight Connector 669">
                <a:extLst>
                  <a:ext uri="{FF2B5EF4-FFF2-40B4-BE49-F238E27FC236}">
                    <a16:creationId xmlns:a16="http://schemas.microsoft.com/office/drawing/2014/main" id="{00000000-0008-0000-0400-00009E020000}"/>
                  </a:ext>
                </a:extLst>
              </xdr:cNvPr>
              <xdr:cNvCxnSpPr/>
            </xdr:nvCxnSpPr>
            <xdr:spPr>
              <a:xfrm>
                <a:off x="2548998" y="1319140"/>
                <a:ext cx="0" cy="72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71" name="Straight Connector 670">
                <a:extLst>
                  <a:ext uri="{FF2B5EF4-FFF2-40B4-BE49-F238E27FC236}">
                    <a16:creationId xmlns:a16="http://schemas.microsoft.com/office/drawing/2014/main" id="{00000000-0008-0000-0400-00009F020000}"/>
                  </a:ext>
                </a:extLst>
              </xdr:cNvPr>
              <xdr:cNvCxnSpPr/>
            </xdr:nvCxnSpPr>
            <xdr:spPr>
              <a:xfrm>
                <a:off x="2944998" y="1319140"/>
                <a:ext cx="0" cy="72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400-0000A0020000}"/>
                  </a:ext>
                </a:extLst>
              </xdr:cNvPr>
              <xdr:cNvCxnSpPr/>
            </xdr:nvCxnSpPr>
            <xdr:spPr>
              <a:xfrm>
                <a:off x="2722599" y="1316248"/>
                <a:ext cx="48798" cy="0"/>
              </a:xfrm>
              <a:prstGeom prst="line">
                <a:avLst/>
              </a:prstGeom>
              <a:ln w="13">
                <a:solidFill>
                  <a:srgbClr val="82828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400-0000A1020000}"/>
                  </a:ext>
                </a:extLst>
              </xdr:cNvPr>
              <xdr:cNvCxnSpPr/>
            </xdr:nvCxnSpPr>
            <xdr:spPr>
              <a:xfrm>
                <a:off x="2548998" y="1441540"/>
                <a:ext cx="396000" cy="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74" name="Straight Connector 673">
                <a:extLst>
                  <a:ext uri="{FF2B5EF4-FFF2-40B4-BE49-F238E27FC236}">
                    <a16:creationId xmlns:a16="http://schemas.microsoft.com/office/drawing/2014/main" id="{00000000-0008-0000-0400-0000A2020000}"/>
                  </a:ext>
                </a:extLst>
              </xdr:cNvPr>
              <xdr:cNvCxnSpPr/>
            </xdr:nvCxnSpPr>
            <xdr:spPr>
              <a:xfrm>
                <a:off x="2559798" y="1311400"/>
                <a:ext cx="39600" cy="7740"/>
              </a:xfrm>
              <a:prstGeom prst="line">
                <a:avLst/>
              </a:prstGeom>
              <a:ln w="13">
                <a:solidFill>
                  <a:srgbClr val="333333"/>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400-0000A3020000}"/>
                  </a:ext>
                </a:extLst>
              </xdr:cNvPr>
              <xdr:cNvCxnSpPr/>
            </xdr:nvCxnSpPr>
            <xdr:spPr>
              <a:xfrm flipH="1">
                <a:off x="2559798" y="1311400"/>
                <a:ext cx="39600" cy="7740"/>
              </a:xfrm>
              <a:prstGeom prst="line">
                <a:avLst/>
              </a:prstGeom>
              <a:ln w="13">
                <a:solidFill>
                  <a:srgbClr val="333333"/>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676" name="Oval 675">
                <a:extLst>
                  <a:ext uri="{FF2B5EF4-FFF2-40B4-BE49-F238E27FC236}">
                    <a16:creationId xmlns:a16="http://schemas.microsoft.com/office/drawing/2014/main" id="{00000000-0008-0000-0400-0000A4020000}"/>
                  </a:ext>
                </a:extLst>
              </xdr:cNvPr>
              <xdr:cNvSpPr/>
            </xdr:nvSpPr>
            <xdr:spPr>
              <a:xfrm>
                <a:off x="2551247" y="1297450"/>
                <a:ext cx="2700" cy="2700"/>
              </a:xfrm>
              <a:prstGeom prst="ellipse">
                <a:avLst/>
              </a:prstGeom>
              <a:noFill/>
              <a:ln w="13" cap="flat" cmpd="sng" algn="ctr">
                <a:solidFill>
                  <a:srgbClr val="3333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7" name="Oval 676">
                <a:extLst>
                  <a:ext uri="{FF2B5EF4-FFF2-40B4-BE49-F238E27FC236}">
                    <a16:creationId xmlns:a16="http://schemas.microsoft.com/office/drawing/2014/main" id="{00000000-0008-0000-0400-0000A5020000}"/>
                  </a:ext>
                </a:extLst>
              </xdr:cNvPr>
              <xdr:cNvSpPr/>
            </xdr:nvSpPr>
            <xdr:spPr>
              <a:xfrm>
                <a:off x="2551247" y="1286650"/>
                <a:ext cx="2700" cy="2700"/>
              </a:xfrm>
              <a:prstGeom prst="ellipse">
                <a:avLst/>
              </a:prstGeom>
              <a:noFill/>
              <a:ln w="13" cap="flat" cmpd="sng" algn="ctr">
                <a:solidFill>
                  <a:srgbClr val="3333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8" name="Oval 677">
                <a:extLst>
                  <a:ext uri="{FF2B5EF4-FFF2-40B4-BE49-F238E27FC236}">
                    <a16:creationId xmlns:a16="http://schemas.microsoft.com/office/drawing/2014/main" id="{00000000-0008-0000-0400-0000A6020000}"/>
                  </a:ext>
                </a:extLst>
              </xdr:cNvPr>
              <xdr:cNvSpPr/>
            </xdr:nvSpPr>
            <xdr:spPr>
              <a:xfrm>
                <a:off x="2551247" y="1275850"/>
                <a:ext cx="2700" cy="2700"/>
              </a:xfrm>
              <a:prstGeom prst="ellipse">
                <a:avLst/>
              </a:prstGeom>
              <a:noFill/>
              <a:ln w="13" cap="flat" cmpd="sng" algn="ctr">
                <a:solidFill>
                  <a:srgbClr val="3333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79" name="Straight Connector 678">
                <a:extLst>
                  <a:ext uri="{FF2B5EF4-FFF2-40B4-BE49-F238E27FC236}">
                    <a16:creationId xmlns:a16="http://schemas.microsoft.com/office/drawing/2014/main" id="{00000000-0008-0000-0400-0000A7020000}"/>
                  </a:ext>
                </a:extLst>
              </xdr:cNvPr>
              <xdr:cNvCxnSpPr/>
            </xdr:nvCxnSpPr>
            <xdr:spPr>
              <a:xfrm>
                <a:off x="2549898" y="1270000"/>
                <a:ext cx="54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0" name="Straight Connector 679">
                <a:extLst>
                  <a:ext uri="{FF2B5EF4-FFF2-40B4-BE49-F238E27FC236}">
                    <a16:creationId xmlns:a16="http://schemas.microsoft.com/office/drawing/2014/main" id="{00000000-0008-0000-0400-0000A8020000}"/>
                  </a:ext>
                </a:extLst>
              </xdr:cNvPr>
              <xdr:cNvCxnSpPr/>
            </xdr:nvCxnSpPr>
            <xdr:spPr>
              <a:xfrm flipH="1">
                <a:off x="2548998" y="1270000"/>
                <a:ext cx="900" cy="9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400-0000A9020000}"/>
                  </a:ext>
                </a:extLst>
              </xdr:cNvPr>
              <xdr:cNvCxnSpPr/>
            </xdr:nvCxnSpPr>
            <xdr:spPr>
              <a:xfrm flipV="1">
                <a:off x="2548998" y="1270900"/>
                <a:ext cx="0" cy="351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400-0000AA020000}"/>
                  </a:ext>
                </a:extLst>
              </xdr:cNvPr>
              <xdr:cNvCxnSpPr/>
            </xdr:nvCxnSpPr>
            <xdr:spPr>
              <a:xfrm>
                <a:off x="2599398" y="1311400"/>
                <a:ext cx="0" cy="77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3" name="Straight Connector 682">
                <a:extLst>
                  <a:ext uri="{FF2B5EF4-FFF2-40B4-BE49-F238E27FC236}">
                    <a16:creationId xmlns:a16="http://schemas.microsoft.com/office/drawing/2014/main" id="{00000000-0008-0000-0400-0000AB020000}"/>
                  </a:ext>
                </a:extLst>
              </xdr:cNvPr>
              <xdr:cNvCxnSpPr/>
            </xdr:nvCxnSpPr>
            <xdr:spPr>
              <a:xfrm>
                <a:off x="2602998" y="1306000"/>
                <a:ext cx="0" cy="54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400-0000AC020000}"/>
                  </a:ext>
                </a:extLst>
              </xdr:cNvPr>
              <xdr:cNvCxnSpPr/>
            </xdr:nvCxnSpPr>
            <xdr:spPr>
              <a:xfrm>
                <a:off x="2610198" y="1306000"/>
                <a:ext cx="0" cy="131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400-0000AD020000}"/>
                  </a:ext>
                </a:extLst>
              </xdr:cNvPr>
              <xdr:cNvCxnSpPr/>
            </xdr:nvCxnSpPr>
            <xdr:spPr>
              <a:xfrm>
                <a:off x="2556198" y="1311400"/>
                <a:ext cx="468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6" name="Straight Connector 685">
                <a:extLst>
                  <a:ext uri="{FF2B5EF4-FFF2-40B4-BE49-F238E27FC236}">
                    <a16:creationId xmlns:a16="http://schemas.microsoft.com/office/drawing/2014/main" id="{00000000-0008-0000-0400-0000AE020000}"/>
                  </a:ext>
                </a:extLst>
              </xdr:cNvPr>
              <xdr:cNvCxnSpPr/>
            </xdr:nvCxnSpPr>
            <xdr:spPr>
              <a:xfrm>
                <a:off x="2548998" y="1306000"/>
                <a:ext cx="612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7" name="Straight Connector 686">
                <a:extLst>
                  <a:ext uri="{FF2B5EF4-FFF2-40B4-BE49-F238E27FC236}">
                    <a16:creationId xmlns:a16="http://schemas.microsoft.com/office/drawing/2014/main" id="{00000000-0008-0000-0400-0000AF020000}"/>
                  </a:ext>
                </a:extLst>
              </xdr:cNvPr>
              <xdr:cNvCxnSpPr/>
            </xdr:nvCxnSpPr>
            <xdr:spPr>
              <a:xfrm flipV="1">
                <a:off x="2559798" y="1311400"/>
                <a:ext cx="0" cy="77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400-0000B0020000}"/>
                  </a:ext>
                </a:extLst>
              </xdr:cNvPr>
              <xdr:cNvCxnSpPr/>
            </xdr:nvCxnSpPr>
            <xdr:spPr>
              <a:xfrm>
                <a:off x="2555298" y="1270000"/>
                <a:ext cx="900" cy="9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400-0000B1020000}"/>
                  </a:ext>
                </a:extLst>
              </xdr:cNvPr>
              <xdr:cNvCxnSpPr/>
            </xdr:nvCxnSpPr>
            <xdr:spPr>
              <a:xfrm flipV="1">
                <a:off x="2556198" y="1270900"/>
                <a:ext cx="0" cy="405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400-0000B2020000}"/>
                  </a:ext>
                </a:extLst>
              </xdr:cNvPr>
              <xdr:cNvCxnSpPr/>
            </xdr:nvCxnSpPr>
            <xdr:spPr>
              <a:xfrm flipV="1">
                <a:off x="2548998" y="1306000"/>
                <a:ext cx="0" cy="131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400-0000B3020000}"/>
                  </a:ext>
                </a:extLst>
              </xdr:cNvPr>
              <xdr:cNvCxnSpPr/>
            </xdr:nvCxnSpPr>
            <xdr:spPr>
              <a:xfrm flipH="1">
                <a:off x="2894598" y="1311400"/>
                <a:ext cx="39600" cy="7740"/>
              </a:xfrm>
              <a:prstGeom prst="line">
                <a:avLst/>
              </a:prstGeom>
              <a:ln w="13">
                <a:solidFill>
                  <a:srgbClr val="333333"/>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692" name="Straight Connector 691">
                <a:extLst>
                  <a:ext uri="{FF2B5EF4-FFF2-40B4-BE49-F238E27FC236}">
                    <a16:creationId xmlns:a16="http://schemas.microsoft.com/office/drawing/2014/main" id="{00000000-0008-0000-0400-0000B4020000}"/>
                  </a:ext>
                </a:extLst>
              </xdr:cNvPr>
              <xdr:cNvCxnSpPr/>
            </xdr:nvCxnSpPr>
            <xdr:spPr>
              <a:xfrm>
                <a:off x="2894598" y="1311400"/>
                <a:ext cx="39600" cy="7740"/>
              </a:xfrm>
              <a:prstGeom prst="line">
                <a:avLst/>
              </a:prstGeom>
              <a:ln w="13">
                <a:solidFill>
                  <a:srgbClr val="333333"/>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693" name="Oval 692">
                <a:extLst>
                  <a:ext uri="{FF2B5EF4-FFF2-40B4-BE49-F238E27FC236}">
                    <a16:creationId xmlns:a16="http://schemas.microsoft.com/office/drawing/2014/main" id="{00000000-0008-0000-0400-0000B5020000}"/>
                  </a:ext>
                </a:extLst>
              </xdr:cNvPr>
              <xdr:cNvSpPr/>
            </xdr:nvSpPr>
            <xdr:spPr>
              <a:xfrm>
                <a:off x="2940047" y="1297450"/>
                <a:ext cx="2700" cy="2700"/>
              </a:xfrm>
              <a:prstGeom prst="ellipse">
                <a:avLst/>
              </a:prstGeom>
              <a:noFill/>
              <a:ln w="13" cap="flat" cmpd="sng" algn="ctr">
                <a:solidFill>
                  <a:srgbClr val="3333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4" name="Oval 693">
                <a:extLst>
                  <a:ext uri="{FF2B5EF4-FFF2-40B4-BE49-F238E27FC236}">
                    <a16:creationId xmlns:a16="http://schemas.microsoft.com/office/drawing/2014/main" id="{00000000-0008-0000-0400-0000B6020000}"/>
                  </a:ext>
                </a:extLst>
              </xdr:cNvPr>
              <xdr:cNvSpPr/>
            </xdr:nvSpPr>
            <xdr:spPr>
              <a:xfrm>
                <a:off x="2940047" y="1286650"/>
                <a:ext cx="2700" cy="2700"/>
              </a:xfrm>
              <a:prstGeom prst="ellipse">
                <a:avLst/>
              </a:prstGeom>
              <a:noFill/>
              <a:ln w="13" cap="flat" cmpd="sng" algn="ctr">
                <a:solidFill>
                  <a:srgbClr val="3333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5" name="Oval 694">
                <a:extLst>
                  <a:ext uri="{FF2B5EF4-FFF2-40B4-BE49-F238E27FC236}">
                    <a16:creationId xmlns:a16="http://schemas.microsoft.com/office/drawing/2014/main" id="{00000000-0008-0000-0400-0000B7020000}"/>
                  </a:ext>
                </a:extLst>
              </xdr:cNvPr>
              <xdr:cNvSpPr/>
            </xdr:nvSpPr>
            <xdr:spPr>
              <a:xfrm>
                <a:off x="2940047" y="1275850"/>
                <a:ext cx="2700" cy="2700"/>
              </a:xfrm>
              <a:prstGeom prst="ellipse">
                <a:avLst/>
              </a:prstGeom>
              <a:noFill/>
              <a:ln w="13" cap="flat" cmpd="sng" algn="ctr">
                <a:solidFill>
                  <a:srgbClr val="3333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96" name="Straight Connector 695">
                <a:extLst>
                  <a:ext uri="{FF2B5EF4-FFF2-40B4-BE49-F238E27FC236}">
                    <a16:creationId xmlns:a16="http://schemas.microsoft.com/office/drawing/2014/main" id="{00000000-0008-0000-0400-0000B8020000}"/>
                  </a:ext>
                </a:extLst>
              </xdr:cNvPr>
              <xdr:cNvCxnSpPr/>
            </xdr:nvCxnSpPr>
            <xdr:spPr>
              <a:xfrm flipH="1">
                <a:off x="2938698" y="1270000"/>
                <a:ext cx="54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97" name="Straight Connector 696">
                <a:extLst>
                  <a:ext uri="{FF2B5EF4-FFF2-40B4-BE49-F238E27FC236}">
                    <a16:creationId xmlns:a16="http://schemas.microsoft.com/office/drawing/2014/main" id="{00000000-0008-0000-0400-0000B9020000}"/>
                  </a:ext>
                </a:extLst>
              </xdr:cNvPr>
              <xdr:cNvCxnSpPr/>
            </xdr:nvCxnSpPr>
            <xdr:spPr>
              <a:xfrm>
                <a:off x="2944098" y="1270000"/>
                <a:ext cx="900" cy="9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98" name="Straight Connector 697">
                <a:extLst>
                  <a:ext uri="{FF2B5EF4-FFF2-40B4-BE49-F238E27FC236}">
                    <a16:creationId xmlns:a16="http://schemas.microsoft.com/office/drawing/2014/main" id="{00000000-0008-0000-0400-0000BA020000}"/>
                  </a:ext>
                </a:extLst>
              </xdr:cNvPr>
              <xdr:cNvCxnSpPr/>
            </xdr:nvCxnSpPr>
            <xdr:spPr>
              <a:xfrm flipV="1">
                <a:off x="2944998" y="1270900"/>
                <a:ext cx="0" cy="351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699" name="Straight Connector 698">
                <a:extLst>
                  <a:ext uri="{FF2B5EF4-FFF2-40B4-BE49-F238E27FC236}">
                    <a16:creationId xmlns:a16="http://schemas.microsoft.com/office/drawing/2014/main" id="{00000000-0008-0000-0400-0000BB020000}"/>
                  </a:ext>
                </a:extLst>
              </xdr:cNvPr>
              <xdr:cNvCxnSpPr/>
            </xdr:nvCxnSpPr>
            <xdr:spPr>
              <a:xfrm>
                <a:off x="2894598" y="1311400"/>
                <a:ext cx="0" cy="77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0" name="Straight Connector 699">
                <a:extLst>
                  <a:ext uri="{FF2B5EF4-FFF2-40B4-BE49-F238E27FC236}">
                    <a16:creationId xmlns:a16="http://schemas.microsoft.com/office/drawing/2014/main" id="{00000000-0008-0000-0400-0000BC020000}"/>
                  </a:ext>
                </a:extLst>
              </xdr:cNvPr>
              <xdr:cNvCxnSpPr/>
            </xdr:nvCxnSpPr>
            <xdr:spPr>
              <a:xfrm>
                <a:off x="2890998" y="1306000"/>
                <a:ext cx="0" cy="54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1" name="Straight Connector 700">
                <a:extLst>
                  <a:ext uri="{FF2B5EF4-FFF2-40B4-BE49-F238E27FC236}">
                    <a16:creationId xmlns:a16="http://schemas.microsoft.com/office/drawing/2014/main" id="{00000000-0008-0000-0400-0000BD020000}"/>
                  </a:ext>
                </a:extLst>
              </xdr:cNvPr>
              <xdr:cNvCxnSpPr/>
            </xdr:nvCxnSpPr>
            <xdr:spPr>
              <a:xfrm>
                <a:off x="2883798" y="1306000"/>
                <a:ext cx="0" cy="131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2" name="Straight Connector 701">
                <a:extLst>
                  <a:ext uri="{FF2B5EF4-FFF2-40B4-BE49-F238E27FC236}">
                    <a16:creationId xmlns:a16="http://schemas.microsoft.com/office/drawing/2014/main" id="{00000000-0008-0000-0400-0000BE020000}"/>
                  </a:ext>
                </a:extLst>
              </xdr:cNvPr>
              <xdr:cNvCxnSpPr/>
            </xdr:nvCxnSpPr>
            <xdr:spPr>
              <a:xfrm flipH="1">
                <a:off x="2890998" y="1311400"/>
                <a:ext cx="468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3" name="Straight Connector 702">
                <a:extLst>
                  <a:ext uri="{FF2B5EF4-FFF2-40B4-BE49-F238E27FC236}">
                    <a16:creationId xmlns:a16="http://schemas.microsoft.com/office/drawing/2014/main" id="{00000000-0008-0000-0400-0000BF020000}"/>
                  </a:ext>
                </a:extLst>
              </xdr:cNvPr>
              <xdr:cNvCxnSpPr/>
            </xdr:nvCxnSpPr>
            <xdr:spPr>
              <a:xfrm flipH="1">
                <a:off x="2883798" y="1306000"/>
                <a:ext cx="612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4" name="Straight Connector 703">
                <a:extLst>
                  <a:ext uri="{FF2B5EF4-FFF2-40B4-BE49-F238E27FC236}">
                    <a16:creationId xmlns:a16="http://schemas.microsoft.com/office/drawing/2014/main" id="{00000000-0008-0000-0400-0000C0020000}"/>
                  </a:ext>
                </a:extLst>
              </xdr:cNvPr>
              <xdr:cNvCxnSpPr/>
            </xdr:nvCxnSpPr>
            <xdr:spPr>
              <a:xfrm flipV="1">
                <a:off x="2934198" y="1311400"/>
                <a:ext cx="0" cy="77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5" name="Straight Connector 704">
                <a:extLst>
                  <a:ext uri="{FF2B5EF4-FFF2-40B4-BE49-F238E27FC236}">
                    <a16:creationId xmlns:a16="http://schemas.microsoft.com/office/drawing/2014/main" id="{00000000-0008-0000-0400-0000C1020000}"/>
                  </a:ext>
                </a:extLst>
              </xdr:cNvPr>
              <xdr:cNvCxnSpPr/>
            </xdr:nvCxnSpPr>
            <xdr:spPr>
              <a:xfrm flipH="1">
                <a:off x="2937798" y="1270000"/>
                <a:ext cx="900" cy="9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6" name="Straight Connector 705">
                <a:extLst>
                  <a:ext uri="{FF2B5EF4-FFF2-40B4-BE49-F238E27FC236}">
                    <a16:creationId xmlns:a16="http://schemas.microsoft.com/office/drawing/2014/main" id="{00000000-0008-0000-0400-0000C2020000}"/>
                  </a:ext>
                </a:extLst>
              </xdr:cNvPr>
              <xdr:cNvCxnSpPr/>
            </xdr:nvCxnSpPr>
            <xdr:spPr>
              <a:xfrm flipV="1">
                <a:off x="2937798" y="1270900"/>
                <a:ext cx="0" cy="405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7" name="Straight Connector 706">
                <a:extLst>
                  <a:ext uri="{FF2B5EF4-FFF2-40B4-BE49-F238E27FC236}">
                    <a16:creationId xmlns:a16="http://schemas.microsoft.com/office/drawing/2014/main" id="{00000000-0008-0000-0400-0000C3020000}"/>
                  </a:ext>
                </a:extLst>
              </xdr:cNvPr>
              <xdr:cNvCxnSpPr/>
            </xdr:nvCxnSpPr>
            <xdr:spPr>
              <a:xfrm flipV="1">
                <a:off x="2944998" y="1306000"/>
                <a:ext cx="0" cy="1314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8" name="Straight Connector 707">
                <a:extLst>
                  <a:ext uri="{FF2B5EF4-FFF2-40B4-BE49-F238E27FC236}">
                    <a16:creationId xmlns:a16="http://schemas.microsoft.com/office/drawing/2014/main" id="{00000000-0008-0000-0400-0000C4020000}"/>
                  </a:ext>
                </a:extLst>
              </xdr:cNvPr>
              <xdr:cNvCxnSpPr/>
            </xdr:nvCxnSpPr>
            <xdr:spPr>
              <a:xfrm>
                <a:off x="2849598" y="1400140"/>
                <a:ext cx="108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09" name="Straight Connector 708">
                <a:extLst>
                  <a:ext uri="{FF2B5EF4-FFF2-40B4-BE49-F238E27FC236}">
                    <a16:creationId xmlns:a16="http://schemas.microsoft.com/office/drawing/2014/main" id="{00000000-0008-0000-0400-0000C5020000}"/>
                  </a:ext>
                </a:extLst>
              </xdr:cNvPr>
              <xdr:cNvCxnSpPr/>
            </xdr:nvCxnSpPr>
            <xdr:spPr>
              <a:xfrm>
                <a:off x="2669598" y="1398340"/>
                <a:ext cx="1548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0" name="Straight Connector 709">
                <a:extLst>
                  <a:ext uri="{FF2B5EF4-FFF2-40B4-BE49-F238E27FC236}">
                    <a16:creationId xmlns:a16="http://schemas.microsoft.com/office/drawing/2014/main" id="{00000000-0008-0000-0400-0000C6020000}"/>
                  </a:ext>
                </a:extLst>
              </xdr:cNvPr>
              <xdr:cNvCxnSpPr/>
            </xdr:nvCxnSpPr>
            <xdr:spPr>
              <a:xfrm>
                <a:off x="2633598" y="1400140"/>
                <a:ext cx="108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1" name="Straight Connector 710">
                <a:extLst>
                  <a:ext uri="{FF2B5EF4-FFF2-40B4-BE49-F238E27FC236}">
                    <a16:creationId xmlns:a16="http://schemas.microsoft.com/office/drawing/2014/main" id="{00000000-0008-0000-0400-0000C7020000}"/>
                  </a:ext>
                </a:extLst>
              </xdr:cNvPr>
              <xdr:cNvCxnSpPr/>
            </xdr:nvCxnSpPr>
            <xdr:spPr>
              <a:xfrm flipH="1" flipV="1">
                <a:off x="2548998" y="1326340"/>
                <a:ext cx="84600" cy="738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2" name="Straight Connector 711">
                <a:extLst>
                  <a:ext uri="{FF2B5EF4-FFF2-40B4-BE49-F238E27FC236}">
                    <a16:creationId xmlns:a16="http://schemas.microsoft.com/office/drawing/2014/main" id="{00000000-0008-0000-0400-0000C8020000}"/>
                  </a:ext>
                </a:extLst>
              </xdr:cNvPr>
              <xdr:cNvCxnSpPr/>
            </xdr:nvCxnSpPr>
            <xdr:spPr>
              <a:xfrm flipV="1">
                <a:off x="2860398" y="1326340"/>
                <a:ext cx="84600" cy="738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3" name="Straight Connector 712">
                <a:extLst>
                  <a:ext uri="{FF2B5EF4-FFF2-40B4-BE49-F238E27FC236}">
                    <a16:creationId xmlns:a16="http://schemas.microsoft.com/office/drawing/2014/main" id="{00000000-0008-0000-0400-0000C9020000}"/>
                  </a:ext>
                </a:extLst>
              </xdr:cNvPr>
              <xdr:cNvCxnSpPr/>
            </xdr:nvCxnSpPr>
            <xdr:spPr>
              <a:xfrm>
                <a:off x="2548998" y="1319140"/>
                <a:ext cx="3960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4" name="Straight Connector 713">
                <a:extLst>
                  <a:ext uri="{FF2B5EF4-FFF2-40B4-BE49-F238E27FC236}">
                    <a16:creationId xmlns:a16="http://schemas.microsoft.com/office/drawing/2014/main" id="{00000000-0008-0000-0400-0000CA020000}"/>
                  </a:ext>
                </a:extLst>
              </xdr:cNvPr>
              <xdr:cNvCxnSpPr/>
            </xdr:nvCxnSpPr>
            <xdr:spPr>
              <a:xfrm flipH="1" flipV="1">
                <a:off x="2548998" y="1326340"/>
                <a:ext cx="90000" cy="3397"/>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5" name="Straight Connector 714">
                <a:extLst>
                  <a:ext uri="{FF2B5EF4-FFF2-40B4-BE49-F238E27FC236}">
                    <a16:creationId xmlns:a16="http://schemas.microsoft.com/office/drawing/2014/main" id="{00000000-0008-0000-0400-0000CB020000}"/>
                  </a:ext>
                </a:extLst>
              </xdr:cNvPr>
              <xdr:cNvCxnSpPr/>
            </xdr:nvCxnSpPr>
            <xdr:spPr>
              <a:xfrm flipV="1">
                <a:off x="2854989" y="1326340"/>
                <a:ext cx="90009" cy="3397"/>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6" name="Straight Connector 715">
                <a:extLst>
                  <a:ext uri="{FF2B5EF4-FFF2-40B4-BE49-F238E27FC236}">
                    <a16:creationId xmlns:a16="http://schemas.microsoft.com/office/drawing/2014/main" id="{00000000-0008-0000-0400-0000CC020000}"/>
                  </a:ext>
                </a:extLst>
              </xdr:cNvPr>
              <xdr:cNvCxnSpPr/>
            </xdr:nvCxnSpPr>
            <xdr:spPr>
              <a:xfrm flipV="1">
                <a:off x="2669598" y="1329940"/>
                <a:ext cx="5400" cy="54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7" name="Straight Connector 716">
                <a:extLst>
                  <a:ext uri="{FF2B5EF4-FFF2-40B4-BE49-F238E27FC236}">
                    <a16:creationId xmlns:a16="http://schemas.microsoft.com/office/drawing/2014/main" id="{00000000-0008-0000-0400-0000CD020000}"/>
                  </a:ext>
                </a:extLst>
              </xdr:cNvPr>
              <xdr:cNvCxnSpPr/>
            </xdr:nvCxnSpPr>
            <xdr:spPr>
              <a:xfrm flipH="1">
                <a:off x="2674998" y="1329940"/>
                <a:ext cx="1440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8" name="Straight Connector 717">
                <a:extLst>
                  <a:ext uri="{FF2B5EF4-FFF2-40B4-BE49-F238E27FC236}">
                    <a16:creationId xmlns:a16="http://schemas.microsoft.com/office/drawing/2014/main" id="{00000000-0008-0000-0400-0000CE020000}"/>
                  </a:ext>
                </a:extLst>
              </xdr:cNvPr>
              <xdr:cNvCxnSpPr/>
            </xdr:nvCxnSpPr>
            <xdr:spPr>
              <a:xfrm>
                <a:off x="2818998" y="1329940"/>
                <a:ext cx="5400" cy="54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19" name="Straight Connector 718">
                <a:extLst>
                  <a:ext uri="{FF2B5EF4-FFF2-40B4-BE49-F238E27FC236}">
                    <a16:creationId xmlns:a16="http://schemas.microsoft.com/office/drawing/2014/main" id="{00000000-0008-0000-0400-0000CF020000}"/>
                  </a:ext>
                </a:extLst>
              </xdr:cNvPr>
              <xdr:cNvCxnSpPr/>
            </xdr:nvCxnSpPr>
            <xdr:spPr>
              <a:xfrm flipV="1">
                <a:off x="2824398" y="1335340"/>
                <a:ext cx="0" cy="738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0" name="Straight Connector 719">
                <a:extLst>
                  <a:ext uri="{FF2B5EF4-FFF2-40B4-BE49-F238E27FC236}">
                    <a16:creationId xmlns:a16="http://schemas.microsoft.com/office/drawing/2014/main" id="{00000000-0008-0000-0400-0000D0020000}"/>
                  </a:ext>
                </a:extLst>
              </xdr:cNvPr>
              <xdr:cNvCxnSpPr/>
            </xdr:nvCxnSpPr>
            <xdr:spPr>
              <a:xfrm flipH="1">
                <a:off x="2849598" y="1329737"/>
                <a:ext cx="5391" cy="5603"/>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1" name="Straight Connector 720">
                <a:extLst>
                  <a:ext uri="{FF2B5EF4-FFF2-40B4-BE49-F238E27FC236}">
                    <a16:creationId xmlns:a16="http://schemas.microsoft.com/office/drawing/2014/main" id="{00000000-0008-0000-0400-0000D1020000}"/>
                  </a:ext>
                </a:extLst>
              </xdr:cNvPr>
              <xdr:cNvCxnSpPr/>
            </xdr:nvCxnSpPr>
            <xdr:spPr>
              <a:xfrm flipV="1">
                <a:off x="2849598" y="1335340"/>
                <a:ext cx="0" cy="738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2" name="Straight Connector 721">
                <a:extLst>
                  <a:ext uri="{FF2B5EF4-FFF2-40B4-BE49-F238E27FC236}">
                    <a16:creationId xmlns:a16="http://schemas.microsoft.com/office/drawing/2014/main" id="{00000000-0008-0000-0400-0000D2020000}"/>
                  </a:ext>
                </a:extLst>
              </xdr:cNvPr>
              <xdr:cNvCxnSpPr/>
            </xdr:nvCxnSpPr>
            <xdr:spPr>
              <a:xfrm>
                <a:off x="2824398" y="1409140"/>
                <a:ext cx="252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3" name="Straight Connector 722">
                <a:extLst>
                  <a:ext uri="{FF2B5EF4-FFF2-40B4-BE49-F238E27FC236}">
                    <a16:creationId xmlns:a16="http://schemas.microsoft.com/office/drawing/2014/main" id="{00000000-0008-0000-0400-0000D3020000}"/>
                  </a:ext>
                </a:extLst>
              </xdr:cNvPr>
              <xdr:cNvCxnSpPr/>
            </xdr:nvCxnSpPr>
            <xdr:spPr>
              <a:xfrm>
                <a:off x="2638998" y="1329737"/>
                <a:ext cx="5400" cy="5603"/>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4" name="Straight Connector 723">
                <a:extLst>
                  <a:ext uri="{FF2B5EF4-FFF2-40B4-BE49-F238E27FC236}">
                    <a16:creationId xmlns:a16="http://schemas.microsoft.com/office/drawing/2014/main" id="{00000000-0008-0000-0400-0000D4020000}"/>
                  </a:ext>
                </a:extLst>
              </xdr:cNvPr>
              <xdr:cNvCxnSpPr/>
            </xdr:nvCxnSpPr>
            <xdr:spPr>
              <a:xfrm flipV="1">
                <a:off x="2644398" y="1335340"/>
                <a:ext cx="0" cy="738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5" name="Straight Connector 724">
                <a:extLst>
                  <a:ext uri="{FF2B5EF4-FFF2-40B4-BE49-F238E27FC236}">
                    <a16:creationId xmlns:a16="http://schemas.microsoft.com/office/drawing/2014/main" id="{00000000-0008-0000-0400-0000D5020000}"/>
                  </a:ext>
                </a:extLst>
              </xdr:cNvPr>
              <xdr:cNvCxnSpPr/>
            </xdr:nvCxnSpPr>
            <xdr:spPr>
              <a:xfrm flipV="1">
                <a:off x="2669598" y="1335340"/>
                <a:ext cx="0" cy="7380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26" name="Straight Connector 725">
                <a:extLst>
                  <a:ext uri="{FF2B5EF4-FFF2-40B4-BE49-F238E27FC236}">
                    <a16:creationId xmlns:a16="http://schemas.microsoft.com/office/drawing/2014/main" id="{00000000-0008-0000-0400-0000D6020000}"/>
                  </a:ext>
                </a:extLst>
              </xdr:cNvPr>
              <xdr:cNvCxnSpPr/>
            </xdr:nvCxnSpPr>
            <xdr:spPr>
              <a:xfrm>
                <a:off x="2644398" y="1409140"/>
                <a:ext cx="25200" cy="0"/>
              </a:xfrm>
              <a:prstGeom prst="line">
                <a:avLst/>
              </a:prstGeom>
              <a:ln w="13">
                <a:solidFill>
                  <a:srgbClr val="333333"/>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727" name="Oval 726">
                <a:extLst>
                  <a:ext uri="{FF2B5EF4-FFF2-40B4-BE49-F238E27FC236}">
                    <a16:creationId xmlns:a16="http://schemas.microsoft.com/office/drawing/2014/main" id="{00000000-0008-0000-0400-0000D7020000}"/>
                  </a:ext>
                </a:extLst>
              </xdr:cNvPr>
              <xdr:cNvSpPr/>
            </xdr:nvSpPr>
            <xdr:spPr>
              <a:xfrm>
                <a:off x="2908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8" name="Oval 727">
                <a:extLst>
                  <a:ext uri="{FF2B5EF4-FFF2-40B4-BE49-F238E27FC236}">
                    <a16:creationId xmlns:a16="http://schemas.microsoft.com/office/drawing/2014/main" id="{00000000-0008-0000-0400-0000D8020000}"/>
                  </a:ext>
                </a:extLst>
              </xdr:cNvPr>
              <xdr:cNvSpPr/>
            </xdr:nvSpPr>
            <xdr:spPr>
              <a:xfrm>
                <a:off x="2854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9" name="Oval 728">
                <a:extLst>
                  <a:ext uri="{FF2B5EF4-FFF2-40B4-BE49-F238E27FC236}">
                    <a16:creationId xmlns:a16="http://schemas.microsoft.com/office/drawing/2014/main" id="{00000000-0008-0000-0400-0000D9020000}"/>
                  </a:ext>
                </a:extLst>
              </xdr:cNvPr>
              <xdr:cNvSpPr/>
            </xdr:nvSpPr>
            <xdr:spPr>
              <a:xfrm>
                <a:off x="2800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0" name="Oval 729">
                <a:extLst>
                  <a:ext uri="{FF2B5EF4-FFF2-40B4-BE49-F238E27FC236}">
                    <a16:creationId xmlns:a16="http://schemas.microsoft.com/office/drawing/2014/main" id="{00000000-0008-0000-0400-0000DA020000}"/>
                  </a:ext>
                </a:extLst>
              </xdr:cNvPr>
              <xdr:cNvSpPr/>
            </xdr:nvSpPr>
            <xdr:spPr>
              <a:xfrm>
                <a:off x="2584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1" name="Oval 730">
                <a:extLst>
                  <a:ext uri="{FF2B5EF4-FFF2-40B4-BE49-F238E27FC236}">
                    <a16:creationId xmlns:a16="http://schemas.microsoft.com/office/drawing/2014/main" id="{00000000-0008-0000-0400-0000DB020000}"/>
                  </a:ext>
                </a:extLst>
              </xdr:cNvPr>
              <xdr:cNvSpPr/>
            </xdr:nvSpPr>
            <xdr:spPr>
              <a:xfrm>
                <a:off x="2638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2" name="Oval 731">
                <a:extLst>
                  <a:ext uri="{FF2B5EF4-FFF2-40B4-BE49-F238E27FC236}">
                    <a16:creationId xmlns:a16="http://schemas.microsoft.com/office/drawing/2014/main" id="{00000000-0008-0000-0400-0000DC020000}"/>
                  </a:ext>
                </a:extLst>
              </xdr:cNvPr>
              <xdr:cNvSpPr/>
            </xdr:nvSpPr>
            <xdr:spPr>
              <a:xfrm>
                <a:off x="2692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3" name="Oval 732">
                <a:extLst>
                  <a:ext uri="{FF2B5EF4-FFF2-40B4-BE49-F238E27FC236}">
                    <a16:creationId xmlns:a16="http://schemas.microsoft.com/office/drawing/2014/main" id="{00000000-0008-0000-0400-0000DD020000}"/>
                  </a:ext>
                </a:extLst>
              </xdr:cNvPr>
              <xdr:cNvSpPr/>
            </xdr:nvSpPr>
            <xdr:spPr>
              <a:xfrm>
                <a:off x="2746996" y="1554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4" name="Oval 733">
                <a:extLst>
                  <a:ext uri="{FF2B5EF4-FFF2-40B4-BE49-F238E27FC236}">
                    <a16:creationId xmlns:a16="http://schemas.microsoft.com/office/drawing/2014/main" id="{00000000-0008-0000-0400-0000DE020000}"/>
                  </a:ext>
                </a:extLst>
              </xdr:cNvPr>
              <xdr:cNvSpPr/>
            </xdr:nvSpPr>
            <xdr:spPr>
              <a:xfrm>
                <a:off x="2908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5" name="Oval 734">
                <a:extLst>
                  <a:ext uri="{FF2B5EF4-FFF2-40B4-BE49-F238E27FC236}">
                    <a16:creationId xmlns:a16="http://schemas.microsoft.com/office/drawing/2014/main" id="{00000000-0008-0000-0400-0000DF020000}"/>
                  </a:ext>
                </a:extLst>
              </xdr:cNvPr>
              <xdr:cNvSpPr/>
            </xdr:nvSpPr>
            <xdr:spPr>
              <a:xfrm>
                <a:off x="2854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6" name="Oval 735">
                <a:extLst>
                  <a:ext uri="{FF2B5EF4-FFF2-40B4-BE49-F238E27FC236}">
                    <a16:creationId xmlns:a16="http://schemas.microsoft.com/office/drawing/2014/main" id="{00000000-0008-0000-0400-0000E0020000}"/>
                  </a:ext>
                </a:extLst>
              </xdr:cNvPr>
              <xdr:cNvSpPr/>
            </xdr:nvSpPr>
            <xdr:spPr>
              <a:xfrm>
                <a:off x="2800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7" name="Oval 736">
                <a:extLst>
                  <a:ext uri="{FF2B5EF4-FFF2-40B4-BE49-F238E27FC236}">
                    <a16:creationId xmlns:a16="http://schemas.microsoft.com/office/drawing/2014/main" id="{00000000-0008-0000-0400-0000E1020000}"/>
                  </a:ext>
                </a:extLst>
              </xdr:cNvPr>
              <xdr:cNvSpPr/>
            </xdr:nvSpPr>
            <xdr:spPr>
              <a:xfrm>
                <a:off x="2584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8" name="Oval 737">
                <a:extLst>
                  <a:ext uri="{FF2B5EF4-FFF2-40B4-BE49-F238E27FC236}">
                    <a16:creationId xmlns:a16="http://schemas.microsoft.com/office/drawing/2014/main" id="{00000000-0008-0000-0400-0000E2020000}"/>
                  </a:ext>
                </a:extLst>
              </xdr:cNvPr>
              <xdr:cNvSpPr/>
            </xdr:nvSpPr>
            <xdr:spPr>
              <a:xfrm>
                <a:off x="2638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9" name="Oval 738">
                <a:extLst>
                  <a:ext uri="{FF2B5EF4-FFF2-40B4-BE49-F238E27FC236}">
                    <a16:creationId xmlns:a16="http://schemas.microsoft.com/office/drawing/2014/main" id="{00000000-0008-0000-0400-0000E3020000}"/>
                  </a:ext>
                </a:extLst>
              </xdr:cNvPr>
              <xdr:cNvSpPr/>
            </xdr:nvSpPr>
            <xdr:spPr>
              <a:xfrm>
                <a:off x="2692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0" name="Oval 739">
                <a:extLst>
                  <a:ext uri="{FF2B5EF4-FFF2-40B4-BE49-F238E27FC236}">
                    <a16:creationId xmlns:a16="http://schemas.microsoft.com/office/drawing/2014/main" id="{00000000-0008-0000-0400-0000E4020000}"/>
                  </a:ext>
                </a:extLst>
              </xdr:cNvPr>
              <xdr:cNvSpPr/>
            </xdr:nvSpPr>
            <xdr:spPr>
              <a:xfrm>
                <a:off x="2746996" y="1518088"/>
                <a:ext cx="3600" cy="3600"/>
              </a:xfrm>
              <a:prstGeom prst="ellipse">
                <a:avLst/>
              </a:prstGeom>
              <a:noFill/>
              <a:ln w="13" cap="flat" cmpd="sng" algn="ctr">
                <a:solidFill>
                  <a:srgbClr val="333333"/>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741" name="Straight Connector 740">
                <a:extLst>
                  <a:ext uri="{FF2B5EF4-FFF2-40B4-BE49-F238E27FC236}">
                    <a16:creationId xmlns:a16="http://schemas.microsoft.com/office/drawing/2014/main" id="{00000000-0008-0000-0400-0000E5020000}"/>
                  </a:ext>
                </a:extLst>
              </xdr:cNvPr>
              <xdr:cNvCxnSpPr/>
            </xdr:nvCxnSpPr>
            <xdr:spPr>
              <a:xfrm>
                <a:off x="2548998" y="1418140"/>
                <a:ext cx="396000" cy="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42" name="Straight Connector 741">
                <a:extLst>
                  <a:ext uri="{FF2B5EF4-FFF2-40B4-BE49-F238E27FC236}">
                    <a16:creationId xmlns:a16="http://schemas.microsoft.com/office/drawing/2014/main" id="{00000000-0008-0000-0400-0000E6020000}"/>
                  </a:ext>
                </a:extLst>
              </xdr:cNvPr>
              <xdr:cNvCxnSpPr/>
            </xdr:nvCxnSpPr>
            <xdr:spPr>
              <a:xfrm>
                <a:off x="2944998" y="1441540"/>
                <a:ext cx="0" cy="218324"/>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43" name="Straight Connector 742">
                <a:extLst>
                  <a:ext uri="{FF2B5EF4-FFF2-40B4-BE49-F238E27FC236}">
                    <a16:creationId xmlns:a16="http://schemas.microsoft.com/office/drawing/2014/main" id="{00000000-0008-0000-0400-0000E7020000}"/>
                  </a:ext>
                </a:extLst>
              </xdr:cNvPr>
              <xdr:cNvCxnSpPr/>
            </xdr:nvCxnSpPr>
            <xdr:spPr>
              <a:xfrm>
                <a:off x="2944998" y="1418140"/>
                <a:ext cx="0" cy="2340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44" name="Straight Connector 743">
                <a:extLst>
                  <a:ext uri="{FF2B5EF4-FFF2-40B4-BE49-F238E27FC236}">
                    <a16:creationId xmlns:a16="http://schemas.microsoft.com/office/drawing/2014/main" id="{00000000-0008-0000-0400-0000E8020000}"/>
                  </a:ext>
                </a:extLst>
              </xdr:cNvPr>
              <xdr:cNvCxnSpPr/>
            </xdr:nvCxnSpPr>
            <xdr:spPr>
              <a:xfrm>
                <a:off x="2548998" y="1441540"/>
                <a:ext cx="0" cy="220949"/>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45" name="Straight Connector 744">
                <a:extLst>
                  <a:ext uri="{FF2B5EF4-FFF2-40B4-BE49-F238E27FC236}">
                    <a16:creationId xmlns:a16="http://schemas.microsoft.com/office/drawing/2014/main" id="{00000000-0008-0000-0400-0000E9020000}"/>
                  </a:ext>
                </a:extLst>
              </xdr:cNvPr>
              <xdr:cNvCxnSpPr/>
            </xdr:nvCxnSpPr>
            <xdr:spPr>
              <a:xfrm>
                <a:off x="2548998" y="1418140"/>
                <a:ext cx="0" cy="23400"/>
              </a:xfrm>
              <a:prstGeom prst="line">
                <a:avLst/>
              </a:prstGeom>
              <a:ln w="13">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grpSp>
    </xdr:grpSp>
    <xdr:clientData/>
  </xdr:twoCellAnchor>
  <xdr:twoCellAnchor>
    <xdr:from>
      <xdr:col>25</xdr:col>
      <xdr:colOff>68376</xdr:colOff>
      <xdr:row>78</xdr:row>
      <xdr:rowOff>0</xdr:rowOff>
    </xdr:from>
    <xdr:to>
      <xdr:col>31</xdr:col>
      <xdr:colOff>447676</xdr:colOff>
      <xdr:row>91</xdr:row>
      <xdr:rowOff>0</xdr:rowOff>
    </xdr:to>
    <xdr:grpSp>
      <xdr:nvGrpSpPr>
        <xdr:cNvPr id="748" name="Group 747">
          <a:extLst>
            <a:ext uri="{FF2B5EF4-FFF2-40B4-BE49-F238E27FC236}">
              <a16:creationId xmlns:a16="http://schemas.microsoft.com/office/drawing/2014/main" id="{00000000-0008-0000-0400-0000EC020000}"/>
            </a:ext>
          </a:extLst>
        </xdr:cNvPr>
        <xdr:cNvGrpSpPr/>
      </xdr:nvGrpSpPr>
      <xdr:grpSpPr>
        <a:xfrm>
          <a:off x="17123729" y="20428324"/>
          <a:ext cx="4603918" cy="2655794"/>
          <a:chOff x="1371044" y="16638306"/>
          <a:chExt cx="5602467" cy="4488489"/>
        </a:xfrm>
      </xdr:grpSpPr>
      <xdr:grpSp>
        <xdr:nvGrpSpPr>
          <xdr:cNvPr id="749" name="Group 748">
            <a:extLst>
              <a:ext uri="{FF2B5EF4-FFF2-40B4-BE49-F238E27FC236}">
                <a16:creationId xmlns:a16="http://schemas.microsoft.com/office/drawing/2014/main" id="{00000000-0008-0000-0400-0000ED020000}"/>
              </a:ext>
            </a:extLst>
          </xdr:cNvPr>
          <xdr:cNvGrpSpPr/>
        </xdr:nvGrpSpPr>
        <xdr:grpSpPr>
          <a:xfrm>
            <a:off x="1371044" y="16638306"/>
            <a:ext cx="5602467" cy="4488489"/>
            <a:chOff x="476254" y="16615334"/>
            <a:chExt cx="5598545" cy="4473482"/>
          </a:xfrm>
        </xdr:grpSpPr>
        <xdr:cxnSp macro="">
          <xdr:nvCxnSpPr>
            <xdr:cNvPr id="751" name="Straight Connector 750">
              <a:extLst>
                <a:ext uri="{FF2B5EF4-FFF2-40B4-BE49-F238E27FC236}">
                  <a16:creationId xmlns:a16="http://schemas.microsoft.com/office/drawing/2014/main" id="{00000000-0008-0000-0400-0000EF020000}"/>
                </a:ext>
              </a:extLst>
            </xdr:cNvPr>
            <xdr:cNvCxnSpPr/>
          </xdr:nvCxnSpPr>
          <xdr:spPr>
            <a:xfrm flipV="1">
              <a:off x="5620128" y="20124609"/>
              <a:ext cx="0" cy="9217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nvGrpSpPr>
            <xdr:cNvPr id="752" name="Group 751">
              <a:extLst>
                <a:ext uri="{FF2B5EF4-FFF2-40B4-BE49-F238E27FC236}">
                  <a16:creationId xmlns:a16="http://schemas.microsoft.com/office/drawing/2014/main" id="{00000000-0008-0000-0400-0000F0020000}"/>
                </a:ext>
              </a:extLst>
            </xdr:cNvPr>
            <xdr:cNvGrpSpPr/>
          </xdr:nvGrpSpPr>
          <xdr:grpSpPr>
            <a:xfrm>
              <a:off x="476254" y="16615334"/>
              <a:ext cx="5598545" cy="4473482"/>
              <a:chOff x="476254" y="16615334"/>
              <a:chExt cx="5598545" cy="4473482"/>
            </a:xfrm>
          </xdr:grpSpPr>
          <xdr:grpSp>
            <xdr:nvGrpSpPr>
              <xdr:cNvPr id="753" name="Group 752">
                <a:extLst>
                  <a:ext uri="{FF2B5EF4-FFF2-40B4-BE49-F238E27FC236}">
                    <a16:creationId xmlns:a16="http://schemas.microsoft.com/office/drawing/2014/main" id="{00000000-0008-0000-0400-0000F1020000}"/>
                  </a:ext>
                </a:extLst>
              </xdr:cNvPr>
              <xdr:cNvGrpSpPr/>
            </xdr:nvGrpSpPr>
            <xdr:grpSpPr>
              <a:xfrm>
                <a:off x="476254" y="16615334"/>
                <a:ext cx="2989684" cy="4473482"/>
                <a:chOff x="2528798" y="12786685"/>
                <a:chExt cx="275741" cy="332979"/>
              </a:xfrm>
            </xdr:grpSpPr>
            <xdr:grpSp>
              <xdr:nvGrpSpPr>
                <xdr:cNvPr id="814" name="Group 813">
                  <a:extLst>
                    <a:ext uri="{FF2B5EF4-FFF2-40B4-BE49-F238E27FC236}">
                      <a16:creationId xmlns:a16="http://schemas.microsoft.com/office/drawing/2014/main" id="{00000000-0008-0000-0400-00002E030000}"/>
                    </a:ext>
                  </a:extLst>
                </xdr:cNvPr>
                <xdr:cNvGrpSpPr/>
              </xdr:nvGrpSpPr>
              <xdr:grpSpPr>
                <a:xfrm>
                  <a:off x="2791123" y="12983679"/>
                  <a:ext cx="11626" cy="70940"/>
                  <a:chOff x="2791123" y="12983679"/>
                  <a:chExt cx="11626" cy="70940"/>
                </a:xfrm>
              </xdr:grpSpPr>
              <xdr:cxnSp macro="">
                <xdr:nvCxnSpPr>
                  <xdr:cNvPr id="924" name="Straight Connector 923">
                    <a:extLst>
                      <a:ext uri="{FF2B5EF4-FFF2-40B4-BE49-F238E27FC236}">
                        <a16:creationId xmlns:a16="http://schemas.microsoft.com/office/drawing/2014/main" id="{00000000-0008-0000-0400-00009C030000}"/>
                      </a:ext>
                    </a:extLst>
                  </xdr:cNvPr>
                  <xdr:cNvCxnSpPr/>
                </xdr:nvCxnSpPr>
                <xdr:spPr>
                  <a:xfrm>
                    <a:off x="2792422" y="13006360"/>
                    <a:ext cx="680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25" name="Straight Connector 924">
                    <a:extLst>
                      <a:ext uri="{FF2B5EF4-FFF2-40B4-BE49-F238E27FC236}">
                        <a16:creationId xmlns:a16="http://schemas.microsoft.com/office/drawing/2014/main" id="{00000000-0008-0000-0400-00009D030000}"/>
                      </a:ext>
                    </a:extLst>
                  </xdr:cNvPr>
                  <xdr:cNvCxnSpPr/>
                </xdr:nvCxnSpPr>
                <xdr:spPr>
                  <a:xfrm>
                    <a:off x="2792422" y="13031939"/>
                    <a:ext cx="680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26" name="Straight Connector 925">
                    <a:extLst>
                      <a:ext uri="{FF2B5EF4-FFF2-40B4-BE49-F238E27FC236}">
                        <a16:creationId xmlns:a16="http://schemas.microsoft.com/office/drawing/2014/main" id="{00000000-0008-0000-0400-00009E030000}"/>
                      </a:ext>
                    </a:extLst>
                  </xdr:cNvPr>
                  <xdr:cNvCxnSpPr/>
                </xdr:nvCxnSpPr>
                <xdr:spPr>
                  <a:xfrm flipV="1">
                    <a:off x="2795824" y="12983679"/>
                    <a:ext cx="0" cy="113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27" name="Straight Connector 926">
                    <a:extLst>
                      <a:ext uri="{FF2B5EF4-FFF2-40B4-BE49-F238E27FC236}">
                        <a16:creationId xmlns:a16="http://schemas.microsoft.com/office/drawing/2014/main" id="{00000000-0008-0000-0400-00009F030000}"/>
                      </a:ext>
                    </a:extLst>
                  </xdr:cNvPr>
                  <xdr:cNvCxnSpPr/>
                </xdr:nvCxnSpPr>
                <xdr:spPr>
                  <a:xfrm>
                    <a:off x="2795824" y="13043280"/>
                    <a:ext cx="0" cy="1133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28" name="Freeform 706">
                    <a:extLst>
                      <a:ext uri="{FF2B5EF4-FFF2-40B4-BE49-F238E27FC236}">
                        <a16:creationId xmlns:a16="http://schemas.microsoft.com/office/drawing/2014/main" id="{00000000-0008-0000-0400-0000A0030000}"/>
                      </a:ext>
                    </a:extLst>
                  </xdr:cNvPr>
                  <xdr:cNvSpPr/>
                </xdr:nvSpPr>
                <xdr:spPr>
                  <a:xfrm>
                    <a:off x="2793934" y="12995019"/>
                    <a:ext cx="3781" cy="11342"/>
                  </a:xfrm>
                  <a:custGeom>
                    <a:avLst/>
                    <a:gdLst/>
                    <a:ahLst/>
                    <a:cxnLst/>
                    <a:rect l="0" t="0" r="0" b="0"/>
                    <a:pathLst>
                      <a:path w="3781" h="11342">
                        <a:moveTo>
                          <a:pt x="0" y="0"/>
                        </a:moveTo>
                        <a:lnTo>
                          <a:pt x="3780" y="0"/>
                        </a:lnTo>
                        <a:lnTo>
                          <a:pt x="1890" y="11341"/>
                        </a:lnTo>
                        <a:lnTo>
                          <a:pt x="1890" y="1134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29" name="Freeform 707">
                    <a:extLst>
                      <a:ext uri="{FF2B5EF4-FFF2-40B4-BE49-F238E27FC236}">
                        <a16:creationId xmlns:a16="http://schemas.microsoft.com/office/drawing/2014/main" id="{00000000-0008-0000-0400-0000A1030000}"/>
                      </a:ext>
                    </a:extLst>
                  </xdr:cNvPr>
                  <xdr:cNvSpPr/>
                </xdr:nvSpPr>
                <xdr:spPr>
                  <a:xfrm>
                    <a:off x="2793934" y="13031939"/>
                    <a:ext cx="3781" cy="11342"/>
                  </a:xfrm>
                  <a:custGeom>
                    <a:avLst/>
                    <a:gdLst/>
                    <a:ahLst/>
                    <a:cxnLst/>
                    <a:rect l="0" t="0" r="0" b="0"/>
                    <a:pathLst>
                      <a:path w="3781" h="11342">
                        <a:moveTo>
                          <a:pt x="0" y="11341"/>
                        </a:moveTo>
                        <a:lnTo>
                          <a:pt x="3780" y="11341"/>
                        </a:lnTo>
                        <a:lnTo>
                          <a:pt x="1890" y="0"/>
                        </a:lnTo>
                        <a:lnTo>
                          <a:pt x="189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30" name="TextBox 929">
                    <a:extLst>
                      <a:ext uri="{FF2B5EF4-FFF2-40B4-BE49-F238E27FC236}">
                        <a16:creationId xmlns:a16="http://schemas.microsoft.com/office/drawing/2014/main" id="{00000000-0008-0000-0400-0000A2030000}"/>
                      </a:ext>
                    </a:extLst>
                  </xdr:cNvPr>
                  <xdr:cNvSpPr txBox="1"/>
                </xdr:nvSpPr>
                <xdr:spPr>
                  <a:xfrm rot="16200000">
                    <a:off x="2779830" y="13001930"/>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h5</a:t>
                    </a:r>
                  </a:p>
                </xdr:txBody>
              </xdr:sp>
            </xdr:grpSp>
            <xdr:grpSp>
              <xdr:nvGrpSpPr>
                <xdr:cNvPr id="815" name="Group 814">
                  <a:extLst>
                    <a:ext uri="{FF2B5EF4-FFF2-40B4-BE49-F238E27FC236}">
                      <a16:creationId xmlns:a16="http://schemas.microsoft.com/office/drawing/2014/main" id="{00000000-0008-0000-0400-00002F030000}"/>
                    </a:ext>
                  </a:extLst>
                </xdr:cNvPr>
                <xdr:cNvGrpSpPr/>
              </xdr:nvGrpSpPr>
              <xdr:grpSpPr>
                <a:xfrm>
                  <a:off x="2696750" y="12885419"/>
                  <a:ext cx="15400" cy="120942"/>
                  <a:chOff x="2696750" y="12885419"/>
                  <a:chExt cx="15400" cy="120942"/>
                </a:xfrm>
              </xdr:grpSpPr>
              <xdr:cxnSp macro="">
                <xdr:nvCxnSpPr>
                  <xdr:cNvPr id="918" name="Straight Connector 917">
                    <a:extLst>
                      <a:ext uri="{FF2B5EF4-FFF2-40B4-BE49-F238E27FC236}">
                        <a16:creationId xmlns:a16="http://schemas.microsoft.com/office/drawing/2014/main" id="{00000000-0008-0000-0400-000096030000}"/>
                      </a:ext>
                    </a:extLst>
                  </xdr:cNvPr>
                  <xdr:cNvCxnSpPr/>
                </xdr:nvCxnSpPr>
                <xdr:spPr>
                  <a:xfrm>
                    <a:off x="2705346" y="12885420"/>
                    <a:ext cx="680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19" name="Straight Connector 918">
                    <a:extLst>
                      <a:ext uri="{FF2B5EF4-FFF2-40B4-BE49-F238E27FC236}">
                        <a16:creationId xmlns:a16="http://schemas.microsoft.com/office/drawing/2014/main" id="{00000000-0008-0000-0400-000097030000}"/>
                      </a:ext>
                    </a:extLst>
                  </xdr:cNvPr>
                  <xdr:cNvCxnSpPr/>
                </xdr:nvCxnSpPr>
                <xdr:spPr>
                  <a:xfrm>
                    <a:off x="2705346" y="13006360"/>
                    <a:ext cx="680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20" name="Straight Connector 919">
                    <a:extLst>
                      <a:ext uri="{FF2B5EF4-FFF2-40B4-BE49-F238E27FC236}">
                        <a16:creationId xmlns:a16="http://schemas.microsoft.com/office/drawing/2014/main" id="{00000000-0008-0000-0400-000098030000}"/>
                      </a:ext>
                    </a:extLst>
                  </xdr:cNvPr>
                  <xdr:cNvCxnSpPr/>
                </xdr:nvCxnSpPr>
                <xdr:spPr>
                  <a:xfrm>
                    <a:off x="2708748" y="12896759"/>
                    <a:ext cx="0" cy="9826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21" name="Freeform 699">
                    <a:extLst>
                      <a:ext uri="{FF2B5EF4-FFF2-40B4-BE49-F238E27FC236}">
                        <a16:creationId xmlns:a16="http://schemas.microsoft.com/office/drawing/2014/main" id="{00000000-0008-0000-0400-000099030000}"/>
                      </a:ext>
                    </a:extLst>
                  </xdr:cNvPr>
                  <xdr:cNvSpPr/>
                </xdr:nvSpPr>
                <xdr:spPr>
                  <a:xfrm>
                    <a:off x="2706858" y="12885419"/>
                    <a:ext cx="3781" cy="11341"/>
                  </a:xfrm>
                  <a:custGeom>
                    <a:avLst/>
                    <a:gdLst/>
                    <a:ahLst/>
                    <a:cxnLst/>
                    <a:rect l="0" t="0" r="0" b="0"/>
                    <a:pathLst>
                      <a:path w="3781" h="11341">
                        <a:moveTo>
                          <a:pt x="0" y="11340"/>
                        </a:moveTo>
                        <a:lnTo>
                          <a:pt x="3780" y="11340"/>
                        </a:lnTo>
                        <a:lnTo>
                          <a:pt x="1890" y="0"/>
                        </a:lnTo>
                        <a:lnTo>
                          <a:pt x="189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22" name="Freeform 700">
                    <a:extLst>
                      <a:ext uri="{FF2B5EF4-FFF2-40B4-BE49-F238E27FC236}">
                        <a16:creationId xmlns:a16="http://schemas.microsoft.com/office/drawing/2014/main" id="{00000000-0008-0000-0400-00009A030000}"/>
                      </a:ext>
                    </a:extLst>
                  </xdr:cNvPr>
                  <xdr:cNvSpPr/>
                </xdr:nvSpPr>
                <xdr:spPr>
                  <a:xfrm>
                    <a:off x="2706858" y="12995019"/>
                    <a:ext cx="3781" cy="11342"/>
                  </a:xfrm>
                  <a:custGeom>
                    <a:avLst/>
                    <a:gdLst/>
                    <a:ahLst/>
                    <a:cxnLst/>
                    <a:rect l="0" t="0" r="0" b="0"/>
                    <a:pathLst>
                      <a:path w="3781" h="11342">
                        <a:moveTo>
                          <a:pt x="0" y="0"/>
                        </a:moveTo>
                        <a:lnTo>
                          <a:pt x="3780" y="0"/>
                        </a:lnTo>
                        <a:lnTo>
                          <a:pt x="1890" y="11341"/>
                        </a:lnTo>
                        <a:lnTo>
                          <a:pt x="1890" y="1134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23" name="TextBox 922">
                    <a:extLst>
                      <a:ext uri="{FF2B5EF4-FFF2-40B4-BE49-F238E27FC236}">
                        <a16:creationId xmlns:a16="http://schemas.microsoft.com/office/drawing/2014/main" id="{00000000-0008-0000-0400-00009B030000}"/>
                      </a:ext>
                    </a:extLst>
                  </xdr:cNvPr>
                  <xdr:cNvSpPr txBox="1"/>
                </xdr:nvSpPr>
                <xdr:spPr>
                  <a:xfrm rot="16200000">
                    <a:off x="2685457" y="12925136"/>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h3</a:t>
                    </a:r>
                  </a:p>
                </xdr:txBody>
              </xdr:sp>
            </xdr:grpSp>
            <xdr:grpSp>
              <xdr:nvGrpSpPr>
                <xdr:cNvPr id="816" name="Group 815">
                  <a:extLst>
                    <a:ext uri="{FF2B5EF4-FFF2-40B4-BE49-F238E27FC236}">
                      <a16:creationId xmlns:a16="http://schemas.microsoft.com/office/drawing/2014/main" id="{00000000-0008-0000-0400-000030030000}"/>
                    </a:ext>
                  </a:extLst>
                </xdr:cNvPr>
                <xdr:cNvGrpSpPr/>
              </xdr:nvGrpSpPr>
              <xdr:grpSpPr>
                <a:xfrm>
                  <a:off x="2680729" y="13054964"/>
                  <a:ext cx="111109" cy="6805"/>
                  <a:chOff x="2680729" y="13054964"/>
                  <a:chExt cx="111109" cy="6805"/>
                </a:xfrm>
              </xdr:grpSpPr>
              <xdr:cxnSp macro="">
                <xdr:nvCxnSpPr>
                  <xdr:cNvPr id="912" name="Straight Connector 911">
                    <a:extLst>
                      <a:ext uri="{FF2B5EF4-FFF2-40B4-BE49-F238E27FC236}">
                        <a16:creationId xmlns:a16="http://schemas.microsoft.com/office/drawing/2014/main" id="{00000000-0008-0000-0400-000090030000}"/>
                      </a:ext>
                    </a:extLst>
                  </xdr:cNvPr>
                  <xdr:cNvCxnSpPr/>
                </xdr:nvCxnSpPr>
                <xdr:spPr>
                  <a:xfrm flipV="1">
                    <a:off x="2680729" y="13054964"/>
                    <a:ext cx="0" cy="6805"/>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13" name="Straight Connector 912">
                    <a:extLst>
                      <a:ext uri="{FF2B5EF4-FFF2-40B4-BE49-F238E27FC236}">
                        <a16:creationId xmlns:a16="http://schemas.microsoft.com/office/drawing/2014/main" id="{00000000-0008-0000-0400-000091030000}"/>
                      </a:ext>
                    </a:extLst>
                  </xdr:cNvPr>
                  <xdr:cNvCxnSpPr/>
                </xdr:nvCxnSpPr>
                <xdr:spPr>
                  <a:xfrm flipV="1">
                    <a:off x="2791837" y="13054964"/>
                    <a:ext cx="0" cy="6805"/>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14" name="Straight Connector 913">
                    <a:extLst>
                      <a:ext uri="{FF2B5EF4-FFF2-40B4-BE49-F238E27FC236}">
                        <a16:creationId xmlns:a16="http://schemas.microsoft.com/office/drawing/2014/main" id="{00000000-0008-0000-0400-000092030000}"/>
                      </a:ext>
                    </a:extLst>
                  </xdr:cNvPr>
                  <xdr:cNvCxnSpPr/>
                </xdr:nvCxnSpPr>
                <xdr:spPr>
                  <a:xfrm>
                    <a:off x="2692069" y="13058367"/>
                    <a:ext cx="88428"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15" name="Freeform 693">
                    <a:extLst>
                      <a:ext uri="{FF2B5EF4-FFF2-40B4-BE49-F238E27FC236}">
                        <a16:creationId xmlns:a16="http://schemas.microsoft.com/office/drawing/2014/main" id="{00000000-0008-0000-0400-000093030000}"/>
                      </a:ext>
                    </a:extLst>
                  </xdr:cNvPr>
                  <xdr:cNvSpPr/>
                </xdr:nvSpPr>
                <xdr:spPr>
                  <a:xfrm>
                    <a:off x="2680729" y="13056477"/>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6" name="Freeform 694">
                    <a:extLst>
                      <a:ext uri="{FF2B5EF4-FFF2-40B4-BE49-F238E27FC236}">
                        <a16:creationId xmlns:a16="http://schemas.microsoft.com/office/drawing/2014/main" id="{00000000-0008-0000-0400-000094030000}"/>
                      </a:ext>
                    </a:extLst>
                  </xdr:cNvPr>
                  <xdr:cNvSpPr/>
                </xdr:nvSpPr>
                <xdr:spPr>
                  <a:xfrm>
                    <a:off x="2780497" y="13056477"/>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7" name="TextBox 916">
                    <a:extLst>
                      <a:ext uri="{FF2B5EF4-FFF2-40B4-BE49-F238E27FC236}">
                        <a16:creationId xmlns:a16="http://schemas.microsoft.com/office/drawing/2014/main" id="{00000000-0008-0000-0400-000095030000}"/>
                      </a:ext>
                    </a:extLst>
                  </xdr:cNvPr>
                  <xdr:cNvSpPr txBox="1"/>
                </xdr:nvSpPr>
                <xdr:spPr>
                  <a:xfrm rot="21600000">
                    <a:off x="2736248" y="13057205"/>
                    <a:ext cx="25470"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4899</a:t>
                    </a:r>
                  </a:p>
                </xdr:txBody>
              </xdr:sp>
            </xdr:grpSp>
            <xdr:grpSp>
              <xdr:nvGrpSpPr>
                <xdr:cNvPr id="817" name="Group 816">
                  <a:extLst>
                    <a:ext uri="{FF2B5EF4-FFF2-40B4-BE49-F238E27FC236}">
                      <a16:creationId xmlns:a16="http://schemas.microsoft.com/office/drawing/2014/main" id="{00000000-0008-0000-0400-000031030000}"/>
                    </a:ext>
                  </a:extLst>
                </xdr:cNvPr>
                <xdr:cNvGrpSpPr/>
              </xdr:nvGrpSpPr>
              <xdr:grpSpPr>
                <a:xfrm>
                  <a:off x="2528798" y="13054964"/>
                  <a:ext cx="111109" cy="6805"/>
                  <a:chOff x="2528798" y="13054964"/>
                  <a:chExt cx="111109" cy="6805"/>
                </a:xfrm>
              </xdr:grpSpPr>
              <xdr:cxnSp macro="">
                <xdr:nvCxnSpPr>
                  <xdr:cNvPr id="906" name="Straight Connector 905">
                    <a:extLst>
                      <a:ext uri="{FF2B5EF4-FFF2-40B4-BE49-F238E27FC236}">
                        <a16:creationId xmlns:a16="http://schemas.microsoft.com/office/drawing/2014/main" id="{00000000-0008-0000-0400-00008A030000}"/>
                      </a:ext>
                    </a:extLst>
                  </xdr:cNvPr>
                  <xdr:cNvCxnSpPr/>
                </xdr:nvCxnSpPr>
                <xdr:spPr>
                  <a:xfrm flipV="1">
                    <a:off x="2528798" y="13054964"/>
                    <a:ext cx="0" cy="6805"/>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07" name="Straight Connector 906">
                    <a:extLst>
                      <a:ext uri="{FF2B5EF4-FFF2-40B4-BE49-F238E27FC236}">
                        <a16:creationId xmlns:a16="http://schemas.microsoft.com/office/drawing/2014/main" id="{00000000-0008-0000-0400-00008B030000}"/>
                      </a:ext>
                    </a:extLst>
                  </xdr:cNvPr>
                  <xdr:cNvCxnSpPr/>
                </xdr:nvCxnSpPr>
                <xdr:spPr>
                  <a:xfrm flipV="1">
                    <a:off x="2639905" y="13054964"/>
                    <a:ext cx="0" cy="6805"/>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08" name="Straight Connector 907">
                    <a:extLst>
                      <a:ext uri="{FF2B5EF4-FFF2-40B4-BE49-F238E27FC236}">
                        <a16:creationId xmlns:a16="http://schemas.microsoft.com/office/drawing/2014/main" id="{00000000-0008-0000-0400-00008C030000}"/>
                      </a:ext>
                    </a:extLst>
                  </xdr:cNvPr>
                  <xdr:cNvCxnSpPr/>
                </xdr:nvCxnSpPr>
                <xdr:spPr>
                  <a:xfrm>
                    <a:off x="2540138" y="13058367"/>
                    <a:ext cx="88427"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09" name="Freeform 687">
                    <a:extLst>
                      <a:ext uri="{FF2B5EF4-FFF2-40B4-BE49-F238E27FC236}">
                        <a16:creationId xmlns:a16="http://schemas.microsoft.com/office/drawing/2014/main" id="{00000000-0008-0000-0400-00008D030000}"/>
                      </a:ext>
                    </a:extLst>
                  </xdr:cNvPr>
                  <xdr:cNvSpPr/>
                </xdr:nvSpPr>
                <xdr:spPr>
                  <a:xfrm>
                    <a:off x="2528798" y="13056477"/>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0" name="Freeform 688">
                    <a:extLst>
                      <a:ext uri="{FF2B5EF4-FFF2-40B4-BE49-F238E27FC236}">
                        <a16:creationId xmlns:a16="http://schemas.microsoft.com/office/drawing/2014/main" id="{00000000-0008-0000-0400-00008E030000}"/>
                      </a:ext>
                    </a:extLst>
                  </xdr:cNvPr>
                  <xdr:cNvSpPr/>
                </xdr:nvSpPr>
                <xdr:spPr>
                  <a:xfrm>
                    <a:off x="2628566" y="13056477"/>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1" name="TextBox 910">
                    <a:extLst>
                      <a:ext uri="{FF2B5EF4-FFF2-40B4-BE49-F238E27FC236}">
                        <a16:creationId xmlns:a16="http://schemas.microsoft.com/office/drawing/2014/main" id="{00000000-0008-0000-0400-00008F030000}"/>
                      </a:ext>
                    </a:extLst>
                  </xdr:cNvPr>
                  <xdr:cNvSpPr txBox="1"/>
                </xdr:nvSpPr>
                <xdr:spPr>
                  <a:xfrm rot="21600000">
                    <a:off x="2584317" y="13057205"/>
                    <a:ext cx="25470"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4899</a:t>
                    </a:r>
                  </a:p>
                </xdr:txBody>
              </xdr:sp>
            </xdr:grpSp>
            <xdr:grpSp>
              <xdr:nvGrpSpPr>
                <xdr:cNvPr id="818" name="Group 817">
                  <a:extLst>
                    <a:ext uri="{FF2B5EF4-FFF2-40B4-BE49-F238E27FC236}">
                      <a16:creationId xmlns:a16="http://schemas.microsoft.com/office/drawing/2014/main" id="{00000000-0008-0000-0400-000032030000}"/>
                    </a:ext>
                  </a:extLst>
                </xdr:cNvPr>
                <xdr:cNvGrpSpPr/>
              </xdr:nvGrpSpPr>
              <xdr:grpSpPr>
                <a:xfrm>
                  <a:off x="2528798" y="13076078"/>
                  <a:ext cx="263040" cy="6804"/>
                  <a:chOff x="2528798" y="13076078"/>
                  <a:chExt cx="263040" cy="6804"/>
                </a:xfrm>
              </xdr:grpSpPr>
              <xdr:cxnSp macro="">
                <xdr:nvCxnSpPr>
                  <xdr:cNvPr id="900" name="Straight Connector 899">
                    <a:extLst>
                      <a:ext uri="{FF2B5EF4-FFF2-40B4-BE49-F238E27FC236}">
                        <a16:creationId xmlns:a16="http://schemas.microsoft.com/office/drawing/2014/main" id="{00000000-0008-0000-0400-000084030000}"/>
                      </a:ext>
                    </a:extLst>
                  </xdr:cNvPr>
                  <xdr:cNvCxnSpPr/>
                </xdr:nvCxnSpPr>
                <xdr:spPr>
                  <a:xfrm>
                    <a:off x="2528798" y="1307607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01" name="Straight Connector 900">
                    <a:extLst>
                      <a:ext uri="{FF2B5EF4-FFF2-40B4-BE49-F238E27FC236}">
                        <a16:creationId xmlns:a16="http://schemas.microsoft.com/office/drawing/2014/main" id="{00000000-0008-0000-0400-000085030000}"/>
                      </a:ext>
                    </a:extLst>
                  </xdr:cNvPr>
                  <xdr:cNvCxnSpPr/>
                </xdr:nvCxnSpPr>
                <xdr:spPr>
                  <a:xfrm>
                    <a:off x="2791837" y="1307607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02" name="Straight Connector 901">
                    <a:extLst>
                      <a:ext uri="{FF2B5EF4-FFF2-40B4-BE49-F238E27FC236}">
                        <a16:creationId xmlns:a16="http://schemas.microsoft.com/office/drawing/2014/main" id="{00000000-0008-0000-0400-000086030000}"/>
                      </a:ext>
                    </a:extLst>
                  </xdr:cNvPr>
                  <xdr:cNvCxnSpPr/>
                </xdr:nvCxnSpPr>
                <xdr:spPr>
                  <a:xfrm>
                    <a:off x="2540138" y="13079479"/>
                    <a:ext cx="24035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03" name="Freeform 681">
                    <a:extLst>
                      <a:ext uri="{FF2B5EF4-FFF2-40B4-BE49-F238E27FC236}">
                        <a16:creationId xmlns:a16="http://schemas.microsoft.com/office/drawing/2014/main" id="{00000000-0008-0000-0400-000087030000}"/>
                      </a:ext>
                    </a:extLst>
                  </xdr:cNvPr>
                  <xdr:cNvSpPr/>
                </xdr:nvSpPr>
                <xdr:spPr>
                  <a:xfrm>
                    <a:off x="2528798" y="13077589"/>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4" name="Freeform 682">
                    <a:extLst>
                      <a:ext uri="{FF2B5EF4-FFF2-40B4-BE49-F238E27FC236}">
                        <a16:creationId xmlns:a16="http://schemas.microsoft.com/office/drawing/2014/main" id="{00000000-0008-0000-0400-000088030000}"/>
                      </a:ext>
                    </a:extLst>
                  </xdr:cNvPr>
                  <xdr:cNvSpPr/>
                </xdr:nvSpPr>
                <xdr:spPr>
                  <a:xfrm>
                    <a:off x="2780497" y="13077589"/>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5" name="TextBox 904">
                    <a:extLst>
                      <a:ext uri="{FF2B5EF4-FFF2-40B4-BE49-F238E27FC236}">
                        <a16:creationId xmlns:a16="http://schemas.microsoft.com/office/drawing/2014/main" id="{00000000-0008-0000-0400-000089030000}"/>
                      </a:ext>
                    </a:extLst>
                  </xdr:cNvPr>
                  <xdr:cNvSpPr txBox="1"/>
                </xdr:nvSpPr>
                <xdr:spPr>
                  <a:xfrm rot="21600000">
                    <a:off x="2660272" y="13078318"/>
                    <a:ext cx="25488"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11598</a:t>
                    </a:r>
                  </a:p>
                </xdr:txBody>
              </xdr:sp>
            </xdr:grpSp>
            <xdr:grpSp>
              <xdr:nvGrpSpPr>
                <xdr:cNvPr id="819" name="Group 818">
                  <a:extLst>
                    <a:ext uri="{FF2B5EF4-FFF2-40B4-BE49-F238E27FC236}">
                      <a16:creationId xmlns:a16="http://schemas.microsoft.com/office/drawing/2014/main" id="{00000000-0008-0000-0400-000033030000}"/>
                    </a:ext>
                  </a:extLst>
                </xdr:cNvPr>
                <xdr:cNvGrpSpPr/>
              </xdr:nvGrpSpPr>
              <xdr:grpSpPr>
                <a:xfrm>
                  <a:off x="2546237" y="12797043"/>
                  <a:ext cx="228162" cy="6804"/>
                  <a:chOff x="2546237" y="12797043"/>
                  <a:chExt cx="228162" cy="6804"/>
                </a:xfrm>
              </xdr:grpSpPr>
              <xdr:cxnSp macro="">
                <xdr:nvCxnSpPr>
                  <xdr:cNvPr id="894" name="Straight Connector 893">
                    <a:extLst>
                      <a:ext uri="{FF2B5EF4-FFF2-40B4-BE49-F238E27FC236}">
                        <a16:creationId xmlns:a16="http://schemas.microsoft.com/office/drawing/2014/main" id="{00000000-0008-0000-0400-00007E030000}"/>
                      </a:ext>
                    </a:extLst>
                  </xdr:cNvPr>
                  <xdr:cNvCxnSpPr/>
                </xdr:nvCxnSpPr>
                <xdr:spPr>
                  <a:xfrm flipV="1">
                    <a:off x="2546237" y="12797043"/>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95" name="Straight Connector 894">
                    <a:extLst>
                      <a:ext uri="{FF2B5EF4-FFF2-40B4-BE49-F238E27FC236}">
                        <a16:creationId xmlns:a16="http://schemas.microsoft.com/office/drawing/2014/main" id="{00000000-0008-0000-0400-00007F030000}"/>
                      </a:ext>
                    </a:extLst>
                  </xdr:cNvPr>
                  <xdr:cNvCxnSpPr/>
                </xdr:nvCxnSpPr>
                <xdr:spPr>
                  <a:xfrm flipV="1">
                    <a:off x="2774398" y="12797043"/>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96" name="Straight Connector 895">
                    <a:extLst>
                      <a:ext uri="{FF2B5EF4-FFF2-40B4-BE49-F238E27FC236}">
                        <a16:creationId xmlns:a16="http://schemas.microsoft.com/office/drawing/2014/main" id="{00000000-0008-0000-0400-000080030000}"/>
                      </a:ext>
                    </a:extLst>
                  </xdr:cNvPr>
                  <xdr:cNvCxnSpPr/>
                </xdr:nvCxnSpPr>
                <xdr:spPr>
                  <a:xfrm>
                    <a:off x="2557577" y="12800445"/>
                    <a:ext cx="20548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97" name="Freeform 675">
                    <a:extLst>
                      <a:ext uri="{FF2B5EF4-FFF2-40B4-BE49-F238E27FC236}">
                        <a16:creationId xmlns:a16="http://schemas.microsoft.com/office/drawing/2014/main" id="{00000000-0008-0000-0400-000081030000}"/>
                      </a:ext>
                    </a:extLst>
                  </xdr:cNvPr>
                  <xdr:cNvSpPr/>
                </xdr:nvSpPr>
                <xdr:spPr>
                  <a:xfrm>
                    <a:off x="2546237" y="12798555"/>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98" name="Freeform 676">
                    <a:extLst>
                      <a:ext uri="{FF2B5EF4-FFF2-40B4-BE49-F238E27FC236}">
                        <a16:creationId xmlns:a16="http://schemas.microsoft.com/office/drawing/2014/main" id="{00000000-0008-0000-0400-000082030000}"/>
                      </a:ext>
                    </a:extLst>
                  </xdr:cNvPr>
                  <xdr:cNvSpPr/>
                </xdr:nvSpPr>
                <xdr:spPr>
                  <a:xfrm>
                    <a:off x="2763058" y="12798555"/>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99" name="TextBox 898">
                    <a:extLst>
                      <a:ext uri="{FF2B5EF4-FFF2-40B4-BE49-F238E27FC236}">
                        <a16:creationId xmlns:a16="http://schemas.microsoft.com/office/drawing/2014/main" id="{00000000-0008-0000-0400-000083030000}"/>
                      </a:ext>
                    </a:extLst>
                  </xdr:cNvPr>
                  <xdr:cNvSpPr txBox="1"/>
                </xdr:nvSpPr>
                <xdr:spPr>
                  <a:xfrm rot="21600000">
                    <a:off x="2660273" y="12799283"/>
                    <a:ext cx="25488"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10060</a:t>
                    </a:r>
                  </a:p>
                </xdr:txBody>
              </xdr:sp>
            </xdr:grpSp>
            <xdr:sp macro="" textlink="">
              <xdr:nvSpPr>
                <xdr:cNvPr id="820" name="Freeform 610">
                  <a:extLst>
                    <a:ext uri="{FF2B5EF4-FFF2-40B4-BE49-F238E27FC236}">
                      <a16:creationId xmlns:a16="http://schemas.microsoft.com/office/drawing/2014/main" id="{00000000-0008-0000-0400-000034030000}"/>
                    </a:ext>
                  </a:extLst>
                </xdr:cNvPr>
                <xdr:cNvSpPr/>
              </xdr:nvSpPr>
              <xdr:spPr>
                <a:xfrm>
                  <a:off x="2540000" y="13006360"/>
                  <a:ext cx="240636" cy="25580"/>
                </a:xfrm>
                <a:custGeom>
                  <a:avLst/>
                  <a:gdLst/>
                  <a:ahLst/>
                  <a:cxnLst/>
                  <a:rect l="0" t="0" r="0" b="0"/>
                  <a:pathLst>
                    <a:path w="240636" h="25580">
                      <a:moveTo>
                        <a:pt x="0" y="0"/>
                      </a:moveTo>
                      <a:lnTo>
                        <a:pt x="240635" y="0"/>
                      </a:lnTo>
                      <a:lnTo>
                        <a:pt x="240635" y="25579"/>
                      </a:lnTo>
                      <a:lnTo>
                        <a:pt x="0" y="25579"/>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21" name="Group 820">
                  <a:extLst>
                    <a:ext uri="{FF2B5EF4-FFF2-40B4-BE49-F238E27FC236}">
                      <a16:creationId xmlns:a16="http://schemas.microsoft.com/office/drawing/2014/main" id="{00000000-0008-0000-0400-000035030000}"/>
                    </a:ext>
                  </a:extLst>
                </xdr:cNvPr>
                <xdr:cNvGrpSpPr/>
              </xdr:nvGrpSpPr>
              <xdr:grpSpPr>
                <a:xfrm>
                  <a:off x="2734570" y="12819338"/>
                  <a:ext cx="45348" cy="6804"/>
                  <a:chOff x="2734570" y="12819338"/>
                  <a:chExt cx="45348" cy="6804"/>
                </a:xfrm>
              </xdr:grpSpPr>
              <xdr:cxnSp macro="">
                <xdr:nvCxnSpPr>
                  <xdr:cNvPr id="888" name="Straight Connector 887">
                    <a:extLst>
                      <a:ext uri="{FF2B5EF4-FFF2-40B4-BE49-F238E27FC236}">
                        <a16:creationId xmlns:a16="http://schemas.microsoft.com/office/drawing/2014/main" id="{00000000-0008-0000-0400-000078030000}"/>
                      </a:ext>
                    </a:extLst>
                  </xdr:cNvPr>
                  <xdr:cNvCxnSpPr/>
                </xdr:nvCxnSpPr>
                <xdr:spPr>
                  <a:xfrm flipV="1">
                    <a:off x="2734570" y="1281933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89" name="Straight Connector 888">
                    <a:extLst>
                      <a:ext uri="{FF2B5EF4-FFF2-40B4-BE49-F238E27FC236}">
                        <a16:creationId xmlns:a16="http://schemas.microsoft.com/office/drawing/2014/main" id="{00000000-0008-0000-0400-000079030000}"/>
                      </a:ext>
                    </a:extLst>
                  </xdr:cNvPr>
                  <xdr:cNvCxnSpPr/>
                </xdr:nvCxnSpPr>
                <xdr:spPr>
                  <a:xfrm flipV="1">
                    <a:off x="2774398" y="1281933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90" name="Straight Connector 889">
                    <a:extLst>
                      <a:ext uri="{FF2B5EF4-FFF2-40B4-BE49-F238E27FC236}">
                        <a16:creationId xmlns:a16="http://schemas.microsoft.com/office/drawing/2014/main" id="{00000000-0008-0000-0400-00007A030000}"/>
                      </a:ext>
                    </a:extLst>
                  </xdr:cNvPr>
                  <xdr:cNvCxnSpPr/>
                </xdr:nvCxnSpPr>
                <xdr:spPr>
                  <a:xfrm>
                    <a:off x="2745910" y="12822740"/>
                    <a:ext cx="17148"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91" name="Freeform 669">
                    <a:extLst>
                      <a:ext uri="{FF2B5EF4-FFF2-40B4-BE49-F238E27FC236}">
                        <a16:creationId xmlns:a16="http://schemas.microsoft.com/office/drawing/2014/main" id="{00000000-0008-0000-0400-00007B030000}"/>
                      </a:ext>
                    </a:extLst>
                  </xdr:cNvPr>
                  <xdr:cNvSpPr/>
                </xdr:nvSpPr>
                <xdr:spPr>
                  <a:xfrm>
                    <a:off x="2734570" y="12820850"/>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92" name="Freeform 670">
                    <a:extLst>
                      <a:ext uri="{FF2B5EF4-FFF2-40B4-BE49-F238E27FC236}">
                        <a16:creationId xmlns:a16="http://schemas.microsoft.com/office/drawing/2014/main" id="{00000000-0008-0000-0400-00007C030000}"/>
                      </a:ext>
                    </a:extLst>
                  </xdr:cNvPr>
                  <xdr:cNvSpPr/>
                </xdr:nvSpPr>
                <xdr:spPr>
                  <a:xfrm>
                    <a:off x="2763058" y="12820850"/>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93" name="TextBox 892">
                    <a:extLst>
                      <a:ext uri="{FF2B5EF4-FFF2-40B4-BE49-F238E27FC236}">
                        <a16:creationId xmlns:a16="http://schemas.microsoft.com/office/drawing/2014/main" id="{00000000-0008-0000-0400-00007D030000}"/>
                      </a:ext>
                    </a:extLst>
                  </xdr:cNvPr>
                  <xdr:cNvSpPr txBox="1"/>
                </xdr:nvSpPr>
                <xdr:spPr>
                  <a:xfrm rot="21600000">
                    <a:off x="2754448" y="12821579"/>
                    <a:ext cx="25470"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1756</a:t>
                    </a:r>
                  </a:p>
                </xdr:txBody>
              </xdr:sp>
            </xdr:grpSp>
            <xdr:grpSp>
              <xdr:nvGrpSpPr>
                <xdr:cNvPr id="822" name="Group 821">
                  <a:extLst>
                    <a:ext uri="{FF2B5EF4-FFF2-40B4-BE49-F238E27FC236}">
                      <a16:creationId xmlns:a16="http://schemas.microsoft.com/office/drawing/2014/main" id="{00000000-0008-0000-0400-000036030000}"/>
                    </a:ext>
                  </a:extLst>
                </xdr:cNvPr>
                <xdr:cNvGrpSpPr/>
              </xdr:nvGrpSpPr>
              <xdr:grpSpPr>
                <a:xfrm>
                  <a:off x="2586065" y="12819338"/>
                  <a:ext cx="148506" cy="6804"/>
                  <a:chOff x="2586065" y="12819338"/>
                  <a:chExt cx="148506" cy="6804"/>
                </a:xfrm>
              </xdr:grpSpPr>
              <xdr:cxnSp macro="">
                <xdr:nvCxnSpPr>
                  <xdr:cNvPr id="879" name="Straight Connector 878">
                    <a:extLst>
                      <a:ext uri="{FF2B5EF4-FFF2-40B4-BE49-F238E27FC236}">
                        <a16:creationId xmlns:a16="http://schemas.microsoft.com/office/drawing/2014/main" id="{00000000-0008-0000-0400-00006F030000}"/>
                      </a:ext>
                    </a:extLst>
                  </xdr:cNvPr>
                  <xdr:cNvCxnSpPr/>
                </xdr:nvCxnSpPr>
                <xdr:spPr>
                  <a:xfrm flipV="1">
                    <a:off x="2586065" y="1281933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80" name="Straight Connector 879">
                    <a:extLst>
                      <a:ext uri="{FF2B5EF4-FFF2-40B4-BE49-F238E27FC236}">
                        <a16:creationId xmlns:a16="http://schemas.microsoft.com/office/drawing/2014/main" id="{00000000-0008-0000-0400-000070030000}"/>
                      </a:ext>
                    </a:extLst>
                  </xdr:cNvPr>
                  <xdr:cNvCxnSpPr/>
                </xdr:nvCxnSpPr>
                <xdr:spPr>
                  <a:xfrm flipV="1">
                    <a:off x="2734570" y="1281933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81" name="Straight Connector 880">
                    <a:extLst>
                      <a:ext uri="{FF2B5EF4-FFF2-40B4-BE49-F238E27FC236}">
                        <a16:creationId xmlns:a16="http://schemas.microsoft.com/office/drawing/2014/main" id="{00000000-0008-0000-0400-000071030000}"/>
                      </a:ext>
                    </a:extLst>
                  </xdr:cNvPr>
                  <xdr:cNvCxnSpPr/>
                </xdr:nvCxnSpPr>
                <xdr:spPr>
                  <a:xfrm>
                    <a:off x="2597405" y="12822740"/>
                    <a:ext cx="54432"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82" name="Freeform 663">
                    <a:extLst>
                      <a:ext uri="{FF2B5EF4-FFF2-40B4-BE49-F238E27FC236}">
                        <a16:creationId xmlns:a16="http://schemas.microsoft.com/office/drawing/2014/main" id="{00000000-0008-0000-0400-000072030000}"/>
                      </a:ext>
                    </a:extLst>
                  </xdr:cNvPr>
                  <xdr:cNvSpPr/>
                </xdr:nvSpPr>
                <xdr:spPr>
                  <a:xfrm>
                    <a:off x="2586065" y="12820850"/>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83" name="Freeform 664">
                    <a:extLst>
                      <a:ext uri="{FF2B5EF4-FFF2-40B4-BE49-F238E27FC236}">
                        <a16:creationId xmlns:a16="http://schemas.microsoft.com/office/drawing/2014/main" id="{00000000-0008-0000-0400-000073030000}"/>
                      </a:ext>
                    </a:extLst>
                  </xdr:cNvPr>
                  <xdr:cNvSpPr/>
                </xdr:nvSpPr>
                <xdr:spPr>
                  <a:xfrm>
                    <a:off x="2723230" y="12820850"/>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84" name="TextBox 883">
                    <a:extLst>
                      <a:ext uri="{FF2B5EF4-FFF2-40B4-BE49-F238E27FC236}">
                        <a16:creationId xmlns:a16="http://schemas.microsoft.com/office/drawing/2014/main" id="{00000000-0008-0000-0400-000074030000}"/>
                      </a:ext>
                    </a:extLst>
                  </xdr:cNvPr>
                  <xdr:cNvSpPr txBox="1"/>
                </xdr:nvSpPr>
                <xdr:spPr>
                  <a:xfrm rot="21600000">
                    <a:off x="2660282" y="12821579"/>
                    <a:ext cx="25470"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6548</a:t>
                    </a:r>
                  </a:p>
                </xdr:txBody>
              </xdr:sp>
              <xdr:sp macro="" textlink="">
                <xdr:nvSpPr>
                  <xdr:cNvPr id="885" name="Freeform 664">
                    <a:extLst>
                      <a:ext uri="{FF2B5EF4-FFF2-40B4-BE49-F238E27FC236}">
                        <a16:creationId xmlns:a16="http://schemas.microsoft.com/office/drawing/2014/main" id="{00000000-0008-0000-0400-000075030000}"/>
                      </a:ext>
                    </a:extLst>
                  </xdr:cNvPr>
                  <xdr:cNvSpPr/>
                </xdr:nvSpPr>
                <xdr:spPr>
                  <a:xfrm>
                    <a:off x="2649747" y="12820850"/>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886" name="Straight Connector 885">
                    <a:extLst>
                      <a:ext uri="{FF2B5EF4-FFF2-40B4-BE49-F238E27FC236}">
                        <a16:creationId xmlns:a16="http://schemas.microsoft.com/office/drawing/2014/main" id="{00000000-0008-0000-0400-000076030000}"/>
                      </a:ext>
                    </a:extLst>
                  </xdr:cNvPr>
                  <xdr:cNvCxnSpPr/>
                </xdr:nvCxnSpPr>
                <xdr:spPr>
                  <a:xfrm>
                    <a:off x="2670154" y="12823250"/>
                    <a:ext cx="54432"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87" name="Freeform 663">
                    <a:extLst>
                      <a:ext uri="{FF2B5EF4-FFF2-40B4-BE49-F238E27FC236}">
                        <a16:creationId xmlns:a16="http://schemas.microsoft.com/office/drawing/2014/main" id="{00000000-0008-0000-0400-000077030000}"/>
                      </a:ext>
                    </a:extLst>
                  </xdr:cNvPr>
                  <xdr:cNvSpPr/>
                </xdr:nvSpPr>
                <xdr:spPr>
                  <a:xfrm>
                    <a:off x="2660283" y="12820850"/>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grpSp>
              <xdr:nvGrpSpPr>
                <xdr:cNvPr id="823" name="Group 822">
                  <a:extLst>
                    <a:ext uri="{FF2B5EF4-FFF2-40B4-BE49-F238E27FC236}">
                      <a16:creationId xmlns:a16="http://schemas.microsoft.com/office/drawing/2014/main" id="{00000000-0008-0000-0400-000037030000}"/>
                    </a:ext>
                  </a:extLst>
                </xdr:cNvPr>
                <xdr:cNvGrpSpPr/>
              </xdr:nvGrpSpPr>
              <xdr:grpSpPr>
                <a:xfrm>
                  <a:off x="2546237" y="12819338"/>
                  <a:ext cx="45348" cy="6804"/>
                  <a:chOff x="2546237" y="12819338"/>
                  <a:chExt cx="45348" cy="6804"/>
                </a:xfrm>
              </xdr:grpSpPr>
              <xdr:cxnSp macro="">
                <xdr:nvCxnSpPr>
                  <xdr:cNvPr id="873" name="Straight Connector 872">
                    <a:extLst>
                      <a:ext uri="{FF2B5EF4-FFF2-40B4-BE49-F238E27FC236}">
                        <a16:creationId xmlns:a16="http://schemas.microsoft.com/office/drawing/2014/main" id="{00000000-0008-0000-0400-000069030000}"/>
                      </a:ext>
                    </a:extLst>
                  </xdr:cNvPr>
                  <xdr:cNvCxnSpPr/>
                </xdr:nvCxnSpPr>
                <xdr:spPr>
                  <a:xfrm flipV="1">
                    <a:off x="2546237" y="1281933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74" name="Straight Connector 873">
                    <a:extLst>
                      <a:ext uri="{FF2B5EF4-FFF2-40B4-BE49-F238E27FC236}">
                        <a16:creationId xmlns:a16="http://schemas.microsoft.com/office/drawing/2014/main" id="{00000000-0008-0000-0400-00006A030000}"/>
                      </a:ext>
                    </a:extLst>
                  </xdr:cNvPr>
                  <xdr:cNvCxnSpPr/>
                </xdr:nvCxnSpPr>
                <xdr:spPr>
                  <a:xfrm flipV="1">
                    <a:off x="2586065" y="12819338"/>
                    <a:ext cx="0" cy="680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75" name="Straight Connector 874">
                    <a:extLst>
                      <a:ext uri="{FF2B5EF4-FFF2-40B4-BE49-F238E27FC236}">
                        <a16:creationId xmlns:a16="http://schemas.microsoft.com/office/drawing/2014/main" id="{00000000-0008-0000-0400-00006B030000}"/>
                      </a:ext>
                    </a:extLst>
                  </xdr:cNvPr>
                  <xdr:cNvCxnSpPr/>
                </xdr:nvCxnSpPr>
                <xdr:spPr>
                  <a:xfrm>
                    <a:off x="2557577" y="12822740"/>
                    <a:ext cx="17148"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76" name="Freeform 657">
                    <a:extLst>
                      <a:ext uri="{FF2B5EF4-FFF2-40B4-BE49-F238E27FC236}">
                        <a16:creationId xmlns:a16="http://schemas.microsoft.com/office/drawing/2014/main" id="{00000000-0008-0000-0400-00006C030000}"/>
                      </a:ext>
                    </a:extLst>
                  </xdr:cNvPr>
                  <xdr:cNvSpPr/>
                </xdr:nvSpPr>
                <xdr:spPr>
                  <a:xfrm>
                    <a:off x="2546237" y="12820850"/>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77" name="Freeform 658">
                    <a:extLst>
                      <a:ext uri="{FF2B5EF4-FFF2-40B4-BE49-F238E27FC236}">
                        <a16:creationId xmlns:a16="http://schemas.microsoft.com/office/drawing/2014/main" id="{00000000-0008-0000-0400-00006D030000}"/>
                      </a:ext>
                    </a:extLst>
                  </xdr:cNvPr>
                  <xdr:cNvSpPr/>
                </xdr:nvSpPr>
                <xdr:spPr>
                  <a:xfrm>
                    <a:off x="2574725" y="12820850"/>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78" name="TextBox 877">
                    <a:extLst>
                      <a:ext uri="{FF2B5EF4-FFF2-40B4-BE49-F238E27FC236}">
                        <a16:creationId xmlns:a16="http://schemas.microsoft.com/office/drawing/2014/main" id="{00000000-0008-0000-0400-00006E030000}"/>
                      </a:ext>
                    </a:extLst>
                  </xdr:cNvPr>
                  <xdr:cNvSpPr txBox="1"/>
                </xdr:nvSpPr>
                <xdr:spPr>
                  <a:xfrm rot="21600000">
                    <a:off x="2566115" y="12821579"/>
                    <a:ext cx="25470" cy="4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1756</a:t>
                    </a:r>
                  </a:p>
                </xdr:txBody>
              </xdr:sp>
            </xdr:grpSp>
            <xdr:sp macro="" textlink="">
              <xdr:nvSpPr>
                <xdr:cNvPr id="824" name="Freeform 614">
                  <a:extLst>
                    <a:ext uri="{FF2B5EF4-FFF2-40B4-BE49-F238E27FC236}">
                      <a16:creationId xmlns:a16="http://schemas.microsoft.com/office/drawing/2014/main" id="{00000000-0008-0000-0400-000038030000}"/>
                    </a:ext>
                  </a:extLst>
                </xdr:cNvPr>
                <xdr:cNvSpPr/>
              </xdr:nvSpPr>
              <xdr:spPr>
                <a:xfrm>
                  <a:off x="2724677" y="12832445"/>
                  <a:ext cx="19786" cy="9383"/>
                </a:xfrm>
                <a:custGeom>
                  <a:avLst/>
                  <a:gdLst/>
                  <a:ahLst/>
                  <a:cxnLst/>
                  <a:rect l="0" t="0" r="0" b="0"/>
                  <a:pathLst>
                    <a:path w="19786" h="9383">
                      <a:moveTo>
                        <a:pt x="0" y="0"/>
                      </a:moveTo>
                      <a:lnTo>
                        <a:pt x="19785" y="0"/>
                      </a:lnTo>
                      <a:lnTo>
                        <a:pt x="19785" y="9382"/>
                      </a:lnTo>
                      <a:lnTo>
                        <a:pt x="0" y="9382"/>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5" name="TextBox 824">
                  <a:extLst>
                    <a:ext uri="{FF2B5EF4-FFF2-40B4-BE49-F238E27FC236}">
                      <a16:creationId xmlns:a16="http://schemas.microsoft.com/office/drawing/2014/main" id="{00000000-0008-0000-0400-000039030000}"/>
                    </a:ext>
                  </a:extLst>
                </xdr:cNvPr>
                <xdr:cNvSpPr txBox="1"/>
              </xdr:nvSpPr>
              <xdr:spPr>
                <a:xfrm>
                  <a:off x="2587372" y="13083937"/>
                  <a:ext cx="217167" cy="3572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marL="0" indent="0" algn="ctr"/>
                  <a:r>
                    <a:rPr lang="en-US" sz="1050">
                      <a:solidFill>
                        <a:srgbClr val="000000"/>
                      </a:solidFill>
                      <a:latin typeface="Arial" panose="020B0604020202020204" pitchFamily="34" charset="0"/>
                      <a:ea typeface="+mn-ea"/>
                      <a:cs typeface="+mn-cs"/>
                    </a:rPr>
                    <a:t>Longitudinal Section of </a:t>
                  </a:r>
                </a:p>
                <a:p>
                  <a:pPr marL="0" indent="0" algn="ctr"/>
                  <a:r>
                    <a:rPr lang="en-US" sz="1050">
                      <a:solidFill>
                        <a:srgbClr val="000000"/>
                      </a:solidFill>
                      <a:latin typeface="Arial" panose="020B0604020202020204" pitchFamily="34" charset="0"/>
                      <a:ea typeface="+mn-ea"/>
                      <a:cs typeface="+mn-cs"/>
                    </a:rPr>
                    <a:t>Pier</a:t>
                  </a:r>
                </a:p>
              </xdr:txBody>
            </xdr:sp>
            <xdr:sp macro="" textlink="">
              <xdr:nvSpPr>
                <xdr:cNvPr id="826" name="TextBox 825">
                  <a:extLst>
                    <a:ext uri="{FF2B5EF4-FFF2-40B4-BE49-F238E27FC236}">
                      <a16:creationId xmlns:a16="http://schemas.microsoft.com/office/drawing/2014/main" id="{00000000-0008-0000-0400-00003A030000}"/>
                    </a:ext>
                  </a:extLst>
                </xdr:cNvPr>
                <xdr:cNvSpPr txBox="1"/>
              </xdr:nvSpPr>
              <xdr:spPr>
                <a:xfrm>
                  <a:off x="2652541" y="12906435"/>
                  <a:ext cx="27573" cy="35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200">
                      <a:solidFill>
                        <a:srgbClr val="000000"/>
                      </a:solidFill>
                      <a:latin typeface="Arial" panose="020B0604020202020204" pitchFamily="34" charset="0"/>
                      <a:ea typeface="+mn-ea"/>
                      <a:cs typeface="+mn-cs"/>
                    </a:rPr>
                    <a:t>P4</a:t>
                  </a:r>
                </a:p>
              </xdr:txBody>
            </xdr:sp>
            <xdr:sp macro="" textlink="">
              <xdr:nvSpPr>
                <xdr:cNvPr id="827" name="TextBox 826">
                  <a:extLst>
                    <a:ext uri="{FF2B5EF4-FFF2-40B4-BE49-F238E27FC236}">
                      <a16:creationId xmlns:a16="http://schemas.microsoft.com/office/drawing/2014/main" id="{00000000-0008-0000-0400-00003B030000}"/>
                    </a:ext>
                  </a:extLst>
                </xdr:cNvPr>
                <xdr:cNvSpPr txBox="1"/>
              </xdr:nvSpPr>
              <xdr:spPr>
                <a:xfrm rot="21600000">
                  <a:off x="2691131" y="12867501"/>
                  <a:ext cx="38964" cy="162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ea typeface="+mn-ea"/>
                      <a:cs typeface="+mn-cs"/>
                    </a:rPr>
                    <a:t>P3</a:t>
                  </a:r>
                </a:p>
              </xdr:txBody>
            </xdr:sp>
            <xdr:sp macro="" textlink="">
              <xdr:nvSpPr>
                <xdr:cNvPr id="828" name="TextBox 827">
                  <a:extLst>
                    <a:ext uri="{FF2B5EF4-FFF2-40B4-BE49-F238E27FC236}">
                      <a16:creationId xmlns:a16="http://schemas.microsoft.com/office/drawing/2014/main" id="{00000000-0008-0000-0400-00003C030000}"/>
                    </a:ext>
                  </a:extLst>
                </xdr:cNvPr>
                <xdr:cNvSpPr txBox="1"/>
              </xdr:nvSpPr>
              <xdr:spPr>
                <a:xfrm>
                  <a:off x="2613965" y="12867463"/>
                  <a:ext cx="20311" cy="162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ea typeface="+mn-ea"/>
                      <a:cs typeface="+mn-cs"/>
                    </a:rPr>
                    <a:t>P2</a:t>
                  </a:r>
                </a:p>
              </xdr:txBody>
            </xdr:sp>
            <xdr:sp macro="" textlink="">
              <xdr:nvSpPr>
                <xdr:cNvPr id="829" name="TextBox 828">
                  <a:extLst>
                    <a:ext uri="{FF2B5EF4-FFF2-40B4-BE49-F238E27FC236}">
                      <a16:creationId xmlns:a16="http://schemas.microsoft.com/office/drawing/2014/main" id="{00000000-0008-0000-0400-00003D030000}"/>
                    </a:ext>
                  </a:extLst>
                </xdr:cNvPr>
                <xdr:cNvSpPr txBox="1"/>
              </xdr:nvSpPr>
              <xdr:spPr>
                <a:xfrm rot="21600000">
                  <a:off x="2716396" y="12847866"/>
                  <a:ext cx="38964" cy="162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ea typeface="+mn-ea"/>
                      <a:cs typeface="+mn-cs"/>
                    </a:rPr>
                    <a:t>P1</a:t>
                  </a:r>
                </a:p>
              </xdr:txBody>
            </xdr:sp>
            <xdr:grpSp>
              <xdr:nvGrpSpPr>
                <xdr:cNvPr id="830" name="Group 829">
                  <a:extLst>
                    <a:ext uri="{FF2B5EF4-FFF2-40B4-BE49-F238E27FC236}">
                      <a16:creationId xmlns:a16="http://schemas.microsoft.com/office/drawing/2014/main" id="{00000000-0008-0000-0400-00003E030000}"/>
                    </a:ext>
                  </a:extLst>
                </xdr:cNvPr>
                <xdr:cNvGrpSpPr/>
              </xdr:nvGrpSpPr>
              <xdr:grpSpPr>
                <a:xfrm>
                  <a:off x="2668980" y="12841827"/>
                  <a:ext cx="18348" cy="48037"/>
                  <a:chOff x="2668980" y="12841827"/>
                  <a:chExt cx="18348" cy="48037"/>
                </a:xfrm>
              </xdr:grpSpPr>
              <xdr:cxnSp macro="">
                <xdr:nvCxnSpPr>
                  <xdr:cNvPr id="867" name="Straight Connector 866">
                    <a:extLst>
                      <a:ext uri="{FF2B5EF4-FFF2-40B4-BE49-F238E27FC236}">
                        <a16:creationId xmlns:a16="http://schemas.microsoft.com/office/drawing/2014/main" id="{00000000-0008-0000-0400-000063030000}"/>
                      </a:ext>
                    </a:extLst>
                  </xdr:cNvPr>
                  <xdr:cNvCxnSpPr/>
                </xdr:nvCxnSpPr>
                <xdr:spPr>
                  <a:xfrm flipH="1">
                    <a:off x="2668980" y="12885420"/>
                    <a:ext cx="433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68" name="Straight Connector 867">
                    <a:extLst>
                      <a:ext uri="{FF2B5EF4-FFF2-40B4-BE49-F238E27FC236}">
                        <a16:creationId xmlns:a16="http://schemas.microsoft.com/office/drawing/2014/main" id="{00000000-0008-0000-0400-000064030000}"/>
                      </a:ext>
                    </a:extLst>
                  </xdr:cNvPr>
                  <xdr:cNvCxnSpPr/>
                </xdr:nvCxnSpPr>
                <xdr:spPr>
                  <a:xfrm flipH="1">
                    <a:off x="2668980" y="12841827"/>
                    <a:ext cx="433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69" name="Straight Connector 868">
                    <a:extLst>
                      <a:ext uri="{FF2B5EF4-FFF2-40B4-BE49-F238E27FC236}">
                        <a16:creationId xmlns:a16="http://schemas.microsoft.com/office/drawing/2014/main" id="{00000000-0008-0000-0400-000065030000}"/>
                      </a:ext>
                    </a:extLst>
                  </xdr:cNvPr>
                  <xdr:cNvCxnSpPr/>
                </xdr:nvCxnSpPr>
                <xdr:spPr>
                  <a:xfrm flipV="1">
                    <a:off x="2672382" y="12853167"/>
                    <a:ext cx="0" cy="2091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70" name="Freeform 651">
                    <a:extLst>
                      <a:ext uri="{FF2B5EF4-FFF2-40B4-BE49-F238E27FC236}">
                        <a16:creationId xmlns:a16="http://schemas.microsoft.com/office/drawing/2014/main" id="{00000000-0008-0000-0400-000066030000}"/>
                      </a:ext>
                    </a:extLst>
                  </xdr:cNvPr>
                  <xdr:cNvSpPr/>
                </xdr:nvSpPr>
                <xdr:spPr>
                  <a:xfrm>
                    <a:off x="2670491" y="12874079"/>
                    <a:ext cx="3781" cy="11341"/>
                  </a:xfrm>
                  <a:custGeom>
                    <a:avLst/>
                    <a:gdLst/>
                    <a:ahLst/>
                    <a:cxnLst/>
                    <a:rect l="0" t="0" r="0" b="0"/>
                    <a:pathLst>
                      <a:path w="3781" h="11341">
                        <a:moveTo>
                          <a:pt x="0" y="0"/>
                        </a:moveTo>
                        <a:lnTo>
                          <a:pt x="3780" y="0"/>
                        </a:lnTo>
                        <a:lnTo>
                          <a:pt x="1890" y="11340"/>
                        </a:lnTo>
                        <a:lnTo>
                          <a:pt x="1890" y="1134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71" name="Freeform 652">
                    <a:extLst>
                      <a:ext uri="{FF2B5EF4-FFF2-40B4-BE49-F238E27FC236}">
                        <a16:creationId xmlns:a16="http://schemas.microsoft.com/office/drawing/2014/main" id="{00000000-0008-0000-0400-000067030000}"/>
                      </a:ext>
                    </a:extLst>
                  </xdr:cNvPr>
                  <xdr:cNvSpPr/>
                </xdr:nvSpPr>
                <xdr:spPr>
                  <a:xfrm>
                    <a:off x="2670491" y="12841827"/>
                    <a:ext cx="3781" cy="11341"/>
                  </a:xfrm>
                  <a:custGeom>
                    <a:avLst/>
                    <a:gdLst/>
                    <a:ahLst/>
                    <a:cxnLst/>
                    <a:rect l="0" t="0" r="0" b="0"/>
                    <a:pathLst>
                      <a:path w="3781" h="11341">
                        <a:moveTo>
                          <a:pt x="0" y="11340"/>
                        </a:moveTo>
                        <a:lnTo>
                          <a:pt x="3780" y="11340"/>
                        </a:lnTo>
                        <a:lnTo>
                          <a:pt x="1890" y="0"/>
                        </a:lnTo>
                        <a:lnTo>
                          <a:pt x="189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72" name="TextBox 871">
                    <a:extLst>
                      <a:ext uri="{FF2B5EF4-FFF2-40B4-BE49-F238E27FC236}">
                        <a16:creationId xmlns:a16="http://schemas.microsoft.com/office/drawing/2014/main" id="{00000000-0008-0000-0400-000068030000}"/>
                      </a:ext>
                    </a:extLst>
                  </xdr:cNvPr>
                  <xdr:cNvSpPr txBox="1"/>
                </xdr:nvSpPr>
                <xdr:spPr>
                  <a:xfrm rot="16200000">
                    <a:off x="2664409" y="12866946"/>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h2</a:t>
                    </a:r>
                  </a:p>
                </xdr:txBody>
              </xdr:sp>
            </xdr:grpSp>
            <xdr:cxnSp macro="">
              <xdr:nvCxnSpPr>
                <xdr:cNvPr id="831" name="Straight Connector 830">
                  <a:extLst>
                    <a:ext uri="{FF2B5EF4-FFF2-40B4-BE49-F238E27FC236}">
                      <a16:creationId xmlns:a16="http://schemas.microsoft.com/office/drawing/2014/main" id="{00000000-0008-0000-0400-00003F030000}"/>
                    </a:ext>
                  </a:extLst>
                </xdr:cNvPr>
                <xdr:cNvCxnSpPr/>
              </xdr:nvCxnSpPr>
              <xdr:spPr>
                <a:xfrm flipV="1">
                  <a:off x="2639905" y="12864507"/>
                  <a:ext cx="0" cy="20913"/>
                </a:xfrm>
                <a:prstGeom prst="line">
                  <a:avLst/>
                </a:prstGeom>
                <a:ln w="3810">
                  <a:solidFill>
                    <a:srgbClr val="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832" name="Straight Connector 831">
                  <a:extLst>
                    <a:ext uri="{FF2B5EF4-FFF2-40B4-BE49-F238E27FC236}">
                      <a16:creationId xmlns:a16="http://schemas.microsoft.com/office/drawing/2014/main" id="{00000000-0008-0000-0400-000040030000}"/>
                    </a:ext>
                  </a:extLst>
                </xdr:cNvPr>
                <xdr:cNvCxnSpPr/>
              </xdr:nvCxnSpPr>
              <xdr:spPr>
                <a:xfrm flipV="1">
                  <a:off x="2680729" y="12864507"/>
                  <a:ext cx="0" cy="20913"/>
                </a:xfrm>
                <a:prstGeom prst="line">
                  <a:avLst/>
                </a:prstGeom>
                <a:ln w="3810">
                  <a:solidFill>
                    <a:srgbClr val="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833" name="Straight Connector 832">
                  <a:extLst>
                    <a:ext uri="{FF2B5EF4-FFF2-40B4-BE49-F238E27FC236}">
                      <a16:creationId xmlns:a16="http://schemas.microsoft.com/office/drawing/2014/main" id="{00000000-0008-0000-0400-000041030000}"/>
                    </a:ext>
                  </a:extLst>
                </xdr:cNvPr>
                <xdr:cNvCxnSpPr/>
              </xdr:nvCxnSpPr>
              <xdr:spPr>
                <a:xfrm>
                  <a:off x="2546237" y="12864507"/>
                  <a:ext cx="228161" cy="0"/>
                </a:xfrm>
                <a:prstGeom prst="line">
                  <a:avLst/>
                </a:prstGeom>
                <a:ln w="3810">
                  <a:solidFill>
                    <a:srgbClr val="000000"/>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834" name="Straight Connector 833">
                  <a:extLst>
                    <a:ext uri="{FF2B5EF4-FFF2-40B4-BE49-F238E27FC236}">
                      <a16:creationId xmlns:a16="http://schemas.microsoft.com/office/drawing/2014/main" id="{00000000-0008-0000-0400-000042030000}"/>
                    </a:ext>
                  </a:extLst>
                </xdr:cNvPr>
                <xdr:cNvCxnSpPr/>
              </xdr:nvCxnSpPr>
              <xdr:spPr>
                <a:xfrm flipH="1">
                  <a:off x="2639905" y="13006360"/>
                  <a:ext cx="4082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nvGrpSpPr>
                <xdr:cNvPr id="835" name="Group 834">
                  <a:extLst>
                    <a:ext uri="{FF2B5EF4-FFF2-40B4-BE49-F238E27FC236}">
                      <a16:creationId xmlns:a16="http://schemas.microsoft.com/office/drawing/2014/main" id="{00000000-0008-0000-0400-000043030000}"/>
                    </a:ext>
                  </a:extLst>
                </xdr:cNvPr>
                <xdr:cNvGrpSpPr/>
              </xdr:nvGrpSpPr>
              <xdr:grpSpPr>
                <a:xfrm>
                  <a:off x="2558824" y="12786685"/>
                  <a:ext cx="221170" cy="290256"/>
                  <a:chOff x="2558824" y="12786685"/>
                  <a:chExt cx="221170" cy="290256"/>
                </a:xfrm>
              </xdr:grpSpPr>
              <xdr:cxnSp macro="">
                <xdr:nvCxnSpPr>
                  <xdr:cNvPr id="853" name="Straight Connector 852">
                    <a:extLst>
                      <a:ext uri="{FF2B5EF4-FFF2-40B4-BE49-F238E27FC236}">
                        <a16:creationId xmlns:a16="http://schemas.microsoft.com/office/drawing/2014/main" id="{00000000-0008-0000-0400-000055030000}"/>
                      </a:ext>
                    </a:extLst>
                  </xdr:cNvPr>
                  <xdr:cNvCxnSpPr/>
                </xdr:nvCxnSpPr>
                <xdr:spPr>
                  <a:xfrm>
                    <a:off x="2639905" y="12962568"/>
                    <a:ext cx="0" cy="474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54" name="Straight Connector 853">
                    <a:extLst>
                      <a:ext uri="{FF2B5EF4-FFF2-40B4-BE49-F238E27FC236}">
                        <a16:creationId xmlns:a16="http://schemas.microsoft.com/office/drawing/2014/main" id="{00000000-0008-0000-0400-000056030000}"/>
                      </a:ext>
                    </a:extLst>
                  </xdr:cNvPr>
                  <xdr:cNvCxnSpPr/>
                </xdr:nvCxnSpPr>
                <xdr:spPr>
                  <a:xfrm>
                    <a:off x="2680729" y="12962568"/>
                    <a:ext cx="0" cy="474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55" name="Straight Connector 854">
                    <a:extLst>
                      <a:ext uri="{FF2B5EF4-FFF2-40B4-BE49-F238E27FC236}">
                        <a16:creationId xmlns:a16="http://schemas.microsoft.com/office/drawing/2014/main" id="{00000000-0008-0000-0400-000057030000}"/>
                      </a:ext>
                    </a:extLst>
                  </xdr:cNvPr>
                  <xdr:cNvCxnSpPr/>
                </xdr:nvCxnSpPr>
                <xdr:spPr>
                  <a:xfrm>
                    <a:off x="2651245" y="12963913"/>
                    <a:ext cx="1814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56" name="Freeform 645">
                    <a:extLst>
                      <a:ext uri="{FF2B5EF4-FFF2-40B4-BE49-F238E27FC236}">
                        <a16:creationId xmlns:a16="http://schemas.microsoft.com/office/drawing/2014/main" id="{00000000-0008-0000-0400-000058030000}"/>
                      </a:ext>
                    </a:extLst>
                  </xdr:cNvPr>
                  <xdr:cNvSpPr/>
                </xdr:nvSpPr>
                <xdr:spPr>
                  <a:xfrm>
                    <a:off x="2639906" y="12962024"/>
                    <a:ext cx="11341" cy="378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7" name="Freeform 646">
                    <a:extLst>
                      <a:ext uri="{FF2B5EF4-FFF2-40B4-BE49-F238E27FC236}">
                        <a16:creationId xmlns:a16="http://schemas.microsoft.com/office/drawing/2014/main" id="{00000000-0008-0000-0400-000059030000}"/>
                      </a:ext>
                    </a:extLst>
                  </xdr:cNvPr>
                  <xdr:cNvSpPr/>
                </xdr:nvSpPr>
                <xdr:spPr>
                  <a:xfrm>
                    <a:off x="2669389" y="12962024"/>
                    <a:ext cx="11341" cy="378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8" name="TextBox 857">
                    <a:extLst>
                      <a:ext uri="{FF2B5EF4-FFF2-40B4-BE49-F238E27FC236}">
                        <a16:creationId xmlns:a16="http://schemas.microsoft.com/office/drawing/2014/main" id="{00000000-0008-0000-0400-00005A030000}"/>
                      </a:ext>
                    </a:extLst>
                  </xdr:cNvPr>
                  <xdr:cNvSpPr txBox="1"/>
                </xdr:nvSpPr>
                <xdr:spPr>
                  <a:xfrm>
                    <a:off x="2654590" y="12949751"/>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D</a:t>
                    </a:r>
                  </a:p>
                </xdr:txBody>
              </xdr:sp>
              <xdr:sp macro="" textlink="">
                <xdr:nvSpPr>
                  <xdr:cNvPr id="859" name="TextBox 858">
                    <a:extLst>
                      <a:ext uri="{FF2B5EF4-FFF2-40B4-BE49-F238E27FC236}">
                        <a16:creationId xmlns:a16="http://schemas.microsoft.com/office/drawing/2014/main" id="{00000000-0008-0000-0400-00005B030000}"/>
                      </a:ext>
                    </a:extLst>
                  </xdr:cNvPr>
                  <xdr:cNvSpPr txBox="1"/>
                </xdr:nvSpPr>
                <xdr:spPr>
                  <a:xfrm>
                    <a:off x="2569376" y="13046173"/>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b5</a:t>
                    </a:r>
                  </a:p>
                </xdr:txBody>
              </xdr:sp>
              <xdr:sp macro="" textlink="">
                <xdr:nvSpPr>
                  <xdr:cNvPr id="860" name="TextBox 859">
                    <a:extLst>
                      <a:ext uri="{FF2B5EF4-FFF2-40B4-BE49-F238E27FC236}">
                        <a16:creationId xmlns:a16="http://schemas.microsoft.com/office/drawing/2014/main" id="{00000000-0008-0000-0400-00005C030000}"/>
                      </a:ext>
                    </a:extLst>
                  </xdr:cNvPr>
                  <xdr:cNvSpPr txBox="1"/>
                </xdr:nvSpPr>
                <xdr:spPr>
                  <a:xfrm>
                    <a:off x="2719599" y="13044755"/>
                    <a:ext cx="18238"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b6</a:t>
                    </a:r>
                  </a:p>
                </xdr:txBody>
              </xdr:sp>
              <xdr:sp macro="" textlink="">
                <xdr:nvSpPr>
                  <xdr:cNvPr id="861" name="TextBox 860">
                    <a:extLst>
                      <a:ext uri="{FF2B5EF4-FFF2-40B4-BE49-F238E27FC236}">
                        <a16:creationId xmlns:a16="http://schemas.microsoft.com/office/drawing/2014/main" id="{00000000-0008-0000-0400-00005D030000}"/>
                      </a:ext>
                    </a:extLst>
                  </xdr:cNvPr>
                  <xdr:cNvSpPr txBox="1"/>
                </xdr:nvSpPr>
                <xdr:spPr>
                  <a:xfrm>
                    <a:off x="2661618" y="13065315"/>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b8</a:t>
                    </a:r>
                  </a:p>
                </xdr:txBody>
              </xdr:sp>
              <xdr:sp macro="" textlink="">
                <xdr:nvSpPr>
                  <xdr:cNvPr id="862" name="TextBox 861">
                    <a:extLst>
                      <a:ext uri="{FF2B5EF4-FFF2-40B4-BE49-F238E27FC236}">
                        <a16:creationId xmlns:a16="http://schemas.microsoft.com/office/drawing/2014/main" id="{00000000-0008-0000-0400-00005E030000}"/>
                      </a:ext>
                    </a:extLst>
                  </xdr:cNvPr>
                  <xdr:cNvSpPr txBox="1"/>
                </xdr:nvSpPr>
                <xdr:spPr>
                  <a:xfrm>
                    <a:off x="2639656" y="12786685"/>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b1</a:t>
                    </a:r>
                  </a:p>
                </xdr:txBody>
              </xdr:sp>
              <xdr:sp macro="" textlink="">
                <xdr:nvSpPr>
                  <xdr:cNvPr id="863" name="TextBox 862">
                    <a:extLst>
                      <a:ext uri="{FF2B5EF4-FFF2-40B4-BE49-F238E27FC236}">
                        <a16:creationId xmlns:a16="http://schemas.microsoft.com/office/drawing/2014/main" id="{00000000-0008-0000-0400-00005F030000}"/>
                      </a:ext>
                    </a:extLst>
                  </xdr:cNvPr>
                  <xdr:cNvSpPr txBox="1"/>
                </xdr:nvSpPr>
                <xdr:spPr>
                  <a:xfrm>
                    <a:off x="2558824" y="12808553"/>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b2</a:t>
                    </a:r>
                  </a:p>
                </xdr:txBody>
              </xdr:sp>
              <xdr:sp macro="" textlink="">
                <xdr:nvSpPr>
                  <xdr:cNvPr id="864" name="TextBox 863">
                    <a:extLst>
                      <a:ext uri="{FF2B5EF4-FFF2-40B4-BE49-F238E27FC236}">
                        <a16:creationId xmlns:a16="http://schemas.microsoft.com/office/drawing/2014/main" id="{00000000-0008-0000-0400-000060030000}"/>
                      </a:ext>
                    </a:extLst>
                  </xdr:cNvPr>
                  <xdr:cNvSpPr txBox="1"/>
                </xdr:nvSpPr>
                <xdr:spPr>
                  <a:xfrm>
                    <a:off x="2745783" y="12808553"/>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b2</a:t>
                    </a:r>
                  </a:p>
                </xdr:txBody>
              </xdr:sp>
              <xdr:sp macro="" textlink="">
                <xdr:nvSpPr>
                  <xdr:cNvPr id="865" name="TextBox 864">
                    <a:extLst>
                      <a:ext uri="{FF2B5EF4-FFF2-40B4-BE49-F238E27FC236}">
                        <a16:creationId xmlns:a16="http://schemas.microsoft.com/office/drawing/2014/main" id="{00000000-0008-0000-0400-000061030000}"/>
                      </a:ext>
                    </a:extLst>
                  </xdr:cNvPr>
                  <xdr:cNvSpPr txBox="1"/>
                </xdr:nvSpPr>
                <xdr:spPr>
                  <a:xfrm>
                    <a:off x="2607554" y="12810989"/>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a:t>
                    </a:r>
                  </a:p>
                </xdr:txBody>
              </xdr:sp>
              <xdr:sp macro="" textlink="">
                <xdr:nvSpPr>
                  <xdr:cNvPr id="866" name="TextBox 865">
                    <a:extLst>
                      <a:ext uri="{FF2B5EF4-FFF2-40B4-BE49-F238E27FC236}">
                        <a16:creationId xmlns:a16="http://schemas.microsoft.com/office/drawing/2014/main" id="{00000000-0008-0000-0400-000062030000}"/>
                      </a:ext>
                    </a:extLst>
                  </xdr:cNvPr>
                  <xdr:cNvSpPr txBox="1"/>
                </xdr:nvSpPr>
                <xdr:spPr>
                  <a:xfrm>
                    <a:off x="2684540" y="12810224"/>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a:t>
                    </a:r>
                  </a:p>
                </xdr:txBody>
              </xdr:sp>
            </xdr:grpSp>
            <xdr:grpSp>
              <xdr:nvGrpSpPr>
                <xdr:cNvPr id="836" name="Group 835">
                  <a:extLst>
                    <a:ext uri="{FF2B5EF4-FFF2-40B4-BE49-F238E27FC236}">
                      <a16:creationId xmlns:a16="http://schemas.microsoft.com/office/drawing/2014/main" id="{00000000-0008-0000-0400-000044030000}"/>
                    </a:ext>
                  </a:extLst>
                </xdr:cNvPr>
                <xdr:cNvGrpSpPr/>
              </xdr:nvGrpSpPr>
              <xdr:grpSpPr>
                <a:xfrm>
                  <a:off x="2654866" y="12819147"/>
                  <a:ext cx="140766" cy="68040"/>
                  <a:chOff x="2654866" y="12819147"/>
                  <a:chExt cx="140766" cy="68040"/>
                </a:xfrm>
              </xdr:grpSpPr>
              <xdr:cxnSp macro="">
                <xdr:nvCxnSpPr>
                  <xdr:cNvPr id="845" name="Straight Connector 844">
                    <a:extLst>
                      <a:ext uri="{FF2B5EF4-FFF2-40B4-BE49-F238E27FC236}">
                        <a16:creationId xmlns:a16="http://schemas.microsoft.com/office/drawing/2014/main" id="{00000000-0008-0000-0400-00004D030000}"/>
                      </a:ext>
                    </a:extLst>
                  </xdr:cNvPr>
                  <xdr:cNvCxnSpPr/>
                </xdr:nvCxnSpPr>
                <xdr:spPr>
                  <a:xfrm>
                    <a:off x="2785794" y="12841827"/>
                    <a:ext cx="444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6" name="Straight Connector 845">
                    <a:extLst>
                      <a:ext uri="{FF2B5EF4-FFF2-40B4-BE49-F238E27FC236}">
                        <a16:creationId xmlns:a16="http://schemas.microsoft.com/office/drawing/2014/main" id="{00000000-0008-0000-0400-00004E030000}"/>
                      </a:ext>
                    </a:extLst>
                  </xdr:cNvPr>
                  <xdr:cNvCxnSpPr/>
                </xdr:nvCxnSpPr>
                <xdr:spPr>
                  <a:xfrm>
                    <a:off x="2785794" y="12864507"/>
                    <a:ext cx="444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7" name="Straight Connector 846">
                    <a:extLst>
                      <a:ext uri="{FF2B5EF4-FFF2-40B4-BE49-F238E27FC236}">
                        <a16:creationId xmlns:a16="http://schemas.microsoft.com/office/drawing/2014/main" id="{00000000-0008-0000-0400-00004F030000}"/>
                      </a:ext>
                    </a:extLst>
                  </xdr:cNvPr>
                  <xdr:cNvCxnSpPr/>
                </xdr:nvCxnSpPr>
                <xdr:spPr>
                  <a:xfrm flipV="1">
                    <a:off x="2786836" y="12819147"/>
                    <a:ext cx="0" cy="113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8" name="Straight Connector 847">
                    <a:extLst>
                      <a:ext uri="{FF2B5EF4-FFF2-40B4-BE49-F238E27FC236}">
                        <a16:creationId xmlns:a16="http://schemas.microsoft.com/office/drawing/2014/main" id="{00000000-0008-0000-0400-000050030000}"/>
                      </a:ext>
                    </a:extLst>
                  </xdr:cNvPr>
                  <xdr:cNvCxnSpPr/>
                </xdr:nvCxnSpPr>
                <xdr:spPr>
                  <a:xfrm>
                    <a:off x="2786836" y="12875847"/>
                    <a:ext cx="0" cy="113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49" name="Freeform 639">
                    <a:extLst>
                      <a:ext uri="{FF2B5EF4-FFF2-40B4-BE49-F238E27FC236}">
                        <a16:creationId xmlns:a16="http://schemas.microsoft.com/office/drawing/2014/main" id="{00000000-0008-0000-0400-000051030000}"/>
                      </a:ext>
                    </a:extLst>
                  </xdr:cNvPr>
                  <xdr:cNvSpPr/>
                </xdr:nvSpPr>
                <xdr:spPr>
                  <a:xfrm>
                    <a:off x="2784946" y="12830487"/>
                    <a:ext cx="3781" cy="11341"/>
                  </a:xfrm>
                  <a:custGeom>
                    <a:avLst/>
                    <a:gdLst/>
                    <a:ahLst/>
                    <a:cxnLst/>
                    <a:rect l="0" t="0" r="0" b="0"/>
                    <a:pathLst>
                      <a:path w="3781" h="11341">
                        <a:moveTo>
                          <a:pt x="0" y="0"/>
                        </a:moveTo>
                        <a:lnTo>
                          <a:pt x="3780" y="0"/>
                        </a:lnTo>
                        <a:lnTo>
                          <a:pt x="1890" y="11340"/>
                        </a:lnTo>
                        <a:lnTo>
                          <a:pt x="1890" y="1134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0" name="Freeform 640">
                    <a:extLst>
                      <a:ext uri="{FF2B5EF4-FFF2-40B4-BE49-F238E27FC236}">
                        <a16:creationId xmlns:a16="http://schemas.microsoft.com/office/drawing/2014/main" id="{00000000-0008-0000-0400-000052030000}"/>
                      </a:ext>
                    </a:extLst>
                  </xdr:cNvPr>
                  <xdr:cNvSpPr/>
                </xdr:nvSpPr>
                <xdr:spPr>
                  <a:xfrm>
                    <a:off x="2784946" y="12864507"/>
                    <a:ext cx="3781" cy="11341"/>
                  </a:xfrm>
                  <a:custGeom>
                    <a:avLst/>
                    <a:gdLst/>
                    <a:ahLst/>
                    <a:cxnLst/>
                    <a:rect l="0" t="0" r="0" b="0"/>
                    <a:pathLst>
                      <a:path w="3781" h="11341">
                        <a:moveTo>
                          <a:pt x="0" y="11340"/>
                        </a:moveTo>
                        <a:lnTo>
                          <a:pt x="3780" y="11340"/>
                        </a:lnTo>
                        <a:lnTo>
                          <a:pt x="1890" y="0"/>
                        </a:lnTo>
                        <a:lnTo>
                          <a:pt x="189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1" name="TextBox 850">
                    <a:extLst>
                      <a:ext uri="{FF2B5EF4-FFF2-40B4-BE49-F238E27FC236}">
                        <a16:creationId xmlns:a16="http://schemas.microsoft.com/office/drawing/2014/main" id="{00000000-0008-0000-0400-000053030000}"/>
                      </a:ext>
                    </a:extLst>
                  </xdr:cNvPr>
                  <xdr:cNvSpPr txBox="1"/>
                </xdr:nvSpPr>
                <xdr:spPr>
                  <a:xfrm rot="16200000">
                    <a:off x="2772713" y="12834700"/>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h1</a:t>
                    </a:r>
                  </a:p>
                </xdr:txBody>
              </xdr:sp>
              <xdr:sp macro="" textlink="">
                <xdr:nvSpPr>
                  <xdr:cNvPr id="852" name="TextBox 851">
                    <a:extLst>
                      <a:ext uri="{FF2B5EF4-FFF2-40B4-BE49-F238E27FC236}">
                        <a16:creationId xmlns:a16="http://schemas.microsoft.com/office/drawing/2014/main" id="{00000000-0008-0000-0400-000054030000}"/>
                      </a:ext>
                    </a:extLst>
                  </xdr:cNvPr>
                  <xdr:cNvSpPr txBox="1"/>
                </xdr:nvSpPr>
                <xdr:spPr>
                  <a:xfrm rot="16200000">
                    <a:off x="2643573" y="12849589"/>
                    <a:ext cx="34211" cy="1162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h2</a:t>
                    </a:r>
                  </a:p>
                </xdr:txBody>
              </xdr:sp>
            </xdr:grpSp>
            <xdr:sp macro="" textlink="">
              <xdr:nvSpPr>
                <xdr:cNvPr id="837" name="Freeform 627">
                  <a:extLst>
                    <a:ext uri="{FF2B5EF4-FFF2-40B4-BE49-F238E27FC236}">
                      <a16:creationId xmlns:a16="http://schemas.microsoft.com/office/drawing/2014/main" id="{00000000-0008-0000-0400-000045030000}"/>
                    </a:ext>
                  </a:extLst>
                </xdr:cNvPr>
                <xdr:cNvSpPr/>
              </xdr:nvSpPr>
              <xdr:spPr>
                <a:xfrm>
                  <a:off x="2576173" y="12832445"/>
                  <a:ext cx="19786" cy="9383"/>
                </a:xfrm>
                <a:custGeom>
                  <a:avLst/>
                  <a:gdLst/>
                  <a:ahLst/>
                  <a:cxnLst/>
                  <a:rect l="0" t="0" r="0" b="0"/>
                  <a:pathLst>
                    <a:path w="19786" h="9383">
                      <a:moveTo>
                        <a:pt x="19785" y="0"/>
                      </a:moveTo>
                      <a:lnTo>
                        <a:pt x="0" y="0"/>
                      </a:lnTo>
                      <a:lnTo>
                        <a:pt x="0" y="9382"/>
                      </a:lnTo>
                      <a:lnTo>
                        <a:pt x="19785" y="9382"/>
                      </a:lnTo>
                      <a:lnTo>
                        <a:pt x="19785"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838" name="Straight Connector 837">
                  <a:extLst>
                    <a:ext uri="{FF2B5EF4-FFF2-40B4-BE49-F238E27FC236}">
                      <a16:creationId xmlns:a16="http://schemas.microsoft.com/office/drawing/2014/main" id="{00000000-0008-0000-0400-000046030000}"/>
                    </a:ext>
                  </a:extLst>
                </xdr:cNvPr>
                <xdr:cNvCxnSpPr/>
              </xdr:nvCxnSpPr>
              <xdr:spPr>
                <a:xfrm>
                  <a:off x="2680729" y="12885420"/>
                  <a:ext cx="0" cy="1209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39" name="Straight Connector 838">
                  <a:extLst>
                    <a:ext uri="{FF2B5EF4-FFF2-40B4-BE49-F238E27FC236}">
                      <a16:creationId xmlns:a16="http://schemas.microsoft.com/office/drawing/2014/main" id="{00000000-0008-0000-0400-000047030000}"/>
                    </a:ext>
                  </a:extLst>
                </xdr:cNvPr>
                <xdr:cNvCxnSpPr/>
              </xdr:nvCxnSpPr>
              <xdr:spPr>
                <a:xfrm>
                  <a:off x="2639905" y="12885420"/>
                  <a:ext cx="0" cy="1209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0" name="Straight Connector 839">
                  <a:extLst>
                    <a:ext uri="{FF2B5EF4-FFF2-40B4-BE49-F238E27FC236}">
                      <a16:creationId xmlns:a16="http://schemas.microsoft.com/office/drawing/2014/main" id="{00000000-0008-0000-0400-000048030000}"/>
                    </a:ext>
                  </a:extLst>
                </xdr:cNvPr>
                <xdr:cNvCxnSpPr/>
              </xdr:nvCxnSpPr>
              <xdr:spPr>
                <a:xfrm flipH="1" flipV="1">
                  <a:off x="2546237" y="12864507"/>
                  <a:ext cx="93668" cy="2091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1" name="Straight Connector 840">
                  <a:extLst>
                    <a:ext uri="{FF2B5EF4-FFF2-40B4-BE49-F238E27FC236}">
                      <a16:creationId xmlns:a16="http://schemas.microsoft.com/office/drawing/2014/main" id="{00000000-0008-0000-0400-000049030000}"/>
                    </a:ext>
                  </a:extLst>
                </xdr:cNvPr>
                <xdr:cNvCxnSpPr/>
              </xdr:nvCxnSpPr>
              <xdr:spPr>
                <a:xfrm>
                  <a:off x="2546237" y="12841827"/>
                  <a:ext cx="0" cy="2268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2" name="Straight Connector 841">
                  <a:extLst>
                    <a:ext uri="{FF2B5EF4-FFF2-40B4-BE49-F238E27FC236}">
                      <a16:creationId xmlns:a16="http://schemas.microsoft.com/office/drawing/2014/main" id="{00000000-0008-0000-0400-00004A030000}"/>
                    </a:ext>
                  </a:extLst>
                </xdr:cNvPr>
                <xdr:cNvCxnSpPr/>
              </xdr:nvCxnSpPr>
              <xdr:spPr>
                <a:xfrm flipV="1">
                  <a:off x="2680729" y="12864507"/>
                  <a:ext cx="93669" cy="2091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3" name="Straight Connector 842">
                  <a:extLst>
                    <a:ext uri="{FF2B5EF4-FFF2-40B4-BE49-F238E27FC236}">
                      <a16:creationId xmlns:a16="http://schemas.microsoft.com/office/drawing/2014/main" id="{00000000-0008-0000-0400-00004B030000}"/>
                    </a:ext>
                  </a:extLst>
                </xdr:cNvPr>
                <xdr:cNvCxnSpPr/>
              </xdr:nvCxnSpPr>
              <xdr:spPr>
                <a:xfrm>
                  <a:off x="2774398" y="12841827"/>
                  <a:ext cx="0" cy="2268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44" name="Straight Connector 843">
                  <a:extLst>
                    <a:ext uri="{FF2B5EF4-FFF2-40B4-BE49-F238E27FC236}">
                      <a16:creationId xmlns:a16="http://schemas.microsoft.com/office/drawing/2014/main" id="{00000000-0008-0000-0400-00004C030000}"/>
                    </a:ext>
                  </a:extLst>
                </xdr:cNvPr>
                <xdr:cNvCxnSpPr/>
              </xdr:nvCxnSpPr>
              <xdr:spPr>
                <a:xfrm>
                  <a:off x="2546237" y="12841827"/>
                  <a:ext cx="22816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cxnSp macro="">
            <xdr:nvCxnSpPr>
              <xdr:cNvPr id="754" name="Straight Connector 753">
                <a:extLst>
                  <a:ext uri="{FF2B5EF4-FFF2-40B4-BE49-F238E27FC236}">
                    <a16:creationId xmlns:a16="http://schemas.microsoft.com/office/drawing/2014/main" id="{00000000-0008-0000-0400-0000F2020000}"/>
                  </a:ext>
                </a:extLst>
              </xdr:cNvPr>
              <xdr:cNvCxnSpPr/>
            </xdr:nvCxnSpPr>
            <xdr:spPr>
              <a:xfrm flipH="1">
                <a:off x="5384841" y="17871657"/>
                <a:ext cx="183507"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755" name="Freeform 839">
                <a:extLst>
                  <a:ext uri="{FF2B5EF4-FFF2-40B4-BE49-F238E27FC236}">
                    <a16:creationId xmlns:a16="http://schemas.microsoft.com/office/drawing/2014/main" id="{00000000-0008-0000-0400-0000F3020000}"/>
                  </a:ext>
                </a:extLst>
              </xdr:cNvPr>
              <xdr:cNvSpPr/>
            </xdr:nvSpPr>
            <xdr:spPr>
              <a:xfrm>
                <a:off x="5508068" y="17871657"/>
                <a:ext cx="43064" cy="92835"/>
              </a:xfrm>
              <a:custGeom>
                <a:avLst/>
                <a:gdLst/>
                <a:ahLst/>
                <a:cxnLst/>
                <a:rect l="0" t="0" r="0" b="0"/>
                <a:pathLst>
                  <a:path w="6001" h="18002">
                    <a:moveTo>
                      <a:pt x="0" y="18001"/>
                    </a:moveTo>
                    <a:lnTo>
                      <a:pt x="6000" y="18001"/>
                    </a:lnTo>
                    <a:lnTo>
                      <a:pt x="3000" y="0"/>
                    </a:lnTo>
                    <a:lnTo>
                      <a:pt x="3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756" name="Group 755">
                <a:extLst>
                  <a:ext uri="{FF2B5EF4-FFF2-40B4-BE49-F238E27FC236}">
                    <a16:creationId xmlns:a16="http://schemas.microsoft.com/office/drawing/2014/main" id="{00000000-0008-0000-0400-0000F4020000}"/>
                  </a:ext>
                </a:extLst>
              </xdr:cNvPr>
              <xdr:cNvGrpSpPr/>
            </xdr:nvGrpSpPr>
            <xdr:grpSpPr>
              <a:xfrm>
                <a:off x="3641193" y="16878305"/>
                <a:ext cx="2433606" cy="4025105"/>
                <a:chOff x="3637621" y="16848539"/>
                <a:chExt cx="2430034" cy="3994847"/>
              </a:xfrm>
            </xdr:grpSpPr>
            <xdr:cxnSp macro="">
              <xdr:nvCxnSpPr>
                <xdr:cNvPr id="757" name="Straight Connector 756">
                  <a:extLst>
                    <a:ext uri="{FF2B5EF4-FFF2-40B4-BE49-F238E27FC236}">
                      <a16:creationId xmlns:a16="http://schemas.microsoft.com/office/drawing/2014/main" id="{00000000-0008-0000-0400-0000F5020000}"/>
                    </a:ext>
                  </a:extLst>
                </xdr:cNvPr>
                <xdr:cNvCxnSpPr/>
              </xdr:nvCxnSpPr>
              <xdr:spPr>
                <a:xfrm flipH="1">
                  <a:off x="5380079" y="18337672"/>
                  <a:ext cx="183507"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nvGrpSpPr>
                <xdr:cNvPr id="758" name="Group 757">
                  <a:extLst>
                    <a:ext uri="{FF2B5EF4-FFF2-40B4-BE49-F238E27FC236}">
                      <a16:creationId xmlns:a16="http://schemas.microsoft.com/office/drawing/2014/main" id="{00000000-0008-0000-0400-0000F6020000}"/>
                    </a:ext>
                  </a:extLst>
                </xdr:cNvPr>
                <xdr:cNvGrpSpPr/>
              </xdr:nvGrpSpPr>
              <xdr:grpSpPr>
                <a:xfrm>
                  <a:off x="3637621" y="16848539"/>
                  <a:ext cx="2430034" cy="3994847"/>
                  <a:chOff x="3637621" y="16848539"/>
                  <a:chExt cx="2430034" cy="3994847"/>
                </a:xfrm>
              </xdr:grpSpPr>
              <xdr:cxnSp macro="">
                <xdr:nvCxnSpPr>
                  <xdr:cNvPr id="759" name="Straight Connector 758">
                    <a:extLst>
                      <a:ext uri="{FF2B5EF4-FFF2-40B4-BE49-F238E27FC236}">
                        <a16:creationId xmlns:a16="http://schemas.microsoft.com/office/drawing/2014/main" id="{00000000-0008-0000-0400-0000F7020000}"/>
                      </a:ext>
                    </a:extLst>
                  </xdr:cNvPr>
                  <xdr:cNvCxnSpPr/>
                </xdr:nvCxnSpPr>
                <xdr:spPr>
                  <a:xfrm>
                    <a:off x="5524835" y="17926386"/>
                    <a:ext cx="0" cy="31753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nvGrpSpPr>
                  <xdr:cNvPr id="760" name="Group 759">
                    <a:extLst>
                      <a:ext uri="{FF2B5EF4-FFF2-40B4-BE49-F238E27FC236}">
                        <a16:creationId xmlns:a16="http://schemas.microsoft.com/office/drawing/2014/main" id="{00000000-0008-0000-0400-0000F8020000}"/>
                      </a:ext>
                    </a:extLst>
                  </xdr:cNvPr>
                  <xdr:cNvGrpSpPr/>
                </xdr:nvGrpSpPr>
                <xdr:grpSpPr>
                  <a:xfrm>
                    <a:off x="3637621" y="16848539"/>
                    <a:ext cx="2430034" cy="3994847"/>
                    <a:chOff x="3645275" y="16959949"/>
                    <a:chExt cx="2430885" cy="4059686"/>
                  </a:xfrm>
                </xdr:grpSpPr>
                <xdr:cxnSp macro="">
                  <xdr:nvCxnSpPr>
                    <xdr:cNvPr id="761" name="Straight Connector 760">
                      <a:extLst>
                        <a:ext uri="{FF2B5EF4-FFF2-40B4-BE49-F238E27FC236}">
                          <a16:creationId xmlns:a16="http://schemas.microsoft.com/office/drawing/2014/main" id="{00000000-0008-0000-0400-0000F9020000}"/>
                        </a:ext>
                      </a:extLst>
                    </xdr:cNvPr>
                    <xdr:cNvCxnSpPr/>
                  </xdr:nvCxnSpPr>
                  <xdr:spPr>
                    <a:xfrm>
                      <a:off x="4453420" y="19030043"/>
                      <a:ext cx="233423"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762" name="Freeform 832">
                      <a:extLst>
                        <a:ext uri="{FF2B5EF4-FFF2-40B4-BE49-F238E27FC236}">
                          <a16:creationId xmlns:a16="http://schemas.microsoft.com/office/drawing/2014/main" id="{00000000-0008-0000-0400-0000FA020000}"/>
                        </a:ext>
                      </a:extLst>
                    </xdr:cNvPr>
                    <xdr:cNvSpPr/>
                  </xdr:nvSpPr>
                  <xdr:spPr>
                    <a:xfrm>
                      <a:off x="4330437" y="19004908"/>
                      <a:ext cx="123005" cy="50311"/>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63" name="Freeform 833">
                      <a:extLst>
                        <a:ext uri="{FF2B5EF4-FFF2-40B4-BE49-F238E27FC236}">
                          <a16:creationId xmlns:a16="http://schemas.microsoft.com/office/drawing/2014/main" id="{00000000-0008-0000-0400-0000FB020000}"/>
                        </a:ext>
                      </a:extLst>
                    </xdr:cNvPr>
                    <xdr:cNvSpPr/>
                  </xdr:nvSpPr>
                  <xdr:spPr>
                    <a:xfrm>
                      <a:off x="4683842" y="19004908"/>
                      <a:ext cx="122132" cy="50311"/>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764" name="Group 763">
                      <a:extLst>
                        <a:ext uri="{FF2B5EF4-FFF2-40B4-BE49-F238E27FC236}">
                          <a16:creationId xmlns:a16="http://schemas.microsoft.com/office/drawing/2014/main" id="{00000000-0008-0000-0400-0000FC020000}"/>
                        </a:ext>
                      </a:extLst>
                    </xdr:cNvPr>
                    <xdr:cNvGrpSpPr/>
                  </xdr:nvGrpSpPr>
                  <xdr:grpSpPr>
                    <a:xfrm>
                      <a:off x="3645275" y="16959949"/>
                      <a:ext cx="2430885" cy="4059686"/>
                      <a:chOff x="3641193" y="16878304"/>
                      <a:chExt cx="2433606" cy="4025105"/>
                    </a:xfrm>
                  </xdr:grpSpPr>
                  <xdr:sp macro="" textlink="">
                    <xdr:nvSpPr>
                      <xdr:cNvPr id="765" name="Freeform 840">
                        <a:extLst>
                          <a:ext uri="{FF2B5EF4-FFF2-40B4-BE49-F238E27FC236}">
                            <a16:creationId xmlns:a16="http://schemas.microsoft.com/office/drawing/2014/main" id="{00000000-0008-0000-0400-0000FD020000}"/>
                          </a:ext>
                        </a:extLst>
                      </xdr:cNvPr>
                      <xdr:cNvSpPr/>
                    </xdr:nvSpPr>
                    <xdr:spPr>
                      <a:xfrm>
                        <a:off x="5508068" y="18284412"/>
                        <a:ext cx="43064" cy="93746"/>
                      </a:xfrm>
                      <a:custGeom>
                        <a:avLst/>
                        <a:gdLst/>
                        <a:ahLst/>
                        <a:cxnLst/>
                        <a:rect l="0" t="0" r="0" b="0"/>
                        <a:pathLst>
                          <a:path w="6001" h="18000">
                            <a:moveTo>
                              <a:pt x="0" y="0"/>
                            </a:moveTo>
                            <a:lnTo>
                              <a:pt x="6000" y="0"/>
                            </a:lnTo>
                            <a:lnTo>
                              <a:pt x="3000" y="17999"/>
                            </a:lnTo>
                            <a:lnTo>
                              <a:pt x="3000" y="17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766" name="Group 765">
                        <a:extLst>
                          <a:ext uri="{FF2B5EF4-FFF2-40B4-BE49-F238E27FC236}">
                            <a16:creationId xmlns:a16="http://schemas.microsoft.com/office/drawing/2014/main" id="{00000000-0008-0000-0400-0000FE020000}"/>
                          </a:ext>
                        </a:extLst>
                      </xdr:cNvPr>
                      <xdr:cNvGrpSpPr/>
                    </xdr:nvGrpSpPr>
                    <xdr:grpSpPr>
                      <a:xfrm>
                        <a:off x="3641193" y="16878304"/>
                        <a:ext cx="2433606" cy="4025105"/>
                        <a:chOff x="3641193" y="16878304"/>
                        <a:chExt cx="2433606" cy="4025105"/>
                      </a:xfrm>
                    </xdr:grpSpPr>
                    <xdr:grpSp>
                      <xdr:nvGrpSpPr>
                        <xdr:cNvPr id="767" name="Group 766">
                          <a:extLst>
                            <a:ext uri="{FF2B5EF4-FFF2-40B4-BE49-F238E27FC236}">
                              <a16:creationId xmlns:a16="http://schemas.microsoft.com/office/drawing/2014/main" id="{00000000-0008-0000-0400-0000FF020000}"/>
                            </a:ext>
                          </a:extLst>
                        </xdr:cNvPr>
                        <xdr:cNvGrpSpPr/>
                      </xdr:nvGrpSpPr>
                      <xdr:grpSpPr>
                        <a:xfrm>
                          <a:off x="3641193" y="16878304"/>
                          <a:ext cx="2433606" cy="4025105"/>
                          <a:chOff x="3603093" y="16878304"/>
                          <a:chExt cx="2433606" cy="4025105"/>
                        </a:xfrm>
                      </xdr:grpSpPr>
                      <xdr:grpSp>
                        <xdr:nvGrpSpPr>
                          <xdr:cNvPr id="771" name="Group 770">
                            <a:extLst>
                              <a:ext uri="{FF2B5EF4-FFF2-40B4-BE49-F238E27FC236}">
                                <a16:creationId xmlns:a16="http://schemas.microsoft.com/office/drawing/2014/main" id="{00000000-0008-0000-0400-000003030000}"/>
                              </a:ext>
                            </a:extLst>
                          </xdr:cNvPr>
                          <xdr:cNvGrpSpPr/>
                        </xdr:nvGrpSpPr>
                        <xdr:grpSpPr>
                          <a:xfrm>
                            <a:off x="3603093" y="16878304"/>
                            <a:ext cx="2433606" cy="4025105"/>
                            <a:chOff x="2486059" y="19691948"/>
                            <a:chExt cx="322867" cy="777145"/>
                          </a:xfrm>
                        </xdr:grpSpPr>
                        <xdr:sp macro="" textlink="">
                          <xdr:nvSpPr>
                            <xdr:cNvPr id="773" name="TextBox 772">
                              <a:extLst>
                                <a:ext uri="{FF2B5EF4-FFF2-40B4-BE49-F238E27FC236}">
                                  <a16:creationId xmlns:a16="http://schemas.microsoft.com/office/drawing/2014/main" id="{00000000-0008-0000-0400-000005030000}"/>
                                </a:ext>
                              </a:extLst>
                            </xdr:cNvPr>
                            <xdr:cNvSpPr txBox="1"/>
                          </xdr:nvSpPr>
                          <xdr:spPr>
                            <a:xfrm rot="16200000">
                              <a:off x="2757332" y="20105621"/>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7871</a:t>
                              </a:r>
                            </a:p>
                          </xdr:txBody>
                        </xdr:sp>
                        <xdr:sp macro="" textlink="">
                          <xdr:nvSpPr>
                            <xdr:cNvPr id="774" name="TextBox 773">
                              <a:extLst>
                                <a:ext uri="{FF2B5EF4-FFF2-40B4-BE49-F238E27FC236}">
                                  <a16:creationId xmlns:a16="http://schemas.microsoft.com/office/drawing/2014/main" id="{00000000-0008-0000-0400-000006030000}"/>
                                </a:ext>
                              </a:extLst>
                            </xdr:cNvPr>
                            <xdr:cNvSpPr txBox="1"/>
                          </xdr:nvSpPr>
                          <xdr:spPr>
                            <a:xfrm rot="16200000">
                              <a:off x="2707847" y="19916510"/>
                              <a:ext cx="39846" cy="335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h4</a:t>
                              </a:r>
                            </a:p>
                            <a:p>
                              <a:pPr algn="l"/>
                              <a:endParaRPr lang="en-US" sz="900">
                                <a:solidFill>
                                  <a:srgbClr val="000000"/>
                                </a:solidFill>
                                <a:latin typeface="Arial" panose="020B0604020202020204" pitchFamily="34" charset="0"/>
                              </a:endParaRPr>
                            </a:p>
                          </xdr:txBody>
                        </xdr:sp>
                        <xdr:sp macro="" textlink="">
                          <xdr:nvSpPr>
                            <xdr:cNvPr id="775" name="TextBox 774">
                              <a:extLst>
                                <a:ext uri="{FF2B5EF4-FFF2-40B4-BE49-F238E27FC236}">
                                  <a16:creationId xmlns:a16="http://schemas.microsoft.com/office/drawing/2014/main" id="{00000000-0008-0000-0400-000007030000}"/>
                                </a:ext>
                              </a:extLst>
                            </xdr:cNvPr>
                            <xdr:cNvSpPr txBox="1"/>
                          </xdr:nvSpPr>
                          <xdr:spPr>
                            <a:xfrm>
                              <a:off x="2666594" y="19933806"/>
                              <a:ext cx="44402" cy="3321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HFL</a:t>
                              </a:r>
                            </a:p>
                          </xdr:txBody>
                        </xdr:sp>
                        <xdr:cxnSp macro="">
                          <xdr:nvCxnSpPr>
                            <xdr:cNvPr id="776" name="Straight Connector 775">
                              <a:extLst>
                                <a:ext uri="{FF2B5EF4-FFF2-40B4-BE49-F238E27FC236}">
                                  <a16:creationId xmlns:a16="http://schemas.microsoft.com/office/drawing/2014/main" id="{00000000-0008-0000-0400-000008030000}"/>
                                </a:ext>
                              </a:extLst>
                            </xdr:cNvPr>
                            <xdr:cNvCxnSpPr/>
                          </xdr:nvCxnSpPr>
                          <xdr:spPr>
                            <a:xfrm flipH="1">
                              <a:off x="2666378" y="19968041"/>
                              <a:ext cx="6480" cy="1296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77" name="Straight Connector 776">
                              <a:extLst>
                                <a:ext uri="{FF2B5EF4-FFF2-40B4-BE49-F238E27FC236}">
                                  <a16:creationId xmlns:a16="http://schemas.microsoft.com/office/drawing/2014/main" id="{00000000-0008-0000-0400-000009030000}"/>
                                </a:ext>
                              </a:extLst>
                            </xdr:cNvPr>
                            <xdr:cNvCxnSpPr/>
                          </xdr:nvCxnSpPr>
                          <xdr:spPr>
                            <a:xfrm>
                              <a:off x="2659398" y="19968631"/>
                              <a:ext cx="1296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78" name="Straight Connector 777">
                              <a:extLst>
                                <a:ext uri="{FF2B5EF4-FFF2-40B4-BE49-F238E27FC236}">
                                  <a16:creationId xmlns:a16="http://schemas.microsoft.com/office/drawing/2014/main" id="{00000000-0008-0000-0400-00000A030000}"/>
                                </a:ext>
                              </a:extLst>
                            </xdr:cNvPr>
                            <xdr:cNvCxnSpPr/>
                          </xdr:nvCxnSpPr>
                          <xdr:spPr>
                            <a:xfrm flipH="1" flipV="1">
                              <a:off x="2659398" y="19968041"/>
                              <a:ext cx="6480" cy="1296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79" name="Straight Connector 778">
                              <a:extLst>
                                <a:ext uri="{FF2B5EF4-FFF2-40B4-BE49-F238E27FC236}">
                                  <a16:creationId xmlns:a16="http://schemas.microsoft.com/office/drawing/2014/main" id="{00000000-0008-0000-0400-00000B030000}"/>
                                </a:ext>
                              </a:extLst>
                            </xdr:cNvPr>
                            <xdr:cNvCxnSpPr/>
                          </xdr:nvCxnSpPr>
                          <xdr:spPr>
                            <a:xfrm>
                              <a:off x="2644994" y="19981592"/>
                              <a:ext cx="44512"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780" name="TextBox 779">
                              <a:extLst>
                                <a:ext uri="{FF2B5EF4-FFF2-40B4-BE49-F238E27FC236}">
                                  <a16:creationId xmlns:a16="http://schemas.microsoft.com/office/drawing/2014/main" id="{00000000-0008-0000-0400-00000C030000}"/>
                                </a:ext>
                              </a:extLst>
                            </xdr:cNvPr>
                            <xdr:cNvSpPr txBox="1"/>
                          </xdr:nvSpPr>
                          <xdr:spPr>
                            <a:xfrm>
                              <a:off x="2613946" y="20062196"/>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2744</a:t>
                              </a:r>
                            </a:p>
                          </xdr:txBody>
                        </xdr:sp>
                        <xdr:sp macro="" textlink="">
                          <xdr:nvSpPr>
                            <xdr:cNvPr id="781" name="TextBox 780">
                              <a:extLst>
                                <a:ext uri="{FF2B5EF4-FFF2-40B4-BE49-F238E27FC236}">
                                  <a16:creationId xmlns:a16="http://schemas.microsoft.com/office/drawing/2014/main" id="{00000000-0008-0000-0400-00000D030000}"/>
                                </a:ext>
                              </a:extLst>
                            </xdr:cNvPr>
                            <xdr:cNvSpPr txBox="1"/>
                          </xdr:nvSpPr>
                          <xdr:spPr>
                            <a:xfrm rot="16200000">
                              <a:off x="2711902" y="20003567"/>
                              <a:ext cx="113719" cy="8032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12895</a:t>
                              </a:r>
                            </a:p>
                          </xdr:txBody>
                        </xdr:sp>
                        <xdr:grpSp>
                          <xdr:nvGrpSpPr>
                            <xdr:cNvPr id="782" name="Group 781">
                              <a:extLst>
                                <a:ext uri="{FF2B5EF4-FFF2-40B4-BE49-F238E27FC236}">
                                  <a16:creationId xmlns:a16="http://schemas.microsoft.com/office/drawing/2014/main" id="{00000000-0008-0000-0400-00000E030000}"/>
                                </a:ext>
                              </a:extLst>
                            </xdr:cNvPr>
                            <xdr:cNvGrpSpPr/>
                          </xdr:nvGrpSpPr>
                          <xdr:grpSpPr>
                            <a:xfrm>
                              <a:off x="2510390" y="19783034"/>
                              <a:ext cx="16356" cy="97783"/>
                              <a:chOff x="2510390" y="19783034"/>
                              <a:chExt cx="16356" cy="97783"/>
                            </a:xfrm>
                          </xdr:grpSpPr>
                          <xdr:cxnSp macro="">
                            <xdr:nvCxnSpPr>
                              <xdr:cNvPr id="808" name="Straight Connector 807">
                                <a:extLst>
                                  <a:ext uri="{FF2B5EF4-FFF2-40B4-BE49-F238E27FC236}">
                                    <a16:creationId xmlns:a16="http://schemas.microsoft.com/office/drawing/2014/main" id="{00000000-0008-0000-0400-000028030000}"/>
                                  </a:ext>
                                </a:extLst>
                              </xdr:cNvPr>
                              <xdr:cNvCxnSpPr/>
                            </xdr:nvCxnSpPr>
                            <xdr:spPr>
                              <a:xfrm flipH="1">
                                <a:off x="2510390" y="19783034"/>
                                <a:ext cx="108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09" name="Straight Connector 808">
                                <a:extLst>
                                  <a:ext uri="{FF2B5EF4-FFF2-40B4-BE49-F238E27FC236}">
                                    <a16:creationId xmlns:a16="http://schemas.microsoft.com/office/drawing/2014/main" id="{00000000-0008-0000-0400-000029030000}"/>
                                  </a:ext>
                                </a:extLst>
                              </xdr:cNvPr>
                              <xdr:cNvCxnSpPr/>
                            </xdr:nvCxnSpPr>
                            <xdr:spPr>
                              <a:xfrm flipH="1">
                                <a:off x="2510390" y="19880816"/>
                                <a:ext cx="108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10" name="Straight Connector 809">
                                <a:extLst>
                                  <a:ext uri="{FF2B5EF4-FFF2-40B4-BE49-F238E27FC236}">
                                    <a16:creationId xmlns:a16="http://schemas.microsoft.com/office/drawing/2014/main" id="{00000000-0008-0000-0400-00002A030000}"/>
                                  </a:ext>
                                </a:extLst>
                              </xdr:cNvPr>
                              <xdr:cNvCxnSpPr/>
                            </xdr:nvCxnSpPr>
                            <xdr:spPr>
                              <a:xfrm>
                                <a:off x="2515790" y="19801035"/>
                                <a:ext cx="0" cy="6178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11" name="Freeform 793">
                                <a:extLst>
                                  <a:ext uri="{FF2B5EF4-FFF2-40B4-BE49-F238E27FC236}">
                                    <a16:creationId xmlns:a16="http://schemas.microsoft.com/office/drawing/2014/main" id="{00000000-0008-0000-0400-00002B030000}"/>
                                  </a:ext>
                                </a:extLst>
                              </xdr:cNvPr>
                              <xdr:cNvSpPr/>
                            </xdr:nvSpPr>
                            <xdr:spPr>
                              <a:xfrm>
                                <a:off x="2512790" y="19783034"/>
                                <a:ext cx="6001" cy="18002"/>
                              </a:xfrm>
                              <a:custGeom>
                                <a:avLst/>
                                <a:gdLst/>
                                <a:ahLst/>
                                <a:cxnLst/>
                                <a:rect l="0" t="0" r="0" b="0"/>
                                <a:pathLst>
                                  <a:path w="6001" h="18002">
                                    <a:moveTo>
                                      <a:pt x="0" y="18001"/>
                                    </a:moveTo>
                                    <a:lnTo>
                                      <a:pt x="6000" y="18001"/>
                                    </a:lnTo>
                                    <a:lnTo>
                                      <a:pt x="3000" y="0"/>
                                    </a:lnTo>
                                    <a:lnTo>
                                      <a:pt x="3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12" name="Freeform 794">
                                <a:extLst>
                                  <a:ext uri="{FF2B5EF4-FFF2-40B4-BE49-F238E27FC236}">
                                    <a16:creationId xmlns:a16="http://schemas.microsoft.com/office/drawing/2014/main" id="{00000000-0008-0000-0400-00002C030000}"/>
                                  </a:ext>
                                </a:extLst>
                              </xdr:cNvPr>
                              <xdr:cNvSpPr/>
                            </xdr:nvSpPr>
                            <xdr:spPr>
                              <a:xfrm>
                                <a:off x="2512790" y="19862817"/>
                                <a:ext cx="6001" cy="18000"/>
                              </a:xfrm>
                              <a:custGeom>
                                <a:avLst/>
                                <a:gdLst/>
                                <a:ahLst/>
                                <a:cxnLst/>
                                <a:rect l="0" t="0" r="0" b="0"/>
                                <a:pathLst>
                                  <a:path w="6001" h="18000">
                                    <a:moveTo>
                                      <a:pt x="0" y="0"/>
                                    </a:moveTo>
                                    <a:lnTo>
                                      <a:pt x="6000" y="0"/>
                                    </a:lnTo>
                                    <a:lnTo>
                                      <a:pt x="3000" y="17999"/>
                                    </a:lnTo>
                                    <a:lnTo>
                                      <a:pt x="3000" y="17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13" name="TextBox 812">
                                <a:extLst>
                                  <a:ext uri="{FF2B5EF4-FFF2-40B4-BE49-F238E27FC236}">
                                    <a16:creationId xmlns:a16="http://schemas.microsoft.com/office/drawing/2014/main" id="{00000000-0008-0000-0400-00002D030000}"/>
                                  </a:ext>
                                </a:extLst>
                              </xdr:cNvPr>
                              <xdr:cNvSpPr txBox="1"/>
                            </xdr:nvSpPr>
                            <xdr:spPr>
                              <a:xfrm rot="16200000">
                                <a:off x="2513953" y="19831974"/>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2716</a:t>
                                </a:r>
                              </a:p>
                            </xdr:txBody>
                          </xdr:sp>
                        </xdr:grpSp>
                        <xdr:grpSp>
                          <xdr:nvGrpSpPr>
                            <xdr:cNvPr id="783" name="Group 782">
                              <a:extLst>
                                <a:ext uri="{FF2B5EF4-FFF2-40B4-BE49-F238E27FC236}">
                                  <a16:creationId xmlns:a16="http://schemas.microsoft.com/office/drawing/2014/main" id="{00000000-0008-0000-0400-00000F030000}"/>
                                </a:ext>
                              </a:extLst>
                            </xdr:cNvPr>
                            <xdr:cNvGrpSpPr/>
                          </xdr:nvGrpSpPr>
                          <xdr:grpSpPr>
                            <a:xfrm>
                              <a:off x="2540000" y="19855266"/>
                              <a:ext cx="148003" cy="8400"/>
                              <a:chOff x="2540000" y="19855266"/>
                              <a:chExt cx="148003" cy="8400"/>
                            </a:xfrm>
                          </xdr:grpSpPr>
                          <xdr:cxnSp macro="">
                            <xdr:nvCxnSpPr>
                              <xdr:cNvPr id="802" name="Straight Connector 801">
                                <a:extLst>
                                  <a:ext uri="{FF2B5EF4-FFF2-40B4-BE49-F238E27FC236}">
                                    <a16:creationId xmlns:a16="http://schemas.microsoft.com/office/drawing/2014/main" id="{00000000-0008-0000-0400-000022030000}"/>
                                  </a:ext>
                                </a:extLst>
                              </xdr:cNvPr>
                              <xdr:cNvCxnSpPr/>
                            </xdr:nvCxnSpPr>
                            <xdr:spPr>
                              <a:xfrm flipV="1">
                                <a:off x="2540000" y="19855266"/>
                                <a:ext cx="0" cy="53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03" name="Straight Connector 802">
                                <a:extLst>
                                  <a:ext uri="{FF2B5EF4-FFF2-40B4-BE49-F238E27FC236}">
                                    <a16:creationId xmlns:a16="http://schemas.microsoft.com/office/drawing/2014/main" id="{00000000-0008-0000-0400-000023030000}"/>
                                  </a:ext>
                                </a:extLst>
                              </xdr:cNvPr>
                              <xdr:cNvCxnSpPr/>
                            </xdr:nvCxnSpPr>
                            <xdr:spPr>
                              <a:xfrm flipV="1">
                                <a:off x="2688002" y="19855266"/>
                                <a:ext cx="0" cy="53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804" name="Straight Connector 803">
                                <a:extLst>
                                  <a:ext uri="{FF2B5EF4-FFF2-40B4-BE49-F238E27FC236}">
                                    <a16:creationId xmlns:a16="http://schemas.microsoft.com/office/drawing/2014/main" id="{00000000-0008-0000-0400-000024030000}"/>
                                  </a:ext>
                                </a:extLst>
                              </xdr:cNvPr>
                              <xdr:cNvCxnSpPr/>
                            </xdr:nvCxnSpPr>
                            <xdr:spPr>
                              <a:xfrm>
                                <a:off x="2558000" y="19860665"/>
                                <a:ext cx="112002"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805" name="Freeform 787">
                                <a:extLst>
                                  <a:ext uri="{FF2B5EF4-FFF2-40B4-BE49-F238E27FC236}">
                                    <a16:creationId xmlns:a16="http://schemas.microsoft.com/office/drawing/2014/main" id="{00000000-0008-0000-0400-000025030000}"/>
                                  </a:ext>
                                </a:extLst>
                              </xdr:cNvPr>
                              <xdr:cNvSpPr/>
                            </xdr:nvSpPr>
                            <xdr:spPr>
                              <a:xfrm>
                                <a:off x="2540001" y="19857665"/>
                                <a:ext cx="18001" cy="6001"/>
                              </a:xfrm>
                              <a:custGeom>
                                <a:avLst/>
                                <a:gdLst/>
                                <a:ahLst/>
                                <a:cxnLst/>
                                <a:rect l="0" t="0" r="0" b="0"/>
                                <a:pathLst>
                                  <a:path w="18001" h="6001">
                                    <a:moveTo>
                                      <a:pt x="18000" y="0"/>
                                    </a:moveTo>
                                    <a:lnTo>
                                      <a:pt x="18000" y="6000"/>
                                    </a:lnTo>
                                    <a:lnTo>
                                      <a:pt x="0" y="3000"/>
                                    </a:lnTo>
                                    <a:lnTo>
                                      <a:pt x="0" y="300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06" name="Freeform 788">
                                <a:extLst>
                                  <a:ext uri="{FF2B5EF4-FFF2-40B4-BE49-F238E27FC236}">
                                    <a16:creationId xmlns:a16="http://schemas.microsoft.com/office/drawing/2014/main" id="{00000000-0008-0000-0400-000026030000}"/>
                                  </a:ext>
                                </a:extLst>
                              </xdr:cNvPr>
                              <xdr:cNvSpPr/>
                            </xdr:nvSpPr>
                            <xdr:spPr>
                              <a:xfrm>
                                <a:off x="2670002" y="19857665"/>
                                <a:ext cx="18001" cy="6001"/>
                              </a:xfrm>
                              <a:custGeom>
                                <a:avLst/>
                                <a:gdLst/>
                                <a:ahLst/>
                                <a:cxnLst/>
                                <a:rect l="0" t="0" r="0" b="0"/>
                                <a:pathLst>
                                  <a:path w="18001" h="6001">
                                    <a:moveTo>
                                      <a:pt x="0" y="0"/>
                                    </a:moveTo>
                                    <a:lnTo>
                                      <a:pt x="0" y="6000"/>
                                    </a:lnTo>
                                    <a:lnTo>
                                      <a:pt x="18000" y="3000"/>
                                    </a:lnTo>
                                    <a:lnTo>
                                      <a:pt x="18000" y="300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07" name="TextBox 806">
                                <a:extLst>
                                  <a:ext uri="{FF2B5EF4-FFF2-40B4-BE49-F238E27FC236}">
                                    <a16:creationId xmlns:a16="http://schemas.microsoft.com/office/drawing/2014/main" id="{00000000-0008-0000-0400-000027030000}"/>
                                  </a:ext>
                                </a:extLst>
                              </xdr:cNvPr>
                              <xdr:cNvSpPr txBox="1"/>
                            </xdr:nvSpPr>
                            <xdr:spPr>
                              <a:xfrm rot="21600000">
                                <a:off x="2613950" y="19858822"/>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4111</a:t>
                                </a:r>
                              </a:p>
                            </xdr:txBody>
                          </xdr:sp>
                        </xdr:grpSp>
                        <xdr:grpSp>
                          <xdr:nvGrpSpPr>
                            <xdr:cNvPr id="784" name="Group 783">
                              <a:extLst>
                                <a:ext uri="{FF2B5EF4-FFF2-40B4-BE49-F238E27FC236}">
                                  <a16:creationId xmlns:a16="http://schemas.microsoft.com/office/drawing/2014/main" id="{00000000-0008-0000-0400-000010030000}"/>
                                </a:ext>
                              </a:extLst>
                            </xdr:cNvPr>
                            <xdr:cNvGrpSpPr/>
                          </xdr:nvGrpSpPr>
                          <xdr:grpSpPr>
                            <a:xfrm>
                              <a:off x="2571321" y="19737924"/>
                              <a:ext cx="85362" cy="10801"/>
                              <a:chOff x="2571321" y="19737924"/>
                              <a:chExt cx="85362" cy="10801"/>
                            </a:xfrm>
                          </xdr:grpSpPr>
                          <xdr:cxnSp macro="">
                            <xdr:nvCxnSpPr>
                              <xdr:cNvPr id="796" name="Straight Connector 795">
                                <a:extLst>
                                  <a:ext uri="{FF2B5EF4-FFF2-40B4-BE49-F238E27FC236}">
                                    <a16:creationId xmlns:a16="http://schemas.microsoft.com/office/drawing/2014/main" id="{00000000-0008-0000-0400-00001C030000}"/>
                                  </a:ext>
                                </a:extLst>
                              </xdr:cNvPr>
                              <xdr:cNvCxnSpPr/>
                            </xdr:nvCxnSpPr>
                            <xdr:spPr>
                              <a:xfrm flipV="1">
                                <a:off x="2571322" y="19737924"/>
                                <a:ext cx="0" cy="1080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97" name="Straight Connector 796">
                                <a:extLst>
                                  <a:ext uri="{FF2B5EF4-FFF2-40B4-BE49-F238E27FC236}">
                                    <a16:creationId xmlns:a16="http://schemas.microsoft.com/office/drawing/2014/main" id="{00000000-0008-0000-0400-00001D030000}"/>
                                  </a:ext>
                                </a:extLst>
                              </xdr:cNvPr>
                              <xdr:cNvCxnSpPr/>
                            </xdr:nvCxnSpPr>
                            <xdr:spPr>
                              <a:xfrm flipV="1">
                                <a:off x="2656682" y="19737924"/>
                                <a:ext cx="0" cy="1080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798" name="Straight Connector 797">
                                <a:extLst>
                                  <a:ext uri="{FF2B5EF4-FFF2-40B4-BE49-F238E27FC236}">
                                    <a16:creationId xmlns:a16="http://schemas.microsoft.com/office/drawing/2014/main" id="{00000000-0008-0000-0400-00001E030000}"/>
                                  </a:ext>
                                </a:extLst>
                              </xdr:cNvPr>
                              <xdr:cNvCxnSpPr/>
                            </xdr:nvCxnSpPr>
                            <xdr:spPr>
                              <a:xfrm>
                                <a:off x="2589321" y="19743325"/>
                                <a:ext cx="4936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799" name="Freeform 781">
                                <a:extLst>
                                  <a:ext uri="{FF2B5EF4-FFF2-40B4-BE49-F238E27FC236}">
                                    <a16:creationId xmlns:a16="http://schemas.microsoft.com/office/drawing/2014/main" id="{00000000-0008-0000-0400-00001F030000}"/>
                                  </a:ext>
                                </a:extLst>
                              </xdr:cNvPr>
                              <xdr:cNvSpPr/>
                            </xdr:nvSpPr>
                            <xdr:spPr>
                              <a:xfrm>
                                <a:off x="2571321" y="19740325"/>
                                <a:ext cx="18001" cy="6001"/>
                              </a:xfrm>
                              <a:custGeom>
                                <a:avLst/>
                                <a:gdLst/>
                                <a:ahLst/>
                                <a:cxnLst/>
                                <a:rect l="0" t="0" r="0" b="0"/>
                                <a:pathLst>
                                  <a:path w="18001" h="6001">
                                    <a:moveTo>
                                      <a:pt x="18000" y="0"/>
                                    </a:moveTo>
                                    <a:lnTo>
                                      <a:pt x="18000" y="6000"/>
                                    </a:lnTo>
                                    <a:lnTo>
                                      <a:pt x="0" y="3000"/>
                                    </a:lnTo>
                                    <a:lnTo>
                                      <a:pt x="0" y="300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00" name="Freeform 782">
                                <a:extLst>
                                  <a:ext uri="{FF2B5EF4-FFF2-40B4-BE49-F238E27FC236}">
                                    <a16:creationId xmlns:a16="http://schemas.microsoft.com/office/drawing/2014/main" id="{00000000-0008-0000-0400-000020030000}"/>
                                  </a:ext>
                                </a:extLst>
                              </xdr:cNvPr>
                              <xdr:cNvSpPr/>
                            </xdr:nvSpPr>
                            <xdr:spPr>
                              <a:xfrm>
                                <a:off x="2638682" y="19740325"/>
                                <a:ext cx="18001" cy="6001"/>
                              </a:xfrm>
                              <a:custGeom>
                                <a:avLst/>
                                <a:gdLst/>
                                <a:ahLst/>
                                <a:cxnLst/>
                                <a:rect l="0" t="0" r="0" b="0"/>
                                <a:pathLst>
                                  <a:path w="18001" h="6001">
                                    <a:moveTo>
                                      <a:pt x="0" y="0"/>
                                    </a:moveTo>
                                    <a:lnTo>
                                      <a:pt x="0" y="6000"/>
                                    </a:lnTo>
                                    <a:lnTo>
                                      <a:pt x="18000" y="3000"/>
                                    </a:lnTo>
                                    <a:lnTo>
                                      <a:pt x="18000" y="300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01" name="TextBox 800">
                                <a:extLst>
                                  <a:ext uri="{FF2B5EF4-FFF2-40B4-BE49-F238E27FC236}">
                                    <a16:creationId xmlns:a16="http://schemas.microsoft.com/office/drawing/2014/main" id="{00000000-0008-0000-0400-000021030000}"/>
                                  </a:ext>
                                </a:extLst>
                              </xdr:cNvPr>
                              <xdr:cNvSpPr txBox="1"/>
                            </xdr:nvSpPr>
                            <xdr:spPr>
                              <a:xfrm rot="21600000">
                                <a:off x="2613949" y="19741480"/>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2371</a:t>
                                </a:r>
                              </a:p>
                            </xdr:txBody>
                          </xdr:sp>
                        </xdr:grpSp>
                        <xdr:sp macro="" textlink="">
                          <xdr:nvSpPr>
                            <xdr:cNvPr id="785" name="Freeform 772">
                              <a:extLst>
                                <a:ext uri="{FF2B5EF4-FFF2-40B4-BE49-F238E27FC236}">
                                  <a16:creationId xmlns:a16="http://schemas.microsoft.com/office/drawing/2014/main" id="{00000000-0008-0000-0400-000011030000}"/>
                                </a:ext>
                              </a:extLst>
                            </xdr:cNvPr>
                            <xdr:cNvSpPr/>
                          </xdr:nvSpPr>
                          <xdr:spPr>
                            <a:xfrm>
                              <a:off x="2642471" y="19768142"/>
                              <a:ext cx="28422" cy="14893"/>
                            </a:xfrm>
                            <a:custGeom>
                              <a:avLst/>
                              <a:gdLst/>
                              <a:ahLst/>
                              <a:cxnLst/>
                              <a:rect l="0" t="0" r="0" b="0"/>
                              <a:pathLst>
                                <a:path w="28422" h="14893">
                                  <a:moveTo>
                                    <a:pt x="28421" y="0"/>
                                  </a:moveTo>
                                  <a:lnTo>
                                    <a:pt x="0" y="0"/>
                                  </a:lnTo>
                                  <a:lnTo>
                                    <a:pt x="0" y="14892"/>
                                  </a:lnTo>
                                  <a:lnTo>
                                    <a:pt x="28421" y="14892"/>
                                  </a:lnTo>
                                  <a:lnTo>
                                    <a:pt x="28421"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6" name="TextBox 785">
                              <a:extLst>
                                <a:ext uri="{FF2B5EF4-FFF2-40B4-BE49-F238E27FC236}">
                                  <a16:creationId xmlns:a16="http://schemas.microsoft.com/office/drawing/2014/main" id="{00000000-0008-0000-0400-000012030000}"/>
                                </a:ext>
                              </a:extLst>
                            </xdr:cNvPr>
                            <xdr:cNvSpPr txBox="1"/>
                          </xdr:nvSpPr>
                          <xdr:spPr>
                            <a:xfrm>
                              <a:off x="2531695" y="20358368"/>
                              <a:ext cx="268916" cy="110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ctr"/>
                              <a:r>
                                <a:rPr lang="en-US" sz="1050">
                                  <a:solidFill>
                                    <a:srgbClr val="000000"/>
                                  </a:solidFill>
                                  <a:latin typeface="Arial" panose="020B0604020202020204" pitchFamily="34" charset="0"/>
                                </a:rPr>
                                <a:t>Cross Section of </a:t>
                              </a:r>
                            </a:p>
                            <a:p>
                              <a:pPr algn="ctr"/>
                              <a:r>
                                <a:rPr lang="en-US" sz="1050">
                                  <a:solidFill>
                                    <a:srgbClr val="000000"/>
                                  </a:solidFill>
                                  <a:latin typeface="Arial" panose="020B0604020202020204" pitchFamily="34" charset="0"/>
                                </a:rPr>
                                <a:t> Pier</a:t>
                              </a:r>
                            </a:p>
                          </xdr:txBody>
                        </xdr:sp>
                        <xdr:sp macro="" textlink="">
                          <xdr:nvSpPr>
                            <xdr:cNvPr id="787" name="Freeform 774">
                              <a:extLst>
                                <a:ext uri="{FF2B5EF4-FFF2-40B4-BE49-F238E27FC236}">
                                  <a16:creationId xmlns:a16="http://schemas.microsoft.com/office/drawing/2014/main" id="{00000000-0008-0000-0400-000013030000}"/>
                                </a:ext>
                              </a:extLst>
                            </xdr:cNvPr>
                            <xdr:cNvSpPr/>
                          </xdr:nvSpPr>
                          <xdr:spPr>
                            <a:xfrm>
                              <a:off x="2580288" y="19881396"/>
                              <a:ext cx="58803" cy="327919"/>
                            </a:xfrm>
                            <a:custGeom>
                              <a:avLst/>
                              <a:gdLst/>
                              <a:ahLst/>
                              <a:cxnLst/>
                              <a:rect l="0" t="0" r="0" b="0"/>
                              <a:pathLst>
                                <a:path w="98781" h="366447">
                                  <a:moveTo>
                                    <a:pt x="98780" y="0"/>
                                  </a:moveTo>
                                  <a:lnTo>
                                    <a:pt x="98780" y="366446"/>
                                  </a:lnTo>
                                  <a:lnTo>
                                    <a:pt x="0" y="366446"/>
                                  </a:lnTo>
                                  <a:lnTo>
                                    <a:pt x="0" y="0"/>
                                  </a:lnTo>
                                  <a:lnTo>
                                    <a:pt x="9878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8" name="Freeform 775">
                              <a:extLst>
                                <a:ext uri="{FF2B5EF4-FFF2-40B4-BE49-F238E27FC236}">
                                  <a16:creationId xmlns:a16="http://schemas.microsoft.com/office/drawing/2014/main" id="{00000000-0008-0000-0400-000014030000}"/>
                                </a:ext>
                              </a:extLst>
                            </xdr:cNvPr>
                            <xdr:cNvSpPr/>
                          </xdr:nvSpPr>
                          <xdr:spPr>
                            <a:xfrm>
                              <a:off x="2557111" y="19768142"/>
                              <a:ext cx="28421" cy="14893"/>
                            </a:xfrm>
                            <a:custGeom>
                              <a:avLst/>
                              <a:gdLst/>
                              <a:ahLst/>
                              <a:cxnLst/>
                              <a:rect l="0" t="0" r="0" b="0"/>
                              <a:pathLst>
                                <a:path w="28421" h="14893">
                                  <a:moveTo>
                                    <a:pt x="0" y="0"/>
                                  </a:moveTo>
                                  <a:lnTo>
                                    <a:pt x="28420" y="0"/>
                                  </a:lnTo>
                                  <a:lnTo>
                                    <a:pt x="28420" y="14892"/>
                                  </a:lnTo>
                                  <a:lnTo>
                                    <a:pt x="0" y="14892"/>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9" name="Freeform 776">
                              <a:extLst>
                                <a:ext uri="{FF2B5EF4-FFF2-40B4-BE49-F238E27FC236}">
                                  <a16:creationId xmlns:a16="http://schemas.microsoft.com/office/drawing/2014/main" id="{00000000-0008-0000-0400-000015030000}"/>
                                </a:ext>
                              </a:extLst>
                            </xdr:cNvPr>
                            <xdr:cNvSpPr/>
                          </xdr:nvSpPr>
                          <xdr:spPr>
                            <a:xfrm>
                              <a:off x="2540001" y="19840515"/>
                              <a:ext cx="148002" cy="40302"/>
                            </a:xfrm>
                            <a:custGeom>
                              <a:avLst/>
                              <a:gdLst/>
                              <a:ahLst/>
                              <a:cxnLst/>
                              <a:rect l="0" t="0" r="0" b="0"/>
                              <a:pathLst>
                                <a:path w="148002" h="40302">
                                  <a:moveTo>
                                    <a:pt x="148001" y="0"/>
                                  </a:moveTo>
                                  <a:lnTo>
                                    <a:pt x="148001" y="40301"/>
                                  </a:lnTo>
                                  <a:lnTo>
                                    <a:pt x="0" y="40301"/>
                                  </a:lnTo>
                                  <a:lnTo>
                                    <a:pt x="0" y="0"/>
                                  </a:lnTo>
                                  <a:lnTo>
                                    <a:pt x="148001"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0" name="Freeform 777">
                              <a:extLst>
                                <a:ext uri="{FF2B5EF4-FFF2-40B4-BE49-F238E27FC236}">
                                  <a16:creationId xmlns:a16="http://schemas.microsoft.com/office/drawing/2014/main" id="{00000000-0008-0000-0400-000016030000}"/>
                                </a:ext>
                              </a:extLst>
                            </xdr:cNvPr>
                            <xdr:cNvSpPr/>
                          </xdr:nvSpPr>
                          <xdr:spPr>
                            <a:xfrm>
                              <a:off x="2540001" y="19783034"/>
                              <a:ext cx="148002" cy="57482"/>
                            </a:xfrm>
                            <a:custGeom>
                              <a:avLst/>
                              <a:gdLst/>
                              <a:ahLst/>
                              <a:cxnLst/>
                              <a:rect l="0" t="0" r="0" b="0"/>
                              <a:pathLst>
                                <a:path w="148002" h="57482">
                                  <a:moveTo>
                                    <a:pt x="148001" y="0"/>
                                  </a:moveTo>
                                  <a:lnTo>
                                    <a:pt x="148001" y="57481"/>
                                  </a:lnTo>
                                  <a:lnTo>
                                    <a:pt x="0" y="57481"/>
                                  </a:lnTo>
                                  <a:lnTo>
                                    <a:pt x="0" y="0"/>
                                  </a:lnTo>
                                  <a:lnTo>
                                    <a:pt x="148001"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1" name="TextBox 790">
                              <a:extLst>
                                <a:ext uri="{FF2B5EF4-FFF2-40B4-BE49-F238E27FC236}">
                                  <a16:creationId xmlns:a16="http://schemas.microsoft.com/office/drawing/2014/main" id="{00000000-0008-0000-0400-000017030000}"/>
                                </a:ext>
                              </a:extLst>
                            </xdr:cNvPr>
                            <xdr:cNvSpPr txBox="1"/>
                          </xdr:nvSpPr>
                          <xdr:spPr>
                            <a:xfrm>
                              <a:off x="2608983" y="19691948"/>
                              <a:ext cx="50892" cy="666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b3</a:t>
                              </a:r>
                            </a:p>
                          </xdr:txBody>
                        </xdr:sp>
                        <xdr:sp macro="" textlink="">
                          <xdr:nvSpPr>
                            <xdr:cNvPr id="792" name="TextBox 791">
                              <a:extLst>
                                <a:ext uri="{FF2B5EF4-FFF2-40B4-BE49-F238E27FC236}">
                                  <a16:creationId xmlns:a16="http://schemas.microsoft.com/office/drawing/2014/main" id="{00000000-0008-0000-0400-000018030000}"/>
                                </a:ext>
                              </a:extLst>
                            </xdr:cNvPr>
                            <xdr:cNvSpPr txBox="1"/>
                          </xdr:nvSpPr>
                          <xdr:spPr>
                            <a:xfrm rot="16200000">
                              <a:off x="2482911" y="19804329"/>
                              <a:ext cx="39846" cy="335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h2</a:t>
                              </a:r>
                            </a:p>
                            <a:p>
                              <a:pPr algn="l"/>
                              <a:endParaRPr lang="en-US" sz="900">
                                <a:solidFill>
                                  <a:srgbClr val="000000"/>
                                </a:solidFill>
                                <a:latin typeface="Arial" panose="020B0604020202020204" pitchFamily="34" charset="0"/>
                              </a:endParaRPr>
                            </a:p>
                          </xdr:txBody>
                        </xdr:sp>
                        <xdr:sp macro="" textlink="">
                          <xdr:nvSpPr>
                            <xdr:cNvPr id="793" name="TextBox 792">
                              <a:extLst>
                                <a:ext uri="{FF2B5EF4-FFF2-40B4-BE49-F238E27FC236}">
                                  <a16:creationId xmlns:a16="http://schemas.microsoft.com/office/drawing/2014/main" id="{00000000-0008-0000-0400-000019030000}"/>
                                </a:ext>
                              </a:extLst>
                            </xdr:cNvPr>
                            <xdr:cNvSpPr txBox="1"/>
                          </xdr:nvSpPr>
                          <xdr:spPr>
                            <a:xfrm>
                              <a:off x="2596346" y="19791256"/>
                              <a:ext cx="50892" cy="666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900">
                                  <a:solidFill>
                                    <a:srgbClr val="000000"/>
                                  </a:solidFill>
                                  <a:latin typeface="Arial" panose="020B0604020202020204" pitchFamily="34" charset="0"/>
                                </a:rPr>
                                <a:t>b4</a:t>
                              </a:r>
                            </a:p>
                          </xdr:txBody>
                        </xdr:sp>
                        <xdr:sp macro="" textlink="">
                          <xdr:nvSpPr>
                            <xdr:cNvPr id="794" name="TextBox 793">
                              <a:extLst>
                                <a:ext uri="{FF2B5EF4-FFF2-40B4-BE49-F238E27FC236}">
                                  <a16:creationId xmlns:a16="http://schemas.microsoft.com/office/drawing/2014/main" id="{00000000-0008-0000-0400-00001A030000}"/>
                                </a:ext>
                              </a:extLst>
                            </xdr:cNvPr>
                            <xdr:cNvSpPr txBox="1"/>
                          </xdr:nvSpPr>
                          <xdr:spPr>
                            <a:xfrm>
                              <a:off x="2588764" y="20037687"/>
                              <a:ext cx="50892" cy="4459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ctr"/>
                              <a:r>
                                <a:rPr lang="en-US" sz="1000">
                                  <a:solidFill>
                                    <a:srgbClr val="000000"/>
                                  </a:solidFill>
                                  <a:latin typeface="Arial" panose="020B0604020202020204" pitchFamily="34" charset="0"/>
                                </a:rPr>
                                <a:t>D</a:t>
                              </a:r>
                            </a:p>
                          </xdr:txBody>
                        </xdr:sp>
                        <xdr:sp macro="" textlink="">
                          <xdr:nvSpPr>
                            <xdr:cNvPr id="795" name="TextBox 794">
                              <a:extLst>
                                <a:ext uri="{FF2B5EF4-FFF2-40B4-BE49-F238E27FC236}">
                                  <a16:creationId xmlns:a16="http://schemas.microsoft.com/office/drawing/2014/main" id="{00000000-0008-0000-0400-00001B030000}"/>
                                </a:ext>
                              </a:extLst>
                            </xdr:cNvPr>
                            <xdr:cNvSpPr txBox="1"/>
                          </xdr:nvSpPr>
                          <xdr:spPr>
                            <a:xfrm>
                              <a:off x="2597610" y="20276761"/>
                              <a:ext cx="50892" cy="666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ctr"/>
                              <a:r>
                                <a:rPr lang="en-US" sz="900">
                                  <a:solidFill>
                                    <a:srgbClr val="000000"/>
                                  </a:solidFill>
                                  <a:latin typeface="Arial" panose="020B0604020202020204" pitchFamily="34" charset="0"/>
                                </a:rPr>
                                <a:t>b9</a:t>
                              </a:r>
                            </a:p>
                          </xdr:txBody>
                        </xdr:sp>
                      </xdr:grpSp>
                      <xdr:sp macro="" textlink="">
                        <xdr:nvSpPr>
                          <xdr:cNvPr id="772" name="Freeform 820">
                            <a:extLst>
                              <a:ext uri="{FF2B5EF4-FFF2-40B4-BE49-F238E27FC236}">
                                <a16:creationId xmlns:a16="http://schemas.microsoft.com/office/drawing/2014/main" id="{00000000-0008-0000-0400-000004030000}"/>
                              </a:ext>
                            </a:extLst>
                          </xdr:cNvPr>
                          <xdr:cNvSpPr/>
                        </xdr:nvSpPr>
                        <xdr:spPr>
                          <a:xfrm>
                            <a:off x="3650408" y="19554825"/>
                            <a:ext cx="1969187" cy="353784"/>
                          </a:xfrm>
                          <a:custGeom>
                            <a:avLst/>
                            <a:gdLst/>
                            <a:ahLst/>
                            <a:cxnLst/>
                            <a:rect l="0" t="0" r="0" b="0"/>
                            <a:pathLst>
                              <a:path w="240636" h="25580">
                                <a:moveTo>
                                  <a:pt x="0" y="0"/>
                                </a:moveTo>
                                <a:lnTo>
                                  <a:pt x="240635" y="0"/>
                                </a:lnTo>
                                <a:lnTo>
                                  <a:pt x="240635" y="25579"/>
                                </a:lnTo>
                                <a:lnTo>
                                  <a:pt x="0" y="25579"/>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768" name="Straight Connector 767">
                          <a:extLst>
                            <a:ext uri="{FF2B5EF4-FFF2-40B4-BE49-F238E27FC236}">
                              <a16:creationId xmlns:a16="http://schemas.microsoft.com/office/drawing/2014/main" id="{00000000-0008-0000-0400-000000030000}"/>
                            </a:ext>
                          </a:extLst>
                        </xdr:cNvPr>
                        <xdr:cNvCxnSpPr/>
                      </xdr:nvCxnSpPr>
                      <xdr:spPr>
                        <a:xfrm>
                          <a:off x="3783948" y="20171570"/>
                          <a:ext cx="1725832"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769" name="Freeform 844">
                          <a:extLst>
                            <a:ext uri="{FF2B5EF4-FFF2-40B4-BE49-F238E27FC236}">
                              <a16:creationId xmlns:a16="http://schemas.microsoft.com/office/drawing/2014/main" id="{00000000-0008-0000-0400-000001030000}"/>
                            </a:ext>
                          </a:extLst>
                        </xdr:cNvPr>
                        <xdr:cNvSpPr/>
                      </xdr:nvSpPr>
                      <xdr:spPr>
                        <a:xfrm>
                          <a:off x="3661067" y="20144718"/>
                          <a:ext cx="122892" cy="51985"/>
                        </a:xfrm>
                        <a:custGeom>
                          <a:avLst/>
                          <a:gdLst/>
                          <a:ahLst/>
                          <a:cxnLst/>
                          <a:rect l="0" t="0" r="0" b="0"/>
                          <a:pathLst>
                            <a:path w="11341" h="3781">
                              <a:moveTo>
                                <a:pt x="11340" y="0"/>
                              </a:moveTo>
                              <a:lnTo>
                                <a:pt x="11340" y="3780"/>
                              </a:lnTo>
                              <a:lnTo>
                                <a:pt x="0" y="1890"/>
                              </a:lnTo>
                              <a:lnTo>
                                <a:pt x="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70" name="Freeform 845">
                          <a:extLst>
                            <a:ext uri="{FF2B5EF4-FFF2-40B4-BE49-F238E27FC236}">
                              <a16:creationId xmlns:a16="http://schemas.microsoft.com/office/drawing/2014/main" id="{00000000-0008-0000-0400-000002030000}"/>
                            </a:ext>
                          </a:extLst>
                        </xdr:cNvPr>
                        <xdr:cNvSpPr/>
                      </xdr:nvSpPr>
                      <xdr:spPr>
                        <a:xfrm>
                          <a:off x="5393338" y="20144718"/>
                          <a:ext cx="226801" cy="51985"/>
                        </a:xfrm>
                        <a:custGeom>
                          <a:avLst/>
                          <a:gdLst/>
                          <a:ahLst/>
                          <a:cxnLst/>
                          <a:rect l="0" t="0" r="0" b="0"/>
                          <a:pathLst>
                            <a:path w="11341" h="3781">
                              <a:moveTo>
                                <a:pt x="0" y="0"/>
                              </a:moveTo>
                              <a:lnTo>
                                <a:pt x="0" y="3780"/>
                              </a:lnTo>
                              <a:lnTo>
                                <a:pt x="11340" y="1890"/>
                              </a:lnTo>
                              <a:lnTo>
                                <a:pt x="11340" y="189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grpSp>
              </xdr:grpSp>
            </xdr:grpSp>
          </xdr:grpSp>
        </xdr:grpSp>
      </xdr:grpSp>
      <xdr:cxnSp macro="">
        <xdr:nvCxnSpPr>
          <xdr:cNvPr id="750" name="Straight Connector 749">
            <a:extLst>
              <a:ext uri="{FF2B5EF4-FFF2-40B4-BE49-F238E27FC236}">
                <a16:creationId xmlns:a16="http://schemas.microsoft.com/office/drawing/2014/main" id="{00000000-0008-0000-0400-0000EE020000}"/>
              </a:ext>
            </a:extLst>
          </xdr:cNvPr>
          <xdr:cNvCxnSpPr/>
        </xdr:nvCxnSpPr>
        <xdr:spPr>
          <a:xfrm flipV="1">
            <a:off x="4553615" y="20163829"/>
            <a:ext cx="0" cy="9273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31</xdr:col>
      <xdr:colOff>278424</xdr:colOff>
      <xdr:row>82</xdr:row>
      <xdr:rowOff>19050</xdr:rowOff>
    </xdr:from>
    <xdr:to>
      <xdr:col>35</xdr:col>
      <xdr:colOff>533400</xdr:colOff>
      <xdr:row>90</xdr:row>
      <xdr:rowOff>66460</xdr:rowOff>
    </xdr:to>
    <xdr:grpSp>
      <xdr:nvGrpSpPr>
        <xdr:cNvPr id="931" name="Group 930">
          <a:extLst>
            <a:ext uri="{FF2B5EF4-FFF2-40B4-BE49-F238E27FC236}">
              <a16:creationId xmlns:a16="http://schemas.microsoft.com/office/drawing/2014/main" id="{00000000-0008-0000-0400-0000A3030000}"/>
            </a:ext>
          </a:extLst>
        </xdr:cNvPr>
        <xdr:cNvGrpSpPr/>
      </xdr:nvGrpSpPr>
      <xdr:grpSpPr>
        <a:xfrm>
          <a:off x="21558395" y="20742088"/>
          <a:ext cx="2720270" cy="1758548"/>
          <a:chOff x="2540000" y="20128516"/>
          <a:chExt cx="435134" cy="229863"/>
        </a:xfrm>
      </xdr:grpSpPr>
      <xdr:grpSp>
        <xdr:nvGrpSpPr>
          <xdr:cNvPr id="932" name="Group 931">
            <a:extLst>
              <a:ext uri="{FF2B5EF4-FFF2-40B4-BE49-F238E27FC236}">
                <a16:creationId xmlns:a16="http://schemas.microsoft.com/office/drawing/2014/main" id="{00000000-0008-0000-0400-0000A4030000}"/>
              </a:ext>
            </a:extLst>
          </xdr:cNvPr>
          <xdr:cNvGrpSpPr/>
        </xdr:nvGrpSpPr>
        <xdr:grpSpPr>
          <a:xfrm>
            <a:off x="2736497" y="20197871"/>
            <a:ext cx="13957" cy="98781"/>
            <a:chOff x="2736497" y="20197871"/>
            <a:chExt cx="13957" cy="98781"/>
          </a:xfrm>
        </xdr:grpSpPr>
        <xdr:cxnSp macro="">
          <xdr:nvCxnSpPr>
            <xdr:cNvPr id="979" name="Straight Connector 978">
              <a:extLst>
                <a:ext uri="{FF2B5EF4-FFF2-40B4-BE49-F238E27FC236}">
                  <a16:creationId xmlns:a16="http://schemas.microsoft.com/office/drawing/2014/main" id="{00000000-0008-0000-0400-0000D3030000}"/>
                </a:ext>
              </a:extLst>
            </xdr:cNvPr>
            <xdr:cNvCxnSpPr/>
          </xdr:nvCxnSpPr>
          <xdr:spPr>
            <a:xfrm>
              <a:off x="2739498" y="20197871"/>
              <a:ext cx="54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80" name="Straight Connector 979">
              <a:extLst>
                <a:ext uri="{FF2B5EF4-FFF2-40B4-BE49-F238E27FC236}">
                  <a16:creationId xmlns:a16="http://schemas.microsoft.com/office/drawing/2014/main" id="{00000000-0008-0000-0400-0000D4030000}"/>
                </a:ext>
              </a:extLst>
            </xdr:cNvPr>
            <xdr:cNvCxnSpPr/>
          </xdr:nvCxnSpPr>
          <xdr:spPr>
            <a:xfrm>
              <a:off x="2739498" y="20296651"/>
              <a:ext cx="54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81" name="Straight Connector 980">
              <a:extLst>
                <a:ext uri="{FF2B5EF4-FFF2-40B4-BE49-F238E27FC236}">
                  <a16:creationId xmlns:a16="http://schemas.microsoft.com/office/drawing/2014/main" id="{00000000-0008-0000-0400-0000D5030000}"/>
                </a:ext>
              </a:extLst>
            </xdr:cNvPr>
            <xdr:cNvCxnSpPr/>
          </xdr:nvCxnSpPr>
          <xdr:spPr>
            <a:xfrm>
              <a:off x="2739498" y="20215871"/>
              <a:ext cx="0" cy="6278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82" name="Freeform 756">
              <a:extLst>
                <a:ext uri="{FF2B5EF4-FFF2-40B4-BE49-F238E27FC236}">
                  <a16:creationId xmlns:a16="http://schemas.microsoft.com/office/drawing/2014/main" id="{00000000-0008-0000-0400-0000D6030000}"/>
                </a:ext>
              </a:extLst>
            </xdr:cNvPr>
            <xdr:cNvSpPr/>
          </xdr:nvSpPr>
          <xdr:spPr>
            <a:xfrm>
              <a:off x="2736497" y="20197871"/>
              <a:ext cx="6001" cy="18001"/>
            </a:xfrm>
            <a:custGeom>
              <a:avLst/>
              <a:gdLst/>
              <a:ahLst/>
              <a:cxnLst/>
              <a:rect l="0" t="0" r="0" b="0"/>
              <a:pathLst>
                <a:path w="6001" h="18001">
                  <a:moveTo>
                    <a:pt x="0" y="18000"/>
                  </a:moveTo>
                  <a:lnTo>
                    <a:pt x="6000" y="18000"/>
                  </a:lnTo>
                  <a:lnTo>
                    <a:pt x="3000" y="0"/>
                  </a:lnTo>
                  <a:lnTo>
                    <a:pt x="3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83" name="Freeform 757">
              <a:extLst>
                <a:ext uri="{FF2B5EF4-FFF2-40B4-BE49-F238E27FC236}">
                  <a16:creationId xmlns:a16="http://schemas.microsoft.com/office/drawing/2014/main" id="{00000000-0008-0000-0400-0000D7030000}"/>
                </a:ext>
              </a:extLst>
            </xdr:cNvPr>
            <xdr:cNvSpPr/>
          </xdr:nvSpPr>
          <xdr:spPr>
            <a:xfrm>
              <a:off x="2736497" y="20278652"/>
              <a:ext cx="6001" cy="18000"/>
            </a:xfrm>
            <a:custGeom>
              <a:avLst/>
              <a:gdLst/>
              <a:ahLst/>
              <a:cxnLst/>
              <a:rect l="0" t="0" r="0" b="0"/>
              <a:pathLst>
                <a:path w="6001" h="18000">
                  <a:moveTo>
                    <a:pt x="0" y="0"/>
                  </a:moveTo>
                  <a:lnTo>
                    <a:pt x="6000" y="0"/>
                  </a:lnTo>
                  <a:lnTo>
                    <a:pt x="3000" y="17999"/>
                  </a:lnTo>
                  <a:lnTo>
                    <a:pt x="3000" y="17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84" name="TextBox 983">
              <a:extLst>
                <a:ext uri="{FF2B5EF4-FFF2-40B4-BE49-F238E27FC236}">
                  <a16:creationId xmlns:a16="http://schemas.microsoft.com/office/drawing/2014/main" id="{00000000-0008-0000-0400-0000D8030000}"/>
                </a:ext>
              </a:extLst>
            </xdr:cNvPr>
            <xdr:cNvSpPr txBox="1"/>
          </xdr:nvSpPr>
          <xdr:spPr>
            <a:xfrm rot="16200000">
              <a:off x="2737661" y="20247310"/>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2744</a:t>
              </a:r>
            </a:p>
          </xdr:txBody>
        </xdr:sp>
      </xdr:grpSp>
      <xdr:grpSp>
        <xdr:nvGrpSpPr>
          <xdr:cNvPr id="933" name="Group 932">
            <a:extLst>
              <a:ext uri="{FF2B5EF4-FFF2-40B4-BE49-F238E27FC236}">
                <a16:creationId xmlns:a16="http://schemas.microsoft.com/office/drawing/2014/main" id="{00000000-0008-0000-0400-0000A5030000}"/>
              </a:ext>
            </a:extLst>
          </xdr:cNvPr>
          <xdr:cNvGrpSpPr/>
        </xdr:nvGrpSpPr>
        <xdr:grpSpPr>
          <a:xfrm>
            <a:off x="2856941" y="20167515"/>
            <a:ext cx="78862" cy="10799"/>
            <a:chOff x="2856941" y="20167515"/>
            <a:chExt cx="78862" cy="10799"/>
          </a:xfrm>
        </xdr:grpSpPr>
        <xdr:cxnSp macro="">
          <xdr:nvCxnSpPr>
            <xdr:cNvPr id="973" name="Straight Connector 972">
              <a:extLst>
                <a:ext uri="{FF2B5EF4-FFF2-40B4-BE49-F238E27FC236}">
                  <a16:creationId xmlns:a16="http://schemas.microsoft.com/office/drawing/2014/main" id="{00000000-0008-0000-0400-0000CD030000}"/>
                </a:ext>
              </a:extLst>
            </xdr:cNvPr>
            <xdr:cNvCxnSpPr/>
          </xdr:nvCxnSpPr>
          <xdr:spPr>
            <a:xfrm flipV="1">
              <a:off x="2856941" y="20167515"/>
              <a:ext cx="0" cy="53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74" name="Straight Connector 973">
              <a:extLst>
                <a:ext uri="{FF2B5EF4-FFF2-40B4-BE49-F238E27FC236}">
                  <a16:creationId xmlns:a16="http://schemas.microsoft.com/office/drawing/2014/main" id="{00000000-0008-0000-0400-0000CE030000}"/>
                </a:ext>
              </a:extLst>
            </xdr:cNvPr>
            <xdr:cNvCxnSpPr/>
          </xdr:nvCxnSpPr>
          <xdr:spPr>
            <a:xfrm flipV="1">
              <a:off x="2935802" y="20167515"/>
              <a:ext cx="0" cy="107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75" name="Straight Connector 974">
              <a:extLst>
                <a:ext uri="{FF2B5EF4-FFF2-40B4-BE49-F238E27FC236}">
                  <a16:creationId xmlns:a16="http://schemas.microsoft.com/office/drawing/2014/main" id="{00000000-0008-0000-0400-0000CF030000}"/>
                </a:ext>
              </a:extLst>
            </xdr:cNvPr>
            <xdr:cNvCxnSpPr/>
          </xdr:nvCxnSpPr>
          <xdr:spPr>
            <a:xfrm>
              <a:off x="2874941" y="20172914"/>
              <a:ext cx="4286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76" name="Freeform 750">
              <a:extLst>
                <a:ext uri="{FF2B5EF4-FFF2-40B4-BE49-F238E27FC236}">
                  <a16:creationId xmlns:a16="http://schemas.microsoft.com/office/drawing/2014/main" id="{00000000-0008-0000-0400-0000D0030000}"/>
                </a:ext>
              </a:extLst>
            </xdr:cNvPr>
            <xdr:cNvSpPr/>
          </xdr:nvSpPr>
          <xdr:spPr>
            <a:xfrm>
              <a:off x="2856941" y="20169915"/>
              <a:ext cx="18001" cy="6000"/>
            </a:xfrm>
            <a:custGeom>
              <a:avLst/>
              <a:gdLst/>
              <a:ahLst/>
              <a:cxnLst/>
              <a:rect l="0" t="0" r="0" b="0"/>
              <a:pathLst>
                <a:path w="18001" h="6000">
                  <a:moveTo>
                    <a:pt x="18000" y="0"/>
                  </a:moveTo>
                  <a:lnTo>
                    <a:pt x="18000" y="5999"/>
                  </a:lnTo>
                  <a:lnTo>
                    <a:pt x="0" y="2999"/>
                  </a:lnTo>
                  <a:lnTo>
                    <a:pt x="0" y="2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77" name="Freeform 751">
              <a:extLst>
                <a:ext uri="{FF2B5EF4-FFF2-40B4-BE49-F238E27FC236}">
                  <a16:creationId xmlns:a16="http://schemas.microsoft.com/office/drawing/2014/main" id="{00000000-0008-0000-0400-0000D1030000}"/>
                </a:ext>
              </a:extLst>
            </xdr:cNvPr>
            <xdr:cNvSpPr/>
          </xdr:nvSpPr>
          <xdr:spPr>
            <a:xfrm>
              <a:off x="2917802" y="20169915"/>
              <a:ext cx="18001" cy="6000"/>
            </a:xfrm>
            <a:custGeom>
              <a:avLst/>
              <a:gdLst/>
              <a:ahLst/>
              <a:cxnLst/>
              <a:rect l="0" t="0" r="0" b="0"/>
              <a:pathLst>
                <a:path w="18001" h="6000">
                  <a:moveTo>
                    <a:pt x="0" y="0"/>
                  </a:moveTo>
                  <a:lnTo>
                    <a:pt x="0" y="5999"/>
                  </a:lnTo>
                  <a:lnTo>
                    <a:pt x="18000" y="2999"/>
                  </a:lnTo>
                  <a:lnTo>
                    <a:pt x="18000" y="2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78" name="TextBox 977">
              <a:extLst>
                <a:ext uri="{FF2B5EF4-FFF2-40B4-BE49-F238E27FC236}">
                  <a16:creationId xmlns:a16="http://schemas.microsoft.com/office/drawing/2014/main" id="{00000000-0008-0000-0400-0000D2030000}"/>
                </a:ext>
              </a:extLst>
            </xdr:cNvPr>
            <xdr:cNvSpPr txBox="1"/>
          </xdr:nvSpPr>
          <xdr:spPr>
            <a:xfrm rot="21600000">
              <a:off x="2896320" y="20171071"/>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2191</a:t>
              </a:r>
            </a:p>
          </xdr:txBody>
        </xdr:sp>
      </xdr:grpSp>
      <xdr:grpSp>
        <xdr:nvGrpSpPr>
          <xdr:cNvPr id="934" name="Group 933">
            <a:extLst>
              <a:ext uri="{FF2B5EF4-FFF2-40B4-BE49-F238E27FC236}">
                <a16:creationId xmlns:a16="http://schemas.microsoft.com/office/drawing/2014/main" id="{00000000-0008-0000-0400-0000A6030000}"/>
              </a:ext>
            </a:extLst>
          </xdr:cNvPr>
          <xdr:cNvGrpSpPr/>
        </xdr:nvGrpSpPr>
        <xdr:grpSpPr>
          <a:xfrm>
            <a:off x="2621220" y="20128516"/>
            <a:ext cx="235722" cy="49798"/>
            <a:chOff x="2621220" y="20128516"/>
            <a:chExt cx="235722" cy="49798"/>
          </a:xfrm>
        </xdr:grpSpPr>
        <xdr:cxnSp macro="">
          <xdr:nvCxnSpPr>
            <xdr:cNvPr id="967" name="Straight Connector 966">
              <a:extLst>
                <a:ext uri="{FF2B5EF4-FFF2-40B4-BE49-F238E27FC236}">
                  <a16:creationId xmlns:a16="http://schemas.microsoft.com/office/drawing/2014/main" id="{00000000-0008-0000-0400-0000C7030000}"/>
                </a:ext>
              </a:extLst>
            </xdr:cNvPr>
            <xdr:cNvCxnSpPr/>
          </xdr:nvCxnSpPr>
          <xdr:spPr>
            <a:xfrm flipV="1">
              <a:off x="2621220" y="20167515"/>
              <a:ext cx="0" cy="107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68" name="Straight Connector 967">
              <a:extLst>
                <a:ext uri="{FF2B5EF4-FFF2-40B4-BE49-F238E27FC236}">
                  <a16:creationId xmlns:a16="http://schemas.microsoft.com/office/drawing/2014/main" id="{00000000-0008-0000-0400-0000C8030000}"/>
                </a:ext>
              </a:extLst>
            </xdr:cNvPr>
            <xdr:cNvCxnSpPr/>
          </xdr:nvCxnSpPr>
          <xdr:spPr>
            <a:xfrm flipV="1">
              <a:off x="2856941" y="20167515"/>
              <a:ext cx="0" cy="53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69" name="Straight Connector 968">
              <a:extLst>
                <a:ext uri="{FF2B5EF4-FFF2-40B4-BE49-F238E27FC236}">
                  <a16:creationId xmlns:a16="http://schemas.microsoft.com/office/drawing/2014/main" id="{00000000-0008-0000-0400-0000C9030000}"/>
                </a:ext>
              </a:extLst>
            </xdr:cNvPr>
            <xdr:cNvCxnSpPr/>
          </xdr:nvCxnSpPr>
          <xdr:spPr>
            <a:xfrm>
              <a:off x="2639220" y="20172914"/>
              <a:ext cx="19972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70" name="Freeform 744">
              <a:extLst>
                <a:ext uri="{FF2B5EF4-FFF2-40B4-BE49-F238E27FC236}">
                  <a16:creationId xmlns:a16="http://schemas.microsoft.com/office/drawing/2014/main" id="{00000000-0008-0000-0400-0000CA030000}"/>
                </a:ext>
              </a:extLst>
            </xdr:cNvPr>
            <xdr:cNvSpPr/>
          </xdr:nvSpPr>
          <xdr:spPr>
            <a:xfrm>
              <a:off x="2621220" y="20169915"/>
              <a:ext cx="18001" cy="6000"/>
            </a:xfrm>
            <a:custGeom>
              <a:avLst/>
              <a:gdLst/>
              <a:ahLst/>
              <a:cxnLst/>
              <a:rect l="0" t="0" r="0" b="0"/>
              <a:pathLst>
                <a:path w="18001" h="6000">
                  <a:moveTo>
                    <a:pt x="18000" y="0"/>
                  </a:moveTo>
                  <a:lnTo>
                    <a:pt x="18000" y="5999"/>
                  </a:lnTo>
                  <a:lnTo>
                    <a:pt x="0" y="2999"/>
                  </a:lnTo>
                  <a:lnTo>
                    <a:pt x="0" y="2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71" name="Freeform 745">
              <a:extLst>
                <a:ext uri="{FF2B5EF4-FFF2-40B4-BE49-F238E27FC236}">
                  <a16:creationId xmlns:a16="http://schemas.microsoft.com/office/drawing/2014/main" id="{00000000-0008-0000-0400-0000CB030000}"/>
                </a:ext>
              </a:extLst>
            </xdr:cNvPr>
            <xdr:cNvSpPr/>
          </xdr:nvSpPr>
          <xdr:spPr>
            <a:xfrm>
              <a:off x="2838941" y="20169915"/>
              <a:ext cx="18001" cy="6000"/>
            </a:xfrm>
            <a:custGeom>
              <a:avLst/>
              <a:gdLst/>
              <a:ahLst/>
              <a:cxnLst/>
              <a:rect l="0" t="0" r="0" b="0"/>
              <a:pathLst>
                <a:path w="18001" h="6000">
                  <a:moveTo>
                    <a:pt x="0" y="0"/>
                  </a:moveTo>
                  <a:lnTo>
                    <a:pt x="0" y="5999"/>
                  </a:lnTo>
                  <a:lnTo>
                    <a:pt x="18000" y="2999"/>
                  </a:lnTo>
                  <a:lnTo>
                    <a:pt x="18000" y="2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72" name="TextBox 971">
              <a:extLst>
                <a:ext uri="{FF2B5EF4-FFF2-40B4-BE49-F238E27FC236}">
                  <a16:creationId xmlns:a16="http://schemas.microsoft.com/office/drawing/2014/main" id="{00000000-0008-0000-0400-0000CC030000}"/>
                </a:ext>
              </a:extLst>
            </xdr:cNvPr>
            <xdr:cNvSpPr txBox="1"/>
          </xdr:nvSpPr>
          <xdr:spPr>
            <a:xfrm>
              <a:off x="2720202" y="20128516"/>
              <a:ext cx="44335" cy="4262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ctr"/>
              <a:r>
                <a:rPr lang="en-US" sz="1100">
                  <a:solidFill>
                    <a:srgbClr val="000000"/>
                  </a:solidFill>
                  <a:latin typeface="Arial" panose="020B0604020202020204" pitchFamily="34" charset="0"/>
                </a:rPr>
                <a:t>b</a:t>
              </a:r>
            </a:p>
          </xdr:txBody>
        </xdr:sp>
      </xdr:grpSp>
      <xdr:grpSp>
        <xdr:nvGrpSpPr>
          <xdr:cNvPr id="935" name="Group 934">
            <a:extLst>
              <a:ext uri="{FF2B5EF4-FFF2-40B4-BE49-F238E27FC236}">
                <a16:creationId xmlns:a16="http://schemas.microsoft.com/office/drawing/2014/main" id="{00000000-0008-0000-0400-0000A7030000}"/>
              </a:ext>
            </a:extLst>
          </xdr:cNvPr>
          <xdr:cNvGrpSpPr/>
        </xdr:nvGrpSpPr>
        <xdr:grpSpPr>
          <a:xfrm>
            <a:off x="2540000" y="20167515"/>
            <a:ext cx="81221" cy="10799"/>
            <a:chOff x="2540000" y="20167515"/>
            <a:chExt cx="81221" cy="10799"/>
          </a:xfrm>
        </xdr:grpSpPr>
        <xdr:cxnSp macro="">
          <xdr:nvCxnSpPr>
            <xdr:cNvPr id="961" name="Straight Connector 960">
              <a:extLst>
                <a:ext uri="{FF2B5EF4-FFF2-40B4-BE49-F238E27FC236}">
                  <a16:creationId xmlns:a16="http://schemas.microsoft.com/office/drawing/2014/main" id="{00000000-0008-0000-0400-0000C1030000}"/>
                </a:ext>
              </a:extLst>
            </xdr:cNvPr>
            <xdr:cNvCxnSpPr/>
          </xdr:nvCxnSpPr>
          <xdr:spPr>
            <a:xfrm flipV="1">
              <a:off x="2540000" y="20167515"/>
              <a:ext cx="0" cy="107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62" name="Straight Connector 961">
              <a:extLst>
                <a:ext uri="{FF2B5EF4-FFF2-40B4-BE49-F238E27FC236}">
                  <a16:creationId xmlns:a16="http://schemas.microsoft.com/office/drawing/2014/main" id="{00000000-0008-0000-0400-0000C2030000}"/>
                </a:ext>
              </a:extLst>
            </xdr:cNvPr>
            <xdr:cNvCxnSpPr/>
          </xdr:nvCxnSpPr>
          <xdr:spPr>
            <a:xfrm flipV="1">
              <a:off x="2621220" y="20167515"/>
              <a:ext cx="0" cy="107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63" name="Straight Connector 962">
              <a:extLst>
                <a:ext uri="{FF2B5EF4-FFF2-40B4-BE49-F238E27FC236}">
                  <a16:creationId xmlns:a16="http://schemas.microsoft.com/office/drawing/2014/main" id="{00000000-0008-0000-0400-0000C3030000}"/>
                </a:ext>
              </a:extLst>
            </xdr:cNvPr>
            <xdr:cNvCxnSpPr/>
          </xdr:nvCxnSpPr>
          <xdr:spPr>
            <a:xfrm>
              <a:off x="2558000" y="20172914"/>
              <a:ext cx="4522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64" name="Freeform 738">
              <a:extLst>
                <a:ext uri="{FF2B5EF4-FFF2-40B4-BE49-F238E27FC236}">
                  <a16:creationId xmlns:a16="http://schemas.microsoft.com/office/drawing/2014/main" id="{00000000-0008-0000-0400-0000C4030000}"/>
                </a:ext>
              </a:extLst>
            </xdr:cNvPr>
            <xdr:cNvSpPr/>
          </xdr:nvSpPr>
          <xdr:spPr>
            <a:xfrm>
              <a:off x="2540001" y="20169915"/>
              <a:ext cx="18000" cy="6000"/>
            </a:xfrm>
            <a:custGeom>
              <a:avLst/>
              <a:gdLst/>
              <a:ahLst/>
              <a:cxnLst/>
              <a:rect l="0" t="0" r="0" b="0"/>
              <a:pathLst>
                <a:path w="18000" h="6000">
                  <a:moveTo>
                    <a:pt x="17999" y="0"/>
                  </a:moveTo>
                  <a:lnTo>
                    <a:pt x="17999" y="5999"/>
                  </a:lnTo>
                  <a:lnTo>
                    <a:pt x="0" y="2999"/>
                  </a:lnTo>
                  <a:lnTo>
                    <a:pt x="0" y="2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5" name="Freeform 739">
              <a:extLst>
                <a:ext uri="{FF2B5EF4-FFF2-40B4-BE49-F238E27FC236}">
                  <a16:creationId xmlns:a16="http://schemas.microsoft.com/office/drawing/2014/main" id="{00000000-0008-0000-0400-0000C5030000}"/>
                </a:ext>
              </a:extLst>
            </xdr:cNvPr>
            <xdr:cNvSpPr/>
          </xdr:nvSpPr>
          <xdr:spPr>
            <a:xfrm>
              <a:off x="2603220" y="20169915"/>
              <a:ext cx="18001" cy="6000"/>
            </a:xfrm>
            <a:custGeom>
              <a:avLst/>
              <a:gdLst/>
              <a:ahLst/>
              <a:cxnLst/>
              <a:rect l="0" t="0" r="0" b="0"/>
              <a:pathLst>
                <a:path w="18001" h="6000">
                  <a:moveTo>
                    <a:pt x="0" y="0"/>
                  </a:moveTo>
                  <a:lnTo>
                    <a:pt x="0" y="5999"/>
                  </a:lnTo>
                  <a:lnTo>
                    <a:pt x="18000" y="2999"/>
                  </a:lnTo>
                  <a:lnTo>
                    <a:pt x="18000" y="2999"/>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6" name="TextBox 965">
              <a:extLst>
                <a:ext uri="{FF2B5EF4-FFF2-40B4-BE49-F238E27FC236}">
                  <a16:creationId xmlns:a16="http://schemas.microsoft.com/office/drawing/2014/main" id="{00000000-0008-0000-0400-0000C6030000}"/>
                </a:ext>
              </a:extLst>
            </xdr:cNvPr>
            <xdr:cNvSpPr txBox="1"/>
          </xdr:nvSpPr>
          <xdr:spPr>
            <a:xfrm rot="21600000">
              <a:off x="2580555" y="20171071"/>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2256</a:t>
              </a:r>
            </a:p>
          </xdr:txBody>
        </xdr:sp>
      </xdr:grpSp>
      <xdr:grpSp>
        <xdr:nvGrpSpPr>
          <xdr:cNvPr id="936" name="Group 935">
            <a:extLst>
              <a:ext uri="{FF2B5EF4-FFF2-40B4-BE49-F238E27FC236}">
                <a16:creationId xmlns:a16="http://schemas.microsoft.com/office/drawing/2014/main" id="{00000000-0008-0000-0400-0000A8030000}"/>
              </a:ext>
            </a:extLst>
          </xdr:cNvPr>
          <xdr:cNvGrpSpPr/>
        </xdr:nvGrpSpPr>
        <xdr:grpSpPr>
          <a:xfrm>
            <a:off x="2583083" y="20221094"/>
            <a:ext cx="16357" cy="52335"/>
            <a:chOff x="2583083" y="20221094"/>
            <a:chExt cx="16357" cy="52335"/>
          </a:xfrm>
        </xdr:grpSpPr>
        <xdr:cxnSp macro="">
          <xdr:nvCxnSpPr>
            <xdr:cNvPr id="955" name="Straight Connector 954">
              <a:extLst>
                <a:ext uri="{FF2B5EF4-FFF2-40B4-BE49-F238E27FC236}">
                  <a16:creationId xmlns:a16="http://schemas.microsoft.com/office/drawing/2014/main" id="{00000000-0008-0000-0400-0000BB030000}"/>
                </a:ext>
              </a:extLst>
            </xdr:cNvPr>
            <xdr:cNvCxnSpPr/>
          </xdr:nvCxnSpPr>
          <xdr:spPr>
            <a:xfrm flipH="1">
              <a:off x="2583083" y="20221094"/>
              <a:ext cx="108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56" name="Straight Connector 955">
              <a:extLst>
                <a:ext uri="{FF2B5EF4-FFF2-40B4-BE49-F238E27FC236}">
                  <a16:creationId xmlns:a16="http://schemas.microsoft.com/office/drawing/2014/main" id="{00000000-0008-0000-0400-0000BC030000}"/>
                </a:ext>
              </a:extLst>
            </xdr:cNvPr>
            <xdr:cNvCxnSpPr/>
          </xdr:nvCxnSpPr>
          <xdr:spPr>
            <a:xfrm flipH="1">
              <a:off x="2583083" y="20273426"/>
              <a:ext cx="108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57" name="Straight Connector 956">
              <a:extLst>
                <a:ext uri="{FF2B5EF4-FFF2-40B4-BE49-F238E27FC236}">
                  <a16:creationId xmlns:a16="http://schemas.microsoft.com/office/drawing/2014/main" id="{00000000-0008-0000-0400-0000BD030000}"/>
                </a:ext>
              </a:extLst>
            </xdr:cNvPr>
            <xdr:cNvCxnSpPr/>
          </xdr:nvCxnSpPr>
          <xdr:spPr>
            <a:xfrm>
              <a:off x="2588483" y="20239093"/>
              <a:ext cx="0" cy="1633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58" name="Freeform 732">
              <a:extLst>
                <a:ext uri="{FF2B5EF4-FFF2-40B4-BE49-F238E27FC236}">
                  <a16:creationId xmlns:a16="http://schemas.microsoft.com/office/drawing/2014/main" id="{00000000-0008-0000-0400-0000BE030000}"/>
                </a:ext>
              </a:extLst>
            </xdr:cNvPr>
            <xdr:cNvSpPr/>
          </xdr:nvSpPr>
          <xdr:spPr>
            <a:xfrm>
              <a:off x="2585483" y="20221094"/>
              <a:ext cx="6001" cy="18002"/>
            </a:xfrm>
            <a:custGeom>
              <a:avLst/>
              <a:gdLst/>
              <a:ahLst/>
              <a:cxnLst/>
              <a:rect l="0" t="0" r="0" b="0"/>
              <a:pathLst>
                <a:path w="6001" h="18002">
                  <a:moveTo>
                    <a:pt x="0" y="18001"/>
                  </a:moveTo>
                  <a:lnTo>
                    <a:pt x="6000" y="18001"/>
                  </a:lnTo>
                  <a:lnTo>
                    <a:pt x="3000" y="0"/>
                  </a:lnTo>
                  <a:lnTo>
                    <a:pt x="3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59" name="Freeform 733">
              <a:extLst>
                <a:ext uri="{FF2B5EF4-FFF2-40B4-BE49-F238E27FC236}">
                  <a16:creationId xmlns:a16="http://schemas.microsoft.com/office/drawing/2014/main" id="{00000000-0008-0000-0400-0000BF030000}"/>
                </a:ext>
              </a:extLst>
            </xdr:cNvPr>
            <xdr:cNvSpPr/>
          </xdr:nvSpPr>
          <xdr:spPr>
            <a:xfrm>
              <a:off x="2585483" y="20255427"/>
              <a:ext cx="6001" cy="18002"/>
            </a:xfrm>
            <a:custGeom>
              <a:avLst/>
              <a:gdLst/>
              <a:ahLst/>
              <a:cxnLst/>
              <a:rect l="0" t="0" r="0" b="0"/>
              <a:pathLst>
                <a:path w="6001" h="18002">
                  <a:moveTo>
                    <a:pt x="0" y="0"/>
                  </a:moveTo>
                  <a:lnTo>
                    <a:pt x="6000" y="0"/>
                  </a:lnTo>
                  <a:lnTo>
                    <a:pt x="3000" y="18001"/>
                  </a:lnTo>
                  <a:lnTo>
                    <a:pt x="3000" y="18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0" name="TextBox 959">
              <a:extLst>
                <a:ext uri="{FF2B5EF4-FFF2-40B4-BE49-F238E27FC236}">
                  <a16:creationId xmlns:a16="http://schemas.microsoft.com/office/drawing/2014/main" id="{00000000-0008-0000-0400-0000C0030000}"/>
                </a:ext>
              </a:extLst>
            </xdr:cNvPr>
            <xdr:cNvSpPr txBox="1"/>
          </xdr:nvSpPr>
          <xdr:spPr>
            <a:xfrm rot="16200000">
              <a:off x="2586647" y="20247311"/>
              <a:ext cx="25512" cy="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
                  <a:solidFill>
                    <a:srgbClr val="000000"/>
                  </a:solidFill>
                  <a:latin typeface="Arial" panose="020B0604020202020204" pitchFamily="34" charset="0"/>
                </a:rPr>
                <a:t>1454</a:t>
              </a:r>
            </a:p>
          </xdr:txBody>
        </xdr:sp>
      </xdr:grpSp>
      <xdr:grpSp>
        <xdr:nvGrpSpPr>
          <xdr:cNvPr id="937" name="Group 936">
            <a:extLst>
              <a:ext uri="{FF2B5EF4-FFF2-40B4-BE49-F238E27FC236}">
                <a16:creationId xmlns:a16="http://schemas.microsoft.com/office/drawing/2014/main" id="{00000000-0008-0000-0400-0000A9030000}"/>
              </a:ext>
            </a:extLst>
          </xdr:cNvPr>
          <xdr:cNvGrpSpPr/>
        </xdr:nvGrpSpPr>
        <xdr:grpSpPr>
          <a:xfrm>
            <a:off x="2555929" y="20137891"/>
            <a:ext cx="419205" cy="165371"/>
            <a:chOff x="2555929" y="20137891"/>
            <a:chExt cx="419205" cy="165371"/>
          </a:xfrm>
        </xdr:grpSpPr>
        <xdr:cxnSp macro="">
          <xdr:nvCxnSpPr>
            <xdr:cNvPr id="945" name="Straight Connector 944">
              <a:extLst>
                <a:ext uri="{FF2B5EF4-FFF2-40B4-BE49-F238E27FC236}">
                  <a16:creationId xmlns:a16="http://schemas.microsoft.com/office/drawing/2014/main" id="{00000000-0008-0000-0400-0000B1030000}"/>
                </a:ext>
              </a:extLst>
            </xdr:cNvPr>
            <xdr:cNvCxnSpPr/>
          </xdr:nvCxnSpPr>
          <xdr:spPr>
            <a:xfrm>
              <a:off x="2964334" y="20191261"/>
              <a:ext cx="108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46" name="Straight Connector 945">
              <a:extLst>
                <a:ext uri="{FF2B5EF4-FFF2-40B4-BE49-F238E27FC236}">
                  <a16:creationId xmlns:a16="http://schemas.microsoft.com/office/drawing/2014/main" id="{00000000-0008-0000-0400-0000B2030000}"/>
                </a:ext>
              </a:extLst>
            </xdr:cNvPr>
            <xdr:cNvCxnSpPr/>
          </xdr:nvCxnSpPr>
          <xdr:spPr>
            <a:xfrm>
              <a:off x="2964334" y="20303261"/>
              <a:ext cx="108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947" name="Straight Connector 946">
              <a:extLst>
                <a:ext uri="{FF2B5EF4-FFF2-40B4-BE49-F238E27FC236}">
                  <a16:creationId xmlns:a16="http://schemas.microsoft.com/office/drawing/2014/main" id="{00000000-0008-0000-0400-0000B3030000}"/>
                </a:ext>
              </a:extLst>
            </xdr:cNvPr>
            <xdr:cNvCxnSpPr/>
          </xdr:nvCxnSpPr>
          <xdr:spPr>
            <a:xfrm>
              <a:off x="2969733" y="20209261"/>
              <a:ext cx="0" cy="7600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948" name="Freeform 726">
              <a:extLst>
                <a:ext uri="{FF2B5EF4-FFF2-40B4-BE49-F238E27FC236}">
                  <a16:creationId xmlns:a16="http://schemas.microsoft.com/office/drawing/2014/main" id="{00000000-0008-0000-0400-0000B4030000}"/>
                </a:ext>
              </a:extLst>
            </xdr:cNvPr>
            <xdr:cNvSpPr/>
          </xdr:nvSpPr>
          <xdr:spPr>
            <a:xfrm>
              <a:off x="2966733" y="20191261"/>
              <a:ext cx="6001" cy="18001"/>
            </a:xfrm>
            <a:custGeom>
              <a:avLst/>
              <a:gdLst/>
              <a:ahLst/>
              <a:cxnLst/>
              <a:rect l="0" t="0" r="0" b="0"/>
              <a:pathLst>
                <a:path w="6001" h="18001">
                  <a:moveTo>
                    <a:pt x="0" y="18000"/>
                  </a:moveTo>
                  <a:lnTo>
                    <a:pt x="6000" y="18000"/>
                  </a:lnTo>
                  <a:lnTo>
                    <a:pt x="3000" y="0"/>
                  </a:lnTo>
                  <a:lnTo>
                    <a:pt x="3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49" name="Freeform 727">
              <a:extLst>
                <a:ext uri="{FF2B5EF4-FFF2-40B4-BE49-F238E27FC236}">
                  <a16:creationId xmlns:a16="http://schemas.microsoft.com/office/drawing/2014/main" id="{00000000-0008-0000-0400-0000B5030000}"/>
                </a:ext>
              </a:extLst>
            </xdr:cNvPr>
            <xdr:cNvSpPr/>
          </xdr:nvSpPr>
          <xdr:spPr>
            <a:xfrm>
              <a:off x="2966733" y="20285263"/>
              <a:ext cx="6001" cy="17999"/>
            </a:xfrm>
            <a:custGeom>
              <a:avLst/>
              <a:gdLst/>
              <a:ahLst/>
              <a:cxnLst/>
              <a:rect l="0" t="0" r="0" b="0"/>
              <a:pathLst>
                <a:path w="6001" h="17999">
                  <a:moveTo>
                    <a:pt x="0" y="0"/>
                  </a:moveTo>
                  <a:lnTo>
                    <a:pt x="6000" y="0"/>
                  </a:lnTo>
                  <a:lnTo>
                    <a:pt x="3000" y="17998"/>
                  </a:lnTo>
                  <a:lnTo>
                    <a:pt x="3000" y="17998"/>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50" name="TextBox 949">
              <a:extLst>
                <a:ext uri="{FF2B5EF4-FFF2-40B4-BE49-F238E27FC236}">
                  <a16:creationId xmlns:a16="http://schemas.microsoft.com/office/drawing/2014/main" id="{00000000-0008-0000-0400-0000B6030000}"/>
                </a:ext>
              </a:extLst>
            </xdr:cNvPr>
            <xdr:cNvSpPr txBox="1"/>
          </xdr:nvSpPr>
          <xdr:spPr>
            <a:xfrm rot="16200000">
              <a:off x="2938393" y="20230313"/>
              <a:ext cx="39448" cy="188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50">
                  <a:solidFill>
                    <a:srgbClr val="000000"/>
                  </a:solidFill>
                  <a:latin typeface="Arial" panose="020B0604020202020204" pitchFamily="34" charset="0"/>
                </a:rPr>
                <a:t>b4</a:t>
              </a:r>
            </a:p>
          </xdr:txBody>
        </xdr:sp>
        <xdr:sp macro="" textlink="">
          <xdr:nvSpPr>
            <xdr:cNvPr id="951" name="TextBox 950">
              <a:extLst>
                <a:ext uri="{FF2B5EF4-FFF2-40B4-BE49-F238E27FC236}">
                  <a16:creationId xmlns:a16="http://schemas.microsoft.com/office/drawing/2014/main" id="{00000000-0008-0000-0400-0000B7030000}"/>
                </a:ext>
              </a:extLst>
            </xdr:cNvPr>
            <xdr:cNvSpPr txBox="1"/>
          </xdr:nvSpPr>
          <xdr:spPr>
            <a:xfrm rot="16200000">
              <a:off x="2706357" y="20230313"/>
              <a:ext cx="39448" cy="188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ctr"/>
              <a:r>
                <a:rPr lang="en-US" sz="1050">
                  <a:solidFill>
                    <a:srgbClr val="000000"/>
                  </a:solidFill>
                  <a:latin typeface="Arial" panose="020B0604020202020204" pitchFamily="34" charset="0"/>
                </a:rPr>
                <a:t>D</a:t>
              </a:r>
            </a:p>
          </xdr:txBody>
        </xdr:sp>
        <xdr:sp macro="" textlink="">
          <xdr:nvSpPr>
            <xdr:cNvPr id="952" name="TextBox 951">
              <a:extLst>
                <a:ext uri="{FF2B5EF4-FFF2-40B4-BE49-F238E27FC236}">
                  <a16:creationId xmlns:a16="http://schemas.microsoft.com/office/drawing/2014/main" id="{00000000-0008-0000-0400-0000B8030000}"/>
                </a:ext>
              </a:extLst>
            </xdr:cNvPr>
            <xdr:cNvSpPr txBox="1"/>
          </xdr:nvSpPr>
          <xdr:spPr>
            <a:xfrm rot="16200000">
              <a:off x="2548651" y="20234251"/>
              <a:ext cx="39448" cy="188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50">
                  <a:solidFill>
                    <a:srgbClr val="000000"/>
                  </a:solidFill>
                  <a:latin typeface="Arial" panose="020B0604020202020204" pitchFamily="34" charset="0"/>
                </a:rPr>
                <a:t>b3</a:t>
              </a:r>
            </a:p>
          </xdr:txBody>
        </xdr:sp>
        <xdr:sp macro="" textlink="">
          <xdr:nvSpPr>
            <xdr:cNvPr id="953" name="TextBox 952">
              <a:extLst>
                <a:ext uri="{FF2B5EF4-FFF2-40B4-BE49-F238E27FC236}">
                  <a16:creationId xmlns:a16="http://schemas.microsoft.com/office/drawing/2014/main" id="{00000000-0008-0000-0400-0000B9030000}"/>
                </a:ext>
              </a:extLst>
            </xdr:cNvPr>
            <xdr:cNvSpPr txBox="1"/>
          </xdr:nvSpPr>
          <xdr:spPr>
            <a:xfrm>
              <a:off x="2555929" y="20137891"/>
              <a:ext cx="37304" cy="1993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50">
                  <a:solidFill>
                    <a:srgbClr val="000000"/>
                  </a:solidFill>
                  <a:latin typeface="Arial" panose="020B0604020202020204" pitchFamily="34" charset="0"/>
                </a:rPr>
                <a:t>b2</a:t>
              </a:r>
            </a:p>
          </xdr:txBody>
        </xdr:sp>
        <xdr:sp macro="" textlink="">
          <xdr:nvSpPr>
            <xdr:cNvPr id="954" name="TextBox 953">
              <a:extLst>
                <a:ext uri="{FF2B5EF4-FFF2-40B4-BE49-F238E27FC236}">
                  <a16:creationId xmlns:a16="http://schemas.microsoft.com/office/drawing/2014/main" id="{00000000-0008-0000-0400-0000BA030000}"/>
                </a:ext>
              </a:extLst>
            </xdr:cNvPr>
            <xdr:cNvSpPr txBox="1"/>
          </xdr:nvSpPr>
          <xdr:spPr>
            <a:xfrm>
              <a:off x="2883610" y="20141829"/>
              <a:ext cx="37304" cy="1993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50">
                  <a:solidFill>
                    <a:srgbClr val="000000"/>
                  </a:solidFill>
                  <a:latin typeface="Arial" panose="020B0604020202020204" pitchFamily="34" charset="0"/>
                </a:rPr>
                <a:t>b2</a:t>
              </a:r>
            </a:p>
          </xdr:txBody>
        </xdr:sp>
      </xdr:grpSp>
      <xdr:sp macro="" textlink="">
        <xdr:nvSpPr>
          <xdr:cNvPr id="938" name="TextBox 937">
            <a:extLst>
              <a:ext uri="{FF2B5EF4-FFF2-40B4-BE49-F238E27FC236}">
                <a16:creationId xmlns:a16="http://schemas.microsoft.com/office/drawing/2014/main" id="{00000000-0008-0000-0400-0000AA030000}"/>
              </a:ext>
            </a:extLst>
          </xdr:cNvPr>
          <xdr:cNvSpPr txBox="1"/>
        </xdr:nvSpPr>
        <xdr:spPr>
          <a:xfrm>
            <a:off x="2678794" y="20321471"/>
            <a:ext cx="234008" cy="36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200">
                <a:solidFill>
                  <a:srgbClr val="000000"/>
                </a:solidFill>
                <a:latin typeface="Arial" panose="020B0604020202020204" pitchFamily="34" charset="0"/>
              </a:rPr>
              <a:t>Plan at Top of Pier</a:t>
            </a:r>
          </a:p>
        </xdr:txBody>
      </xdr:sp>
      <xdr:sp macro="" textlink="">
        <xdr:nvSpPr>
          <xdr:cNvPr id="939" name="Freeform 717">
            <a:extLst>
              <a:ext uri="{FF2B5EF4-FFF2-40B4-BE49-F238E27FC236}">
                <a16:creationId xmlns:a16="http://schemas.microsoft.com/office/drawing/2014/main" id="{00000000-0008-0000-0400-0000AB030000}"/>
              </a:ext>
            </a:extLst>
          </xdr:cNvPr>
          <xdr:cNvSpPr/>
        </xdr:nvSpPr>
        <xdr:spPr>
          <a:xfrm>
            <a:off x="2841239" y="20259218"/>
            <a:ext cx="31405" cy="28421"/>
          </a:xfrm>
          <a:custGeom>
            <a:avLst/>
            <a:gdLst/>
            <a:ahLst/>
            <a:cxnLst/>
            <a:rect l="0" t="0" r="0" b="0"/>
            <a:pathLst>
              <a:path w="31405" h="28421">
                <a:moveTo>
                  <a:pt x="0" y="28420"/>
                </a:moveTo>
                <a:lnTo>
                  <a:pt x="31404" y="28420"/>
                </a:lnTo>
                <a:lnTo>
                  <a:pt x="31404" y="0"/>
                </a:lnTo>
                <a:lnTo>
                  <a:pt x="0" y="0"/>
                </a:lnTo>
                <a:lnTo>
                  <a:pt x="0" y="2842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0" name="Freeform 718">
            <a:extLst>
              <a:ext uri="{FF2B5EF4-FFF2-40B4-BE49-F238E27FC236}">
                <a16:creationId xmlns:a16="http://schemas.microsoft.com/office/drawing/2014/main" id="{00000000-0008-0000-0400-0000AC030000}"/>
              </a:ext>
            </a:extLst>
          </xdr:cNvPr>
          <xdr:cNvSpPr/>
        </xdr:nvSpPr>
        <xdr:spPr>
          <a:xfrm>
            <a:off x="2605342" y="20259218"/>
            <a:ext cx="31405" cy="28421"/>
          </a:xfrm>
          <a:custGeom>
            <a:avLst/>
            <a:gdLst/>
            <a:ahLst/>
            <a:cxnLst/>
            <a:rect l="0" t="0" r="0" b="0"/>
            <a:pathLst>
              <a:path w="31405" h="28421">
                <a:moveTo>
                  <a:pt x="0" y="28420"/>
                </a:moveTo>
                <a:lnTo>
                  <a:pt x="31404" y="28420"/>
                </a:lnTo>
                <a:lnTo>
                  <a:pt x="31404" y="0"/>
                </a:lnTo>
                <a:lnTo>
                  <a:pt x="0" y="0"/>
                </a:lnTo>
                <a:lnTo>
                  <a:pt x="0" y="2842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1" name="Freeform 719">
            <a:extLst>
              <a:ext uri="{FF2B5EF4-FFF2-40B4-BE49-F238E27FC236}">
                <a16:creationId xmlns:a16="http://schemas.microsoft.com/office/drawing/2014/main" id="{00000000-0008-0000-0400-0000AD030000}"/>
              </a:ext>
            </a:extLst>
          </xdr:cNvPr>
          <xdr:cNvSpPr/>
        </xdr:nvSpPr>
        <xdr:spPr>
          <a:xfrm>
            <a:off x="2841239" y="20206884"/>
            <a:ext cx="31405" cy="28421"/>
          </a:xfrm>
          <a:custGeom>
            <a:avLst/>
            <a:gdLst/>
            <a:ahLst/>
            <a:cxnLst/>
            <a:rect l="0" t="0" r="0" b="0"/>
            <a:pathLst>
              <a:path w="31405" h="28421">
                <a:moveTo>
                  <a:pt x="0" y="0"/>
                </a:moveTo>
                <a:lnTo>
                  <a:pt x="31404" y="0"/>
                </a:lnTo>
                <a:lnTo>
                  <a:pt x="31404" y="28420"/>
                </a:lnTo>
                <a:lnTo>
                  <a:pt x="0" y="28420"/>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2" name="Freeform 720">
            <a:extLst>
              <a:ext uri="{FF2B5EF4-FFF2-40B4-BE49-F238E27FC236}">
                <a16:creationId xmlns:a16="http://schemas.microsoft.com/office/drawing/2014/main" id="{00000000-0008-0000-0400-0000AE030000}"/>
              </a:ext>
            </a:extLst>
          </xdr:cNvPr>
          <xdr:cNvSpPr/>
        </xdr:nvSpPr>
        <xdr:spPr>
          <a:xfrm>
            <a:off x="2605342" y="20206884"/>
            <a:ext cx="31405" cy="28421"/>
          </a:xfrm>
          <a:custGeom>
            <a:avLst/>
            <a:gdLst/>
            <a:ahLst/>
            <a:cxnLst/>
            <a:rect l="0" t="0" r="0" b="0"/>
            <a:pathLst>
              <a:path w="31405" h="28421">
                <a:moveTo>
                  <a:pt x="0" y="0"/>
                </a:moveTo>
                <a:lnTo>
                  <a:pt x="31404" y="0"/>
                </a:lnTo>
                <a:lnTo>
                  <a:pt x="31404" y="28420"/>
                </a:lnTo>
                <a:lnTo>
                  <a:pt x="0" y="28420"/>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3" name="Oval 942">
            <a:extLst>
              <a:ext uri="{FF2B5EF4-FFF2-40B4-BE49-F238E27FC236}">
                <a16:creationId xmlns:a16="http://schemas.microsoft.com/office/drawing/2014/main" id="{00000000-0008-0000-0400-0000AF030000}"/>
              </a:ext>
            </a:extLst>
          </xdr:cNvPr>
          <xdr:cNvSpPr/>
        </xdr:nvSpPr>
        <xdr:spPr>
          <a:xfrm>
            <a:off x="2689690" y="20197869"/>
            <a:ext cx="98781" cy="98780"/>
          </a:xfrm>
          <a:prstGeom prst="ellipse">
            <a:avLst/>
          </a:prstGeom>
          <a:noFill/>
          <a:ln w="3810" cap="flat" cmpd="sng" algn="ctr">
            <a:solidFill>
              <a:srgbClr val="000000"/>
            </a:solidFill>
            <a:prstDash val="dash"/>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4" name="Freeform 722">
            <a:extLst>
              <a:ext uri="{FF2B5EF4-FFF2-40B4-BE49-F238E27FC236}">
                <a16:creationId xmlns:a16="http://schemas.microsoft.com/office/drawing/2014/main" id="{00000000-0008-0000-0400-0000B0030000}"/>
              </a:ext>
            </a:extLst>
          </xdr:cNvPr>
          <xdr:cNvSpPr/>
        </xdr:nvSpPr>
        <xdr:spPr>
          <a:xfrm>
            <a:off x="2540001" y="20191261"/>
            <a:ext cx="395802" cy="112001"/>
          </a:xfrm>
          <a:custGeom>
            <a:avLst/>
            <a:gdLst/>
            <a:ahLst/>
            <a:cxnLst/>
            <a:rect l="0" t="0" r="0" b="0"/>
            <a:pathLst>
              <a:path w="395802" h="112001">
                <a:moveTo>
                  <a:pt x="0" y="0"/>
                </a:moveTo>
                <a:lnTo>
                  <a:pt x="395801" y="0"/>
                </a:lnTo>
                <a:lnTo>
                  <a:pt x="395801" y="112000"/>
                </a:lnTo>
                <a:lnTo>
                  <a:pt x="0" y="112000"/>
                </a:lnTo>
                <a:lnTo>
                  <a:pt x="0" y="0"/>
                </a:lnTo>
                <a:close/>
              </a:path>
            </a:pathLst>
          </a:custGeom>
          <a:noFill/>
          <a:ln w="3810" cap="flat" cmpd="sng" algn="ctr">
            <a:solidFill>
              <a:srgbClr val="0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29</xdr:col>
      <xdr:colOff>272143</xdr:colOff>
      <xdr:row>143</xdr:row>
      <xdr:rowOff>108855</xdr:rowOff>
    </xdr:from>
    <xdr:to>
      <xdr:col>34</xdr:col>
      <xdr:colOff>326571</xdr:colOff>
      <xdr:row>155</xdr:row>
      <xdr:rowOff>151449</xdr:rowOff>
    </xdr:to>
    <xdr:grpSp>
      <xdr:nvGrpSpPr>
        <xdr:cNvPr id="1045" name="Group 1044">
          <a:extLst>
            <a:ext uri="{FF2B5EF4-FFF2-40B4-BE49-F238E27FC236}">
              <a16:creationId xmlns:a16="http://schemas.microsoft.com/office/drawing/2014/main" id="{00000000-0008-0000-0400-000015040000}"/>
            </a:ext>
          </a:extLst>
        </xdr:cNvPr>
        <xdr:cNvGrpSpPr/>
      </xdr:nvGrpSpPr>
      <xdr:grpSpPr>
        <a:xfrm>
          <a:off x="20319467" y="26397855"/>
          <a:ext cx="3136045" cy="3494006"/>
          <a:chOff x="1816308" y="55302993"/>
          <a:chExt cx="4043367" cy="2636999"/>
        </a:xfrm>
      </xdr:grpSpPr>
      <xdr:grpSp>
        <xdr:nvGrpSpPr>
          <xdr:cNvPr id="1046" name="Group 1045">
            <a:extLst>
              <a:ext uri="{FF2B5EF4-FFF2-40B4-BE49-F238E27FC236}">
                <a16:creationId xmlns:a16="http://schemas.microsoft.com/office/drawing/2014/main" id="{00000000-0008-0000-0400-000016040000}"/>
              </a:ext>
            </a:extLst>
          </xdr:cNvPr>
          <xdr:cNvGrpSpPr/>
        </xdr:nvGrpSpPr>
        <xdr:grpSpPr>
          <a:xfrm>
            <a:off x="1816308" y="56006783"/>
            <a:ext cx="363694" cy="1175340"/>
            <a:chOff x="1816308" y="56006783"/>
            <a:chExt cx="363694" cy="1175340"/>
          </a:xfrm>
        </xdr:grpSpPr>
        <xdr:cxnSp macro="">
          <xdr:nvCxnSpPr>
            <xdr:cNvPr id="1104" name="Straight Connector 1103">
              <a:extLst>
                <a:ext uri="{FF2B5EF4-FFF2-40B4-BE49-F238E27FC236}">
                  <a16:creationId xmlns:a16="http://schemas.microsoft.com/office/drawing/2014/main" id="{00000000-0008-0000-0400-000050040000}"/>
                </a:ext>
              </a:extLst>
            </xdr:cNvPr>
            <xdr:cNvCxnSpPr/>
          </xdr:nvCxnSpPr>
          <xdr:spPr>
            <a:xfrm flipH="1">
              <a:off x="2004188" y="56006783"/>
              <a:ext cx="17581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105" name="Straight Connector 1104">
              <a:extLst>
                <a:ext uri="{FF2B5EF4-FFF2-40B4-BE49-F238E27FC236}">
                  <a16:creationId xmlns:a16="http://schemas.microsoft.com/office/drawing/2014/main" id="{00000000-0008-0000-0400-000051040000}"/>
                </a:ext>
              </a:extLst>
            </xdr:cNvPr>
            <xdr:cNvCxnSpPr/>
          </xdr:nvCxnSpPr>
          <xdr:spPr>
            <a:xfrm flipH="1">
              <a:off x="2004188" y="57182122"/>
              <a:ext cx="17581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106" name="Straight Connector 1105">
              <a:extLst>
                <a:ext uri="{FF2B5EF4-FFF2-40B4-BE49-F238E27FC236}">
                  <a16:creationId xmlns:a16="http://schemas.microsoft.com/office/drawing/2014/main" id="{00000000-0008-0000-0400-000052040000}"/>
                </a:ext>
              </a:extLst>
            </xdr:cNvPr>
            <xdr:cNvCxnSpPr/>
          </xdr:nvCxnSpPr>
          <xdr:spPr>
            <a:xfrm>
              <a:off x="2094187" y="56186784"/>
              <a:ext cx="0" cy="815337"/>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107" name="Freeform 1263">
              <a:extLst>
                <a:ext uri="{FF2B5EF4-FFF2-40B4-BE49-F238E27FC236}">
                  <a16:creationId xmlns:a16="http://schemas.microsoft.com/office/drawing/2014/main" id="{00000000-0008-0000-0400-000053040000}"/>
                </a:ext>
              </a:extLst>
            </xdr:cNvPr>
            <xdr:cNvSpPr/>
          </xdr:nvSpPr>
          <xdr:spPr>
            <a:xfrm>
              <a:off x="2064190" y="56006783"/>
              <a:ext cx="60001" cy="180002"/>
            </a:xfrm>
            <a:custGeom>
              <a:avLst/>
              <a:gdLst/>
              <a:ahLst/>
              <a:cxnLst/>
              <a:rect l="0" t="0" r="0" b="0"/>
              <a:pathLst>
                <a:path w="60001" h="180002">
                  <a:moveTo>
                    <a:pt x="0" y="180001"/>
                  </a:moveTo>
                  <a:lnTo>
                    <a:pt x="60000" y="180001"/>
                  </a:lnTo>
                  <a:lnTo>
                    <a:pt x="30000" y="0"/>
                  </a:lnTo>
                  <a:lnTo>
                    <a:pt x="30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08" name="Freeform 1264">
              <a:extLst>
                <a:ext uri="{FF2B5EF4-FFF2-40B4-BE49-F238E27FC236}">
                  <a16:creationId xmlns:a16="http://schemas.microsoft.com/office/drawing/2014/main" id="{00000000-0008-0000-0400-000054040000}"/>
                </a:ext>
              </a:extLst>
            </xdr:cNvPr>
            <xdr:cNvSpPr/>
          </xdr:nvSpPr>
          <xdr:spPr>
            <a:xfrm>
              <a:off x="2064190" y="57002127"/>
              <a:ext cx="60001" cy="179996"/>
            </a:xfrm>
            <a:custGeom>
              <a:avLst/>
              <a:gdLst/>
              <a:ahLst/>
              <a:cxnLst/>
              <a:rect l="0" t="0" r="0" b="0"/>
              <a:pathLst>
                <a:path w="60001" h="179996">
                  <a:moveTo>
                    <a:pt x="0" y="0"/>
                  </a:moveTo>
                  <a:lnTo>
                    <a:pt x="60000" y="0"/>
                  </a:lnTo>
                  <a:lnTo>
                    <a:pt x="30000" y="179995"/>
                  </a:lnTo>
                  <a:lnTo>
                    <a:pt x="30000" y="179995"/>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09" name="TextBox 1108">
              <a:extLst>
                <a:ext uri="{FF2B5EF4-FFF2-40B4-BE49-F238E27FC236}">
                  <a16:creationId xmlns:a16="http://schemas.microsoft.com/office/drawing/2014/main" id="{00000000-0008-0000-0400-000055040000}"/>
                </a:ext>
              </a:extLst>
            </xdr:cNvPr>
            <xdr:cNvSpPr txBox="1"/>
          </xdr:nvSpPr>
          <xdr:spPr>
            <a:xfrm rot="16200000">
              <a:off x="1820157" y="56403379"/>
              <a:ext cx="287566" cy="2952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rPr>
                <a:t>h1'</a:t>
              </a:r>
            </a:p>
          </xdr:txBody>
        </xdr:sp>
      </xdr:grpSp>
      <xdr:grpSp>
        <xdr:nvGrpSpPr>
          <xdr:cNvPr id="1047" name="Group 1046">
            <a:extLst>
              <a:ext uri="{FF2B5EF4-FFF2-40B4-BE49-F238E27FC236}">
                <a16:creationId xmlns:a16="http://schemas.microsoft.com/office/drawing/2014/main" id="{00000000-0008-0000-0400-000017040000}"/>
              </a:ext>
            </a:extLst>
          </xdr:cNvPr>
          <xdr:cNvGrpSpPr/>
        </xdr:nvGrpSpPr>
        <xdr:grpSpPr>
          <a:xfrm>
            <a:off x="2149061" y="56006783"/>
            <a:ext cx="412215" cy="524341"/>
            <a:chOff x="2149061" y="56006783"/>
            <a:chExt cx="412215" cy="524341"/>
          </a:xfrm>
        </xdr:grpSpPr>
        <xdr:cxnSp macro="">
          <xdr:nvCxnSpPr>
            <xdr:cNvPr id="1098" name="Straight Connector 1097">
              <a:extLst>
                <a:ext uri="{FF2B5EF4-FFF2-40B4-BE49-F238E27FC236}">
                  <a16:creationId xmlns:a16="http://schemas.microsoft.com/office/drawing/2014/main" id="{00000000-0008-0000-0400-00004A040000}"/>
                </a:ext>
              </a:extLst>
            </xdr:cNvPr>
            <xdr:cNvCxnSpPr/>
          </xdr:nvCxnSpPr>
          <xdr:spPr>
            <a:xfrm flipH="1">
              <a:off x="2385191" y="56006783"/>
              <a:ext cx="176085"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99" name="Straight Connector 1098">
              <a:extLst>
                <a:ext uri="{FF2B5EF4-FFF2-40B4-BE49-F238E27FC236}">
                  <a16:creationId xmlns:a16="http://schemas.microsoft.com/office/drawing/2014/main" id="{00000000-0008-0000-0400-00004B040000}"/>
                </a:ext>
              </a:extLst>
            </xdr:cNvPr>
            <xdr:cNvCxnSpPr/>
          </xdr:nvCxnSpPr>
          <xdr:spPr>
            <a:xfrm flipH="1">
              <a:off x="2385191" y="56531123"/>
              <a:ext cx="176085"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100" name="Straight Connector 1099">
              <a:extLst>
                <a:ext uri="{FF2B5EF4-FFF2-40B4-BE49-F238E27FC236}">
                  <a16:creationId xmlns:a16="http://schemas.microsoft.com/office/drawing/2014/main" id="{00000000-0008-0000-0400-00004C040000}"/>
                </a:ext>
              </a:extLst>
            </xdr:cNvPr>
            <xdr:cNvCxnSpPr/>
          </xdr:nvCxnSpPr>
          <xdr:spPr>
            <a:xfrm>
              <a:off x="2475191" y="56186784"/>
              <a:ext cx="0" cy="16434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101" name="TextBox 1100">
              <a:extLst>
                <a:ext uri="{FF2B5EF4-FFF2-40B4-BE49-F238E27FC236}">
                  <a16:creationId xmlns:a16="http://schemas.microsoft.com/office/drawing/2014/main" id="{00000000-0008-0000-0400-00004D040000}"/>
                </a:ext>
              </a:extLst>
            </xdr:cNvPr>
            <xdr:cNvSpPr txBox="1"/>
          </xdr:nvSpPr>
          <xdr:spPr>
            <a:xfrm rot="16200000">
              <a:off x="2152910" y="56144585"/>
              <a:ext cx="287566" cy="2952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rPr>
                <a:t>h2'</a:t>
              </a:r>
            </a:p>
          </xdr:txBody>
        </xdr:sp>
        <xdr:sp macro="" textlink="">
          <xdr:nvSpPr>
            <xdr:cNvPr id="1102" name="Freeform 1258">
              <a:extLst>
                <a:ext uri="{FF2B5EF4-FFF2-40B4-BE49-F238E27FC236}">
                  <a16:creationId xmlns:a16="http://schemas.microsoft.com/office/drawing/2014/main" id="{00000000-0008-0000-0400-00004E040000}"/>
                </a:ext>
              </a:extLst>
            </xdr:cNvPr>
            <xdr:cNvSpPr/>
          </xdr:nvSpPr>
          <xdr:spPr>
            <a:xfrm>
              <a:off x="2445188" y="56006783"/>
              <a:ext cx="60001" cy="180002"/>
            </a:xfrm>
            <a:custGeom>
              <a:avLst/>
              <a:gdLst/>
              <a:ahLst/>
              <a:cxnLst/>
              <a:rect l="0" t="0" r="0" b="0"/>
              <a:pathLst>
                <a:path w="60001" h="180002">
                  <a:moveTo>
                    <a:pt x="0" y="180001"/>
                  </a:moveTo>
                  <a:lnTo>
                    <a:pt x="60000" y="180001"/>
                  </a:lnTo>
                  <a:lnTo>
                    <a:pt x="30000" y="0"/>
                  </a:lnTo>
                  <a:lnTo>
                    <a:pt x="30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03" name="Freeform 1259">
              <a:extLst>
                <a:ext uri="{FF2B5EF4-FFF2-40B4-BE49-F238E27FC236}">
                  <a16:creationId xmlns:a16="http://schemas.microsoft.com/office/drawing/2014/main" id="{00000000-0008-0000-0400-00004F040000}"/>
                </a:ext>
              </a:extLst>
            </xdr:cNvPr>
            <xdr:cNvSpPr/>
          </xdr:nvSpPr>
          <xdr:spPr>
            <a:xfrm>
              <a:off x="2445188" y="56351128"/>
              <a:ext cx="60001" cy="179996"/>
            </a:xfrm>
            <a:custGeom>
              <a:avLst/>
              <a:gdLst/>
              <a:ahLst/>
              <a:cxnLst/>
              <a:rect l="0" t="0" r="0" b="0"/>
              <a:pathLst>
                <a:path w="60001" h="179996">
                  <a:moveTo>
                    <a:pt x="0" y="0"/>
                  </a:moveTo>
                  <a:lnTo>
                    <a:pt x="60000" y="0"/>
                  </a:lnTo>
                  <a:lnTo>
                    <a:pt x="30000" y="179995"/>
                  </a:lnTo>
                  <a:lnTo>
                    <a:pt x="30000" y="179995"/>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grpSp>
        <xdr:nvGrpSpPr>
          <xdr:cNvPr id="1048" name="Group 1047">
            <a:extLst>
              <a:ext uri="{FF2B5EF4-FFF2-40B4-BE49-F238E27FC236}">
                <a16:creationId xmlns:a16="http://schemas.microsoft.com/office/drawing/2014/main" id="{00000000-0008-0000-0400-000018040000}"/>
              </a:ext>
            </a:extLst>
          </xdr:cNvPr>
          <xdr:cNvGrpSpPr/>
        </xdr:nvGrpSpPr>
        <xdr:grpSpPr>
          <a:xfrm>
            <a:off x="4348305" y="57204428"/>
            <a:ext cx="1214640" cy="356468"/>
            <a:chOff x="4348305" y="57204428"/>
            <a:chExt cx="1214640" cy="356468"/>
          </a:xfrm>
        </xdr:grpSpPr>
        <xdr:cxnSp macro="">
          <xdr:nvCxnSpPr>
            <xdr:cNvPr id="1091" name="Straight Connector 1090">
              <a:extLst>
                <a:ext uri="{FF2B5EF4-FFF2-40B4-BE49-F238E27FC236}">
                  <a16:creationId xmlns:a16="http://schemas.microsoft.com/office/drawing/2014/main" id="{00000000-0008-0000-0400-000043040000}"/>
                </a:ext>
              </a:extLst>
            </xdr:cNvPr>
            <xdr:cNvCxnSpPr/>
          </xdr:nvCxnSpPr>
          <xdr:spPr>
            <a:xfrm>
              <a:off x="4708305" y="57374755"/>
              <a:ext cx="0" cy="18614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92" name="Straight Connector 1091">
              <a:extLst>
                <a:ext uri="{FF2B5EF4-FFF2-40B4-BE49-F238E27FC236}">
                  <a16:creationId xmlns:a16="http://schemas.microsoft.com/office/drawing/2014/main" id="{00000000-0008-0000-0400-000044040000}"/>
                </a:ext>
              </a:extLst>
            </xdr:cNvPr>
            <xdr:cNvCxnSpPr/>
          </xdr:nvCxnSpPr>
          <xdr:spPr>
            <a:xfrm>
              <a:off x="5202945" y="57374755"/>
              <a:ext cx="0" cy="186141"/>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93" name="Straight Connector 1092">
              <a:extLst>
                <a:ext uri="{FF2B5EF4-FFF2-40B4-BE49-F238E27FC236}">
                  <a16:creationId xmlns:a16="http://schemas.microsoft.com/office/drawing/2014/main" id="{00000000-0008-0000-0400-000045040000}"/>
                </a:ext>
              </a:extLst>
            </xdr:cNvPr>
            <xdr:cNvCxnSpPr/>
          </xdr:nvCxnSpPr>
          <xdr:spPr>
            <a:xfrm flipH="1">
              <a:off x="4348305" y="57470892"/>
              <a:ext cx="180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94" name="Straight Connector 1093">
              <a:extLst>
                <a:ext uri="{FF2B5EF4-FFF2-40B4-BE49-F238E27FC236}">
                  <a16:creationId xmlns:a16="http://schemas.microsoft.com/office/drawing/2014/main" id="{00000000-0008-0000-0400-000046040000}"/>
                </a:ext>
              </a:extLst>
            </xdr:cNvPr>
            <xdr:cNvCxnSpPr/>
          </xdr:nvCxnSpPr>
          <xdr:spPr>
            <a:xfrm>
              <a:off x="5382945" y="57470892"/>
              <a:ext cx="18000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095" name="TextBox 1094">
              <a:extLst>
                <a:ext uri="{FF2B5EF4-FFF2-40B4-BE49-F238E27FC236}">
                  <a16:creationId xmlns:a16="http://schemas.microsoft.com/office/drawing/2014/main" id="{00000000-0008-0000-0400-000047040000}"/>
                </a:ext>
              </a:extLst>
            </xdr:cNvPr>
            <xdr:cNvSpPr txBox="1"/>
          </xdr:nvSpPr>
          <xdr:spPr>
            <a:xfrm rot="21600000">
              <a:off x="4831186" y="57204428"/>
              <a:ext cx="249160" cy="2952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rPr>
                <a:t>b1</a:t>
              </a:r>
            </a:p>
          </xdr:txBody>
        </xdr:sp>
        <xdr:sp macro="" textlink="">
          <xdr:nvSpPr>
            <xdr:cNvPr id="1096" name="Freeform 1252">
              <a:extLst>
                <a:ext uri="{FF2B5EF4-FFF2-40B4-BE49-F238E27FC236}">
                  <a16:creationId xmlns:a16="http://schemas.microsoft.com/office/drawing/2014/main" id="{00000000-0008-0000-0400-000048040000}"/>
                </a:ext>
              </a:extLst>
            </xdr:cNvPr>
            <xdr:cNvSpPr/>
          </xdr:nvSpPr>
          <xdr:spPr>
            <a:xfrm>
              <a:off x="4528307" y="57440897"/>
              <a:ext cx="180001" cy="59997"/>
            </a:xfrm>
            <a:custGeom>
              <a:avLst/>
              <a:gdLst/>
              <a:ahLst/>
              <a:cxnLst/>
              <a:rect l="0" t="0" r="0" b="0"/>
              <a:pathLst>
                <a:path w="180001" h="59997">
                  <a:moveTo>
                    <a:pt x="0" y="0"/>
                  </a:moveTo>
                  <a:lnTo>
                    <a:pt x="0" y="59996"/>
                  </a:lnTo>
                  <a:lnTo>
                    <a:pt x="180000" y="30001"/>
                  </a:lnTo>
                  <a:lnTo>
                    <a:pt x="180000" y="30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97" name="Freeform 1253">
              <a:extLst>
                <a:ext uri="{FF2B5EF4-FFF2-40B4-BE49-F238E27FC236}">
                  <a16:creationId xmlns:a16="http://schemas.microsoft.com/office/drawing/2014/main" id="{00000000-0008-0000-0400-000049040000}"/>
                </a:ext>
              </a:extLst>
            </xdr:cNvPr>
            <xdr:cNvSpPr/>
          </xdr:nvSpPr>
          <xdr:spPr>
            <a:xfrm>
              <a:off x="5202940" y="57440897"/>
              <a:ext cx="180001" cy="59997"/>
            </a:xfrm>
            <a:custGeom>
              <a:avLst/>
              <a:gdLst/>
              <a:ahLst/>
              <a:cxnLst/>
              <a:rect l="0" t="0" r="0" b="0"/>
              <a:pathLst>
                <a:path w="180001" h="59997">
                  <a:moveTo>
                    <a:pt x="180000" y="0"/>
                  </a:moveTo>
                  <a:lnTo>
                    <a:pt x="180000" y="59996"/>
                  </a:lnTo>
                  <a:lnTo>
                    <a:pt x="0" y="30001"/>
                  </a:lnTo>
                  <a:lnTo>
                    <a:pt x="0" y="30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grpSp>
        <xdr:nvGrpSpPr>
          <xdr:cNvPr id="1049" name="Group 1048">
            <a:extLst>
              <a:ext uri="{FF2B5EF4-FFF2-40B4-BE49-F238E27FC236}">
                <a16:creationId xmlns:a16="http://schemas.microsoft.com/office/drawing/2014/main" id="{00000000-0008-0000-0400-000019040000}"/>
              </a:ext>
            </a:extLst>
          </xdr:cNvPr>
          <xdr:cNvGrpSpPr/>
        </xdr:nvGrpSpPr>
        <xdr:grpSpPr>
          <a:xfrm>
            <a:off x="5366877" y="56646911"/>
            <a:ext cx="465179" cy="895214"/>
            <a:chOff x="5366877" y="56646911"/>
            <a:chExt cx="465179" cy="895214"/>
          </a:xfrm>
        </xdr:grpSpPr>
        <xdr:cxnSp macro="">
          <xdr:nvCxnSpPr>
            <xdr:cNvPr id="1084" name="Straight Connector 1083">
              <a:extLst>
                <a:ext uri="{FF2B5EF4-FFF2-40B4-BE49-F238E27FC236}">
                  <a16:creationId xmlns:a16="http://schemas.microsoft.com/office/drawing/2014/main" id="{00000000-0008-0000-0400-00003C040000}"/>
                </a:ext>
              </a:extLst>
            </xdr:cNvPr>
            <xdr:cNvCxnSpPr/>
          </xdr:nvCxnSpPr>
          <xdr:spPr>
            <a:xfrm>
              <a:off x="5663216" y="57182122"/>
              <a:ext cx="16884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85" name="Straight Connector 1084">
              <a:extLst>
                <a:ext uri="{FF2B5EF4-FFF2-40B4-BE49-F238E27FC236}">
                  <a16:creationId xmlns:a16="http://schemas.microsoft.com/office/drawing/2014/main" id="{00000000-0008-0000-0400-00003D040000}"/>
                </a:ext>
              </a:extLst>
            </xdr:cNvPr>
            <xdr:cNvCxnSpPr/>
          </xdr:nvCxnSpPr>
          <xdr:spPr>
            <a:xfrm>
              <a:off x="5663216" y="57006908"/>
              <a:ext cx="16884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86" name="Straight Connector 1085">
              <a:extLst>
                <a:ext uri="{FF2B5EF4-FFF2-40B4-BE49-F238E27FC236}">
                  <a16:creationId xmlns:a16="http://schemas.microsoft.com/office/drawing/2014/main" id="{00000000-0008-0000-0400-00003E040000}"/>
                </a:ext>
              </a:extLst>
            </xdr:cNvPr>
            <xdr:cNvCxnSpPr/>
          </xdr:nvCxnSpPr>
          <xdr:spPr>
            <a:xfrm>
              <a:off x="5742056" y="57362123"/>
              <a:ext cx="0" cy="18000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87" name="Straight Connector 1086">
              <a:extLst>
                <a:ext uri="{FF2B5EF4-FFF2-40B4-BE49-F238E27FC236}">
                  <a16:creationId xmlns:a16="http://schemas.microsoft.com/office/drawing/2014/main" id="{00000000-0008-0000-0400-00003F040000}"/>
                </a:ext>
              </a:extLst>
            </xdr:cNvPr>
            <xdr:cNvCxnSpPr/>
          </xdr:nvCxnSpPr>
          <xdr:spPr>
            <a:xfrm flipV="1">
              <a:off x="5742056" y="56646911"/>
              <a:ext cx="0" cy="180002"/>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088" name="TextBox 1087">
              <a:extLst>
                <a:ext uri="{FF2B5EF4-FFF2-40B4-BE49-F238E27FC236}">
                  <a16:creationId xmlns:a16="http://schemas.microsoft.com/office/drawing/2014/main" id="{00000000-0008-0000-0400-000040040000}"/>
                </a:ext>
              </a:extLst>
            </xdr:cNvPr>
            <xdr:cNvSpPr txBox="1"/>
          </xdr:nvSpPr>
          <xdr:spPr>
            <a:xfrm rot="16200000">
              <a:off x="5389929" y="56942806"/>
              <a:ext cx="249160" cy="2952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rPr>
                <a:t>h3</a:t>
              </a:r>
            </a:p>
          </xdr:txBody>
        </xdr:sp>
        <xdr:sp macro="" textlink="">
          <xdr:nvSpPr>
            <xdr:cNvPr id="1089" name="Freeform 1245">
              <a:extLst>
                <a:ext uri="{FF2B5EF4-FFF2-40B4-BE49-F238E27FC236}">
                  <a16:creationId xmlns:a16="http://schemas.microsoft.com/office/drawing/2014/main" id="{00000000-0008-0000-0400-000041040000}"/>
                </a:ext>
              </a:extLst>
            </xdr:cNvPr>
            <xdr:cNvSpPr/>
          </xdr:nvSpPr>
          <xdr:spPr>
            <a:xfrm>
              <a:off x="5712058" y="57182122"/>
              <a:ext cx="60001" cy="180002"/>
            </a:xfrm>
            <a:custGeom>
              <a:avLst/>
              <a:gdLst/>
              <a:ahLst/>
              <a:cxnLst/>
              <a:rect l="0" t="0" r="0" b="0"/>
              <a:pathLst>
                <a:path w="60001" h="180002">
                  <a:moveTo>
                    <a:pt x="0" y="180001"/>
                  </a:moveTo>
                  <a:lnTo>
                    <a:pt x="60000" y="180001"/>
                  </a:lnTo>
                  <a:lnTo>
                    <a:pt x="30000" y="0"/>
                  </a:lnTo>
                  <a:lnTo>
                    <a:pt x="30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90" name="Freeform 1246">
              <a:extLst>
                <a:ext uri="{FF2B5EF4-FFF2-40B4-BE49-F238E27FC236}">
                  <a16:creationId xmlns:a16="http://schemas.microsoft.com/office/drawing/2014/main" id="{00000000-0008-0000-0400-000042040000}"/>
                </a:ext>
              </a:extLst>
            </xdr:cNvPr>
            <xdr:cNvSpPr/>
          </xdr:nvSpPr>
          <xdr:spPr>
            <a:xfrm>
              <a:off x="5712058" y="56826907"/>
              <a:ext cx="60001" cy="180002"/>
            </a:xfrm>
            <a:custGeom>
              <a:avLst/>
              <a:gdLst/>
              <a:ahLst/>
              <a:cxnLst/>
              <a:rect l="0" t="0" r="0" b="0"/>
              <a:pathLst>
                <a:path w="60001" h="180002">
                  <a:moveTo>
                    <a:pt x="0" y="0"/>
                  </a:moveTo>
                  <a:lnTo>
                    <a:pt x="60000" y="0"/>
                  </a:lnTo>
                  <a:lnTo>
                    <a:pt x="30000" y="180001"/>
                  </a:lnTo>
                  <a:lnTo>
                    <a:pt x="30000" y="180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grpSp>
        <xdr:nvGrpSpPr>
          <xdr:cNvPr id="1050" name="Group 1049">
            <a:extLst>
              <a:ext uri="{FF2B5EF4-FFF2-40B4-BE49-F238E27FC236}">
                <a16:creationId xmlns:a16="http://schemas.microsoft.com/office/drawing/2014/main" id="{00000000-0008-0000-0400-00001A040000}"/>
              </a:ext>
            </a:extLst>
          </xdr:cNvPr>
          <xdr:cNvGrpSpPr/>
        </xdr:nvGrpSpPr>
        <xdr:grpSpPr>
          <a:xfrm>
            <a:off x="5454498" y="56006783"/>
            <a:ext cx="377558" cy="1000126"/>
            <a:chOff x="5454498" y="56006783"/>
            <a:chExt cx="377558" cy="1000126"/>
          </a:xfrm>
        </xdr:grpSpPr>
        <xdr:cxnSp macro="">
          <xdr:nvCxnSpPr>
            <xdr:cNvPr id="1078" name="Straight Connector 1077">
              <a:extLst>
                <a:ext uri="{FF2B5EF4-FFF2-40B4-BE49-F238E27FC236}">
                  <a16:creationId xmlns:a16="http://schemas.microsoft.com/office/drawing/2014/main" id="{00000000-0008-0000-0400-000036040000}"/>
                </a:ext>
              </a:extLst>
            </xdr:cNvPr>
            <xdr:cNvCxnSpPr/>
          </xdr:nvCxnSpPr>
          <xdr:spPr>
            <a:xfrm>
              <a:off x="5663216" y="57006908"/>
              <a:ext cx="16884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79" name="Straight Connector 1078">
              <a:extLst>
                <a:ext uri="{FF2B5EF4-FFF2-40B4-BE49-F238E27FC236}">
                  <a16:creationId xmlns:a16="http://schemas.microsoft.com/office/drawing/2014/main" id="{00000000-0008-0000-0400-000037040000}"/>
                </a:ext>
              </a:extLst>
            </xdr:cNvPr>
            <xdr:cNvCxnSpPr/>
          </xdr:nvCxnSpPr>
          <xdr:spPr>
            <a:xfrm>
              <a:off x="5663216" y="56006783"/>
              <a:ext cx="168840"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80" name="Straight Connector 1079">
              <a:extLst>
                <a:ext uri="{FF2B5EF4-FFF2-40B4-BE49-F238E27FC236}">
                  <a16:creationId xmlns:a16="http://schemas.microsoft.com/office/drawing/2014/main" id="{00000000-0008-0000-0400-000038040000}"/>
                </a:ext>
              </a:extLst>
            </xdr:cNvPr>
            <xdr:cNvCxnSpPr/>
          </xdr:nvCxnSpPr>
          <xdr:spPr>
            <a:xfrm flipV="1">
              <a:off x="5742056" y="56186784"/>
              <a:ext cx="0" cy="64012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081" name="Freeform 1237">
              <a:extLst>
                <a:ext uri="{FF2B5EF4-FFF2-40B4-BE49-F238E27FC236}">
                  <a16:creationId xmlns:a16="http://schemas.microsoft.com/office/drawing/2014/main" id="{00000000-0008-0000-0400-000039040000}"/>
                </a:ext>
              </a:extLst>
            </xdr:cNvPr>
            <xdr:cNvSpPr/>
          </xdr:nvSpPr>
          <xdr:spPr>
            <a:xfrm>
              <a:off x="5712058" y="56826907"/>
              <a:ext cx="60001" cy="180002"/>
            </a:xfrm>
            <a:custGeom>
              <a:avLst/>
              <a:gdLst/>
              <a:ahLst/>
              <a:cxnLst/>
              <a:rect l="0" t="0" r="0" b="0"/>
              <a:pathLst>
                <a:path w="60001" h="180002">
                  <a:moveTo>
                    <a:pt x="0" y="0"/>
                  </a:moveTo>
                  <a:lnTo>
                    <a:pt x="60000" y="0"/>
                  </a:lnTo>
                  <a:lnTo>
                    <a:pt x="30000" y="180001"/>
                  </a:lnTo>
                  <a:lnTo>
                    <a:pt x="30000" y="180001"/>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82" name="Freeform 1238">
              <a:extLst>
                <a:ext uri="{FF2B5EF4-FFF2-40B4-BE49-F238E27FC236}">
                  <a16:creationId xmlns:a16="http://schemas.microsoft.com/office/drawing/2014/main" id="{00000000-0008-0000-0400-00003A040000}"/>
                </a:ext>
              </a:extLst>
            </xdr:cNvPr>
            <xdr:cNvSpPr/>
          </xdr:nvSpPr>
          <xdr:spPr>
            <a:xfrm>
              <a:off x="5712058" y="56006783"/>
              <a:ext cx="60001" cy="180002"/>
            </a:xfrm>
            <a:custGeom>
              <a:avLst/>
              <a:gdLst/>
              <a:ahLst/>
              <a:cxnLst/>
              <a:rect l="0" t="0" r="0" b="0"/>
              <a:pathLst>
                <a:path w="60001" h="180002">
                  <a:moveTo>
                    <a:pt x="0" y="180001"/>
                  </a:moveTo>
                  <a:lnTo>
                    <a:pt x="60000" y="180001"/>
                  </a:lnTo>
                  <a:lnTo>
                    <a:pt x="30000" y="0"/>
                  </a:lnTo>
                  <a:lnTo>
                    <a:pt x="30000" y="0"/>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83" name="TextBox 1082">
              <a:extLst>
                <a:ext uri="{FF2B5EF4-FFF2-40B4-BE49-F238E27FC236}">
                  <a16:creationId xmlns:a16="http://schemas.microsoft.com/office/drawing/2014/main" id="{00000000-0008-0000-0400-00003B040000}"/>
                </a:ext>
              </a:extLst>
            </xdr:cNvPr>
            <xdr:cNvSpPr txBox="1"/>
          </xdr:nvSpPr>
          <xdr:spPr>
            <a:xfrm rot="16200000">
              <a:off x="5477550" y="56315025"/>
              <a:ext cx="249160" cy="2952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rPr>
                <a:t>h2</a:t>
              </a:r>
            </a:p>
          </xdr:txBody>
        </xdr:sp>
      </xdr:grpSp>
      <xdr:cxnSp macro="">
        <xdr:nvCxnSpPr>
          <xdr:cNvPr id="1051" name="Straight Connector 1050">
            <a:extLst>
              <a:ext uri="{FF2B5EF4-FFF2-40B4-BE49-F238E27FC236}">
                <a16:creationId xmlns:a16="http://schemas.microsoft.com/office/drawing/2014/main" id="{00000000-0008-0000-0400-00001B040000}"/>
              </a:ext>
            </a:extLst>
          </xdr:cNvPr>
          <xdr:cNvCxnSpPr/>
        </xdr:nvCxnSpPr>
        <xdr:spPr>
          <a:xfrm flipV="1">
            <a:off x="4607865" y="56006783"/>
            <a:ext cx="0" cy="10781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2" name="Straight Connector 1051">
            <a:extLst>
              <a:ext uri="{FF2B5EF4-FFF2-40B4-BE49-F238E27FC236}">
                <a16:creationId xmlns:a16="http://schemas.microsoft.com/office/drawing/2014/main" id="{00000000-0008-0000-0400-00001C040000}"/>
              </a:ext>
            </a:extLst>
          </xdr:cNvPr>
          <xdr:cNvCxnSpPr/>
        </xdr:nvCxnSpPr>
        <xdr:spPr>
          <a:xfrm>
            <a:off x="2921276" y="56114597"/>
            <a:ext cx="168658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3" name="Straight Connector 1052">
            <a:extLst>
              <a:ext uri="{FF2B5EF4-FFF2-40B4-BE49-F238E27FC236}">
                <a16:creationId xmlns:a16="http://schemas.microsoft.com/office/drawing/2014/main" id="{00000000-0008-0000-0400-00001D040000}"/>
              </a:ext>
            </a:extLst>
          </xdr:cNvPr>
          <xdr:cNvCxnSpPr/>
        </xdr:nvCxnSpPr>
        <xdr:spPr>
          <a:xfrm flipV="1">
            <a:off x="4498436" y="56114597"/>
            <a:ext cx="0" cy="14165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4" name="Straight Connector 1053">
            <a:extLst>
              <a:ext uri="{FF2B5EF4-FFF2-40B4-BE49-F238E27FC236}">
                <a16:creationId xmlns:a16="http://schemas.microsoft.com/office/drawing/2014/main" id="{00000000-0008-0000-0400-00001E040000}"/>
              </a:ext>
            </a:extLst>
          </xdr:cNvPr>
          <xdr:cNvCxnSpPr/>
        </xdr:nvCxnSpPr>
        <xdr:spPr>
          <a:xfrm flipH="1" flipV="1">
            <a:off x="4498436" y="56256250"/>
            <a:ext cx="109429" cy="126473"/>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5" name="Straight Connector 1054">
            <a:extLst>
              <a:ext uri="{FF2B5EF4-FFF2-40B4-BE49-F238E27FC236}">
                <a16:creationId xmlns:a16="http://schemas.microsoft.com/office/drawing/2014/main" id="{00000000-0008-0000-0400-00001F040000}"/>
              </a:ext>
            </a:extLst>
          </xdr:cNvPr>
          <xdr:cNvCxnSpPr/>
        </xdr:nvCxnSpPr>
        <xdr:spPr>
          <a:xfrm flipV="1">
            <a:off x="4607865" y="56382723"/>
            <a:ext cx="0" cy="799399"/>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nvGrpSpPr>
          <xdr:cNvPr id="1056" name="Group 1055">
            <a:extLst>
              <a:ext uri="{FF2B5EF4-FFF2-40B4-BE49-F238E27FC236}">
                <a16:creationId xmlns:a16="http://schemas.microsoft.com/office/drawing/2014/main" id="{00000000-0008-0000-0400-000020040000}"/>
              </a:ext>
            </a:extLst>
          </xdr:cNvPr>
          <xdr:cNvGrpSpPr/>
        </xdr:nvGrpSpPr>
        <xdr:grpSpPr>
          <a:xfrm>
            <a:off x="2921273" y="55302993"/>
            <a:ext cx="1686594" cy="343793"/>
            <a:chOff x="2921273" y="55302993"/>
            <a:chExt cx="1686594" cy="343793"/>
          </a:xfrm>
        </xdr:grpSpPr>
        <xdr:cxnSp macro="">
          <xdr:nvCxnSpPr>
            <xdr:cNvPr id="1072" name="Straight Connector 1071">
              <a:extLst>
                <a:ext uri="{FF2B5EF4-FFF2-40B4-BE49-F238E27FC236}">
                  <a16:creationId xmlns:a16="http://schemas.microsoft.com/office/drawing/2014/main" id="{00000000-0008-0000-0400-000030040000}"/>
                </a:ext>
              </a:extLst>
            </xdr:cNvPr>
            <xdr:cNvCxnSpPr/>
          </xdr:nvCxnSpPr>
          <xdr:spPr>
            <a:xfrm flipV="1">
              <a:off x="2921276" y="55461036"/>
              <a:ext cx="0" cy="18575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73" name="Straight Connector 1072">
              <a:extLst>
                <a:ext uri="{FF2B5EF4-FFF2-40B4-BE49-F238E27FC236}">
                  <a16:creationId xmlns:a16="http://schemas.microsoft.com/office/drawing/2014/main" id="{00000000-0008-0000-0400-000031040000}"/>
                </a:ext>
              </a:extLst>
            </xdr:cNvPr>
            <xdr:cNvCxnSpPr/>
          </xdr:nvCxnSpPr>
          <xdr:spPr>
            <a:xfrm flipV="1">
              <a:off x="4607865" y="55461036"/>
              <a:ext cx="0" cy="18575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74" name="Straight Connector 1073">
              <a:extLst>
                <a:ext uri="{FF2B5EF4-FFF2-40B4-BE49-F238E27FC236}">
                  <a16:creationId xmlns:a16="http://schemas.microsoft.com/office/drawing/2014/main" id="{00000000-0008-0000-0400-000032040000}"/>
                </a:ext>
              </a:extLst>
            </xdr:cNvPr>
            <xdr:cNvCxnSpPr/>
          </xdr:nvCxnSpPr>
          <xdr:spPr>
            <a:xfrm>
              <a:off x="3101276" y="55551034"/>
              <a:ext cx="1326589"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sp macro="" textlink="">
          <xdr:nvSpPr>
            <xdr:cNvPr id="1075" name="Freeform 1231">
              <a:extLst>
                <a:ext uri="{FF2B5EF4-FFF2-40B4-BE49-F238E27FC236}">
                  <a16:creationId xmlns:a16="http://schemas.microsoft.com/office/drawing/2014/main" id="{00000000-0008-0000-0400-000033040000}"/>
                </a:ext>
              </a:extLst>
            </xdr:cNvPr>
            <xdr:cNvSpPr/>
          </xdr:nvSpPr>
          <xdr:spPr>
            <a:xfrm>
              <a:off x="2921273" y="55521039"/>
              <a:ext cx="180001" cy="59997"/>
            </a:xfrm>
            <a:custGeom>
              <a:avLst/>
              <a:gdLst/>
              <a:ahLst/>
              <a:cxnLst/>
              <a:rect l="0" t="0" r="0" b="0"/>
              <a:pathLst>
                <a:path w="180001" h="59997">
                  <a:moveTo>
                    <a:pt x="180000" y="0"/>
                  </a:moveTo>
                  <a:lnTo>
                    <a:pt x="180000" y="59996"/>
                  </a:lnTo>
                  <a:lnTo>
                    <a:pt x="0" y="29995"/>
                  </a:lnTo>
                  <a:lnTo>
                    <a:pt x="0" y="29995"/>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76" name="Freeform 1232">
              <a:extLst>
                <a:ext uri="{FF2B5EF4-FFF2-40B4-BE49-F238E27FC236}">
                  <a16:creationId xmlns:a16="http://schemas.microsoft.com/office/drawing/2014/main" id="{00000000-0008-0000-0400-000034040000}"/>
                </a:ext>
              </a:extLst>
            </xdr:cNvPr>
            <xdr:cNvSpPr/>
          </xdr:nvSpPr>
          <xdr:spPr>
            <a:xfrm>
              <a:off x="4427866" y="55521039"/>
              <a:ext cx="180001" cy="59997"/>
            </a:xfrm>
            <a:custGeom>
              <a:avLst/>
              <a:gdLst/>
              <a:ahLst/>
              <a:cxnLst/>
              <a:rect l="0" t="0" r="0" b="0"/>
              <a:pathLst>
                <a:path w="180001" h="59997">
                  <a:moveTo>
                    <a:pt x="0" y="0"/>
                  </a:moveTo>
                  <a:lnTo>
                    <a:pt x="0" y="59996"/>
                  </a:lnTo>
                  <a:lnTo>
                    <a:pt x="180000" y="29995"/>
                  </a:lnTo>
                  <a:lnTo>
                    <a:pt x="180000" y="29995"/>
                  </a:lnTo>
                </a:path>
              </a:pathLst>
            </a:custGeom>
            <a:solidFill>
              <a:srgbClr val="000000"/>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77" name="TextBox 1076">
              <a:extLst>
                <a:ext uri="{FF2B5EF4-FFF2-40B4-BE49-F238E27FC236}">
                  <a16:creationId xmlns:a16="http://schemas.microsoft.com/office/drawing/2014/main" id="{00000000-0008-0000-0400-000035040000}"/>
                </a:ext>
              </a:extLst>
            </xdr:cNvPr>
            <xdr:cNvSpPr txBox="1"/>
          </xdr:nvSpPr>
          <xdr:spPr>
            <a:xfrm rot="21600000">
              <a:off x="3631620" y="55302993"/>
              <a:ext cx="287566" cy="29526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val="000000"/>
                  </a:solidFill>
                  <a:prstDash val="solid"/>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pPr algn="l"/>
              <a:r>
                <a:rPr lang="en-US" sz="1000">
                  <a:solidFill>
                    <a:srgbClr val="000000"/>
                  </a:solidFill>
                  <a:latin typeface="Arial" panose="020B0604020202020204" pitchFamily="34" charset="0"/>
                </a:rPr>
                <a:t>b1'</a:t>
              </a:r>
            </a:p>
          </xdr:txBody>
        </xdr:sp>
      </xdr:grpSp>
      <xdr:cxnSp macro="">
        <xdr:nvCxnSpPr>
          <xdr:cNvPr id="1057" name="Straight Connector 1056">
            <a:extLst>
              <a:ext uri="{FF2B5EF4-FFF2-40B4-BE49-F238E27FC236}">
                <a16:creationId xmlns:a16="http://schemas.microsoft.com/office/drawing/2014/main" id="{00000000-0008-0000-0400-000021040000}"/>
              </a:ext>
            </a:extLst>
          </xdr:cNvPr>
          <xdr:cNvCxnSpPr/>
        </xdr:nvCxnSpPr>
        <xdr:spPr>
          <a:xfrm>
            <a:off x="4890083" y="57663538"/>
            <a:ext cx="252000" cy="27645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8" name="Straight Connector 1057">
            <a:extLst>
              <a:ext uri="{FF2B5EF4-FFF2-40B4-BE49-F238E27FC236}">
                <a16:creationId xmlns:a16="http://schemas.microsoft.com/office/drawing/2014/main" id="{00000000-0008-0000-0400-000022040000}"/>
              </a:ext>
            </a:extLst>
          </xdr:cNvPr>
          <xdr:cNvCxnSpPr/>
        </xdr:nvCxnSpPr>
        <xdr:spPr>
          <a:xfrm flipV="1">
            <a:off x="4890083" y="57663538"/>
            <a:ext cx="0" cy="13823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59" name="Straight Connector 1058">
            <a:extLst>
              <a:ext uri="{FF2B5EF4-FFF2-40B4-BE49-F238E27FC236}">
                <a16:creationId xmlns:a16="http://schemas.microsoft.com/office/drawing/2014/main" id="{00000000-0008-0000-0400-000023040000}"/>
              </a:ext>
            </a:extLst>
          </xdr:cNvPr>
          <xdr:cNvCxnSpPr/>
        </xdr:nvCxnSpPr>
        <xdr:spPr>
          <a:xfrm flipV="1">
            <a:off x="5142083" y="57801768"/>
            <a:ext cx="0" cy="13822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0" name="Straight Connector 1059">
            <a:extLst>
              <a:ext uri="{FF2B5EF4-FFF2-40B4-BE49-F238E27FC236}">
                <a16:creationId xmlns:a16="http://schemas.microsoft.com/office/drawing/2014/main" id="{00000000-0008-0000-0400-000024040000}"/>
              </a:ext>
            </a:extLst>
          </xdr:cNvPr>
          <xdr:cNvCxnSpPr/>
        </xdr:nvCxnSpPr>
        <xdr:spPr>
          <a:xfrm flipV="1">
            <a:off x="5142083" y="57778549"/>
            <a:ext cx="717592" cy="23218"/>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1" name="Straight Connector 1060">
            <a:extLst>
              <a:ext uri="{FF2B5EF4-FFF2-40B4-BE49-F238E27FC236}">
                <a16:creationId xmlns:a16="http://schemas.microsoft.com/office/drawing/2014/main" id="{00000000-0008-0000-0400-000025040000}"/>
              </a:ext>
            </a:extLst>
          </xdr:cNvPr>
          <xdr:cNvCxnSpPr/>
        </xdr:nvCxnSpPr>
        <xdr:spPr>
          <a:xfrm>
            <a:off x="3609956" y="57801768"/>
            <a:ext cx="1280127"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2" name="Straight Connector 1061">
            <a:extLst>
              <a:ext uri="{FF2B5EF4-FFF2-40B4-BE49-F238E27FC236}">
                <a16:creationId xmlns:a16="http://schemas.microsoft.com/office/drawing/2014/main" id="{00000000-0008-0000-0400-000026040000}"/>
              </a:ext>
            </a:extLst>
          </xdr:cNvPr>
          <xdr:cNvCxnSpPr/>
        </xdr:nvCxnSpPr>
        <xdr:spPr>
          <a:xfrm>
            <a:off x="4708305" y="57182122"/>
            <a:ext cx="0" cy="61964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3" name="Straight Connector 1062">
            <a:extLst>
              <a:ext uri="{FF2B5EF4-FFF2-40B4-BE49-F238E27FC236}">
                <a16:creationId xmlns:a16="http://schemas.microsoft.com/office/drawing/2014/main" id="{00000000-0008-0000-0400-000027040000}"/>
              </a:ext>
            </a:extLst>
          </xdr:cNvPr>
          <xdr:cNvCxnSpPr/>
        </xdr:nvCxnSpPr>
        <xdr:spPr>
          <a:xfrm>
            <a:off x="2921276" y="56531123"/>
            <a:ext cx="1796536" cy="77704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4" name="Straight Connector 1063">
            <a:extLst>
              <a:ext uri="{FF2B5EF4-FFF2-40B4-BE49-F238E27FC236}">
                <a16:creationId xmlns:a16="http://schemas.microsoft.com/office/drawing/2014/main" id="{00000000-0008-0000-0400-000028040000}"/>
              </a:ext>
            </a:extLst>
          </xdr:cNvPr>
          <xdr:cNvCxnSpPr/>
        </xdr:nvCxnSpPr>
        <xdr:spPr>
          <a:xfrm>
            <a:off x="2921276" y="56006783"/>
            <a:ext cx="0" cy="52434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5" name="Straight Connector 1064">
            <a:extLst>
              <a:ext uri="{FF2B5EF4-FFF2-40B4-BE49-F238E27FC236}">
                <a16:creationId xmlns:a16="http://schemas.microsoft.com/office/drawing/2014/main" id="{00000000-0008-0000-0400-000029040000}"/>
              </a:ext>
            </a:extLst>
          </xdr:cNvPr>
          <xdr:cNvCxnSpPr/>
        </xdr:nvCxnSpPr>
        <xdr:spPr>
          <a:xfrm flipH="1">
            <a:off x="2921276" y="56006783"/>
            <a:ext cx="1228804"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6" name="Straight Connector 1065">
            <a:extLst>
              <a:ext uri="{FF2B5EF4-FFF2-40B4-BE49-F238E27FC236}">
                <a16:creationId xmlns:a16="http://schemas.microsoft.com/office/drawing/2014/main" id="{00000000-0008-0000-0400-00002A040000}"/>
              </a:ext>
            </a:extLst>
          </xdr:cNvPr>
          <xdr:cNvCxnSpPr/>
        </xdr:nvCxnSpPr>
        <xdr:spPr>
          <a:xfrm>
            <a:off x="5202945" y="57182122"/>
            <a:ext cx="221344" cy="619646"/>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7" name="Straight Connector 1066">
            <a:extLst>
              <a:ext uri="{FF2B5EF4-FFF2-40B4-BE49-F238E27FC236}">
                <a16:creationId xmlns:a16="http://schemas.microsoft.com/office/drawing/2014/main" id="{00000000-0008-0000-0400-00002B040000}"/>
              </a:ext>
            </a:extLst>
          </xdr:cNvPr>
          <xdr:cNvCxnSpPr/>
        </xdr:nvCxnSpPr>
        <xdr:spPr>
          <a:xfrm flipH="1">
            <a:off x="4607865" y="57182122"/>
            <a:ext cx="69535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8" name="Straight Connector 1067">
            <a:extLst>
              <a:ext uri="{FF2B5EF4-FFF2-40B4-BE49-F238E27FC236}">
                <a16:creationId xmlns:a16="http://schemas.microsoft.com/office/drawing/2014/main" id="{00000000-0008-0000-0400-00002C040000}"/>
              </a:ext>
            </a:extLst>
          </xdr:cNvPr>
          <xdr:cNvCxnSpPr/>
        </xdr:nvCxnSpPr>
        <xdr:spPr>
          <a:xfrm>
            <a:off x="5303216" y="57006908"/>
            <a:ext cx="0" cy="175214"/>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69" name="Straight Connector 1068">
            <a:extLst>
              <a:ext uri="{FF2B5EF4-FFF2-40B4-BE49-F238E27FC236}">
                <a16:creationId xmlns:a16="http://schemas.microsoft.com/office/drawing/2014/main" id="{00000000-0008-0000-0400-00002D040000}"/>
              </a:ext>
            </a:extLst>
          </xdr:cNvPr>
          <xdr:cNvCxnSpPr/>
        </xdr:nvCxnSpPr>
        <xdr:spPr>
          <a:xfrm>
            <a:off x="4708305" y="57006908"/>
            <a:ext cx="594911"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70" name="Straight Connector 1069">
            <a:extLst>
              <a:ext uri="{FF2B5EF4-FFF2-40B4-BE49-F238E27FC236}">
                <a16:creationId xmlns:a16="http://schemas.microsoft.com/office/drawing/2014/main" id="{00000000-0008-0000-0400-00002E040000}"/>
              </a:ext>
            </a:extLst>
          </xdr:cNvPr>
          <xdr:cNvCxnSpPr/>
        </xdr:nvCxnSpPr>
        <xdr:spPr>
          <a:xfrm>
            <a:off x="4708305" y="56006783"/>
            <a:ext cx="0" cy="1000125"/>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cxnSp macro="">
        <xdr:nvCxnSpPr>
          <xdr:cNvPr id="1071" name="Straight Connector 1070">
            <a:extLst>
              <a:ext uri="{FF2B5EF4-FFF2-40B4-BE49-F238E27FC236}">
                <a16:creationId xmlns:a16="http://schemas.microsoft.com/office/drawing/2014/main" id="{00000000-0008-0000-0400-00002F040000}"/>
              </a:ext>
            </a:extLst>
          </xdr:cNvPr>
          <xdr:cNvCxnSpPr/>
        </xdr:nvCxnSpPr>
        <xdr:spPr>
          <a:xfrm>
            <a:off x="4150080" y="56006783"/>
            <a:ext cx="558225" cy="0"/>
          </a:xfrm>
          <a:prstGeom prst="line">
            <a:avLst/>
          </a:prstGeom>
          <a:ln w="3810">
            <a:solidFill>
              <a:srgbClr val="000000"/>
            </a:solidFill>
            <a:prstDash val="soli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504264</xdr:colOff>
      <xdr:row>28</xdr:row>
      <xdr:rowOff>33617</xdr:rowOff>
    </xdr:from>
    <xdr:to>
      <xdr:col>26</xdr:col>
      <xdr:colOff>435349</xdr:colOff>
      <xdr:row>49</xdr:row>
      <xdr:rowOff>57709</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353489" y="4662767"/>
          <a:ext cx="5407960" cy="2224367"/>
        </a:xfrm>
        <a:prstGeom prst="rect">
          <a:avLst/>
        </a:prstGeom>
        <a:noFill/>
        <a:ln w="1">
          <a:noFill/>
          <a:miter lim="800000"/>
          <a:headEnd/>
          <a:tailEnd type="none" w="med" len="med"/>
        </a:ln>
        <a:effectLst/>
      </xdr:spPr>
    </xdr:pic>
    <xdr:clientData/>
  </xdr:twoCellAnchor>
  <xdr:twoCellAnchor editAs="oneCell">
    <xdr:from>
      <xdr:col>17</xdr:col>
      <xdr:colOff>470648</xdr:colOff>
      <xdr:row>11</xdr:row>
      <xdr:rowOff>33618</xdr:rowOff>
    </xdr:from>
    <xdr:to>
      <xdr:col>25</xdr:col>
      <xdr:colOff>18489</xdr:colOff>
      <xdr:row>31</xdr:row>
      <xdr:rowOff>38101</xdr:rowOff>
    </xdr:to>
    <xdr:pic>
      <xdr:nvPicPr>
        <xdr:cNvPr id="3" name="Picture 2">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3319873" y="1795743"/>
          <a:ext cx="4424641" cy="1995208"/>
        </a:xfrm>
        <a:prstGeom prst="rect">
          <a:avLst/>
        </a:prstGeom>
        <a:noFill/>
        <a:ln w="1">
          <a:noFill/>
          <a:miter lim="800000"/>
          <a:headEnd/>
          <a:tailEnd type="none" w="med" len="med"/>
        </a:ln>
        <a:effectLst/>
      </xdr:spPr>
    </xdr:pic>
    <xdr:clientData/>
  </xdr:twoCellAnchor>
  <xdr:twoCellAnchor editAs="oneCell">
    <xdr:from>
      <xdr:col>17</xdr:col>
      <xdr:colOff>571501</xdr:colOff>
      <xdr:row>44</xdr:row>
      <xdr:rowOff>0</xdr:rowOff>
    </xdr:from>
    <xdr:to>
      <xdr:col>25</xdr:col>
      <xdr:colOff>55357</xdr:colOff>
      <xdr:row>65</xdr:row>
      <xdr:rowOff>167305</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13420726" y="7356660"/>
          <a:ext cx="4375896" cy="2296647"/>
        </a:xfrm>
        <a:prstGeom prst="rect">
          <a:avLst/>
        </a:prstGeom>
        <a:noFill/>
        <a:ln w="1">
          <a:noFill/>
          <a:miter lim="800000"/>
          <a:headEnd/>
          <a:tailEnd type="none" w="med" len="med"/>
        </a:ln>
        <a:effectLst/>
      </xdr:spPr>
    </xdr:pic>
    <xdr:clientData/>
  </xdr:twoCellAnchor>
  <xdr:twoCellAnchor editAs="oneCell">
    <xdr:from>
      <xdr:col>17</xdr:col>
      <xdr:colOff>549089</xdr:colOff>
      <xdr:row>44</xdr:row>
      <xdr:rowOff>0</xdr:rowOff>
    </xdr:from>
    <xdr:to>
      <xdr:col>24</xdr:col>
      <xdr:colOff>593688</xdr:colOff>
      <xdr:row>68</xdr:row>
      <xdr:rowOff>39333</xdr:rowOff>
    </xdr:to>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3398314" y="10558743"/>
          <a:ext cx="4304179" cy="2492188"/>
        </a:xfrm>
        <a:prstGeom prst="rect">
          <a:avLst/>
        </a:prstGeom>
        <a:noFill/>
        <a:ln w="1">
          <a:noFill/>
          <a:miter lim="800000"/>
          <a:headEnd/>
          <a:tailEnd type="none" w="med" len="med"/>
        </a:ln>
        <a:effectLst/>
      </xdr:spPr>
    </xdr:pic>
    <xdr:clientData/>
  </xdr:twoCellAnchor>
  <xdr:twoCellAnchor editAs="oneCell">
    <xdr:from>
      <xdr:col>17</xdr:col>
      <xdr:colOff>488256</xdr:colOff>
      <xdr:row>44</xdr:row>
      <xdr:rowOff>0</xdr:rowOff>
    </xdr:from>
    <xdr:to>
      <xdr:col>24</xdr:col>
      <xdr:colOff>96275</xdr:colOff>
      <xdr:row>69</xdr:row>
      <xdr:rowOff>60784</xdr:rowOff>
    </xdr:to>
    <xdr:pic>
      <xdr:nvPicPr>
        <xdr:cNvPr id="6" name="Picture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13387827" y="12115961"/>
          <a:ext cx="3882839" cy="4134171"/>
        </a:xfrm>
        <a:prstGeom prst="rect">
          <a:avLst/>
        </a:prstGeom>
        <a:noFill/>
        <a:ln w="1">
          <a:noFill/>
          <a:miter lim="800000"/>
          <a:headEnd/>
          <a:tailEnd type="none" w="med" len="med"/>
        </a:ln>
        <a:effectLst/>
      </xdr:spPr>
    </xdr:pic>
    <xdr:clientData/>
  </xdr:twoCellAnchor>
  <xdr:twoCellAnchor editAs="oneCell">
    <xdr:from>
      <xdr:col>17</xdr:col>
      <xdr:colOff>483455</xdr:colOff>
      <xdr:row>138</xdr:row>
      <xdr:rowOff>154481</xdr:rowOff>
    </xdr:from>
    <xdr:to>
      <xdr:col>24</xdr:col>
      <xdr:colOff>511581</xdr:colOff>
      <xdr:row>164</xdr:row>
      <xdr:rowOff>20345</xdr:rowOff>
    </xdr:to>
    <xdr:pic>
      <xdr:nvPicPr>
        <xdr:cNvPr id="7" name="Picture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13383026" y="18918731"/>
          <a:ext cx="4308661" cy="4239746"/>
        </a:xfrm>
        <a:prstGeom prst="rect">
          <a:avLst/>
        </a:prstGeom>
        <a:noFill/>
        <a:ln w="1">
          <a:noFill/>
          <a:miter lim="800000"/>
          <a:headEnd/>
          <a:tailEnd type="none" w="med" len="med"/>
        </a:ln>
        <a:effectLst/>
      </xdr:spPr>
    </xdr:pic>
    <xdr:clientData/>
  </xdr:twoCellAnchor>
  <xdr:twoCellAnchor editAs="oneCell">
    <xdr:from>
      <xdr:col>18</xdr:col>
      <xdr:colOff>0</xdr:colOff>
      <xdr:row>168</xdr:row>
      <xdr:rowOff>0</xdr:rowOff>
    </xdr:from>
    <xdr:to>
      <xdr:col>24</xdr:col>
      <xdr:colOff>552450</xdr:colOff>
      <xdr:row>193</xdr:row>
      <xdr:rowOff>177724</xdr:rowOff>
    </xdr:to>
    <xdr:pic>
      <xdr:nvPicPr>
        <xdr:cNvPr id="8" name="Picture 7">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srcRect/>
        <a:stretch>
          <a:fillRect/>
        </a:stretch>
      </xdr:blipFill>
      <xdr:spPr bwMode="auto">
        <a:xfrm>
          <a:off x="13458825" y="23641050"/>
          <a:ext cx="4210050" cy="2724150"/>
        </a:xfrm>
        <a:prstGeom prst="rect">
          <a:avLst/>
        </a:prstGeom>
        <a:noFill/>
        <a:ln w="1">
          <a:noFill/>
          <a:miter lim="800000"/>
          <a:headEnd/>
          <a:tailEnd type="none" w="med" len="med"/>
        </a:ln>
        <a:effectLst/>
      </xdr:spPr>
    </xdr:pic>
    <xdr:clientData/>
  </xdr:twoCellAnchor>
  <xdr:twoCellAnchor editAs="oneCell">
    <xdr:from>
      <xdr:col>18</xdr:col>
      <xdr:colOff>0</xdr:colOff>
      <xdr:row>187</xdr:row>
      <xdr:rowOff>0</xdr:rowOff>
    </xdr:from>
    <xdr:to>
      <xdr:col>24</xdr:col>
      <xdr:colOff>207645</xdr:colOff>
      <xdr:row>210</xdr:row>
      <xdr:rowOff>38099</xdr:rowOff>
    </xdr:to>
    <xdr:pic>
      <xdr:nvPicPr>
        <xdr:cNvPr id="9" name="Picture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8"/>
        <a:srcRect/>
        <a:stretch>
          <a:fillRect/>
        </a:stretch>
      </xdr:blipFill>
      <xdr:spPr bwMode="auto">
        <a:xfrm>
          <a:off x="13458825" y="26993850"/>
          <a:ext cx="3876675" cy="2447925"/>
        </a:xfrm>
        <a:prstGeom prst="rect">
          <a:avLst/>
        </a:prstGeom>
        <a:noFill/>
        <a:ln w="1">
          <a:noFill/>
          <a:miter lim="800000"/>
          <a:headEnd/>
          <a:tailEnd type="none" w="med" len="med"/>
        </a:ln>
        <a:effectLst/>
      </xdr:spPr>
    </xdr:pic>
    <xdr:clientData/>
  </xdr:twoCellAnchor>
  <xdr:twoCellAnchor editAs="oneCell">
    <xdr:from>
      <xdr:col>18</xdr:col>
      <xdr:colOff>0</xdr:colOff>
      <xdr:row>190</xdr:row>
      <xdr:rowOff>0</xdr:rowOff>
    </xdr:from>
    <xdr:to>
      <xdr:col>24</xdr:col>
      <xdr:colOff>243840</xdr:colOff>
      <xdr:row>222</xdr:row>
      <xdr:rowOff>145564</xdr:rowOff>
    </xdr:to>
    <xdr:pic>
      <xdr:nvPicPr>
        <xdr:cNvPr id="10" name="Picture 9">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9"/>
        <a:srcRect/>
        <a:stretch>
          <a:fillRect/>
        </a:stretch>
      </xdr:blipFill>
      <xdr:spPr bwMode="auto">
        <a:xfrm>
          <a:off x="13458825" y="30670500"/>
          <a:ext cx="3895725" cy="3464859"/>
        </a:xfrm>
        <a:prstGeom prst="rect">
          <a:avLst/>
        </a:prstGeom>
        <a:noFill/>
        <a:ln w="1">
          <a:noFill/>
          <a:miter lim="800000"/>
          <a:headEnd/>
          <a:tailEnd type="none" w="med" len="med"/>
        </a:ln>
        <a:effectLst/>
      </xdr:spPr>
    </xdr:pic>
    <xdr:clientData/>
  </xdr:twoCellAnchor>
  <xdr:twoCellAnchor editAs="oneCell">
    <xdr:from>
      <xdr:col>18</xdr:col>
      <xdr:colOff>0</xdr:colOff>
      <xdr:row>232</xdr:row>
      <xdr:rowOff>0</xdr:rowOff>
    </xdr:from>
    <xdr:to>
      <xdr:col>24</xdr:col>
      <xdr:colOff>571500</xdr:colOff>
      <xdr:row>256</xdr:row>
      <xdr:rowOff>91440</xdr:rowOff>
    </xdr:to>
    <xdr:pic>
      <xdr:nvPicPr>
        <xdr:cNvPr id="11" name="Picture 10">
          <a:extLst>
            <a:ext uri="{FF2B5EF4-FFF2-40B4-BE49-F238E27FC236}">
              <a16:creationId xmlns:a16="http://schemas.microsoft.com/office/drawing/2014/main" id="{00000000-0008-0000-0B00-00000B000000}"/>
            </a:ext>
          </a:extLst>
        </xdr:cNvPr>
        <xdr:cNvPicPr>
          <a:picLocks noChangeAspect="1" noChangeArrowheads="1"/>
        </xdr:cNvPicPr>
      </xdr:nvPicPr>
      <xdr:blipFill>
        <a:blip xmlns:r="http://schemas.openxmlformats.org/officeDocument/2006/relationships" r:embed="rId10"/>
        <a:srcRect/>
        <a:stretch>
          <a:fillRect/>
        </a:stretch>
      </xdr:blipFill>
      <xdr:spPr bwMode="auto">
        <a:xfrm>
          <a:off x="13458825" y="34347150"/>
          <a:ext cx="4229100" cy="2600325"/>
        </a:xfrm>
        <a:prstGeom prst="rect">
          <a:avLst/>
        </a:prstGeom>
        <a:noFill/>
        <a:ln w="1">
          <a:noFill/>
          <a:miter lim="800000"/>
          <a:headEnd/>
          <a:tailEnd type="none" w="med" len="med"/>
        </a:ln>
        <a:effectLst/>
      </xdr:spPr>
    </xdr:pic>
    <xdr:clientData/>
  </xdr:twoCellAnchor>
  <xdr:twoCellAnchor editAs="oneCell">
    <xdr:from>
      <xdr:col>18</xdr:col>
      <xdr:colOff>0</xdr:colOff>
      <xdr:row>253</xdr:row>
      <xdr:rowOff>0</xdr:rowOff>
    </xdr:from>
    <xdr:to>
      <xdr:col>24</xdr:col>
      <xdr:colOff>285750</xdr:colOff>
      <xdr:row>281</xdr:row>
      <xdr:rowOff>76201</xdr:rowOff>
    </xdr:to>
    <xdr:pic>
      <xdr:nvPicPr>
        <xdr:cNvPr id="12" name="Picture 11">
          <a:extLst>
            <a:ext uri="{FF2B5EF4-FFF2-40B4-BE49-F238E27FC236}">
              <a16:creationId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11"/>
        <a:srcRect/>
        <a:stretch>
          <a:fillRect/>
        </a:stretch>
      </xdr:blipFill>
      <xdr:spPr bwMode="auto">
        <a:xfrm>
          <a:off x="13458825" y="37861875"/>
          <a:ext cx="3943350" cy="3009900"/>
        </a:xfrm>
        <a:prstGeom prst="rect">
          <a:avLst/>
        </a:prstGeom>
        <a:noFill/>
        <a:ln w="1">
          <a:noFill/>
          <a:miter lim="800000"/>
          <a:headEnd/>
          <a:tailEnd type="none" w="med" len="med"/>
        </a:ln>
        <a:effectLst/>
      </xdr:spPr>
    </xdr:pic>
    <xdr:clientData/>
  </xdr:twoCellAnchor>
  <xdr:twoCellAnchor editAs="oneCell">
    <xdr:from>
      <xdr:col>18</xdr:col>
      <xdr:colOff>0</xdr:colOff>
      <xdr:row>275</xdr:row>
      <xdr:rowOff>0</xdr:rowOff>
    </xdr:from>
    <xdr:to>
      <xdr:col>24</xdr:col>
      <xdr:colOff>245745</xdr:colOff>
      <xdr:row>585</xdr:row>
      <xdr:rowOff>3729</xdr:rowOff>
    </xdr:to>
    <xdr:pic>
      <xdr:nvPicPr>
        <xdr:cNvPr id="13" name="Picture 12">
          <a:extLst>
            <a:ext uri="{FF2B5EF4-FFF2-40B4-BE49-F238E27FC236}">
              <a16:creationId xmlns:a16="http://schemas.microsoft.com/office/drawing/2014/main" id="{00000000-0008-0000-0B00-00000D000000}"/>
            </a:ext>
          </a:extLst>
        </xdr:cNvPr>
        <xdr:cNvPicPr>
          <a:picLocks noChangeAspect="1" noChangeArrowheads="1"/>
        </xdr:cNvPicPr>
      </xdr:nvPicPr>
      <xdr:blipFill>
        <a:blip xmlns:r="http://schemas.openxmlformats.org/officeDocument/2006/relationships" r:embed="rId12"/>
        <a:srcRect/>
        <a:stretch>
          <a:fillRect/>
        </a:stretch>
      </xdr:blipFill>
      <xdr:spPr bwMode="auto">
        <a:xfrm>
          <a:off x="13458825" y="41538525"/>
          <a:ext cx="3914775" cy="2409825"/>
        </a:xfrm>
        <a:prstGeom prst="rect">
          <a:avLst/>
        </a:prstGeom>
        <a:noFill/>
        <a:ln w="1">
          <a:noFill/>
          <a:miter lim="800000"/>
          <a:headEnd/>
          <a:tailEnd type="none" w="med" len="med"/>
        </a:ln>
        <a:effectLst/>
      </xdr:spPr>
    </xdr:pic>
    <xdr:clientData/>
  </xdr:twoCellAnchor>
  <xdr:twoCellAnchor editAs="oneCell">
    <xdr:from>
      <xdr:col>18</xdr:col>
      <xdr:colOff>0</xdr:colOff>
      <xdr:row>291</xdr:row>
      <xdr:rowOff>0</xdr:rowOff>
    </xdr:from>
    <xdr:to>
      <xdr:col>24</xdr:col>
      <xdr:colOff>493059</xdr:colOff>
      <xdr:row>641</xdr:row>
      <xdr:rowOff>73397</xdr:rowOff>
    </xdr:to>
    <xdr:pic>
      <xdr:nvPicPr>
        <xdr:cNvPr id="14" name="Picture 13">
          <a:extLst>
            <a:ext uri="{FF2B5EF4-FFF2-40B4-BE49-F238E27FC236}">
              <a16:creationId xmlns:a16="http://schemas.microsoft.com/office/drawing/2014/main" id="{00000000-0008-0000-0B00-00000E000000}"/>
            </a:ext>
          </a:extLst>
        </xdr:cNvPr>
        <xdr:cNvPicPr>
          <a:picLocks noChangeAspect="1" noChangeArrowheads="1"/>
        </xdr:cNvPicPr>
      </xdr:nvPicPr>
      <xdr:blipFill>
        <a:blip xmlns:r="http://schemas.openxmlformats.org/officeDocument/2006/relationships" r:embed="rId13"/>
        <a:srcRect/>
        <a:stretch>
          <a:fillRect/>
        </a:stretch>
      </xdr:blipFill>
      <xdr:spPr bwMode="auto">
        <a:xfrm>
          <a:off x="13458825" y="44243625"/>
          <a:ext cx="4150659" cy="4369174"/>
        </a:xfrm>
        <a:prstGeom prst="rect">
          <a:avLst/>
        </a:prstGeom>
        <a:noFill/>
        <a:ln w="1">
          <a:noFill/>
          <a:miter lim="800000"/>
          <a:headEnd/>
          <a:tailEnd type="none" w="med" len="med"/>
        </a:ln>
        <a:effectLst/>
      </xdr:spPr>
    </xdr:pic>
    <xdr:clientData/>
  </xdr:twoCellAnchor>
  <xdr:twoCellAnchor editAs="oneCell">
    <xdr:from>
      <xdr:col>18</xdr:col>
      <xdr:colOff>0</xdr:colOff>
      <xdr:row>339</xdr:row>
      <xdr:rowOff>0</xdr:rowOff>
    </xdr:from>
    <xdr:to>
      <xdr:col>24</xdr:col>
      <xdr:colOff>76200</xdr:colOff>
      <xdr:row>592</xdr:row>
      <xdr:rowOff>93903</xdr:rowOff>
    </xdr:to>
    <xdr:pic>
      <xdr:nvPicPr>
        <xdr:cNvPr id="15" name="Picture 15">
          <a:extLst>
            <a:ext uri="{FF2B5EF4-FFF2-40B4-BE49-F238E27FC236}">
              <a16:creationId xmlns:a16="http://schemas.microsoft.com/office/drawing/2014/main" id="{00000000-0008-0000-0B00-00000F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13458825" y="52244625"/>
          <a:ext cx="3733800" cy="1190625"/>
        </a:xfrm>
        <a:prstGeom prst="rect">
          <a:avLst/>
        </a:prstGeom>
        <a:noFill/>
        <a:ln w="1">
          <a:noFill/>
          <a:miter lim="800000"/>
          <a:headEnd/>
          <a:tailEnd type="none" w="med" len="med"/>
        </a:ln>
        <a:effectLst/>
      </xdr:spPr>
    </xdr:pic>
    <xdr:clientData/>
  </xdr:twoCellAnchor>
  <xdr:twoCellAnchor editAs="oneCell">
    <xdr:from>
      <xdr:col>18</xdr:col>
      <xdr:colOff>0</xdr:colOff>
      <xdr:row>358</xdr:row>
      <xdr:rowOff>0</xdr:rowOff>
    </xdr:from>
    <xdr:to>
      <xdr:col>24</xdr:col>
      <xdr:colOff>15240</xdr:colOff>
      <xdr:row>591</xdr:row>
      <xdr:rowOff>20282</xdr:rowOff>
    </xdr:to>
    <xdr:pic>
      <xdr:nvPicPr>
        <xdr:cNvPr id="16" name="Picture 16">
          <a:extLst>
            <a:ext uri="{FF2B5EF4-FFF2-40B4-BE49-F238E27FC236}">
              <a16:creationId xmlns:a16="http://schemas.microsoft.com/office/drawing/2014/main" id="{00000000-0008-0000-0B00-000010000000}"/>
            </a:ext>
          </a:extLst>
        </xdr:cNvPr>
        <xdr:cNvPicPr>
          <a:picLocks noChangeAspect="1" noChangeArrowheads="1"/>
        </xdr:cNvPicPr>
      </xdr:nvPicPr>
      <xdr:blipFill>
        <a:blip xmlns:r="http://schemas.openxmlformats.org/officeDocument/2006/relationships" r:embed="rId15"/>
        <a:srcRect/>
        <a:stretch>
          <a:fillRect/>
        </a:stretch>
      </xdr:blipFill>
      <xdr:spPr bwMode="auto">
        <a:xfrm>
          <a:off x="13458825" y="55435500"/>
          <a:ext cx="3667125" cy="1052793"/>
        </a:xfrm>
        <a:prstGeom prst="rect">
          <a:avLst/>
        </a:prstGeom>
        <a:noFill/>
        <a:ln w="1">
          <a:noFill/>
          <a:miter lim="800000"/>
          <a:headEnd/>
          <a:tailEnd type="none" w="med" len="med"/>
        </a:ln>
        <a:effectLst/>
      </xdr:spPr>
    </xdr:pic>
    <xdr:clientData/>
  </xdr:twoCellAnchor>
  <xdr:twoCellAnchor editAs="oneCell">
    <xdr:from>
      <xdr:col>18</xdr:col>
      <xdr:colOff>0</xdr:colOff>
      <xdr:row>380</xdr:row>
      <xdr:rowOff>0</xdr:rowOff>
    </xdr:from>
    <xdr:to>
      <xdr:col>24</xdr:col>
      <xdr:colOff>0</xdr:colOff>
      <xdr:row>592</xdr:row>
      <xdr:rowOff>54571</xdr:rowOff>
    </xdr:to>
    <xdr:pic>
      <xdr:nvPicPr>
        <xdr:cNvPr id="17" name="Picture 17">
          <a:extLst>
            <a:ext uri="{FF2B5EF4-FFF2-40B4-BE49-F238E27FC236}">
              <a16:creationId xmlns:a16="http://schemas.microsoft.com/office/drawing/2014/main" id="{00000000-0008-0000-0B00-000011000000}"/>
            </a:ext>
          </a:extLst>
        </xdr:cNvPr>
        <xdr:cNvPicPr>
          <a:picLocks noChangeAspect="1" noChangeArrowheads="1"/>
        </xdr:cNvPicPr>
      </xdr:nvPicPr>
      <xdr:blipFill>
        <a:blip xmlns:r="http://schemas.openxmlformats.org/officeDocument/2006/relationships" r:embed="rId16"/>
        <a:srcRect/>
        <a:stretch>
          <a:fillRect/>
        </a:stretch>
      </xdr:blipFill>
      <xdr:spPr bwMode="auto">
        <a:xfrm>
          <a:off x="13458825" y="59112150"/>
          <a:ext cx="3657600" cy="1214717"/>
        </a:xfrm>
        <a:prstGeom prst="rect">
          <a:avLst/>
        </a:prstGeom>
        <a:noFill/>
        <a:ln w="1">
          <a:noFill/>
          <a:miter lim="800000"/>
          <a:headEnd/>
          <a:tailEnd type="none" w="med" len="med"/>
        </a:ln>
        <a:effectLst/>
      </xdr:spPr>
    </xdr:pic>
    <xdr:clientData/>
  </xdr:twoCellAnchor>
  <xdr:twoCellAnchor editAs="oneCell">
    <xdr:from>
      <xdr:col>18</xdr:col>
      <xdr:colOff>0</xdr:colOff>
      <xdr:row>404</xdr:row>
      <xdr:rowOff>0</xdr:rowOff>
    </xdr:from>
    <xdr:to>
      <xdr:col>23</xdr:col>
      <xdr:colOff>342900</xdr:colOff>
      <xdr:row>591</xdr:row>
      <xdr:rowOff>20954</xdr:rowOff>
    </xdr:to>
    <xdr:pic>
      <xdr:nvPicPr>
        <xdr:cNvPr id="18" name="Picture 18">
          <a:extLst>
            <a:ext uri="{FF2B5EF4-FFF2-40B4-BE49-F238E27FC236}">
              <a16:creationId xmlns:a16="http://schemas.microsoft.com/office/drawing/2014/main" id="{00000000-0008-0000-0B00-000012000000}"/>
            </a:ext>
          </a:extLst>
        </xdr:cNvPr>
        <xdr:cNvPicPr>
          <a:picLocks noChangeAspect="1" noChangeArrowheads="1"/>
        </xdr:cNvPicPr>
      </xdr:nvPicPr>
      <xdr:blipFill>
        <a:blip xmlns:r="http://schemas.openxmlformats.org/officeDocument/2006/relationships" r:embed="rId17"/>
        <a:srcRect/>
        <a:stretch>
          <a:fillRect/>
        </a:stretch>
      </xdr:blipFill>
      <xdr:spPr bwMode="auto">
        <a:xfrm>
          <a:off x="13458825" y="63112650"/>
          <a:ext cx="3390900" cy="1057275"/>
        </a:xfrm>
        <a:prstGeom prst="rect">
          <a:avLst/>
        </a:prstGeom>
        <a:noFill/>
        <a:ln w="1">
          <a:noFill/>
          <a:miter lim="800000"/>
          <a:headEnd/>
          <a:tailEnd type="none" w="med" len="med"/>
        </a:ln>
        <a:effectLst/>
      </xdr:spPr>
    </xdr:pic>
    <xdr:clientData/>
  </xdr:twoCellAnchor>
  <xdr:twoCellAnchor editAs="oneCell">
    <xdr:from>
      <xdr:col>18</xdr:col>
      <xdr:colOff>0</xdr:colOff>
      <xdr:row>320</xdr:row>
      <xdr:rowOff>0</xdr:rowOff>
    </xdr:from>
    <xdr:to>
      <xdr:col>24</xdr:col>
      <xdr:colOff>15240</xdr:colOff>
      <xdr:row>597</xdr:row>
      <xdr:rowOff>22636</xdr:rowOff>
    </xdr:to>
    <xdr:pic>
      <xdr:nvPicPr>
        <xdr:cNvPr id="19" name="Picture 18">
          <a:extLst>
            <a:ext uri="{FF2B5EF4-FFF2-40B4-BE49-F238E27FC236}">
              <a16:creationId xmlns:a16="http://schemas.microsoft.com/office/drawing/2014/main" id="{00000000-0008-0000-0B00-000013000000}"/>
            </a:ext>
          </a:extLst>
        </xdr:cNvPr>
        <xdr:cNvPicPr>
          <a:picLocks noChangeAspect="1" noChangeArrowheads="1"/>
        </xdr:cNvPicPr>
      </xdr:nvPicPr>
      <xdr:blipFill>
        <a:blip xmlns:r="http://schemas.openxmlformats.org/officeDocument/2006/relationships" r:embed="rId18"/>
        <a:srcRect/>
        <a:stretch>
          <a:fillRect/>
        </a:stretch>
      </xdr:blipFill>
      <xdr:spPr bwMode="auto">
        <a:xfrm>
          <a:off x="13458825" y="49053750"/>
          <a:ext cx="3667125" cy="1685925"/>
        </a:xfrm>
        <a:prstGeom prst="rect">
          <a:avLst/>
        </a:prstGeom>
        <a:noFill/>
        <a:ln w="1">
          <a:noFill/>
          <a:miter lim="800000"/>
          <a:headEnd/>
          <a:tailEnd type="none" w="med" len="med"/>
        </a:ln>
        <a:effectLst/>
      </xdr:spPr>
    </xdr:pic>
    <xdr:clientData/>
  </xdr:twoCellAnchor>
  <xdr:twoCellAnchor editAs="oneCell">
    <xdr:from>
      <xdr:col>18</xdr:col>
      <xdr:colOff>0</xdr:colOff>
      <xdr:row>429</xdr:row>
      <xdr:rowOff>0</xdr:rowOff>
    </xdr:from>
    <xdr:to>
      <xdr:col>24</xdr:col>
      <xdr:colOff>17145</xdr:colOff>
      <xdr:row>592</xdr:row>
      <xdr:rowOff>56476</xdr:rowOff>
    </xdr:to>
    <xdr:pic>
      <xdr:nvPicPr>
        <xdr:cNvPr id="20" name="Picture 19">
          <a:extLst>
            <a:ext uri="{FF2B5EF4-FFF2-40B4-BE49-F238E27FC236}">
              <a16:creationId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19"/>
        <a:srcRect/>
        <a:stretch>
          <a:fillRect/>
        </a:stretch>
      </xdr:blipFill>
      <xdr:spPr bwMode="auto">
        <a:xfrm>
          <a:off x="13458825" y="67275075"/>
          <a:ext cx="3686175" cy="1190625"/>
        </a:xfrm>
        <a:prstGeom prst="rect">
          <a:avLst/>
        </a:prstGeom>
        <a:noFill/>
        <a:ln w="1">
          <a:noFill/>
          <a:miter lim="800000"/>
          <a:headEnd/>
          <a:tailEnd type="none" w="med" len="med"/>
        </a:ln>
        <a:effectLst/>
      </xdr:spPr>
    </xdr:pic>
    <xdr:clientData/>
  </xdr:twoCellAnchor>
  <xdr:twoCellAnchor editAs="oneCell">
    <xdr:from>
      <xdr:col>18</xdr:col>
      <xdr:colOff>0</xdr:colOff>
      <xdr:row>453</xdr:row>
      <xdr:rowOff>0</xdr:rowOff>
    </xdr:from>
    <xdr:to>
      <xdr:col>24</xdr:col>
      <xdr:colOff>17145</xdr:colOff>
      <xdr:row>592</xdr:row>
      <xdr:rowOff>76759</xdr:rowOff>
    </xdr:to>
    <xdr:pic>
      <xdr:nvPicPr>
        <xdr:cNvPr id="21" name="Picture 20">
          <a:extLst>
            <a:ext uri="{FF2B5EF4-FFF2-40B4-BE49-F238E27FC236}">
              <a16:creationId xmlns:a16="http://schemas.microsoft.com/office/drawing/2014/main" id="{00000000-0008-0000-0B00-000015000000}"/>
            </a:ext>
          </a:extLst>
        </xdr:cNvPr>
        <xdr:cNvPicPr>
          <a:picLocks noChangeAspect="1" noChangeArrowheads="1"/>
        </xdr:cNvPicPr>
      </xdr:nvPicPr>
      <xdr:blipFill>
        <a:blip xmlns:r="http://schemas.openxmlformats.org/officeDocument/2006/relationships" r:embed="rId20"/>
        <a:srcRect/>
        <a:stretch>
          <a:fillRect/>
        </a:stretch>
      </xdr:blipFill>
      <xdr:spPr bwMode="auto">
        <a:xfrm>
          <a:off x="13458825" y="71275575"/>
          <a:ext cx="3686175" cy="1162050"/>
        </a:xfrm>
        <a:prstGeom prst="rect">
          <a:avLst/>
        </a:prstGeom>
        <a:noFill/>
        <a:ln w="1">
          <a:noFill/>
          <a:miter lim="800000"/>
          <a:headEnd/>
          <a:tailEnd type="none" w="med" len="med"/>
        </a:ln>
        <a:effectLst/>
      </xdr:spPr>
    </xdr:pic>
    <xdr:clientData/>
  </xdr:twoCellAnchor>
  <xdr:twoCellAnchor editAs="oneCell">
    <xdr:from>
      <xdr:col>18</xdr:col>
      <xdr:colOff>0</xdr:colOff>
      <xdr:row>477</xdr:row>
      <xdr:rowOff>0</xdr:rowOff>
    </xdr:from>
    <xdr:to>
      <xdr:col>24</xdr:col>
      <xdr:colOff>0</xdr:colOff>
      <xdr:row>592</xdr:row>
      <xdr:rowOff>132004</xdr:rowOff>
    </xdr:to>
    <xdr:pic>
      <xdr:nvPicPr>
        <xdr:cNvPr id="22" name="Picture 21">
          <a:extLst>
            <a:ext uri="{FF2B5EF4-FFF2-40B4-BE49-F238E27FC236}">
              <a16:creationId xmlns:a16="http://schemas.microsoft.com/office/drawing/2014/main" id="{00000000-0008-0000-0B00-000016000000}"/>
            </a:ext>
          </a:extLst>
        </xdr:cNvPr>
        <xdr:cNvPicPr>
          <a:picLocks noChangeAspect="1" noChangeArrowheads="1"/>
        </xdr:cNvPicPr>
      </xdr:nvPicPr>
      <xdr:blipFill>
        <a:blip xmlns:r="http://schemas.openxmlformats.org/officeDocument/2006/relationships" r:embed="rId21"/>
        <a:srcRect/>
        <a:stretch>
          <a:fillRect/>
        </a:stretch>
      </xdr:blipFill>
      <xdr:spPr bwMode="auto">
        <a:xfrm>
          <a:off x="13458825" y="75276075"/>
          <a:ext cx="3657600" cy="1228725"/>
        </a:xfrm>
        <a:prstGeom prst="rect">
          <a:avLst/>
        </a:prstGeom>
        <a:noFill/>
        <a:ln w="1">
          <a:noFill/>
          <a:miter lim="800000"/>
          <a:headEnd/>
          <a:tailEnd type="none" w="med" len="med"/>
        </a:ln>
        <a:effectLst/>
      </xdr:spPr>
    </xdr:pic>
    <xdr:clientData/>
  </xdr:twoCellAnchor>
  <xdr:twoCellAnchor editAs="oneCell">
    <xdr:from>
      <xdr:col>18</xdr:col>
      <xdr:colOff>0</xdr:colOff>
      <xdr:row>500</xdr:row>
      <xdr:rowOff>0</xdr:rowOff>
    </xdr:from>
    <xdr:to>
      <xdr:col>24</xdr:col>
      <xdr:colOff>15240</xdr:colOff>
      <xdr:row>592</xdr:row>
      <xdr:rowOff>113852</xdr:rowOff>
    </xdr:to>
    <xdr:pic>
      <xdr:nvPicPr>
        <xdr:cNvPr id="23" name="Picture 22">
          <a:extLst>
            <a:ext uri="{FF2B5EF4-FFF2-40B4-BE49-F238E27FC236}">
              <a16:creationId xmlns:a16="http://schemas.microsoft.com/office/drawing/2014/main" id="{00000000-0008-0000-0B00-000017000000}"/>
            </a:ext>
          </a:extLst>
        </xdr:cNvPr>
        <xdr:cNvPicPr>
          <a:picLocks noChangeAspect="1" noChangeArrowheads="1"/>
        </xdr:cNvPicPr>
      </xdr:nvPicPr>
      <xdr:blipFill>
        <a:blip xmlns:r="http://schemas.openxmlformats.org/officeDocument/2006/relationships" r:embed="rId22"/>
        <a:srcRect/>
        <a:stretch>
          <a:fillRect/>
        </a:stretch>
      </xdr:blipFill>
      <xdr:spPr bwMode="auto">
        <a:xfrm>
          <a:off x="13458825" y="79114650"/>
          <a:ext cx="3667125" cy="1238250"/>
        </a:xfrm>
        <a:prstGeom prst="rect">
          <a:avLst/>
        </a:prstGeom>
        <a:noFill/>
        <a:ln w="1">
          <a:noFill/>
          <a:miter lim="800000"/>
          <a:headEnd/>
          <a:tailEnd type="none" w="med" len="med"/>
        </a:ln>
        <a:effectLst/>
      </xdr:spPr>
    </xdr:pic>
    <xdr:clientData/>
  </xdr:twoCellAnchor>
  <xdr:twoCellAnchor editAs="oneCell">
    <xdr:from>
      <xdr:col>18</xdr:col>
      <xdr:colOff>0</xdr:colOff>
      <xdr:row>520</xdr:row>
      <xdr:rowOff>0</xdr:rowOff>
    </xdr:from>
    <xdr:to>
      <xdr:col>24</xdr:col>
      <xdr:colOff>15240</xdr:colOff>
      <xdr:row>593</xdr:row>
      <xdr:rowOff>56926</xdr:rowOff>
    </xdr:to>
    <xdr:pic>
      <xdr:nvPicPr>
        <xdr:cNvPr id="24" name="Picture 23">
          <a:extLst>
            <a:ext uri="{FF2B5EF4-FFF2-40B4-BE49-F238E27FC236}">
              <a16:creationId xmlns:a16="http://schemas.microsoft.com/office/drawing/2014/main" id="{00000000-0008-0000-0B00-000018000000}"/>
            </a:ext>
          </a:extLst>
        </xdr:cNvPr>
        <xdr:cNvPicPr>
          <a:picLocks noChangeAspect="1" noChangeArrowheads="1"/>
        </xdr:cNvPicPr>
      </xdr:nvPicPr>
      <xdr:blipFill>
        <a:blip xmlns:r="http://schemas.openxmlformats.org/officeDocument/2006/relationships" r:embed="rId23"/>
        <a:srcRect/>
        <a:stretch>
          <a:fillRect/>
        </a:stretch>
      </xdr:blipFill>
      <xdr:spPr bwMode="auto">
        <a:xfrm>
          <a:off x="13458825" y="82467450"/>
          <a:ext cx="3667125" cy="1304925"/>
        </a:xfrm>
        <a:prstGeom prst="rect">
          <a:avLst/>
        </a:prstGeom>
        <a:noFill/>
        <a:ln w="1">
          <a:noFill/>
          <a:miter lim="800000"/>
          <a:headEnd/>
          <a:tailEnd type="none" w="med" len="med"/>
        </a:ln>
        <a:effectLst/>
      </xdr:spPr>
    </xdr:pic>
    <xdr:clientData/>
  </xdr:twoCellAnchor>
  <xdr:twoCellAnchor editAs="oneCell">
    <xdr:from>
      <xdr:col>18</xdr:col>
      <xdr:colOff>0</xdr:colOff>
      <xdr:row>541</xdr:row>
      <xdr:rowOff>0</xdr:rowOff>
    </xdr:from>
    <xdr:to>
      <xdr:col>24</xdr:col>
      <xdr:colOff>38100</xdr:colOff>
      <xdr:row>593</xdr:row>
      <xdr:rowOff>18826</xdr:rowOff>
    </xdr:to>
    <xdr:pic>
      <xdr:nvPicPr>
        <xdr:cNvPr id="25" name="Picture 24">
          <a:extLst>
            <a:ext uri="{FF2B5EF4-FFF2-40B4-BE49-F238E27FC236}">
              <a16:creationId xmlns:a16="http://schemas.microsoft.com/office/drawing/2014/main" id="{00000000-0008-0000-0B00-000019000000}"/>
            </a:ext>
          </a:extLst>
        </xdr:cNvPr>
        <xdr:cNvPicPr>
          <a:picLocks noChangeAspect="1" noChangeArrowheads="1"/>
        </xdr:cNvPicPr>
      </xdr:nvPicPr>
      <xdr:blipFill>
        <a:blip xmlns:r="http://schemas.openxmlformats.org/officeDocument/2006/relationships" r:embed="rId24"/>
        <a:srcRect/>
        <a:stretch>
          <a:fillRect/>
        </a:stretch>
      </xdr:blipFill>
      <xdr:spPr bwMode="auto">
        <a:xfrm>
          <a:off x="13458825" y="85982175"/>
          <a:ext cx="3695700" cy="1266825"/>
        </a:xfrm>
        <a:prstGeom prst="rect">
          <a:avLst/>
        </a:prstGeom>
        <a:noFill/>
        <a:ln w="1">
          <a:noFill/>
          <a:miter lim="800000"/>
          <a:headEnd/>
          <a:tailEnd type="none" w="med" len="med"/>
        </a:ln>
        <a:effectLst/>
      </xdr:spPr>
    </xdr:pic>
    <xdr:clientData/>
  </xdr:twoCellAnchor>
  <xdr:twoCellAnchor editAs="oneCell">
    <xdr:from>
      <xdr:col>18</xdr:col>
      <xdr:colOff>0</xdr:colOff>
      <xdr:row>564</xdr:row>
      <xdr:rowOff>0</xdr:rowOff>
    </xdr:from>
    <xdr:to>
      <xdr:col>24</xdr:col>
      <xdr:colOff>15240</xdr:colOff>
      <xdr:row>592</xdr:row>
      <xdr:rowOff>124387</xdr:rowOff>
    </xdr:to>
    <xdr:pic>
      <xdr:nvPicPr>
        <xdr:cNvPr id="26" name="Picture 25">
          <a:extLst>
            <a:ext uri="{FF2B5EF4-FFF2-40B4-BE49-F238E27FC236}">
              <a16:creationId xmlns:a16="http://schemas.microsoft.com/office/drawing/2014/main" id="{00000000-0008-0000-0B00-00001A000000}"/>
            </a:ext>
          </a:extLst>
        </xdr:cNvPr>
        <xdr:cNvPicPr>
          <a:picLocks noChangeAspect="1" noChangeArrowheads="1"/>
        </xdr:cNvPicPr>
      </xdr:nvPicPr>
      <xdr:blipFill>
        <a:blip xmlns:r="http://schemas.openxmlformats.org/officeDocument/2006/relationships" r:embed="rId25"/>
        <a:srcRect/>
        <a:stretch>
          <a:fillRect/>
        </a:stretch>
      </xdr:blipFill>
      <xdr:spPr bwMode="auto">
        <a:xfrm>
          <a:off x="13458825" y="89820750"/>
          <a:ext cx="3667125" cy="1209675"/>
        </a:xfrm>
        <a:prstGeom prst="rect">
          <a:avLst/>
        </a:prstGeom>
        <a:noFill/>
        <a:ln w="1">
          <a:noFill/>
          <a:miter lim="800000"/>
          <a:headEnd/>
          <a:tailEnd type="none" w="med" len="med"/>
        </a:ln>
        <a:effectLst/>
      </xdr:spPr>
    </xdr:pic>
    <xdr:clientData/>
  </xdr:twoCellAnchor>
  <xdr:twoCellAnchor editAs="oneCell">
    <xdr:from>
      <xdr:col>18</xdr:col>
      <xdr:colOff>0</xdr:colOff>
      <xdr:row>585</xdr:row>
      <xdr:rowOff>0</xdr:rowOff>
    </xdr:from>
    <xdr:to>
      <xdr:col>24</xdr:col>
      <xdr:colOff>0</xdr:colOff>
      <xdr:row>597</xdr:row>
      <xdr:rowOff>19048</xdr:rowOff>
    </xdr:to>
    <xdr:pic>
      <xdr:nvPicPr>
        <xdr:cNvPr id="27" name="Picture 26">
          <a:extLst>
            <a:ext uri="{FF2B5EF4-FFF2-40B4-BE49-F238E27FC236}">
              <a16:creationId xmlns:a16="http://schemas.microsoft.com/office/drawing/2014/main" id="{00000000-0008-0000-0B00-00001B000000}"/>
            </a:ext>
          </a:extLst>
        </xdr:cNvPr>
        <xdr:cNvPicPr>
          <a:picLocks noChangeAspect="1" noChangeArrowheads="1"/>
        </xdr:cNvPicPr>
      </xdr:nvPicPr>
      <xdr:blipFill>
        <a:blip xmlns:r="http://schemas.openxmlformats.org/officeDocument/2006/relationships" r:embed="rId26"/>
        <a:srcRect/>
        <a:stretch>
          <a:fillRect/>
        </a:stretch>
      </xdr:blipFill>
      <xdr:spPr bwMode="auto">
        <a:xfrm>
          <a:off x="13458825" y="93335475"/>
          <a:ext cx="3657600" cy="1276350"/>
        </a:xfrm>
        <a:prstGeom prst="rect">
          <a:avLst/>
        </a:prstGeom>
        <a:noFill/>
        <a:ln w="1">
          <a:noFill/>
          <a:miter lim="800000"/>
          <a:headEnd/>
          <a:tailEnd type="none" w="med" len="med"/>
        </a:ln>
        <a:effectLst/>
      </xdr:spPr>
    </xdr:pic>
    <xdr:clientData/>
  </xdr:twoCellAnchor>
  <xdr:twoCellAnchor editAs="oneCell">
    <xdr:from>
      <xdr:col>18</xdr:col>
      <xdr:colOff>0</xdr:colOff>
      <xdr:row>606</xdr:row>
      <xdr:rowOff>0</xdr:rowOff>
    </xdr:from>
    <xdr:to>
      <xdr:col>23</xdr:col>
      <xdr:colOff>588645</xdr:colOff>
      <xdr:row>637</xdr:row>
      <xdr:rowOff>52667</xdr:rowOff>
    </xdr:to>
    <xdr:pic>
      <xdr:nvPicPr>
        <xdr:cNvPr id="28" name="Picture 27">
          <a:extLst>
            <a:ext uri="{FF2B5EF4-FFF2-40B4-BE49-F238E27FC236}">
              <a16:creationId xmlns:a16="http://schemas.microsoft.com/office/drawing/2014/main" id="{00000000-0008-0000-0B00-00001C000000}"/>
            </a:ext>
          </a:extLst>
        </xdr:cNvPr>
        <xdr:cNvPicPr>
          <a:picLocks noChangeAspect="1" noChangeArrowheads="1"/>
        </xdr:cNvPicPr>
      </xdr:nvPicPr>
      <xdr:blipFill>
        <a:blip xmlns:r="http://schemas.openxmlformats.org/officeDocument/2006/relationships" r:embed="rId27"/>
        <a:srcRect/>
        <a:stretch>
          <a:fillRect/>
        </a:stretch>
      </xdr:blipFill>
      <xdr:spPr bwMode="auto">
        <a:xfrm>
          <a:off x="13458825" y="96850200"/>
          <a:ext cx="3648075" cy="1276350"/>
        </a:xfrm>
        <a:prstGeom prst="rect">
          <a:avLst/>
        </a:prstGeom>
        <a:noFill/>
        <a:ln w="1">
          <a:noFill/>
          <a:miter lim="800000"/>
          <a:headEnd/>
          <a:tailEnd type="none" w="med" len="med"/>
        </a:ln>
        <a:effectLst/>
      </xdr:spPr>
    </xdr:pic>
    <xdr:clientData/>
  </xdr:twoCellAnchor>
  <xdr:twoCellAnchor editAs="oneCell">
    <xdr:from>
      <xdr:col>18</xdr:col>
      <xdr:colOff>0</xdr:colOff>
      <xdr:row>636</xdr:row>
      <xdr:rowOff>0</xdr:rowOff>
    </xdr:from>
    <xdr:to>
      <xdr:col>24</xdr:col>
      <xdr:colOff>15240</xdr:colOff>
      <xdr:row>659</xdr:row>
      <xdr:rowOff>90768</xdr:rowOff>
    </xdr:to>
    <xdr:pic>
      <xdr:nvPicPr>
        <xdr:cNvPr id="29" name="Picture 28">
          <a:extLst>
            <a:ext uri="{FF2B5EF4-FFF2-40B4-BE49-F238E27FC236}">
              <a16:creationId xmlns:a16="http://schemas.microsoft.com/office/drawing/2014/main" id="{00000000-0008-0000-0B00-00001D000000}"/>
            </a:ext>
          </a:extLst>
        </xdr:cNvPr>
        <xdr:cNvPicPr>
          <a:picLocks noChangeAspect="1" noChangeArrowheads="1"/>
        </xdr:cNvPicPr>
      </xdr:nvPicPr>
      <xdr:blipFill>
        <a:blip xmlns:r="http://schemas.openxmlformats.org/officeDocument/2006/relationships" r:embed="rId28"/>
        <a:srcRect/>
        <a:stretch>
          <a:fillRect/>
        </a:stretch>
      </xdr:blipFill>
      <xdr:spPr bwMode="auto">
        <a:xfrm>
          <a:off x="13458825" y="101850825"/>
          <a:ext cx="3667125" cy="2466975"/>
        </a:xfrm>
        <a:prstGeom prst="rect">
          <a:avLst/>
        </a:prstGeom>
        <a:noFill/>
        <a:ln w="1">
          <a:noFill/>
          <a:miter lim="800000"/>
          <a:headEnd/>
          <a:tailEnd type="none" w="med" len="med"/>
        </a:ln>
        <a:effectLst/>
      </xdr:spPr>
    </xdr:pic>
    <xdr:clientData/>
  </xdr:twoCellAnchor>
  <xdr:twoCellAnchor editAs="oneCell">
    <xdr:from>
      <xdr:col>18</xdr:col>
      <xdr:colOff>0</xdr:colOff>
      <xdr:row>673</xdr:row>
      <xdr:rowOff>0</xdr:rowOff>
    </xdr:from>
    <xdr:to>
      <xdr:col>24</xdr:col>
      <xdr:colOff>0</xdr:colOff>
      <xdr:row>684</xdr:row>
      <xdr:rowOff>91440</xdr:rowOff>
    </xdr:to>
    <xdr:pic>
      <xdr:nvPicPr>
        <xdr:cNvPr id="30" name="Picture 29">
          <a:extLst>
            <a:ext uri="{FF2B5EF4-FFF2-40B4-BE49-F238E27FC236}">
              <a16:creationId xmlns:a16="http://schemas.microsoft.com/office/drawing/2014/main" id="{00000000-0008-0000-0B00-00001E000000}"/>
            </a:ext>
          </a:extLst>
        </xdr:cNvPr>
        <xdr:cNvPicPr>
          <a:picLocks noChangeAspect="1" noChangeArrowheads="1"/>
        </xdr:cNvPicPr>
      </xdr:nvPicPr>
      <xdr:blipFill>
        <a:blip xmlns:r="http://schemas.openxmlformats.org/officeDocument/2006/relationships" r:embed="rId29"/>
        <a:srcRect/>
        <a:stretch>
          <a:fillRect/>
        </a:stretch>
      </xdr:blipFill>
      <xdr:spPr bwMode="auto">
        <a:xfrm>
          <a:off x="13458825" y="107880150"/>
          <a:ext cx="3657600" cy="1238250"/>
        </a:xfrm>
        <a:prstGeom prst="rect">
          <a:avLst/>
        </a:prstGeom>
        <a:noFill/>
        <a:ln w="1">
          <a:noFill/>
          <a:miter lim="800000"/>
          <a:headEnd/>
          <a:tailEnd type="none" w="med" len="med"/>
        </a:ln>
        <a:effectLst/>
      </xdr:spPr>
    </xdr:pic>
    <xdr:clientData/>
  </xdr:twoCellAnchor>
  <xdr:twoCellAnchor editAs="oneCell">
    <xdr:from>
      <xdr:col>18</xdr:col>
      <xdr:colOff>0</xdr:colOff>
      <xdr:row>691</xdr:row>
      <xdr:rowOff>0</xdr:rowOff>
    </xdr:from>
    <xdr:to>
      <xdr:col>25</xdr:col>
      <xdr:colOff>79269</xdr:colOff>
      <xdr:row>751</xdr:row>
      <xdr:rowOff>47626</xdr:rowOff>
    </xdr:to>
    <xdr:pic>
      <xdr:nvPicPr>
        <xdr:cNvPr id="31" name="Picture 30">
          <a:extLst>
            <a:ext uri="{FF2B5EF4-FFF2-40B4-BE49-F238E27FC236}">
              <a16:creationId xmlns:a16="http://schemas.microsoft.com/office/drawing/2014/main" id="{00000000-0008-0000-0B00-00001F000000}"/>
            </a:ext>
          </a:extLst>
        </xdr:cNvPr>
        <xdr:cNvPicPr>
          <a:picLocks noChangeAspect="1" noChangeArrowheads="1"/>
        </xdr:cNvPicPr>
      </xdr:nvPicPr>
      <xdr:blipFill>
        <a:blip xmlns:r="http://schemas.openxmlformats.org/officeDocument/2006/relationships" r:embed="rId30"/>
        <a:srcRect/>
        <a:stretch>
          <a:fillRect/>
        </a:stretch>
      </xdr:blipFill>
      <xdr:spPr bwMode="auto">
        <a:xfrm>
          <a:off x="13458825" y="113099850"/>
          <a:ext cx="4346469" cy="6335806"/>
        </a:xfrm>
        <a:prstGeom prst="rect">
          <a:avLst/>
        </a:prstGeom>
        <a:noFill/>
        <a:ln w="1">
          <a:noFill/>
          <a:miter lim="800000"/>
          <a:headEnd/>
          <a:tailEnd type="none" w="med" len="med"/>
        </a:ln>
        <a:effectLst/>
      </xdr:spPr>
    </xdr:pic>
    <xdr:clientData/>
  </xdr:twoCellAnchor>
  <xdr:twoCellAnchor editAs="oneCell">
    <xdr:from>
      <xdr:col>18</xdr:col>
      <xdr:colOff>0</xdr:colOff>
      <xdr:row>691</xdr:row>
      <xdr:rowOff>0</xdr:rowOff>
    </xdr:from>
    <xdr:to>
      <xdr:col>24</xdr:col>
      <xdr:colOff>152400</xdr:colOff>
      <xdr:row>699</xdr:row>
      <xdr:rowOff>95248</xdr:rowOff>
    </xdr:to>
    <xdr:pic>
      <xdr:nvPicPr>
        <xdr:cNvPr id="32" name="Picture 31">
          <a:extLst>
            <a:ext uri="{FF2B5EF4-FFF2-40B4-BE49-F238E27FC236}">
              <a16:creationId xmlns:a16="http://schemas.microsoft.com/office/drawing/2014/main" id="{00000000-0008-0000-0B00-000020000000}"/>
            </a:ext>
          </a:extLst>
        </xdr:cNvPr>
        <xdr:cNvPicPr>
          <a:picLocks noChangeAspect="1" noChangeArrowheads="1"/>
        </xdr:cNvPicPr>
      </xdr:nvPicPr>
      <xdr:blipFill>
        <a:blip xmlns:r="http://schemas.openxmlformats.org/officeDocument/2006/relationships" r:embed="rId31"/>
        <a:srcRect/>
        <a:stretch>
          <a:fillRect/>
        </a:stretch>
      </xdr:blipFill>
      <xdr:spPr bwMode="auto">
        <a:xfrm>
          <a:off x="13458825" y="122262900"/>
          <a:ext cx="3810000" cy="933450"/>
        </a:xfrm>
        <a:prstGeom prst="rect">
          <a:avLst/>
        </a:prstGeom>
        <a:noFill/>
        <a:ln w="1">
          <a:noFill/>
          <a:miter lim="800000"/>
          <a:headEnd/>
          <a:tailEnd type="none" w="med" len="med"/>
        </a:ln>
        <a:effectLst/>
      </xdr:spPr>
    </xdr:pic>
    <xdr:clientData/>
  </xdr:twoCellAnchor>
  <xdr:twoCellAnchor editAs="oneCell">
    <xdr:from>
      <xdr:col>18</xdr:col>
      <xdr:colOff>0</xdr:colOff>
      <xdr:row>691</xdr:row>
      <xdr:rowOff>0</xdr:rowOff>
    </xdr:from>
    <xdr:to>
      <xdr:col>25</xdr:col>
      <xdr:colOff>285750</xdr:colOff>
      <xdr:row>729</xdr:row>
      <xdr:rowOff>61744</xdr:rowOff>
    </xdr:to>
    <xdr:pic>
      <xdr:nvPicPr>
        <xdr:cNvPr id="33" name="Picture 32">
          <a:extLst>
            <a:ext uri="{FF2B5EF4-FFF2-40B4-BE49-F238E27FC236}">
              <a16:creationId xmlns:a16="http://schemas.microsoft.com/office/drawing/2014/main" id="{00000000-0008-0000-0B00-000021000000}"/>
            </a:ext>
          </a:extLst>
        </xdr:cNvPr>
        <xdr:cNvPicPr>
          <a:picLocks noChangeAspect="1" noChangeArrowheads="1"/>
        </xdr:cNvPicPr>
      </xdr:nvPicPr>
      <xdr:blipFill>
        <a:blip xmlns:r="http://schemas.openxmlformats.org/officeDocument/2006/relationships" r:embed="rId32"/>
        <a:srcRect/>
        <a:stretch>
          <a:fillRect/>
        </a:stretch>
      </xdr:blipFill>
      <xdr:spPr bwMode="auto">
        <a:xfrm>
          <a:off x="13458825" y="123939300"/>
          <a:ext cx="4552950" cy="4061572"/>
        </a:xfrm>
        <a:prstGeom prst="rect">
          <a:avLst/>
        </a:prstGeom>
        <a:noFill/>
        <a:ln w="1">
          <a:noFill/>
          <a:miter lim="800000"/>
          <a:headEnd/>
          <a:tailEnd type="none" w="med" len="med"/>
        </a:ln>
        <a:effectLst/>
      </xdr:spPr>
    </xdr:pic>
    <xdr:clientData/>
  </xdr:twoCellAnchor>
  <xdr:twoCellAnchor editAs="oneCell">
    <xdr:from>
      <xdr:col>18</xdr:col>
      <xdr:colOff>268941</xdr:colOff>
      <xdr:row>691</xdr:row>
      <xdr:rowOff>0</xdr:rowOff>
    </xdr:from>
    <xdr:to>
      <xdr:col>26</xdr:col>
      <xdr:colOff>283845</xdr:colOff>
      <xdr:row>709</xdr:row>
      <xdr:rowOff>56814</xdr:rowOff>
    </xdr:to>
    <xdr:pic>
      <xdr:nvPicPr>
        <xdr:cNvPr id="34" name="Picture 33">
          <a:extLst>
            <a:ext uri="{FF2B5EF4-FFF2-40B4-BE49-F238E27FC236}">
              <a16:creationId xmlns:a16="http://schemas.microsoft.com/office/drawing/2014/main" id="{00000000-0008-0000-0B00-000022000000}"/>
            </a:ext>
          </a:extLst>
        </xdr:cNvPr>
        <xdr:cNvPicPr>
          <a:picLocks noChangeAspect="1" noChangeArrowheads="1"/>
        </xdr:cNvPicPr>
      </xdr:nvPicPr>
      <xdr:blipFill>
        <a:blip xmlns:r="http://schemas.openxmlformats.org/officeDocument/2006/relationships" r:embed="rId33"/>
        <a:srcRect/>
        <a:stretch>
          <a:fillRect/>
        </a:stretch>
      </xdr:blipFill>
      <xdr:spPr bwMode="auto">
        <a:xfrm>
          <a:off x="13727766" y="148837650"/>
          <a:ext cx="4903134" cy="1950384"/>
        </a:xfrm>
        <a:prstGeom prst="rect">
          <a:avLst/>
        </a:prstGeom>
        <a:noFill/>
        <a:ln w="1">
          <a:noFill/>
          <a:miter lim="800000"/>
          <a:headEnd/>
          <a:tailEnd type="none" w="med" len="med"/>
        </a:ln>
        <a:effectLst/>
      </xdr:spPr>
    </xdr:pic>
    <xdr:clientData/>
  </xdr:twoCellAnchor>
  <xdr:twoCellAnchor editAs="oneCell">
    <xdr:from>
      <xdr:col>18</xdr:col>
      <xdr:colOff>246529</xdr:colOff>
      <xdr:row>691</xdr:row>
      <xdr:rowOff>0</xdr:rowOff>
    </xdr:from>
    <xdr:to>
      <xdr:col>27</xdr:col>
      <xdr:colOff>268941</xdr:colOff>
      <xdr:row>754</xdr:row>
      <xdr:rowOff>54462</xdr:rowOff>
    </xdr:to>
    <xdr:pic>
      <xdr:nvPicPr>
        <xdr:cNvPr id="35" name="Picture 34">
          <a:extLst>
            <a:ext uri="{FF2B5EF4-FFF2-40B4-BE49-F238E27FC236}">
              <a16:creationId xmlns:a16="http://schemas.microsoft.com/office/drawing/2014/main" id="{00000000-0008-0000-0B00-000023000000}"/>
            </a:ext>
          </a:extLst>
        </xdr:cNvPr>
        <xdr:cNvPicPr>
          <a:picLocks noChangeAspect="1" noChangeArrowheads="1"/>
        </xdr:cNvPicPr>
      </xdr:nvPicPr>
      <xdr:blipFill>
        <a:blip xmlns:r="http://schemas.openxmlformats.org/officeDocument/2006/relationships" r:embed="rId34"/>
        <a:srcRect/>
        <a:stretch>
          <a:fillRect/>
        </a:stretch>
      </xdr:blipFill>
      <xdr:spPr bwMode="auto">
        <a:xfrm>
          <a:off x="13705354" y="151028400"/>
          <a:ext cx="5508812" cy="6649571"/>
        </a:xfrm>
        <a:prstGeom prst="rect">
          <a:avLst/>
        </a:prstGeom>
        <a:noFill/>
        <a:ln w="1">
          <a:noFill/>
          <a:miter lim="800000"/>
          <a:headEnd/>
          <a:tailEnd type="none" w="med" len="med"/>
        </a:ln>
        <a:effectLst/>
      </xdr:spPr>
    </xdr:pic>
    <xdr:clientData/>
  </xdr:twoCellAnchor>
  <xdr:twoCellAnchor editAs="oneCell">
    <xdr:from>
      <xdr:col>18</xdr:col>
      <xdr:colOff>0</xdr:colOff>
      <xdr:row>736</xdr:row>
      <xdr:rowOff>0</xdr:rowOff>
    </xdr:from>
    <xdr:to>
      <xdr:col>26</xdr:col>
      <xdr:colOff>571500</xdr:colOff>
      <xdr:row>796</xdr:row>
      <xdr:rowOff>8853</xdr:rowOff>
    </xdr:to>
    <xdr:pic>
      <xdr:nvPicPr>
        <xdr:cNvPr id="36" name="Picture 35">
          <a:extLst>
            <a:ext uri="{FF2B5EF4-FFF2-40B4-BE49-F238E27FC236}">
              <a16:creationId xmlns:a16="http://schemas.microsoft.com/office/drawing/2014/main" id="{00000000-0008-0000-0B00-000024000000}"/>
            </a:ext>
          </a:extLst>
        </xdr:cNvPr>
        <xdr:cNvPicPr>
          <a:picLocks noChangeAspect="1" noChangeArrowheads="1"/>
        </xdr:cNvPicPr>
      </xdr:nvPicPr>
      <xdr:blipFill>
        <a:blip xmlns:r="http://schemas.openxmlformats.org/officeDocument/2006/relationships" r:embed="rId35"/>
        <a:srcRect/>
        <a:stretch>
          <a:fillRect/>
        </a:stretch>
      </xdr:blipFill>
      <xdr:spPr bwMode="auto">
        <a:xfrm>
          <a:off x="13458825" y="160705800"/>
          <a:ext cx="5448300" cy="6285940"/>
        </a:xfrm>
        <a:prstGeom prst="rect">
          <a:avLst/>
        </a:prstGeom>
        <a:noFill/>
        <a:ln w="1">
          <a:noFill/>
          <a:miter lim="800000"/>
          <a:headEnd/>
          <a:tailEnd type="none" w="med" len="med"/>
        </a:ln>
        <a:effectLst/>
      </xdr:spPr>
    </xdr:pic>
    <xdr:clientData/>
  </xdr:twoCellAnchor>
  <xdr:twoCellAnchor editAs="oneCell">
    <xdr:from>
      <xdr:col>17</xdr:col>
      <xdr:colOff>605117</xdr:colOff>
      <xdr:row>736</xdr:row>
      <xdr:rowOff>0</xdr:rowOff>
    </xdr:from>
    <xdr:to>
      <xdr:col>26</xdr:col>
      <xdr:colOff>190499</xdr:colOff>
      <xdr:row>768</xdr:row>
      <xdr:rowOff>84157</xdr:rowOff>
    </xdr:to>
    <xdr:pic>
      <xdr:nvPicPr>
        <xdr:cNvPr id="37" name="Picture 19">
          <a:extLst>
            <a:ext uri="{FF2B5EF4-FFF2-40B4-BE49-F238E27FC236}">
              <a16:creationId xmlns:a16="http://schemas.microsoft.com/office/drawing/2014/main" id="{00000000-0008-0000-0B00-000025000000}"/>
            </a:ext>
          </a:extLst>
        </xdr:cNvPr>
        <xdr:cNvPicPr>
          <a:picLocks noChangeAspect="1" noChangeArrowheads="1"/>
        </xdr:cNvPicPr>
      </xdr:nvPicPr>
      <xdr:blipFill>
        <a:blip xmlns:r="http://schemas.openxmlformats.org/officeDocument/2006/relationships" r:embed="rId36"/>
        <a:srcRect/>
        <a:stretch>
          <a:fillRect/>
        </a:stretch>
      </xdr:blipFill>
      <xdr:spPr bwMode="auto">
        <a:xfrm>
          <a:off x="13454342" y="170707050"/>
          <a:ext cx="5071782" cy="3364006"/>
        </a:xfrm>
        <a:prstGeom prst="rect">
          <a:avLst/>
        </a:prstGeom>
        <a:noFill/>
        <a:ln w="1">
          <a:noFill/>
          <a:miter lim="800000"/>
          <a:headEnd/>
          <a:tailEnd type="none" w="med" len="med"/>
        </a:ln>
        <a:effectLst/>
      </xdr:spPr>
    </xdr:pic>
    <xdr:clientData/>
  </xdr:twoCellAnchor>
  <xdr:twoCellAnchor editAs="oneCell">
    <xdr:from>
      <xdr:col>18</xdr:col>
      <xdr:colOff>0</xdr:colOff>
      <xdr:row>736</xdr:row>
      <xdr:rowOff>0</xdr:rowOff>
    </xdr:from>
    <xdr:to>
      <xdr:col>30</xdr:col>
      <xdr:colOff>268941</xdr:colOff>
      <xdr:row>797</xdr:row>
      <xdr:rowOff>21853</xdr:rowOff>
    </xdr:to>
    <xdr:pic>
      <xdr:nvPicPr>
        <xdr:cNvPr id="38" name="Picture 20">
          <a:extLst>
            <a:ext uri="{FF2B5EF4-FFF2-40B4-BE49-F238E27FC236}">
              <a16:creationId xmlns:a16="http://schemas.microsoft.com/office/drawing/2014/main" id="{00000000-0008-0000-0B00-000026000000}"/>
            </a:ext>
          </a:extLst>
        </xdr:cNvPr>
        <xdr:cNvPicPr>
          <a:picLocks noChangeAspect="1" noChangeArrowheads="1"/>
        </xdr:cNvPicPr>
      </xdr:nvPicPr>
      <xdr:blipFill>
        <a:blip xmlns:r="http://schemas.openxmlformats.org/officeDocument/2006/relationships" r:embed="rId37"/>
        <a:srcRect/>
        <a:stretch>
          <a:fillRect/>
        </a:stretch>
      </xdr:blipFill>
      <xdr:spPr bwMode="auto">
        <a:xfrm>
          <a:off x="13458825" y="175221900"/>
          <a:ext cx="7584141" cy="6364381"/>
        </a:xfrm>
        <a:prstGeom prst="rect">
          <a:avLst/>
        </a:prstGeom>
        <a:noFill/>
        <a:ln w="1">
          <a:noFill/>
          <a:miter lim="800000"/>
          <a:headEnd/>
          <a:tailEnd type="none" w="med" len="med"/>
        </a:ln>
        <a:effectLst/>
      </xdr:spPr>
    </xdr:pic>
    <xdr:clientData/>
  </xdr:twoCellAnchor>
  <xdr:twoCellAnchor editAs="oneCell">
    <xdr:from>
      <xdr:col>17</xdr:col>
      <xdr:colOff>605117</xdr:colOff>
      <xdr:row>736</xdr:row>
      <xdr:rowOff>0</xdr:rowOff>
    </xdr:from>
    <xdr:to>
      <xdr:col>31</xdr:col>
      <xdr:colOff>588420</xdr:colOff>
      <xdr:row>786</xdr:row>
      <xdr:rowOff>44600</xdr:rowOff>
    </xdr:to>
    <xdr:pic>
      <xdr:nvPicPr>
        <xdr:cNvPr id="39" name="Picture 21">
          <a:extLst>
            <a:ext uri="{FF2B5EF4-FFF2-40B4-BE49-F238E27FC236}">
              <a16:creationId xmlns:a16="http://schemas.microsoft.com/office/drawing/2014/main" id="{00000000-0008-0000-0B00-000027000000}"/>
            </a:ext>
          </a:extLst>
        </xdr:cNvPr>
        <xdr:cNvPicPr>
          <a:picLocks noChangeAspect="1" noChangeArrowheads="1"/>
        </xdr:cNvPicPr>
      </xdr:nvPicPr>
      <xdr:blipFill>
        <a:blip xmlns:r="http://schemas.openxmlformats.org/officeDocument/2006/relationships" r:embed="rId38"/>
        <a:srcRect/>
        <a:stretch>
          <a:fillRect/>
        </a:stretch>
      </xdr:blipFill>
      <xdr:spPr bwMode="auto">
        <a:xfrm>
          <a:off x="13454342" y="185089800"/>
          <a:ext cx="8511988" cy="5253317"/>
        </a:xfrm>
        <a:prstGeom prst="rect">
          <a:avLst/>
        </a:prstGeom>
        <a:noFill/>
        <a:ln w="1">
          <a:noFill/>
          <a:miter lim="800000"/>
          <a:headEnd/>
          <a:tailEnd type="none" w="med" len="med"/>
        </a:ln>
        <a:effectLst/>
      </xdr:spPr>
    </xdr:pic>
    <xdr:clientData/>
  </xdr:twoCellAnchor>
  <xdr:twoCellAnchor editAs="oneCell">
    <xdr:from>
      <xdr:col>18</xdr:col>
      <xdr:colOff>0</xdr:colOff>
      <xdr:row>736</xdr:row>
      <xdr:rowOff>0</xdr:rowOff>
    </xdr:from>
    <xdr:to>
      <xdr:col>30</xdr:col>
      <xdr:colOff>555747</xdr:colOff>
      <xdr:row>771</xdr:row>
      <xdr:rowOff>113181</xdr:rowOff>
    </xdr:to>
    <xdr:pic>
      <xdr:nvPicPr>
        <xdr:cNvPr id="40" name="Picture 22">
          <a:extLst>
            <a:ext uri="{FF2B5EF4-FFF2-40B4-BE49-F238E27FC236}">
              <a16:creationId xmlns:a16="http://schemas.microsoft.com/office/drawing/2014/main" id="{00000000-0008-0000-0B00-000028000000}"/>
            </a:ext>
          </a:extLst>
        </xdr:cNvPr>
        <xdr:cNvPicPr>
          <a:picLocks noChangeAspect="1" noChangeArrowheads="1"/>
        </xdr:cNvPicPr>
      </xdr:nvPicPr>
      <xdr:blipFill>
        <a:blip xmlns:r="http://schemas.openxmlformats.org/officeDocument/2006/relationships" r:embed="rId39"/>
        <a:srcRect/>
        <a:stretch>
          <a:fillRect/>
        </a:stretch>
      </xdr:blipFill>
      <xdr:spPr bwMode="auto">
        <a:xfrm>
          <a:off x="13458825" y="193281300"/>
          <a:ext cx="7863327" cy="3849781"/>
        </a:xfrm>
        <a:prstGeom prst="rect">
          <a:avLst/>
        </a:prstGeom>
        <a:noFill/>
        <a:ln w="1">
          <a:noFill/>
          <a:miter lim="800000"/>
          <a:headEnd/>
          <a:tailEnd type="none" w="med" len="med"/>
        </a:ln>
        <a:effectLst/>
      </xdr:spPr>
    </xdr:pic>
    <xdr:clientData/>
  </xdr:twoCellAnchor>
  <xdr:twoCellAnchor editAs="oneCell">
    <xdr:from>
      <xdr:col>18</xdr:col>
      <xdr:colOff>78441</xdr:colOff>
      <xdr:row>736</xdr:row>
      <xdr:rowOff>0</xdr:rowOff>
    </xdr:from>
    <xdr:to>
      <xdr:col>33</xdr:col>
      <xdr:colOff>474234</xdr:colOff>
      <xdr:row>786</xdr:row>
      <xdr:rowOff>64150</xdr:rowOff>
    </xdr:to>
    <xdr:pic>
      <xdr:nvPicPr>
        <xdr:cNvPr id="41" name="Picture 23">
          <a:extLst>
            <a:ext uri="{FF2B5EF4-FFF2-40B4-BE49-F238E27FC236}">
              <a16:creationId xmlns:a16="http://schemas.microsoft.com/office/drawing/2014/main" id="{00000000-0008-0000-0B00-000029000000}"/>
            </a:ext>
          </a:extLst>
        </xdr:cNvPr>
        <xdr:cNvPicPr>
          <a:picLocks noChangeAspect="1" noChangeArrowheads="1"/>
        </xdr:cNvPicPr>
      </xdr:nvPicPr>
      <xdr:blipFill>
        <a:blip xmlns:r="http://schemas.openxmlformats.org/officeDocument/2006/relationships" r:embed="rId40"/>
        <a:srcRect/>
        <a:stretch>
          <a:fillRect/>
        </a:stretch>
      </xdr:blipFill>
      <xdr:spPr bwMode="auto">
        <a:xfrm>
          <a:off x="13537266" y="197349035"/>
          <a:ext cx="9547413" cy="5360721"/>
        </a:xfrm>
        <a:prstGeom prst="rect">
          <a:avLst/>
        </a:prstGeom>
        <a:noFill/>
        <a:ln w="1">
          <a:noFill/>
          <a:miter lim="800000"/>
          <a:headEnd/>
          <a:tailEnd type="none" w="med" len="med"/>
        </a:ln>
        <a:effectLst/>
      </xdr:spPr>
    </xdr:pic>
    <xdr:clientData/>
  </xdr:twoCellAnchor>
  <xdr:twoCellAnchor editAs="oneCell">
    <xdr:from>
      <xdr:col>17</xdr:col>
      <xdr:colOff>605117</xdr:colOff>
      <xdr:row>736</xdr:row>
      <xdr:rowOff>0</xdr:rowOff>
    </xdr:from>
    <xdr:to>
      <xdr:col>29</xdr:col>
      <xdr:colOff>476836</xdr:colOff>
      <xdr:row>775</xdr:row>
      <xdr:rowOff>32947</xdr:rowOff>
    </xdr:to>
    <xdr:pic>
      <xdr:nvPicPr>
        <xdr:cNvPr id="42" name="Picture 24">
          <a:extLst>
            <a:ext uri="{FF2B5EF4-FFF2-40B4-BE49-F238E27FC236}">
              <a16:creationId xmlns:a16="http://schemas.microsoft.com/office/drawing/2014/main" id="{00000000-0008-0000-0B00-00002A000000}"/>
            </a:ext>
          </a:extLst>
        </xdr:cNvPr>
        <xdr:cNvPicPr>
          <a:picLocks noChangeAspect="1" noChangeArrowheads="1"/>
        </xdr:cNvPicPr>
      </xdr:nvPicPr>
      <xdr:blipFill>
        <a:blip xmlns:r="http://schemas.openxmlformats.org/officeDocument/2006/relationships" r:embed="rId41"/>
        <a:srcRect/>
        <a:stretch>
          <a:fillRect/>
        </a:stretch>
      </xdr:blipFill>
      <xdr:spPr bwMode="auto">
        <a:xfrm>
          <a:off x="13454342" y="207664050"/>
          <a:ext cx="7171679" cy="4218454"/>
        </a:xfrm>
        <a:prstGeom prst="rect">
          <a:avLst/>
        </a:prstGeom>
        <a:noFill/>
        <a:ln w="1">
          <a:noFill/>
          <a:miter lim="800000"/>
          <a:headEnd/>
          <a:tailEnd type="none" w="med" len="med"/>
        </a:ln>
        <a:effectLst/>
      </xdr:spPr>
    </xdr:pic>
    <xdr:clientData/>
  </xdr:twoCellAnchor>
  <xdr:twoCellAnchor editAs="oneCell">
    <xdr:from>
      <xdr:col>19</xdr:col>
      <xdr:colOff>0</xdr:colOff>
      <xdr:row>736</xdr:row>
      <xdr:rowOff>0</xdr:rowOff>
    </xdr:from>
    <xdr:to>
      <xdr:col>32</xdr:col>
      <xdr:colOff>40219</xdr:colOff>
      <xdr:row>779</xdr:row>
      <xdr:rowOff>78441</xdr:rowOff>
    </xdr:to>
    <xdr:pic>
      <xdr:nvPicPr>
        <xdr:cNvPr id="43" name="Picture 25">
          <a:extLst>
            <a:ext uri="{FF2B5EF4-FFF2-40B4-BE49-F238E27FC236}">
              <a16:creationId xmlns:a16="http://schemas.microsoft.com/office/drawing/2014/main" id="{00000000-0008-0000-0B00-00002B000000}"/>
            </a:ext>
          </a:extLst>
        </xdr:cNvPr>
        <xdr:cNvPicPr>
          <a:picLocks noChangeAspect="1" noChangeArrowheads="1"/>
        </xdr:cNvPicPr>
      </xdr:nvPicPr>
      <xdr:blipFill>
        <a:blip xmlns:r="http://schemas.openxmlformats.org/officeDocument/2006/relationships" r:embed="rId42"/>
        <a:srcRect/>
        <a:stretch>
          <a:fillRect/>
        </a:stretch>
      </xdr:blipFill>
      <xdr:spPr bwMode="auto">
        <a:xfrm>
          <a:off x="14068425" y="215179275"/>
          <a:ext cx="7965019" cy="4705350"/>
        </a:xfrm>
        <a:prstGeom prst="rect">
          <a:avLst/>
        </a:prstGeom>
        <a:noFill/>
        <a:ln w="1">
          <a:noFill/>
          <a:miter lim="800000"/>
          <a:headEnd/>
          <a:tailEnd type="none" w="med" len="med"/>
        </a:ln>
        <a:effectLst/>
      </xdr:spPr>
    </xdr:pic>
    <xdr:clientData/>
  </xdr:twoCellAnchor>
  <xdr:twoCellAnchor editAs="oneCell">
    <xdr:from>
      <xdr:col>19</xdr:col>
      <xdr:colOff>520031</xdr:colOff>
      <xdr:row>789</xdr:row>
      <xdr:rowOff>141988</xdr:rowOff>
    </xdr:from>
    <xdr:to>
      <xdr:col>27</xdr:col>
      <xdr:colOff>549918</xdr:colOff>
      <xdr:row>811</xdr:row>
      <xdr:rowOff>54489</xdr:rowOff>
    </xdr:to>
    <xdr:pic>
      <xdr:nvPicPr>
        <xdr:cNvPr id="146433" name="Picture 1">
          <a:extLst>
            <a:ext uri="{FF2B5EF4-FFF2-40B4-BE49-F238E27FC236}">
              <a16:creationId xmlns:a16="http://schemas.microsoft.com/office/drawing/2014/main" id="{00000000-0008-0000-0B00-0000013C0200}"/>
            </a:ext>
          </a:extLst>
        </xdr:cNvPr>
        <xdr:cNvPicPr>
          <a:picLocks noChangeAspect="1" noChangeArrowheads="1"/>
        </xdr:cNvPicPr>
      </xdr:nvPicPr>
      <xdr:blipFill>
        <a:blip xmlns:r="http://schemas.openxmlformats.org/officeDocument/2006/relationships" r:embed="rId43"/>
        <a:srcRect/>
        <a:stretch>
          <a:fillRect/>
        </a:stretch>
      </xdr:blipFill>
      <xdr:spPr bwMode="auto">
        <a:xfrm>
          <a:off x="14753102" y="280680452"/>
          <a:ext cx="4936079" cy="3495260"/>
        </a:xfrm>
        <a:prstGeom prst="rect">
          <a:avLst/>
        </a:prstGeom>
        <a:noFill/>
        <a:ln w="1">
          <a:noFill/>
          <a:miter lim="800000"/>
          <a:headEnd/>
          <a:tailEnd type="none" w="med" len="med"/>
        </a:ln>
        <a:effectLst/>
      </xdr:spPr>
    </xdr:pic>
    <xdr:clientData/>
  </xdr:twoCellAnchor>
  <xdr:twoCellAnchor editAs="oneCell">
    <xdr:from>
      <xdr:col>18</xdr:col>
      <xdr:colOff>0</xdr:colOff>
      <xdr:row>780</xdr:row>
      <xdr:rowOff>0</xdr:rowOff>
    </xdr:from>
    <xdr:to>
      <xdr:col>26</xdr:col>
      <xdr:colOff>19050</xdr:colOff>
      <xdr:row>790</xdr:row>
      <xdr:rowOff>60959</xdr:rowOff>
    </xdr:to>
    <xdr:pic>
      <xdr:nvPicPr>
        <xdr:cNvPr id="146434" name="Picture 2">
          <a:extLst>
            <a:ext uri="{FF2B5EF4-FFF2-40B4-BE49-F238E27FC236}">
              <a16:creationId xmlns:a16="http://schemas.microsoft.com/office/drawing/2014/main" id="{00000000-0008-0000-0B00-0000023C0200}"/>
            </a:ext>
          </a:extLst>
        </xdr:cNvPr>
        <xdr:cNvPicPr>
          <a:picLocks noChangeAspect="1" noChangeArrowheads="1"/>
        </xdr:cNvPicPr>
      </xdr:nvPicPr>
      <xdr:blipFill>
        <a:blip xmlns:r="http://schemas.openxmlformats.org/officeDocument/2006/relationships" r:embed="rId44"/>
        <a:srcRect/>
        <a:stretch>
          <a:fillRect/>
        </a:stretch>
      </xdr:blipFill>
      <xdr:spPr bwMode="auto">
        <a:xfrm>
          <a:off x="13373100" y="290579175"/>
          <a:ext cx="4895850" cy="1666875"/>
        </a:xfrm>
        <a:prstGeom prst="rect">
          <a:avLst/>
        </a:prstGeom>
        <a:noFill/>
        <a:ln w="1">
          <a:noFill/>
          <a:miter lim="800000"/>
          <a:headEnd/>
          <a:tailEnd type="none" w="med" len="med"/>
        </a:ln>
        <a:effectLst/>
      </xdr:spPr>
    </xdr:pic>
    <xdr:clientData/>
  </xdr:twoCellAnchor>
  <xdr:twoCellAnchor editAs="oneCell">
    <xdr:from>
      <xdr:col>19</xdr:col>
      <xdr:colOff>530679</xdr:colOff>
      <xdr:row>811</xdr:row>
      <xdr:rowOff>27214</xdr:rowOff>
    </xdr:from>
    <xdr:to>
      <xdr:col>26</xdr:col>
      <xdr:colOff>287928</xdr:colOff>
      <xdr:row>814</xdr:row>
      <xdr:rowOff>74840</xdr:rowOff>
    </xdr:to>
    <xdr:pic>
      <xdr:nvPicPr>
        <xdr:cNvPr id="146435" name="Picture 3">
          <a:extLst>
            <a:ext uri="{FF2B5EF4-FFF2-40B4-BE49-F238E27FC236}">
              <a16:creationId xmlns:a16="http://schemas.microsoft.com/office/drawing/2014/main" id="{00000000-0008-0000-0B00-0000033C0200}"/>
            </a:ext>
          </a:extLst>
        </xdr:cNvPr>
        <xdr:cNvPicPr>
          <a:picLocks noChangeAspect="1" noChangeArrowheads="1"/>
        </xdr:cNvPicPr>
      </xdr:nvPicPr>
      <xdr:blipFill>
        <a:blip xmlns:r="http://schemas.openxmlformats.org/officeDocument/2006/relationships" r:embed="rId45"/>
        <a:srcRect/>
        <a:stretch>
          <a:fillRect/>
        </a:stretch>
      </xdr:blipFill>
      <xdr:spPr bwMode="auto">
        <a:xfrm>
          <a:off x="14763750" y="284157964"/>
          <a:ext cx="4035879" cy="537483"/>
        </a:xfrm>
        <a:prstGeom prst="rect">
          <a:avLst/>
        </a:prstGeom>
        <a:noFill/>
        <a:ln w="1">
          <a:noFill/>
          <a:miter lim="800000"/>
          <a:headEnd/>
          <a:tailEnd type="none" w="med" len="med"/>
        </a:ln>
        <a:effectLst/>
      </xdr:spPr>
    </xdr:pic>
    <xdr:clientData/>
  </xdr:twoCellAnchor>
  <xdr:twoCellAnchor editAs="oneCell">
    <xdr:from>
      <xdr:col>20</xdr:col>
      <xdr:colOff>258536</xdr:colOff>
      <xdr:row>814</xdr:row>
      <xdr:rowOff>81643</xdr:rowOff>
    </xdr:from>
    <xdr:to>
      <xdr:col>27</xdr:col>
      <xdr:colOff>511901</xdr:colOff>
      <xdr:row>830</xdr:row>
      <xdr:rowOff>134981</xdr:rowOff>
    </xdr:to>
    <xdr:pic>
      <xdr:nvPicPr>
        <xdr:cNvPr id="146436" name="Picture 4">
          <a:extLst>
            <a:ext uri="{FF2B5EF4-FFF2-40B4-BE49-F238E27FC236}">
              <a16:creationId xmlns:a16="http://schemas.microsoft.com/office/drawing/2014/main" id="{00000000-0008-0000-0B00-0000043C0200}"/>
            </a:ext>
          </a:extLst>
        </xdr:cNvPr>
        <xdr:cNvPicPr>
          <a:picLocks noChangeAspect="1" noChangeArrowheads="1"/>
        </xdr:cNvPicPr>
      </xdr:nvPicPr>
      <xdr:blipFill>
        <a:blip xmlns:r="http://schemas.openxmlformats.org/officeDocument/2006/relationships" r:embed="rId46"/>
        <a:srcRect/>
        <a:stretch>
          <a:fillRect/>
        </a:stretch>
      </xdr:blipFill>
      <xdr:spPr bwMode="auto">
        <a:xfrm>
          <a:off x="15103929" y="284702250"/>
          <a:ext cx="4533900" cy="2677886"/>
        </a:xfrm>
        <a:prstGeom prst="rect">
          <a:avLst/>
        </a:prstGeom>
        <a:noFill/>
        <a:ln w="1">
          <a:noFill/>
          <a:miter lim="800000"/>
          <a:headEnd/>
          <a:tailEnd type="none" w="med" len="med"/>
        </a:ln>
        <a:effectLst/>
      </xdr:spPr>
    </xdr:pic>
    <xdr:clientData/>
  </xdr:twoCellAnchor>
  <xdr:twoCellAnchor editAs="oneCell">
    <xdr:from>
      <xdr:col>18</xdr:col>
      <xdr:colOff>0</xdr:colOff>
      <xdr:row>825</xdr:row>
      <xdr:rowOff>0</xdr:rowOff>
    </xdr:from>
    <xdr:to>
      <xdr:col>25</xdr:col>
      <xdr:colOff>571500</xdr:colOff>
      <xdr:row>827</xdr:row>
      <xdr:rowOff>135253</xdr:rowOff>
    </xdr:to>
    <xdr:pic>
      <xdr:nvPicPr>
        <xdr:cNvPr id="146437" name="Picture 5">
          <a:extLst>
            <a:ext uri="{FF2B5EF4-FFF2-40B4-BE49-F238E27FC236}">
              <a16:creationId xmlns:a16="http://schemas.microsoft.com/office/drawing/2014/main" id="{00000000-0008-0000-0B00-0000053C0200}"/>
            </a:ext>
          </a:extLst>
        </xdr:cNvPr>
        <xdr:cNvPicPr>
          <a:picLocks noChangeAspect="1" noChangeArrowheads="1"/>
        </xdr:cNvPicPr>
      </xdr:nvPicPr>
      <xdr:blipFill>
        <a:blip xmlns:r="http://schemas.openxmlformats.org/officeDocument/2006/relationships" r:embed="rId47"/>
        <a:srcRect/>
        <a:stretch>
          <a:fillRect/>
        </a:stretch>
      </xdr:blipFill>
      <xdr:spPr bwMode="auto">
        <a:xfrm>
          <a:off x="13373100" y="299675550"/>
          <a:ext cx="4838700" cy="447675"/>
        </a:xfrm>
        <a:prstGeom prst="rect">
          <a:avLst/>
        </a:prstGeom>
        <a:noFill/>
        <a:ln w="1">
          <a:noFill/>
          <a:miter lim="800000"/>
          <a:headEnd/>
          <a:tailEnd type="none" w="med" len="med"/>
        </a:ln>
        <a:effectLst/>
      </xdr:spPr>
    </xdr:pic>
    <xdr:clientData/>
  </xdr:twoCellAnchor>
  <xdr:twoCellAnchor editAs="oneCell">
    <xdr:from>
      <xdr:col>18</xdr:col>
      <xdr:colOff>0</xdr:colOff>
      <xdr:row>825</xdr:row>
      <xdr:rowOff>0</xdr:rowOff>
    </xdr:from>
    <xdr:to>
      <xdr:col>25</xdr:col>
      <xdr:colOff>228600</xdr:colOff>
      <xdr:row>844</xdr:row>
      <xdr:rowOff>56476</xdr:rowOff>
    </xdr:to>
    <xdr:pic>
      <xdr:nvPicPr>
        <xdr:cNvPr id="146438" name="Picture 6">
          <a:extLst>
            <a:ext uri="{FF2B5EF4-FFF2-40B4-BE49-F238E27FC236}">
              <a16:creationId xmlns:a16="http://schemas.microsoft.com/office/drawing/2014/main" id="{00000000-0008-0000-0B00-0000063C0200}"/>
            </a:ext>
          </a:extLst>
        </xdr:cNvPr>
        <xdr:cNvPicPr>
          <a:picLocks noChangeAspect="1" noChangeArrowheads="1"/>
        </xdr:cNvPicPr>
      </xdr:nvPicPr>
      <xdr:blipFill>
        <a:blip xmlns:r="http://schemas.openxmlformats.org/officeDocument/2006/relationships" r:embed="rId48"/>
        <a:srcRect/>
        <a:stretch>
          <a:fillRect/>
        </a:stretch>
      </xdr:blipFill>
      <xdr:spPr bwMode="auto">
        <a:xfrm>
          <a:off x="13373100" y="300161325"/>
          <a:ext cx="4495800" cy="3648075"/>
        </a:xfrm>
        <a:prstGeom prst="rect">
          <a:avLst/>
        </a:prstGeom>
        <a:noFill/>
        <a:ln w="1">
          <a:noFill/>
          <a:miter lim="800000"/>
          <a:headEnd/>
          <a:tailEnd type="none" w="med" len="med"/>
        </a:ln>
        <a:effectLst/>
      </xdr:spPr>
    </xdr:pic>
    <xdr:clientData/>
  </xdr:twoCellAnchor>
  <xdr:twoCellAnchor editAs="oneCell">
    <xdr:from>
      <xdr:col>18</xdr:col>
      <xdr:colOff>0</xdr:colOff>
      <xdr:row>828</xdr:row>
      <xdr:rowOff>0</xdr:rowOff>
    </xdr:from>
    <xdr:to>
      <xdr:col>25</xdr:col>
      <xdr:colOff>266700</xdr:colOff>
      <xdr:row>838</xdr:row>
      <xdr:rowOff>114301</xdr:rowOff>
    </xdr:to>
    <xdr:pic>
      <xdr:nvPicPr>
        <xdr:cNvPr id="146439" name="Picture 7">
          <a:extLst>
            <a:ext uri="{FF2B5EF4-FFF2-40B4-BE49-F238E27FC236}">
              <a16:creationId xmlns:a16="http://schemas.microsoft.com/office/drawing/2014/main" id="{00000000-0008-0000-0B00-0000073C0200}"/>
            </a:ext>
          </a:extLst>
        </xdr:cNvPr>
        <xdr:cNvPicPr>
          <a:picLocks noChangeAspect="1" noChangeArrowheads="1"/>
        </xdr:cNvPicPr>
      </xdr:nvPicPr>
      <xdr:blipFill>
        <a:blip xmlns:r="http://schemas.openxmlformats.org/officeDocument/2006/relationships" r:embed="rId49"/>
        <a:srcRect/>
        <a:stretch>
          <a:fillRect/>
        </a:stretch>
      </xdr:blipFill>
      <xdr:spPr bwMode="auto">
        <a:xfrm>
          <a:off x="13373100" y="304104675"/>
          <a:ext cx="4533900" cy="2219325"/>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25</xdr:col>
      <xdr:colOff>342900</xdr:colOff>
      <xdr:row>865</xdr:row>
      <xdr:rowOff>102645</xdr:rowOff>
    </xdr:to>
    <xdr:pic>
      <xdr:nvPicPr>
        <xdr:cNvPr id="44" name="Picture 1">
          <a:extLst>
            <a:ext uri="{FF2B5EF4-FFF2-40B4-BE49-F238E27FC236}">
              <a16:creationId xmlns:a16="http://schemas.microsoft.com/office/drawing/2014/main" id="{00000000-0008-0000-0B00-00002C000000}"/>
            </a:ext>
          </a:extLst>
        </xdr:cNvPr>
        <xdr:cNvPicPr>
          <a:picLocks noChangeAspect="1" noChangeArrowheads="1"/>
        </xdr:cNvPicPr>
      </xdr:nvPicPr>
      <xdr:blipFill>
        <a:blip xmlns:r="http://schemas.openxmlformats.org/officeDocument/2006/relationships" r:embed="rId50"/>
        <a:srcRect/>
        <a:stretch>
          <a:fillRect/>
        </a:stretch>
      </xdr:blipFill>
      <xdr:spPr bwMode="auto">
        <a:xfrm>
          <a:off x="13373100" y="307209825"/>
          <a:ext cx="4610100" cy="4810125"/>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24</xdr:col>
      <xdr:colOff>0</xdr:colOff>
      <xdr:row>847</xdr:row>
      <xdr:rowOff>64547</xdr:rowOff>
    </xdr:to>
    <xdr:pic>
      <xdr:nvPicPr>
        <xdr:cNvPr id="45" name="Picture 2">
          <a:extLst>
            <a:ext uri="{FF2B5EF4-FFF2-40B4-BE49-F238E27FC236}">
              <a16:creationId xmlns:a16="http://schemas.microsoft.com/office/drawing/2014/main" id="{00000000-0008-0000-0B00-00002D000000}"/>
            </a:ext>
          </a:extLst>
        </xdr:cNvPr>
        <xdr:cNvPicPr>
          <a:picLocks noChangeAspect="1" noChangeArrowheads="1"/>
        </xdr:cNvPicPr>
      </xdr:nvPicPr>
      <xdr:blipFill>
        <a:blip xmlns:r="http://schemas.openxmlformats.org/officeDocument/2006/relationships" r:embed="rId51"/>
        <a:srcRect/>
        <a:stretch>
          <a:fillRect/>
        </a:stretch>
      </xdr:blipFill>
      <xdr:spPr bwMode="auto">
        <a:xfrm>
          <a:off x="13373100" y="312772425"/>
          <a:ext cx="3657600" cy="1019175"/>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25</xdr:col>
      <xdr:colOff>321945</xdr:colOff>
      <xdr:row>850</xdr:row>
      <xdr:rowOff>147916</xdr:rowOff>
    </xdr:to>
    <xdr:pic>
      <xdr:nvPicPr>
        <xdr:cNvPr id="46" name="Picture 3">
          <a:extLst>
            <a:ext uri="{FF2B5EF4-FFF2-40B4-BE49-F238E27FC236}">
              <a16:creationId xmlns:a16="http://schemas.microsoft.com/office/drawing/2014/main" id="{00000000-0008-0000-0B00-00002E000000}"/>
            </a:ext>
          </a:extLst>
        </xdr:cNvPr>
        <xdr:cNvPicPr>
          <a:picLocks noChangeAspect="1" noChangeArrowheads="1"/>
        </xdr:cNvPicPr>
      </xdr:nvPicPr>
      <xdr:blipFill>
        <a:blip xmlns:r="http://schemas.openxmlformats.org/officeDocument/2006/relationships" r:embed="rId52"/>
        <a:srcRect/>
        <a:stretch>
          <a:fillRect/>
        </a:stretch>
      </xdr:blipFill>
      <xdr:spPr bwMode="auto">
        <a:xfrm>
          <a:off x="13373100" y="315553725"/>
          <a:ext cx="4600575" cy="1762125"/>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25</xdr:col>
      <xdr:colOff>320040</xdr:colOff>
      <xdr:row>863</xdr:row>
      <xdr:rowOff>6277</xdr:rowOff>
    </xdr:to>
    <xdr:pic>
      <xdr:nvPicPr>
        <xdr:cNvPr id="47" name="Picture 4">
          <a:extLst>
            <a:ext uri="{FF2B5EF4-FFF2-40B4-BE49-F238E27FC236}">
              <a16:creationId xmlns:a16="http://schemas.microsoft.com/office/drawing/2014/main" id="{00000000-0008-0000-0B00-00002F000000}"/>
            </a:ext>
          </a:extLst>
        </xdr:cNvPr>
        <xdr:cNvPicPr>
          <a:picLocks noChangeAspect="1" noChangeArrowheads="1"/>
        </xdr:cNvPicPr>
      </xdr:nvPicPr>
      <xdr:blipFill>
        <a:blip xmlns:r="http://schemas.openxmlformats.org/officeDocument/2006/relationships" r:embed="rId53"/>
        <a:srcRect/>
        <a:stretch>
          <a:fillRect/>
        </a:stretch>
      </xdr:blipFill>
      <xdr:spPr bwMode="auto">
        <a:xfrm>
          <a:off x="13373100" y="317496825"/>
          <a:ext cx="4581525" cy="4067175"/>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25</xdr:col>
      <xdr:colOff>266700</xdr:colOff>
      <xdr:row>865</xdr:row>
      <xdr:rowOff>27535</xdr:rowOff>
    </xdr:to>
    <xdr:pic>
      <xdr:nvPicPr>
        <xdr:cNvPr id="48" name="Picture 5">
          <a:extLst>
            <a:ext uri="{FF2B5EF4-FFF2-40B4-BE49-F238E27FC236}">
              <a16:creationId xmlns:a16="http://schemas.microsoft.com/office/drawing/2014/main" id="{00000000-0008-0000-0B00-000030000000}"/>
            </a:ext>
          </a:extLst>
        </xdr:cNvPr>
        <xdr:cNvPicPr>
          <a:picLocks noChangeAspect="1" noChangeArrowheads="1"/>
        </xdr:cNvPicPr>
      </xdr:nvPicPr>
      <xdr:blipFill>
        <a:blip xmlns:r="http://schemas.openxmlformats.org/officeDocument/2006/relationships" r:embed="rId54"/>
        <a:srcRect/>
        <a:stretch>
          <a:fillRect/>
        </a:stretch>
      </xdr:blipFill>
      <xdr:spPr bwMode="auto">
        <a:xfrm>
          <a:off x="13373100" y="322249800"/>
          <a:ext cx="4533900" cy="4743450"/>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26</xdr:col>
      <xdr:colOff>15240</xdr:colOff>
      <xdr:row>845</xdr:row>
      <xdr:rowOff>60958</xdr:rowOff>
    </xdr:to>
    <xdr:pic>
      <xdr:nvPicPr>
        <xdr:cNvPr id="49" name="Picture 6">
          <a:extLst>
            <a:ext uri="{FF2B5EF4-FFF2-40B4-BE49-F238E27FC236}">
              <a16:creationId xmlns:a16="http://schemas.microsoft.com/office/drawing/2014/main" id="{00000000-0008-0000-0B00-000031000000}"/>
            </a:ext>
          </a:extLst>
        </xdr:cNvPr>
        <xdr:cNvPicPr>
          <a:picLocks noChangeAspect="1" noChangeArrowheads="1"/>
        </xdr:cNvPicPr>
      </xdr:nvPicPr>
      <xdr:blipFill>
        <a:blip xmlns:r="http://schemas.openxmlformats.org/officeDocument/2006/relationships" r:embed="rId55"/>
        <a:srcRect/>
        <a:stretch>
          <a:fillRect/>
        </a:stretch>
      </xdr:blipFill>
      <xdr:spPr bwMode="auto">
        <a:xfrm>
          <a:off x="13373100" y="333213075"/>
          <a:ext cx="4886325" cy="714375"/>
        </a:xfrm>
        <a:prstGeom prst="rect">
          <a:avLst/>
        </a:prstGeom>
        <a:noFill/>
        <a:ln w="1">
          <a:noFill/>
          <a:miter lim="800000"/>
          <a:headEnd/>
          <a:tailEnd type="none" w="med" len="med"/>
        </a:ln>
        <a:effectLst/>
      </xdr:spPr>
    </xdr:pic>
    <xdr:clientData/>
  </xdr:twoCellAnchor>
  <xdr:twoCellAnchor editAs="oneCell">
    <xdr:from>
      <xdr:col>18</xdr:col>
      <xdr:colOff>0</xdr:colOff>
      <xdr:row>841</xdr:row>
      <xdr:rowOff>0</xdr:rowOff>
    </xdr:from>
    <xdr:to>
      <xdr:col>25</xdr:col>
      <xdr:colOff>285750</xdr:colOff>
      <xdr:row>847</xdr:row>
      <xdr:rowOff>187135</xdr:rowOff>
    </xdr:to>
    <xdr:pic>
      <xdr:nvPicPr>
        <xdr:cNvPr id="50" name="Picture 7">
          <a:extLst>
            <a:ext uri="{FF2B5EF4-FFF2-40B4-BE49-F238E27FC236}">
              <a16:creationId xmlns:a16="http://schemas.microsoft.com/office/drawing/2014/main" id="{00000000-0008-0000-0B00-000032000000}"/>
            </a:ext>
          </a:extLst>
        </xdr:cNvPr>
        <xdr:cNvPicPr>
          <a:picLocks noChangeAspect="1" noChangeArrowheads="1"/>
        </xdr:cNvPicPr>
      </xdr:nvPicPr>
      <xdr:blipFill>
        <a:blip xmlns:r="http://schemas.openxmlformats.org/officeDocument/2006/relationships" r:embed="rId56"/>
        <a:srcRect/>
        <a:stretch>
          <a:fillRect/>
        </a:stretch>
      </xdr:blipFill>
      <xdr:spPr bwMode="auto">
        <a:xfrm>
          <a:off x="13373100" y="334184625"/>
          <a:ext cx="4552950" cy="1152525"/>
        </a:xfrm>
        <a:prstGeom prst="rect">
          <a:avLst/>
        </a:prstGeom>
        <a:noFill/>
        <a:ln w="1">
          <a:noFill/>
          <a:miter lim="800000"/>
          <a:headEnd/>
          <a:tailEnd type="none" w="med" len="med"/>
        </a:ln>
        <a:effectLst/>
      </xdr:spPr>
    </xdr:pic>
    <xdr:clientData/>
  </xdr:twoCellAnchor>
  <xdr:twoCellAnchor editAs="oneCell">
    <xdr:from>
      <xdr:col>18</xdr:col>
      <xdr:colOff>0</xdr:colOff>
      <xdr:row>844</xdr:row>
      <xdr:rowOff>0</xdr:rowOff>
    </xdr:from>
    <xdr:to>
      <xdr:col>25</xdr:col>
      <xdr:colOff>304800</xdr:colOff>
      <xdr:row>850</xdr:row>
      <xdr:rowOff>325671</xdr:rowOff>
    </xdr:to>
    <xdr:pic>
      <xdr:nvPicPr>
        <xdr:cNvPr id="146440" name="Picture 8">
          <a:extLst>
            <a:ext uri="{FF2B5EF4-FFF2-40B4-BE49-F238E27FC236}">
              <a16:creationId xmlns:a16="http://schemas.microsoft.com/office/drawing/2014/main" id="{00000000-0008-0000-0B00-0000083C0200}"/>
            </a:ext>
          </a:extLst>
        </xdr:cNvPr>
        <xdr:cNvPicPr>
          <a:picLocks noChangeAspect="1" noChangeArrowheads="1"/>
        </xdr:cNvPicPr>
      </xdr:nvPicPr>
      <xdr:blipFill>
        <a:blip xmlns:r="http://schemas.openxmlformats.org/officeDocument/2006/relationships" r:embed="rId57"/>
        <a:srcRect/>
        <a:stretch>
          <a:fillRect/>
        </a:stretch>
      </xdr:blipFill>
      <xdr:spPr bwMode="auto">
        <a:xfrm>
          <a:off x="13373100" y="336156300"/>
          <a:ext cx="4572000" cy="1447800"/>
        </a:xfrm>
        <a:prstGeom prst="rect">
          <a:avLst/>
        </a:prstGeom>
        <a:noFill/>
        <a:ln w="1">
          <a:noFill/>
          <a:miter lim="800000"/>
          <a:headEnd/>
          <a:tailEnd type="none" w="med" len="med"/>
        </a:ln>
        <a:effectLst/>
      </xdr:spPr>
    </xdr:pic>
    <xdr:clientData/>
  </xdr:twoCellAnchor>
  <xdr:twoCellAnchor editAs="oneCell">
    <xdr:from>
      <xdr:col>18</xdr:col>
      <xdr:colOff>0</xdr:colOff>
      <xdr:row>856</xdr:row>
      <xdr:rowOff>0</xdr:rowOff>
    </xdr:from>
    <xdr:to>
      <xdr:col>25</xdr:col>
      <xdr:colOff>588645</xdr:colOff>
      <xdr:row>860</xdr:row>
      <xdr:rowOff>57152</xdr:rowOff>
    </xdr:to>
    <xdr:pic>
      <xdr:nvPicPr>
        <xdr:cNvPr id="146441" name="Picture 9">
          <a:extLst>
            <a:ext uri="{FF2B5EF4-FFF2-40B4-BE49-F238E27FC236}">
              <a16:creationId xmlns:a16="http://schemas.microsoft.com/office/drawing/2014/main" id="{00000000-0008-0000-0B00-0000093C0200}"/>
            </a:ext>
          </a:extLst>
        </xdr:cNvPr>
        <xdr:cNvPicPr>
          <a:picLocks noChangeAspect="1" noChangeArrowheads="1"/>
        </xdr:cNvPicPr>
      </xdr:nvPicPr>
      <xdr:blipFill>
        <a:blip xmlns:r="http://schemas.openxmlformats.org/officeDocument/2006/relationships" r:embed="rId58"/>
        <a:srcRect/>
        <a:stretch>
          <a:fillRect/>
        </a:stretch>
      </xdr:blipFill>
      <xdr:spPr bwMode="auto">
        <a:xfrm>
          <a:off x="13373100" y="338613750"/>
          <a:ext cx="4867275" cy="704850"/>
        </a:xfrm>
        <a:prstGeom prst="rect">
          <a:avLst/>
        </a:prstGeom>
        <a:noFill/>
        <a:ln w="1">
          <a:noFill/>
          <a:miter lim="800000"/>
          <a:headEnd/>
          <a:tailEnd type="none" w="med" len="med"/>
        </a:ln>
        <a:effectLst/>
      </xdr:spPr>
    </xdr:pic>
    <xdr:clientData/>
  </xdr:twoCellAnchor>
  <xdr:twoCellAnchor editAs="oneCell">
    <xdr:from>
      <xdr:col>18</xdr:col>
      <xdr:colOff>0</xdr:colOff>
      <xdr:row>856</xdr:row>
      <xdr:rowOff>0</xdr:rowOff>
    </xdr:from>
    <xdr:to>
      <xdr:col>25</xdr:col>
      <xdr:colOff>419100</xdr:colOff>
      <xdr:row>874</xdr:row>
      <xdr:rowOff>65791</xdr:rowOff>
    </xdr:to>
    <xdr:pic>
      <xdr:nvPicPr>
        <xdr:cNvPr id="146442" name="Picture 10">
          <a:extLst>
            <a:ext uri="{FF2B5EF4-FFF2-40B4-BE49-F238E27FC236}">
              <a16:creationId xmlns:a16="http://schemas.microsoft.com/office/drawing/2014/main" id="{00000000-0008-0000-0B00-00000A3C0200}"/>
            </a:ext>
          </a:extLst>
        </xdr:cNvPr>
        <xdr:cNvPicPr>
          <a:picLocks noChangeAspect="1" noChangeArrowheads="1"/>
        </xdr:cNvPicPr>
      </xdr:nvPicPr>
      <xdr:blipFill>
        <a:blip xmlns:r="http://schemas.openxmlformats.org/officeDocument/2006/relationships" r:embed="rId59"/>
        <a:srcRect/>
        <a:stretch>
          <a:fillRect/>
        </a:stretch>
      </xdr:blipFill>
      <xdr:spPr bwMode="auto">
        <a:xfrm>
          <a:off x="13373100" y="339423375"/>
          <a:ext cx="4686300" cy="3295650"/>
        </a:xfrm>
        <a:prstGeom prst="rect">
          <a:avLst/>
        </a:prstGeom>
        <a:noFill/>
        <a:ln w="1">
          <a:noFill/>
          <a:miter lim="800000"/>
          <a:headEnd/>
          <a:tailEnd type="none" w="med" len="med"/>
        </a:ln>
        <a:effectLst/>
      </xdr:spPr>
    </xdr:pic>
    <xdr:clientData/>
  </xdr:twoCellAnchor>
  <xdr:twoCellAnchor editAs="oneCell">
    <xdr:from>
      <xdr:col>18</xdr:col>
      <xdr:colOff>0</xdr:colOff>
      <xdr:row>871</xdr:row>
      <xdr:rowOff>0</xdr:rowOff>
    </xdr:from>
    <xdr:to>
      <xdr:col>26</xdr:col>
      <xdr:colOff>381000</xdr:colOff>
      <xdr:row>889</xdr:row>
      <xdr:rowOff>1146360</xdr:rowOff>
    </xdr:to>
    <xdr:pic>
      <xdr:nvPicPr>
        <xdr:cNvPr id="147457" name="Picture 1">
          <a:extLst>
            <a:ext uri="{FF2B5EF4-FFF2-40B4-BE49-F238E27FC236}">
              <a16:creationId xmlns:a16="http://schemas.microsoft.com/office/drawing/2014/main" id="{00000000-0008-0000-0B00-000001400200}"/>
            </a:ext>
          </a:extLst>
        </xdr:cNvPr>
        <xdr:cNvPicPr>
          <a:picLocks noChangeAspect="1" noChangeArrowheads="1"/>
        </xdr:cNvPicPr>
      </xdr:nvPicPr>
      <xdr:blipFill>
        <a:blip xmlns:r="http://schemas.openxmlformats.org/officeDocument/2006/relationships" r:embed="rId60"/>
        <a:srcRect/>
        <a:stretch>
          <a:fillRect/>
        </a:stretch>
      </xdr:blipFill>
      <xdr:spPr bwMode="auto">
        <a:xfrm>
          <a:off x="13373100" y="343500075"/>
          <a:ext cx="5257800" cy="5400675"/>
        </a:xfrm>
        <a:prstGeom prst="rect">
          <a:avLst/>
        </a:prstGeom>
        <a:noFill/>
        <a:ln w="1">
          <a:noFill/>
          <a:miter lim="800000"/>
          <a:headEnd/>
          <a:tailEnd type="none" w="med" len="med"/>
        </a:ln>
        <a:effectLst/>
      </xdr:spPr>
    </xdr:pic>
    <xdr:clientData/>
  </xdr:twoCellAnchor>
  <xdr:twoCellAnchor editAs="oneCell">
    <xdr:from>
      <xdr:col>18</xdr:col>
      <xdr:colOff>0</xdr:colOff>
      <xdr:row>871</xdr:row>
      <xdr:rowOff>0</xdr:rowOff>
    </xdr:from>
    <xdr:to>
      <xdr:col>26</xdr:col>
      <xdr:colOff>19050</xdr:colOff>
      <xdr:row>889</xdr:row>
      <xdr:rowOff>1009201</xdr:rowOff>
    </xdr:to>
    <xdr:pic>
      <xdr:nvPicPr>
        <xdr:cNvPr id="147458" name="Picture 2">
          <a:extLst>
            <a:ext uri="{FF2B5EF4-FFF2-40B4-BE49-F238E27FC236}">
              <a16:creationId xmlns:a16="http://schemas.microsoft.com/office/drawing/2014/main" id="{00000000-0008-0000-0B00-000002400200}"/>
            </a:ext>
          </a:extLst>
        </xdr:cNvPr>
        <xdr:cNvPicPr>
          <a:picLocks noChangeAspect="1" noChangeArrowheads="1"/>
        </xdr:cNvPicPr>
      </xdr:nvPicPr>
      <xdr:blipFill>
        <a:blip xmlns:r="http://schemas.openxmlformats.org/officeDocument/2006/relationships" r:embed="rId61"/>
        <a:srcRect/>
        <a:stretch>
          <a:fillRect/>
        </a:stretch>
      </xdr:blipFill>
      <xdr:spPr bwMode="auto">
        <a:xfrm>
          <a:off x="13373100" y="349167450"/>
          <a:ext cx="4895850" cy="5267325"/>
        </a:xfrm>
        <a:prstGeom prst="rect">
          <a:avLst/>
        </a:prstGeom>
        <a:noFill/>
        <a:ln w="1">
          <a:noFill/>
          <a:miter lim="800000"/>
          <a:headEnd/>
          <a:tailEnd type="none" w="med" len="med"/>
        </a:ln>
        <a:effectLst/>
      </xdr:spPr>
    </xdr:pic>
    <xdr:clientData/>
  </xdr:twoCellAnchor>
  <xdr:twoCellAnchor editAs="oneCell">
    <xdr:from>
      <xdr:col>17</xdr:col>
      <xdr:colOff>590550</xdr:colOff>
      <xdr:row>871</xdr:row>
      <xdr:rowOff>0</xdr:rowOff>
    </xdr:from>
    <xdr:to>
      <xdr:col>25</xdr:col>
      <xdr:colOff>571500</xdr:colOff>
      <xdr:row>889</xdr:row>
      <xdr:rowOff>1087306</xdr:rowOff>
    </xdr:to>
    <xdr:pic>
      <xdr:nvPicPr>
        <xdr:cNvPr id="147459" name="Picture 3">
          <a:extLst>
            <a:ext uri="{FF2B5EF4-FFF2-40B4-BE49-F238E27FC236}">
              <a16:creationId xmlns:a16="http://schemas.microsoft.com/office/drawing/2014/main" id="{00000000-0008-0000-0B00-000003400200}"/>
            </a:ext>
          </a:extLst>
        </xdr:cNvPr>
        <xdr:cNvPicPr>
          <a:picLocks noChangeAspect="1" noChangeArrowheads="1"/>
        </xdr:cNvPicPr>
      </xdr:nvPicPr>
      <xdr:blipFill>
        <a:blip xmlns:r="http://schemas.openxmlformats.org/officeDocument/2006/relationships" r:embed="rId62"/>
        <a:srcRect/>
        <a:stretch>
          <a:fillRect/>
        </a:stretch>
      </xdr:blipFill>
      <xdr:spPr bwMode="auto">
        <a:xfrm>
          <a:off x="13354050" y="354615750"/>
          <a:ext cx="4857750" cy="5343525"/>
        </a:xfrm>
        <a:prstGeom prst="rect">
          <a:avLst/>
        </a:prstGeom>
        <a:noFill/>
        <a:ln w="1">
          <a:noFill/>
          <a:miter lim="800000"/>
          <a:headEnd/>
          <a:tailEnd type="none" w="med" len="med"/>
        </a:ln>
        <a:effectLst/>
      </xdr:spPr>
    </xdr:pic>
    <xdr:clientData/>
  </xdr:twoCellAnchor>
  <xdr:twoCellAnchor editAs="oneCell">
    <xdr:from>
      <xdr:col>19</xdr:col>
      <xdr:colOff>0</xdr:colOff>
      <xdr:row>871</xdr:row>
      <xdr:rowOff>0</xdr:rowOff>
    </xdr:from>
    <xdr:to>
      <xdr:col>26</xdr:col>
      <xdr:colOff>591957</xdr:colOff>
      <xdr:row>889</xdr:row>
      <xdr:rowOff>1165328</xdr:rowOff>
    </xdr:to>
    <xdr:pic>
      <xdr:nvPicPr>
        <xdr:cNvPr id="65" name="Picture 1">
          <a:extLst>
            <a:ext uri="{FF2B5EF4-FFF2-40B4-BE49-F238E27FC236}">
              <a16:creationId xmlns:a16="http://schemas.microsoft.com/office/drawing/2014/main" id="{00000000-0008-0000-0B00-000041000000}"/>
            </a:ext>
          </a:extLst>
        </xdr:cNvPr>
        <xdr:cNvPicPr>
          <a:picLocks noChangeAspect="1" noChangeArrowheads="1"/>
        </xdr:cNvPicPr>
      </xdr:nvPicPr>
      <xdr:blipFill>
        <a:blip xmlns:r="http://schemas.openxmlformats.org/officeDocument/2006/relationships" r:embed="rId63"/>
        <a:srcRect/>
        <a:stretch>
          <a:fillRect/>
        </a:stretch>
      </xdr:blipFill>
      <xdr:spPr bwMode="auto">
        <a:xfrm>
          <a:off x="14097000" y="375618375"/>
          <a:ext cx="4851537" cy="5225911"/>
        </a:xfrm>
        <a:prstGeom prst="rect">
          <a:avLst/>
        </a:prstGeom>
        <a:noFill/>
        <a:ln w="1">
          <a:noFill/>
          <a:miter lim="800000"/>
          <a:headEnd/>
          <a:tailEnd type="none" w="med" len="med"/>
        </a:ln>
        <a:effectLst/>
      </xdr:spPr>
    </xdr:pic>
    <xdr:clientData/>
  </xdr:twoCellAnchor>
  <xdr:oneCellAnchor>
    <xdr:from>
      <xdr:col>18</xdr:col>
      <xdr:colOff>0</xdr:colOff>
      <xdr:row>871</xdr:row>
      <xdr:rowOff>0</xdr:rowOff>
    </xdr:from>
    <xdr:ext cx="4908096" cy="719817"/>
    <xdr:pic>
      <xdr:nvPicPr>
        <xdr:cNvPr id="66" name="Picture 6">
          <a:extLst>
            <a:ext uri="{FF2B5EF4-FFF2-40B4-BE49-F238E27FC236}">
              <a16:creationId xmlns:a16="http://schemas.microsoft.com/office/drawing/2014/main" id="{00000000-0008-0000-0B00-000042000000}"/>
            </a:ext>
          </a:extLst>
        </xdr:cNvPr>
        <xdr:cNvPicPr>
          <a:picLocks noChangeAspect="1" noChangeArrowheads="1"/>
        </xdr:cNvPicPr>
      </xdr:nvPicPr>
      <xdr:blipFill>
        <a:blip xmlns:r="http://schemas.openxmlformats.org/officeDocument/2006/relationships" r:embed="rId55"/>
        <a:srcRect/>
        <a:stretch>
          <a:fillRect/>
        </a:stretch>
      </xdr:blipFill>
      <xdr:spPr bwMode="auto">
        <a:xfrm>
          <a:off x="13620750" y="325496464"/>
          <a:ext cx="4908096" cy="719817"/>
        </a:xfrm>
        <a:prstGeom prst="rect">
          <a:avLst/>
        </a:prstGeom>
        <a:noFill/>
        <a:ln w="1">
          <a:noFill/>
          <a:miter lim="800000"/>
          <a:headEnd/>
          <a:tailEnd type="none" w="med" len="med"/>
        </a:ln>
        <a:effectLst/>
      </xdr:spPr>
    </xdr:pic>
    <xdr:clientData/>
  </xdr:oneCellAnchor>
  <xdr:oneCellAnchor>
    <xdr:from>
      <xdr:col>18</xdr:col>
      <xdr:colOff>0</xdr:colOff>
      <xdr:row>871</xdr:row>
      <xdr:rowOff>0</xdr:rowOff>
    </xdr:from>
    <xdr:ext cx="4572000" cy="1162049"/>
    <xdr:pic>
      <xdr:nvPicPr>
        <xdr:cNvPr id="67" name="Picture 7">
          <a:extLst>
            <a:ext uri="{FF2B5EF4-FFF2-40B4-BE49-F238E27FC236}">
              <a16:creationId xmlns:a16="http://schemas.microsoft.com/office/drawing/2014/main" id="{00000000-0008-0000-0B00-000043000000}"/>
            </a:ext>
          </a:extLst>
        </xdr:cNvPr>
        <xdr:cNvPicPr>
          <a:picLocks noChangeAspect="1" noChangeArrowheads="1"/>
        </xdr:cNvPicPr>
      </xdr:nvPicPr>
      <xdr:blipFill>
        <a:blip xmlns:r="http://schemas.openxmlformats.org/officeDocument/2006/relationships" r:embed="rId56"/>
        <a:srcRect/>
        <a:stretch>
          <a:fillRect/>
        </a:stretch>
      </xdr:blipFill>
      <xdr:spPr bwMode="auto">
        <a:xfrm>
          <a:off x="13620750" y="326476179"/>
          <a:ext cx="4572000" cy="1162049"/>
        </a:xfrm>
        <a:prstGeom prst="rect">
          <a:avLst/>
        </a:prstGeom>
        <a:noFill/>
        <a:ln w="1">
          <a:noFill/>
          <a:miter lim="800000"/>
          <a:headEnd/>
          <a:tailEnd type="none" w="med" len="med"/>
        </a:ln>
        <a:effectLst/>
      </xdr:spPr>
    </xdr:pic>
    <xdr:clientData/>
  </xdr:oneCellAnchor>
  <xdr:oneCellAnchor>
    <xdr:from>
      <xdr:col>18</xdr:col>
      <xdr:colOff>0</xdr:colOff>
      <xdr:row>871</xdr:row>
      <xdr:rowOff>0</xdr:rowOff>
    </xdr:from>
    <xdr:ext cx="4908096" cy="719817"/>
    <xdr:pic>
      <xdr:nvPicPr>
        <xdr:cNvPr id="68" name="Picture 6">
          <a:extLst>
            <a:ext uri="{FF2B5EF4-FFF2-40B4-BE49-F238E27FC236}">
              <a16:creationId xmlns:a16="http://schemas.microsoft.com/office/drawing/2014/main" id="{00000000-0008-0000-0B00-000044000000}"/>
            </a:ext>
          </a:extLst>
        </xdr:cNvPr>
        <xdr:cNvPicPr>
          <a:picLocks noChangeAspect="1" noChangeArrowheads="1"/>
        </xdr:cNvPicPr>
      </xdr:nvPicPr>
      <xdr:blipFill>
        <a:blip xmlns:r="http://schemas.openxmlformats.org/officeDocument/2006/relationships" r:embed="rId55"/>
        <a:srcRect/>
        <a:stretch>
          <a:fillRect/>
        </a:stretch>
      </xdr:blipFill>
      <xdr:spPr bwMode="auto">
        <a:xfrm>
          <a:off x="13601700" y="348786450"/>
          <a:ext cx="4908096" cy="719817"/>
        </a:xfrm>
        <a:prstGeom prst="rect">
          <a:avLst/>
        </a:prstGeom>
        <a:noFill/>
        <a:ln w="1">
          <a:noFill/>
          <a:miter lim="800000"/>
          <a:headEnd/>
          <a:tailEnd type="none" w="med" len="med"/>
        </a:ln>
        <a:effectLst/>
      </xdr:spPr>
    </xdr:pic>
    <xdr:clientData/>
  </xdr:oneCellAnchor>
  <xdr:oneCellAnchor>
    <xdr:from>
      <xdr:col>18</xdr:col>
      <xdr:colOff>0</xdr:colOff>
      <xdr:row>871</xdr:row>
      <xdr:rowOff>0</xdr:rowOff>
    </xdr:from>
    <xdr:ext cx="4572000" cy="1162049"/>
    <xdr:pic>
      <xdr:nvPicPr>
        <xdr:cNvPr id="69" name="Picture 7">
          <a:extLst>
            <a:ext uri="{FF2B5EF4-FFF2-40B4-BE49-F238E27FC236}">
              <a16:creationId xmlns:a16="http://schemas.microsoft.com/office/drawing/2014/main" id="{00000000-0008-0000-0B00-000045000000}"/>
            </a:ext>
          </a:extLst>
        </xdr:cNvPr>
        <xdr:cNvPicPr>
          <a:picLocks noChangeAspect="1" noChangeArrowheads="1"/>
        </xdr:cNvPicPr>
      </xdr:nvPicPr>
      <xdr:blipFill>
        <a:blip xmlns:r="http://schemas.openxmlformats.org/officeDocument/2006/relationships" r:embed="rId56"/>
        <a:srcRect/>
        <a:stretch>
          <a:fillRect/>
        </a:stretch>
      </xdr:blipFill>
      <xdr:spPr bwMode="auto">
        <a:xfrm>
          <a:off x="13601700" y="349596075"/>
          <a:ext cx="4572000" cy="1162049"/>
        </a:xfrm>
        <a:prstGeom prst="rect">
          <a:avLst/>
        </a:prstGeom>
        <a:noFill/>
        <a:ln w="1">
          <a:noFill/>
          <a:miter lim="800000"/>
          <a:headEnd/>
          <a:tailEnd type="none" w="med" len="med"/>
        </a:ln>
        <a:effec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mpulse\Dropbox\Impulse_Dropbox\fy-76-77\Bridge%20Project\Clay_Udaya%20Sir\Gorkha\LSM\Dhundhure%20bridge%20_abutment_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h Calculation"/>
      <sheetName val="Data"/>
      <sheetName val="Abutment steam "/>
      <sheetName val="Open Foundation"/>
      <sheetName val="Pile Foundation"/>
      <sheetName val="Pile Cap foundation"/>
      <sheetName val="Drawings"/>
      <sheetName val="Rebar summary"/>
      <sheetName val="Bar bending schedule"/>
    </sheetNames>
    <sheetDataSet>
      <sheetData sheetId="0"/>
      <sheetData sheetId="1"/>
      <sheetData sheetId="2"/>
      <sheetData sheetId="3">
        <row r="27">
          <cell r="L27">
            <v>4.3</v>
          </cell>
        </row>
        <row r="28">
          <cell r="L28">
            <v>4.2</v>
          </cell>
        </row>
        <row r="29">
          <cell r="L29">
            <v>11</v>
          </cell>
        </row>
        <row r="30">
          <cell r="L30">
            <v>9.5</v>
          </cell>
        </row>
      </sheetData>
      <sheetData sheetId="4">
        <row r="27">
          <cell r="H27">
            <v>4</v>
          </cell>
          <cell r="I27">
            <v>4</v>
          </cell>
          <cell r="J27">
            <v>10.5</v>
          </cell>
          <cell r="K27">
            <v>13.5</v>
          </cell>
        </row>
      </sheetData>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55"/>
  <sheetViews>
    <sheetView topLeftCell="A11" zoomScaleNormal="100" workbookViewId="0">
      <selection activeCell="C22" sqref="C22"/>
    </sheetView>
  </sheetViews>
  <sheetFormatPr defaultRowHeight="13.5" customHeight="1" x14ac:dyDescent="0.2"/>
  <cols>
    <col min="1" max="1" width="28.85546875" customWidth="1"/>
    <col min="2" max="2" width="18" customWidth="1"/>
    <col min="3" max="3" width="48.42578125" bestFit="1" customWidth="1"/>
  </cols>
  <sheetData>
    <row r="1" spans="1:3" s="322" customFormat="1" ht="13.5" customHeight="1" x14ac:dyDescent="0.2">
      <c r="A1" s="1174"/>
      <c r="B1" s="1174"/>
      <c r="C1" s="1174"/>
    </row>
    <row r="2" spans="1:3" s="322" customFormat="1" ht="13.5" customHeight="1" x14ac:dyDescent="0.2">
      <c r="A2" s="1174"/>
      <c r="B2" s="1174"/>
      <c r="C2" s="1174"/>
    </row>
    <row r="3" spans="1:3" s="322" customFormat="1" ht="13.5" customHeight="1" x14ac:dyDescent="0.2">
      <c r="A3" s="1174"/>
      <c r="B3" s="1174"/>
      <c r="C3" s="1174"/>
    </row>
    <row r="4" spans="1:3" s="322" customFormat="1" ht="13.5" customHeight="1" x14ac:dyDescent="0.2">
      <c r="A4" s="1174"/>
      <c r="B4" s="1174"/>
      <c r="C4" s="1174"/>
    </row>
    <row r="5" spans="1:3" s="322" customFormat="1" ht="13.5" customHeight="1" x14ac:dyDescent="0.2">
      <c r="A5" s="1174"/>
      <c r="B5" s="1174"/>
      <c r="C5" s="1174"/>
    </row>
    <row r="6" spans="1:3" s="322" customFormat="1" ht="13.5" customHeight="1" x14ac:dyDescent="0.2">
      <c r="A6" s="1174"/>
      <c r="B6" s="1174"/>
      <c r="C6" s="1174"/>
    </row>
    <row r="7" spans="1:3" s="322" customFormat="1" ht="13.5" customHeight="1" x14ac:dyDescent="0.2">
      <c r="A7" s="1174"/>
      <c r="B7" s="1174"/>
      <c r="C7" s="1174"/>
    </row>
    <row r="8" spans="1:3" s="322" customFormat="1" ht="13.5" customHeight="1" x14ac:dyDescent="0.2">
      <c r="A8" s="1174"/>
      <c r="B8" s="1174"/>
      <c r="C8" s="1174"/>
    </row>
    <row r="9" spans="1:3" s="322" customFormat="1" ht="13.5" customHeight="1" x14ac:dyDescent="0.2">
      <c r="A9" s="1174"/>
      <c r="B9" s="1174"/>
      <c r="C9" s="1174"/>
    </row>
    <row r="10" spans="1:3" s="322" customFormat="1" ht="13.5" customHeight="1" x14ac:dyDescent="0.2">
      <c r="A10" s="1174"/>
      <c r="B10" s="1174"/>
      <c r="C10" s="1174"/>
    </row>
    <row r="11" spans="1:3" s="322" customFormat="1" ht="13.5" customHeight="1" x14ac:dyDescent="0.2">
      <c r="A11" s="1174"/>
      <c r="B11" s="1174"/>
      <c r="C11" s="1174"/>
    </row>
    <row r="12" spans="1:3" s="322" customFormat="1" ht="13.5" customHeight="1" x14ac:dyDescent="0.2">
      <c r="A12" s="1174"/>
      <c r="B12" s="1174"/>
      <c r="C12" s="1174"/>
    </row>
    <row r="13" spans="1:3" s="322" customFormat="1" ht="13.5" customHeight="1" x14ac:dyDescent="0.2">
      <c r="A13" s="1174"/>
      <c r="B13" s="1174"/>
      <c r="C13" s="1174"/>
    </row>
    <row r="14" spans="1:3" s="322" customFormat="1" ht="13.5" customHeight="1" x14ac:dyDescent="0.2">
      <c r="A14" s="1174"/>
      <c r="B14" s="1174"/>
      <c r="C14" s="1174"/>
    </row>
    <row r="15" spans="1:3" s="322" customFormat="1" ht="13.5" customHeight="1" thickBot="1" x14ac:dyDescent="0.25">
      <c r="A15" s="1175"/>
      <c r="B15" s="1175"/>
      <c r="C15" s="1175"/>
    </row>
    <row r="16" spans="1:3" s="322" customFormat="1" ht="13.5" customHeight="1" x14ac:dyDescent="0.2"/>
    <row r="17" spans="1:29" s="322" customFormat="1" ht="13.5" customHeight="1" thickBot="1" x14ac:dyDescent="0.25"/>
    <row r="18" spans="1:29" s="86" customFormat="1" ht="13.5" customHeight="1" x14ac:dyDescent="0.2">
      <c r="A18" s="86" t="s">
        <v>1481</v>
      </c>
      <c r="B18" s="126"/>
      <c r="C18" s="1010" t="s">
        <v>1776</v>
      </c>
      <c r="D18" s="126" t="s">
        <v>1474</v>
      </c>
      <c r="E18" s="126"/>
      <c r="F18" s="1180" t="s">
        <v>1475</v>
      </c>
      <c r="G18" s="1181"/>
      <c r="H18" s="1181"/>
      <c r="I18" s="1181"/>
      <c r="J18" s="1181"/>
      <c r="K18" s="1182"/>
    </row>
    <row r="19" spans="1:29" s="86" customFormat="1" ht="13.5" customHeight="1" x14ac:dyDescent="0.2">
      <c r="A19" s="86" t="s">
        <v>443</v>
      </c>
      <c r="B19" s="126"/>
      <c r="C19" s="1147" t="s">
        <v>1774</v>
      </c>
      <c r="D19" s="126"/>
      <c r="E19" s="126"/>
      <c r="F19" s="1183" t="s">
        <v>1476</v>
      </c>
      <c r="G19" s="1184"/>
      <c r="H19" s="1184"/>
      <c r="I19" s="1184"/>
      <c r="J19" s="1184"/>
      <c r="K19" s="1185"/>
    </row>
    <row r="20" spans="1:29" s="86" customFormat="1" ht="13.5" customHeight="1" x14ac:dyDescent="0.25">
      <c r="A20" s="86" t="s">
        <v>442</v>
      </c>
      <c r="B20" s="127"/>
      <c r="C20" s="997" t="s">
        <v>1775</v>
      </c>
      <c r="D20" s="127"/>
      <c r="E20" s="127"/>
      <c r="F20" s="1186" t="s">
        <v>1477</v>
      </c>
      <c r="G20" s="1187"/>
      <c r="H20" s="1187"/>
      <c r="I20" s="1187"/>
      <c r="J20" s="1187"/>
      <c r="K20" s="1188"/>
    </row>
    <row r="21" spans="1:29" s="86" customFormat="1" ht="18" x14ac:dyDescent="0.25">
      <c r="B21" s="128"/>
      <c r="C21" s="997" t="s">
        <v>1779</v>
      </c>
      <c r="D21" s="128"/>
      <c r="E21" s="128"/>
      <c r="F21" s="1189" t="s">
        <v>1478</v>
      </c>
      <c r="G21" s="1190"/>
      <c r="H21" s="1190"/>
      <c r="I21" s="1190"/>
      <c r="J21" s="1190"/>
      <c r="K21" s="1191"/>
    </row>
    <row r="22" spans="1:29" s="86" customFormat="1" ht="13.5" customHeight="1" x14ac:dyDescent="0.2">
      <c r="A22" s="86" t="s">
        <v>444</v>
      </c>
      <c r="B22" s="129"/>
      <c r="C22" s="1173" t="s">
        <v>1778</v>
      </c>
      <c r="D22" s="129"/>
      <c r="E22" s="129"/>
      <c r="F22" s="1192" t="s">
        <v>1479</v>
      </c>
      <c r="G22" s="1193"/>
      <c r="H22" s="1193"/>
      <c r="I22" s="1193"/>
      <c r="J22" s="1193"/>
      <c r="K22" s="1194"/>
    </row>
    <row r="23" spans="1:29" ht="13.5" customHeight="1" x14ac:dyDescent="0.2">
      <c r="A23" s="86" t="s">
        <v>447</v>
      </c>
      <c r="C23" s="1157" t="s">
        <v>1773</v>
      </c>
      <c r="F23" s="1195" t="s">
        <v>447</v>
      </c>
      <c r="G23" s="1196"/>
      <c r="H23" s="1196"/>
      <c r="I23" s="1196"/>
      <c r="J23" s="1196"/>
      <c r="K23" s="1197"/>
    </row>
    <row r="24" spans="1:29" ht="13.5" customHeight="1" thickBot="1" x14ac:dyDescent="0.25">
      <c r="A24" s="86" t="s">
        <v>1020</v>
      </c>
      <c r="C24" s="997" t="s">
        <v>1777</v>
      </c>
      <c r="F24" s="1176" t="s">
        <v>1480</v>
      </c>
      <c r="G24" s="1177"/>
      <c r="H24" s="1177"/>
      <c r="I24" s="1177"/>
      <c r="J24" s="1177"/>
      <c r="K24" s="1178"/>
    </row>
    <row r="25" spans="1:29" ht="13.5" customHeight="1" x14ac:dyDescent="0.2">
      <c r="A25" s="86" t="s">
        <v>469</v>
      </c>
      <c r="C25" s="85" t="s">
        <v>1654</v>
      </c>
    </row>
    <row r="26" spans="1:29" ht="13.5" customHeight="1" x14ac:dyDescent="0.2">
      <c r="A26" t="s">
        <v>440</v>
      </c>
      <c r="C26">
        <v>20</v>
      </c>
      <c r="E26" s="1179" t="s">
        <v>1703</v>
      </c>
      <c r="F26" s="1179"/>
      <c r="G26" s="1179"/>
      <c r="H26" s="1179"/>
      <c r="I26" s="1179"/>
      <c r="J26" s="1179"/>
      <c r="K26" s="1179"/>
      <c r="L26" s="1179"/>
    </row>
    <row r="27" spans="1:29" ht="13.5" customHeight="1" x14ac:dyDescent="0.2">
      <c r="A27" t="s">
        <v>441</v>
      </c>
      <c r="C27">
        <v>1</v>
      </c>
      <c r="E27" s="1179"/>
      <c r="F27" s="1179"/>
      <c r="G27" s="1179"/>
      <c r="H27" s="1179"/>
      <c r="I27" s="1179"/>
      <c r="J27" s="1179"/>
      <c r="K27" s="1179"/>
      <c r="L27" s="1179"/>
    </row>
    <row r="28" spans="1:29" ht="13.5" customHeight="1" x14ac:dyDescent="0.2">
      <c r="A28" s="85" t="s">
        <v>449</v>
      </c>
      <c r="C28">
        <f>IF(Le&gt;40,2,IF(client_1="dor",2,IF(Super_type="psc",3,3)))</f>
        <v>3</v>
      </c>
      <c r="E28" s="1179"/>
      <c r="F28" s="1179"/>
      <c r="G28" s="1179"/>
      <c r="H28" s="1179"/>
      <c r="I28" s="1179"/>
      <c r="J28" s="1179"/>
      <c r="K28" s="1179"/>
      <c r="L28" s="1179"/>
    </row>
    <row r="29" spans="1:29" ht="13.5" customHeight="1" x14ac:dyDescent="0.2">
      <c r="E29" s="1179"/>
      <c r="F29" s="1179"/>
      <c r="G29" s="1179"/>
      <c r="H29" s="1179"/>
      <c r="I29" s="1179"/>
      <c r="J29" s="1179"/>
      <c r="K29" s="1179"/>
      <c r="L29" s="1179"/>
    </row>
    <row r="30" spans="1:29" ht="13.5" customHeight="1" x14ac:dyDescent="0.2">
      <c r="E30" s="1179"/>
      <c r="F30" s="1179"/>
      <c r="G30" s="1179"/>
      <c r="H30" s="1179"/>
      <c r="I30" s="1179"/>
      <c r="J30" s="1179"/>
      <c r="K30" s="1179"/>
      <c r="L30" s="1179"/>
    </row>
    <row r="31" spans="1:29" s="323" customFormat="1" ht="13.5" customHeight="1" x14ac:dyDescent="0.2">
      <c r="A31" s="326" t="s">
        <v>470</v>
      </c>
      <c r="B31" s="324" t="s">
        <v>471</v>
      </c>
      <c r="C31" s="130">
        <f>IF(client_1="DOR",7.5,6)</f>
        <v>6</v>
      </c>
      <c r="D31" s="323" t="s">
        <v>42</v>
      </c>
      <c r="E31" s="1179"/>
      <c r="F31" s="1179"/>
      <c r="G31" s="1179"/>
      <c r="H31" s="1179"/>
      <c r="I31" s="1179"/>
      <c r="J31" s="1179"/>
      <c r="K31" s="1179"/>
      <c r="L31" s="1179"/>
      <c r="M31" s="325"/>
      <c r="N31" s="325"/>
      <c r="O31" s="325"/>
      <c r="P31" s="325"/>
      <c r="Q31" s="325"/>
      <c r="R31" s="325"/>
      <c r="S31" s="325"/>
      <c r="T31" s="325"/>
      <c r="U31" s="325"/>
      <c r="V31" s="325"/>
      <c r="W31" s="325"/>
      <c r="X31" s="325"/>
      <c r="Y31" s="325"/>
      <c r="Z31" s="325"/>
      <c r="AA31" s="325"/>
      <c r="AB31" s="325"/>
      <c r="AC31" s="325"/>
    </row>
    <row r="32" spans="1:29" s="323" customFormat="1" ht="13.5" customHeight="1" x14ac:dyDescent="0.2">
      <c r="A32" s="326" t="s">
        <v>472</v>
      </c>
      <c r="B32" s="324" t="s">
        <v>471</v>
      </c>
      <c r="C32" s="130">
        <f>IF(client_1="DOR",1.5,1.2)</f>
        <v>1.2</v>
      </c>
      <c r="D32" s="323" t="s">
        <v>42</v>
      </c>
      <c r="E32" s="1179"/>
      <c r="F32" s="1179"/>
      <c r="G32" s="1179"/>
      <c r="H32" s="1179"/>
      <c r="I32" s="1179"/>
      <c r="J32" s="1179"/>
      <c r="K32" s="1179"/>
      <c r="L32" s="1179"/>
      <c r="M32" s="325"/>
      <c r="N32" s="325"/>
      <c r="O32" s="325"/>
      <c r="P32" s="325"/>
      <c r="Q32" s="325"/>
      <c r="R32" s="325"/>
      <c r="S32" s="325"/>
      <c r="T32" s="325"/>
      <c r="U32" s="325"/>
      <c r="V32" s="325"/>
      <c r="W32" s="325"/>
      <c r="X32" s="325"/>
      <c r="Y32" s="325"/>
      <c r="Z32" s="325"/>
      <c r="AA32" s="325"/>
      <c r="AB32" s="325"/>
      <c r="AC32" s="325"/>
    </row>
    <row r="33" spans="1:29" s="323" customFormat="1" ht="13.5" customHeight="1" x14ac:dyDescent="0.2">
      <c r="A33" s="326" t="s">
        <v>473</v>
      </c>
      <c r="B33" s="324" t="s">
        <v>471</v>
      </c>
      <c r="C33" s="130">
        <f>IF(C25="DOR",C31+2*C32+0.2*2+0.05*2,C31+2*C32)</f>
        <v>8.4</v>
      </c>
      <c r="D33" s="323" t="s">
        <v>42</v>
      </c>
      <c r="E33" s="1179"/>
      <c r="F33" s="1179"/>
      <c r="G33" s="1179"/>
      <c r="H33" s="1179"/>
      <c r="I33" s="1179"/>
      <c r="J33" s="1179"/>
      <c r="K33" s="1179"/>
      <c r="L33" s="1179"/>
      <c r="M33" s="325"/>
      <c r="N33" s="325"/>
      <c r="O33" s="325"/>
      <c r="P33" s="325"/>
      <c r="Q33" s="325"/>
      <c r="R33" s="325"/>
      <c r="S33" s="325"/>
      <c r="T33" s="325"/>
      <c r="U33" s="325"/>
      <c r="V33" s="325"/>
      <c r="W33" s="325"/>
      <c r="X33" s="325"/>
      <c r="Y33" s="325"/>
      <c r="Z33" s="325"/>
      <c r="AA33" s="325"/>
      <c r="AB33" s="325"/>
      <c r="AC33" s="325"/>
    </row>
    <row r="34" spans="1:29" s="323" customFormat="1" ht="13.5" customHeight="1" x14ac:dyDescent="0.2">
      <c r="B34" s="326"/>
      <c r="C34" s="326"/>
      <c r="D34" s="326"/>
      <c r="E34" s="1179"/>
      <c r="F34" s="1179"/>
      <c r="G34" s="1179"/>
      <c r="H34" s="1179"/>
      <c r="I34" s="1179"/>
      <c r="J34" s="1179"/>
      <c r="K34" s="1179"/>
      <c r="L34" s="1179"/>
      <c r="M34" s="325"/>
      <c r="N34" s="325"/>
      <c r="O34" s="325"/>
      <c r="P34" s="325"/>
      <c r="Q34" s="325"/>
      <c r="R34" s="325"/>
      <c r="S34" s="325"/>
      <c r="T34" s="325"/>
      <c r="U34" s="325"/>
      <c r="V34" s="325"/>
      <c r="W34" s="325"/>
      <c r="X34" s="325"/>
      <c r="Y34" s="325"/>
      <c r="Z34" s="325"/>
      <c r="AA34" s="325"/>
      <c r="AB34" s="325"/>
      <c r="AC34" s="325"/>
    </row>
    <row r="35" spans="1:29" ht="13.5" customHeight="1" x14ac:dyDescent="0.2">
      <c r="A35" s="323" t="s">
        <v>474</v>
      </c>
      <c r="E35" s="1179"/>
      <c r="F35" s="1179"/>
      <c r="G35" s="1179"/>
      <c r="H35" s="1179"/>
      <c r="I35" s="1179"/>
      <c r="J35" s="1179"/>
      <c r="K35" s="1179"/>
      <c r="L35" s="1179"/>
    </row>
    <row r="36" spans="1:29" ht="13.5" customHeight="1" x14ac:dyDescent="0.2">
      <c r="A36" s="323" t="s">
        <v>475</v>
      </c>
      <c r="B36" s="324" t="s">
        <v>471</v>
      </c>
      <c r="C36">
        <f>C31</f>
        <v>6</v>
      </c>
      <c r="E36" s="1179"/>
      <c r="F36" s="1179"/>
      <c r="G36" s="1179"/>
      <c r="H36" s="1179"/>
      <c r="I36" s="1179"/>
      <c r="J36" s="1179"/>
      <c r="K36" s="1179"/>
      <c r="L36" s="1179"/>
    </row>
    <row r="37" spans="1:29" ht="13.5" customHeight="1" x14ac:dyDescent="0.2">
      <c r="A37" s="323" t="s">
        <v>476</v>
      </c>
      <c r="B37" s="324" t="s">
        <v>471</v>
      </c>
      <c r="C37">
        <v>0.3</v>
      </c>
    </row>
    <row r="38" spans="1:29" ht="13.5" customHeight="1" x14ac:dyDescent="0.2">
      <c r="A38" s="323" t="s">
        <v>477</v>
      </c>
      <c r="B38" s="324" t="s">
        <v>471</v>
      </c>
      <c r="C38">
        <v>3.5</v>
      </c>
    </row>
    <row r="40" spans="1:29" ht="13.5" customHeight="1" x14ac:dyDescent="0.2">
      <c r="A40" s="327" t="s">
        <v>478</v>
      </c>
      <c r="C40" s="85" t="s">
        <v>1719</v>
      </c>
    </row>
    <row r="41" spans="1:29" ht="13.5" customHeight="1" x14ac:dyDescent="0.2">
      <c r="A41" s="327" t="s">
        <v>1700</v>
      </c>
      <c r="C41" s="85" t="s">
        <v>1719</v>
      </c>
    </row>
    <row r="42" spans="1:29" ht="13.5" customHeight="1" x14ac:dyDescent="0.2">
      <c r="A42" s="323" t="s">
        <v>479</v>
      </c>
      <c r="C42" t="s">
        <v>1699</v>
      </c>
    </row>
    <row r="43" spans="1:29" s="322" customFormat="1" ht="13.5" customHeight="1" x14ac:dyDescent="0.2">
      <c r="A43" s="400" t="s">
        <v>1075</v>
      </c>
      <c r="C43" s="406">
        <v>800</v>
      </c>
      <c r="D43" s="401" t="s">
        <v>372</v>
      </c>
    </row>
    <row r="44" spans="1:29" ht="13.5" customHeight="1" x14ac:dyDescent="0.2">
      <c r="A44" s="85" t="s">
        <v>480</v>
      </c>
      <c r="C44" t="str">
        <f>IF(Le&gt;40,"BOX",IF(Le&lt;=25,"RCC","PSC"))</f>
        <v>RCC</v>
      </c>
    </row>
    <row r="46" spans="1:29" ht="13.5" customHeight="1" x14ac:dyDescent="0.2">
      <c r="A46" t="s">
        <v>1061</v>
      </c>
    </row>
    <row r="47" spans="1:29" s="368" customFormat="1" ht="38.25" x14ac:dyDescent="0.2">
      <c r="A47" s="394" t="s">
        <v>200</v>
      </c>
      <c r="B47" s="396" t="s">
        <v>1041</v>
      </c>
      <c r="C47" s="396" t="s">
        <v>1039</v>
      </c>
      <c r="D47" s="396" t="s">
        <v>1040</v>
      </c>
      <c r="E47" s="379"/>
      <c r="F47" s="380"/>
      <c r="G47" s="380"/>
      <c r="H47" s="380"/>
      <c r="I47" s="380"/>
      <c r="J47" s="380"/>
      <c r="K47" s="380"/>
      <c r="L47" s="380"/>
      <c r="M47" s="380"/>
      <c r="N47" s="380"/>
      <c r="O47" s="380"/>
      <c r="P47" s="380"/>
      <c r="Q47" s="380"/>
      <c r="R47" s="380"/>
      <c r="S47" s="381"/>
    </row>
    <row r="48" spans="1:29" s="9" customFormat="1" ht="30.75" customHeight="1" x14ac:dyDescent="0.2">
      <c r="A48" s="395" t="s">
        <v>1045</v>
      </c>
      <c r="B48" s="397"/>
      <c r="C48" s="398">
        <v>0</v>
      </c>
      <c r="D48" s="399">
        <v>0.1</v>
      </c>
      <c r="E48" s="379"/>
      <c r="F48" s="380"/>
      <c r="G48" s="380"/>
      <c r="H48" s="380"/>
      <c r="I48" s="380"/>
      <c r="J48" s="380"/>
      <c r="K48" s="380"/>
      <c r="L48" s="380"/>
      <c r="M48" s="380"/>
      <c r="N48" s="380"/>
      <c r="O48" s="380"/>
      <c r="P48" s="380"/>
      <c r="Q48" s="380"/>
      <c r="R48" s="380"/>
      <c r="S48" s="381"/>
    </row>
    <row r="49" spans="1:19" s="9" customFormat="1" ht="13.5" customHeight="1" x14ac:dyDescent="0.2">
      <c r="A49" s="395" t="s">
        <v>1029</v>
      </c>
      <c r="B49" s="397">
        <v>0</v>
      </c>
      <c r="C49" s="397">
        <v>0</v>
      </c>
      <c r="D49" s="397">
        <v>2</v>
      </c>
      <c r="E49" s="379"/>
      <c r="F49" s="380"/>
      <c r="G49" s="380"/>
      <c r="H49" s="380"/>
      <c r="I49" s="380"/>
      <c r="J49" s="380"/>
      <c r="K49" s="380"/>
      <c r="L49" s="380"/>
      <c r="M49" s="380"/>
      <c r="N49" s="380"/>
      <c r="O49" s="380"/>
      <c r="P49" s="380"/>
      <c r="Q49" s="380"/>
      <c r="R49" s="380"/>
      <c r="S49" s="381"/>
    </row>
    <row r="50" spans="1:19" s="9" customFormat="1" ht="13.5" customHeight="1" x14ac:dyDescent="0.2">
      <c r="A50" s="395" t="s">
        <v>1030</v>
      </c>
      <c r="B50" s="397">
        <v>0</v>
      </c>
      <c r="C50" s="397">
        <v>0</v>
      </c>
      <c r="D50" s="397">
        <v>2</v>
      </c>
      <c r="E50" s="379"/>
      <c r="F50" s="380"/>
      <c r="G50" s="380"/>
      <c r="H50" s="380"/>
      <c r="I50" s="380"/>
      <c r="J50" s="380"/>
      <c r="K50" s="380"/>
      <c r="L50" s="380"/>
      <c r="M50" s="380"/>
      <c r="N50" s="380"/>
      <c r="O50" s="380"/>
      <c r="P50" s="380"/>
      <c r="Q50" s="380"/>
      <c r="R50" s="380"/>
      <c r="S50" s="381"/>
    </row>
    <row r="51" spans="1:19" s="9" customFormat="1" ht="13.5" customHeight="1" x14ac:dyDescent="0.2">
      <c r="A51" s="395" t="s">
        <v>9</v>
      </c>
      <c r="B51" s="397">
        <v>0</v>
      </c>
      <c r="C51" s="397">
        <v>0</v>
      </c>
      <c r="D51" s="397">
        <v>2</v>
      </c>
      <c r="E51" s="379"/>
      <c r="F51" s="380"/>
      <c r="G51" s="380"/>
      <c r="H51" s="380"/>
      <c r="I51" s="380"/>
      <c r="J51" s="380"/>
      <c r="K51" s="380"/>
      <c r="L51" s="380"/>
      <c r="M51" s="380"/>
      <c r="N51" s="380"/>
      <c r="O51" s="380"/>
      <c r="P51" s="380"/>
      <c r="Q51" s="380"/>
      <c r="R51" s="380"/>
      <c r="S51" s="381"/>
    </row>
    <row r="52" spans="1:19" s="9" customFormat="1" ht="42" customHeight="1" x14ac:dyDescent="0.2">
      <c r="A52" s="395" t="s">
        <v>1065</v>
      </c>
      <c r="B52" s="397">
        <v>0</v>
      </c>
      <c r="C52" s="397">
        <v>1</v>
      </c>
      <c r="D52" s="397">
        <v>2</v>
      </c>
      <c r="E52" s="379"/>
      <c r="F52" s="380"/>
      <c r="G52" s="380"/>
      <c r="H52" s="380"/>
      <c r="I52" s="380"/>
      <c r="J52" s="380"/>
      <c r="K52" s="380"/>
      <c r="L52" s="380"/>
      <c r="M52" s="380"/>
      <c r="N52" s="380"/>
      <c r="O52" s="380"/>
      <c r="P52" s="380"/>
      <c r="Q52" s="380"/>
      <c r="R52" s="380"/>
      <c r="S52" s="381"/>
    </row>
    <row r="53" spans="1:19" s="9" customFormat="1" ht="13.5" customHeight="1" x14ac:dyDescent="0.2">
      <c r="A53" s="395" t="s">
        <v>188</v>
      </c>
      <c r="B53" s="397">
        <v>0</v>
      </c>
      <c r="C53" s="397">
        <v>1</v>
      </c>
      <c r="D53" s="397">
        <v>2</v>
      </c>
      <c r="E53" s="379"/>
      <c r="F53" s="380"/>
      <c r="G53" s="380"/>
      <c r="H53" s="380"/>
      <c r="I53" s="380"/>
      <c r="J53" s="380"/>
      <c r="K53" s="380"/>
      <c r="L53" s="380"/>
      <c r="M53" s="380"/>
      <c r="N53" s="380"/>
      <c r="O53" s="380"/>
      <c r="P53" s="380"/>
      <c r="Q53" s="380"/>
      <c r="R53" s="380"/>
      <c r="S53" s="381"/>
    </row>
    <row r="54" spans="1:19" s="360" customFormat="1" ht="13.5" customHeight="1" x14ac:dyDescent="0.2">
      <c r="A54" s="395" t="s">
        <v>1032</v>
      </c>
      <c r="B54" s="397">
        <v>0</v>
      </c>
      <c r="C54" s="397">
        <v>1</v>
      </c>
      <c r="D54" s="397">
        <v>2</v>
      </c>
      <c r="E54" s="379"/>
      <c r="F54" s="380"/>
      <c r="G54" s="380"/>
      <c r="H54" s="380"/>
      <c r="I54" s="380"/>
      <c r="J54" s="380"/>
      <c r="K54" s="380"/>
      <c r="L54" s="380"/>
      <c r="M54" s="380"/>
      <c r="N54" s="380"/>
      <c r="O54" s="380"/>
      <c r="P54" s="380"/>
      <c r="Q54" s="380"/>
      <c r="R54" s="380"/>
      <c r="S54" s="381"/>
    </row>
    <row r="55" spans="1:19" s="360" customFormat="1" ht="13.5" customHeight="1" x14ac:dyDescent="0.2">
      <c r="A55" s="395" t="s">
        <v>35</v>
      </c>
      <c r="B55" s="397"/>
      <c r="C55" s="397"/>
      <c r="D55" s="397">
        <v>0.1</v>
      </c>
      <c r="E55" s="379"/>
      <c r="F55" s="380"/>
      <c r="G55" s="380"/>
      <c r="H55" s="380"/>
      <c r="I55" s="380"/>
      <c r="J55" s="380"/>
      <c r="K55" s="380"/>
      <c r="L55" s="380"/>
      <c r="M55" s="380"/>
      <c r="N55" s="380"/>
      <c r="O55" s="380"/>
      <c r="P55" s="380"/>
      <c r="Q55" s="380"/>
      <c r="R55" s="380"/>
      <c r="S55" s="381"/>
    </row>
  </sheetData>
  <mergeCells count="9">
    <mergeCell ref="A1:C15"/>
    <mergeCell ref="F24:K24"/>
    <mergeCell ref="E26:L36"/>
    <mergeCell ref="F18:K18"/>
    <mergeCell ref="F19:K19"/>
    <mergeCell ref="F20:K20"/>
    <mergeCell ref="F21:K21"/>
    <mergeCell ref="F22:K22"/>
    <mergeCell ref="F23:K23"/>
  </mergeCells>
  <conditionalFormatting sqref="E26:L36">
    <cfRule type="containsText" dxfId="50" priority="1" operator="containsText" text="I">
      <formula>NOT(ISERROR(SEARCH("I",E26)))</formula>
    </cfRule>
  </conditionalFormatting>
  <dataValidations count="3">
    <dataValidation type="list" allowBlank="1" showInputMessage="1" showErrorMessage="1" sqref="C25">
      <formula1>"DOR,OTER CLIENT"</formula1>
    </dataValidation>
    <dataValidation type="list" allowBlank="1" showInputMessage="1" showErrorMessage="1" sqref="C40:C41">
      <formula1>"M15,M20,M25,M30,M35,M40,M45,M50,M55,M60"</formula1>
    </dataValidation>
    <dataValidation type="list" allowBlank="1" showInputMessage="1" showErrorMessage="1" sqref="C42">
      <formula1>"Pile,Open"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45422" r:id="rId4" name="hide_pile">
          <controlPr defaultSize="0" autoLine="0" r:id="rId5">
            <anchor moveWithCells="1">
              <from>
                <xdr:col>1</xdr:col>
                <xdr:colOff>142875</xdr:colOff>
                <xdr:row>4</xdr:row>
                <xdr:rowOff>142875</xdr:rowOff>
              </from>
              <to>
                <xdr:col>2</xdr:col>
                <xdr:colOff>533400</xdr:colOff>
                <xdr:row>8</xdr:row>
                <xdr:rowOff>47625</xdr:rowOff>
              </to>
            </anchor>
          </controlPr>
        </control>
      </mc:Choice>
      <mc:Fallback>
        <control shapeId="145422" r:id="rId4" name="hide_pile"/>
      </mc:Fallback>
    </mc:AlternateContent>
    <mc:AlternateContent xmlns:mc="http://schemas.openxmlformats.org/markup-compatibility/2006">
      <mc:Choice Requires="x14">
        <control shapeId="145421" r:id="rId6" name="Unhide_PCC">
          <controlPr defaultSize="0" autoLine="0" r:id="rId7">
            <anchor moveWithCells="1">
              <from>
                <xdr:col>0</xdr:col>
                <xdr:colOff>180975</xdr:colOff>
                <xdr:row>4</xdr:row>
                <xdr:rowOff>152400</xdr:rowOff>
              </from>
              <to>
                <xdr:col>0</xdr:col>
                <xdr:colOff>1762125</xdr:colOff>
                <xdr:row>8</xdr:row>
                <xdr:rowOff>57150</xdr:rowOff>
              </to>
            </anchor>
          </controlPr>
        </control>
      </mc:Choice>
      <mc:Fallback>
        <control shapeId="145421" r:id="rId6" name="Unhide_PCC"/>
      </mc:Fallback>
    </mc:AlternateContent>
    <mc:AlternateContent xmlns:mc="http://schemas.openxmlformats.org/markup-compatibility/2006">
      <mc:Choice Requires="x14">
        <control shapeId="145418" r:id="rId8" name="Hide_Sheet_Row">
          <controlPr defaultSize="0" autoLine="0" r:id="rId9">
            <anchor moveWithCells="1">
              <from>
                <xdr:col>2</xdr:col>
                <xdr:colOff>485775</xdr:colOff>
                <xdr:row>11</xdr:row>
                <xdr:rowOff>57150</xdr:rowOff>
              </from>
              <to>
                <xdr:col>2</xdr:col>
                <xdr:colOff>2143125</xdr:colOff>
                <xdr:row>14</xdr:row>
                <xdr:rowOff>114300</xdr:rowOff>
              </to>
            </anchor>
          </controlPr>
        </control>
      </mc:Choice>
      <mc:Fallback>
        <control shapeId="145418" r:id="rId8" name="Hide_Sheet_Row"/>
      </mc:Fallback>
    </mc:AlternateContent>
    <mc:AlternateContent xmlns:mc="http://schemas.openxmlformats.org/markup-compatibility/2006">
      <mc:Choice Requires="x14">
        <control shapeId="145419" r:id="rId10" name="Reset_Normal_UNhide">
          <controlPr defaultSize="0" autoLine="0" r:id="rId11">
            <anchor moveWithCells="1">
              <from>
                <xdr:col>0</xdr:col>
                <xdr:colOff>628650</xdr:colOff>
                <xdr:row>11</xdr:row>
                <xdr:rowOff>104775</xdr:rowOff>
              </from>
              <to>
                <xdr:col>1</xdr:col>
                <xdr:colOff>438150</xdr:colOff>
                <xdr:row>14</xdr:row>
                <xdr:rowOff>76200</xdr:rowOff>
              </to>
            </anchor>
          </controlPr>
        </control>
      </mc:Choice>
      <mc:Fallback>
        <control shapeId="145419" r:id="rId10" name="Reset_Normal_UNhid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view="pageBreakPreview" zoomScale="130" zoomScaleNormal="100" zoomScaleSheetLayoutView="130" workbookViewId="0">
      <selection activeCell="A8" sqref="A8"/>
    </sheetView>
  </sheetViews>
  <sheetFormatPr defaultRowHeight="15.75" x14ac:dyDescent="0.25"/>
  <cols>
    <col min="1" max="1" width="96.42578125" style="402" bestFit="1" customWidth="1"/>
  </cols>
  <sheetData>
    <row r="1" spans="1:1" s="322" customFormat="1" x14ac:dyDescent="0.25">
      <c r="A1" s="402"/>
    </row>
    <row r="2" spans="1:1" s="322" customFormat="1" ht="50.1" customHeight="1" x14ac:dyDescent="0.2">
      <c r="A2" s="403" t="s">
        <v>1078</v>
      </c>
    </row>
    <row r="3" spans="1:1" ht="50.1" customHeight="1" x14ac:dyDescent="0.2">
      <c r="A3" s="404"/>
    </row>
    <row r="4" spans="1:1" ht="50.1" customHeight="1" x14ac:dyDescent="0.2">
      <c r="A4" s="405" t="s">
        <v>1079</v>
      </c>
    </row>
    <row r="5" spans="1:1" ht="50.1" customHeight="1" x14ac:dyDescent="0.2">
      <c r="A5" s="405" t="s">
        <v>1080</v>
      </c>
    </row>
    <row r="6" spans="1:1" ht="50.1" customHeight="1" x14ac:dyDescent="0.2">
      <c r="A6" s="405" t="s">
        <v>1081</v>
      </c>
    </row>
    <row r="7" spans="1:1" ht="50.1" customHeight="1" x14ac:dyDescent="0.2">
      <c r="A7" s="405" t="s">
        <v>1082</v>
      </c>
    </row>
    <row r="8" spans="1:1" ht="50.1" customHeight="1" x14ac:dyDescent="0.2">
      <c r="A8" s="405" t="s">
        <v>1085</v>
      </c>
    </row>
    <row r="9" spans="1:1" ht="50.1" customHeight="1" x14ac:dyDescent="0.2">
      <c r="A9" s="405" t="s">
        <v>1086</v>
      </c>
    </row>
    <row r="10" spans="1:1" ht="50.1" customHeight="1" x14ac:dyDescent="0.2">
      <c r="A10" s="405" t="s">
        <v>1083</v>
      </c>
    </row>
    <row r="11" spans="1:1" ht="50.1" customHeight="1" x14ac:dyDescent="0.2">
      <c r="A11" s="405" t="s">
        <v>1084</v>
      </c>
    </row>
    <row r="12" spans="1:1" s="322" customFormat="1" ht="50.1" customHeight="1" x14ac:dyDescent="0.2">
      <c r="A12" s="405"/>
    </row>
    <row r="13" spans="1:1" s="322" customFormat="1" ht="50.1" customHeight="1" x14ac:dyDescent="0.2">
      <c r="A13" s="405"/>
    </row>
    <row r="14" spans="1:1" s="322" customFormat="1" ht="50.1" customHeight="1" x14ac:dyDescent="0.25">
      <c r="A14" s="402" t="s">
        <v>1087</v>
      </c>
    </row>
    <row r="15" spans="1:1" s="322" customFormat="1" ht="50.1" customHeight="1" x14ac:dyDescent="0.2">
      <c r="A15" s="403"/>
    </row>
    <row r="16" spans="1:1" ht="50.1" customHeight="1" x14ac:dyDescent="0.2">
      <c r="A16" s="1137" t="str">
        <f>A4</f>
        <v>1.          SUMMARY OF PROJECT COST</v>
      </c>
    </row>
    <row r="17" spans="1:1" ht="50.1" customHeight="1" x14ac:dyDescent="0.2">
      <c r="A17" s="1137" t="str">
        <f>A5</f>
        <v>2.          ABSTRACT OF COST</v>
      </c>
    </row>
    <row r="18" spans="1:1" ht="50.1" customHeight="1" x14ac:dyDescent="0.2">
      <c r="A18" s="1137" t="str">
        <f t="shared" ref="A18:A23" si="0">A6</f>
        <v>3.          DETAILED QUANTITY CALCULATION</v>
      </c>
    </row>
    <row r="19" spans="1:1" ht="50.1" customHeight="1" x14ac:dyDescent="0.2">
      <c r="A19" s="1137" t="str">
        <f t="shared" si="0"/>
        <v>4.          SUMMARY OF RATES</v>
      </c>
    </row>
    <row r="20" spans="1:1" ht="50.1" customHeight="1" x14ac:dyDescent="0.2">
      <c r="A20" s="1137" t="str">
        <f t="shared" si="0"/>
        <v>5.          DISTRICT RATE</v>
      </c>
    </row>
    <row r="21" spans="1:1" ht="50.1" customHeight="1" x14ac:dyDescent="0.2">
      <c r="A21" s="1137" t="str">
        <f t="shared" si="0"/>
        <v>6.          TRANSPORTATION OF MATERIAL</v>
      </c>
    </row>
    <row r="22" spans="1:1" ht="50.1" customHeight="1" x14ac:dyDescent="0.2">
      <c r="A22" s="1137" t="str">
        <f t="shared" si="0"/>
        <v>7.          TRANSPORTATION OF MATERIAL</v>
      </c>
    </row>
    <row r="23" spans="1:1" ht="50.1" customHeight="1" x14ac:dyDescent="0.2">
      <c r="A23" s="1137" t="str">
        <f t="shared" si="0"/>
        <v>8.          RATE ANALYSIS OF GENERAL WORKS</v>
      </c>
    </row>
  </sheetData>
  <printOptions verticalCentered="1"/>
  <pageMargins left="0.7" right="0.7" top="0.75" bottom="0.75" header="0.3" footer="0.3"/>
  <pageSetup paperSize="9" orientation="portrait" r:id="rId1"/>
  <rowBreaks count="9" manualBreakCount="9">
    <brk id="15" max="16383" man="1"/>
    <brk id="16" max="16383" man="1"/>
    <brk id="17" max="16383" man="1"/>
    <brk id="18" max="16383" man="1"/>
    <brk id="19" max="16383" man="1"/>
    <brk id="20" max="16383" man="1"/>
    <brk id="21" max="16383" man="1"/>
    <brk id="22" max="16383" man="1"/>
    <brk id="2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9"/>
  <sheetViews>
    <sheetView view="pageBreakPreview" topLeftCell="A2" zoomScale="85" zoomScaleSheetLayoutView="85" workbookViewId="0">
      <selection activeCell="C10" sqref="C10"/>
    </sheetView>
  </sheetViews>
  <sheetFormatPr defaultColWidth="9.140625" defaultRowHeight="12.75" x14ac:dyDescent="0.2"/>
  <cols>
    <col min="1" max="1" width="5.28515625" style="86" customWidth="1"/>
    <col min="2" max="2" width="27.85546875" style="86" customWidth="1"/>
    <col min="3" max="3" width="19" style="411" customWidth="1"/>
    <col min="4" max="4" width="94.85546875" style="86" customWidth="1"/>
    <col min="5" max="5" width="11" style="86" customWidth="1"/>
    <col min="6" max="16384" width="9.140625" style="86"/>
  </cols>
  <sheetData>
    <row r="1" spans="1:9" hidden="1" x14ac:dyDescent="0.2">
      <c r="A1" s="1202" t="str">
        <f>'0.Data Sheet'!C18</f>
        <v>Government Of Nepal</v>
      </c>
      <c r="B1" s="1202"/>
      <c r="C1" s="1202"/>
      <c r="D1" s="1202"/>
      <c r="E1" s="1202"/>
      <c r="F1" s="126"/>
      <c r="G1" s="126"/>
      <c r="H1" s="126"/>
      <c r="I1" s="126"/>
    </row>
    <row r="2" spans="1:9" x14ac:dyDescent="0.2">
      <c r="A2" s="1203" t="str">
        <f>'0.Data Sheet'!C19</f>
        <v xml:space="preserve">Ministry of Federal Affairs and General Administration
</v>
      </c>
      <c r="B2" s="1203"/>
      <c r="C2" s="1203"/>
      <c r="D2" s="1203"/>
      <c r="E2" s="1203"/>
      <c r="F2" s="126"/>
      <c r="G2" s="126"/>
      <c r="H2" s="126"/>
      <c r="I2" s="126"/>
    </row>
    <row r="3" spans="1:9" ht="18" x14ac:dyDescent="0.25">
      <c r="A3" s="1204" t="str">
        <f>'0.Data Sheet'!C20</f>
        <v>Department Of Local Infrastructure (DOLI)</v>
      </c>
      <c r="B3" s="1204"/>
      <c r="C3" s="1204"/>
      <c r="D3" s="1204"/>
      <c r="E3" s="1204"/>
      <c r="F3" s="127"/>
      <c r="G3" s="127"/>
      <c r="H3" s="127"/>
      <c r="I3" s="127"/>
    </row>
    <row r="4" spans="1:9" ht="18" x14ac:dyDescent="0.25">
      <c r="A4" s="1206" t="str">
        <f>'0.Data Sheet'!C21</f>
        <v>Local Bridge Section</v>
      </c>
      <c r="B4" s="1206"/>
      <c r="C4" s="1206"/>
      <c r="D4" s="1206"/>
      <c r="E4" s="1206"/>
      <c r="F4" s="128"/>
      <c r="G4" s="128"/>
      <c r="H4" s="128"/>
      <c r="I4" s="128"/>
    </row>
    <row r="5" spans="1:9" x14ac:dyDescent="0.2">
      <c r="A5" s="1203" t="str">
        <f>'0.Data Sheet'!C22</f>
        <v>Pulchowk, Lalitpur</v>
      </c>
      <c r="B5" s="1203"/>
      <c r="C5" s="1203"/>
      <c r="D5" s="1203"/>
      <c r="E5" s="1203"/>
      <c r="F5" s="129"/>
      <c r="G5" s="129"/>
      <c r="H5" s="129"/>
      <c r="I5" s="129"/>
    </row>
    <row r="6" spans="1:9" hidden="1" x14ac:dyDescent="0.2">
      <c r="A6" s="470"/>
      <c r="B6" s="470"/>
      <c r="C6" s="471"/>
      <c r="D6" s="470"/>
      <c r="E6" s="470"/>
    </row>
    <row r="7" spans="1:9" ht="18" x14ac:dyDescent="0.2">
      <c r="A7" s="1205" t="s">
        <v>318</v>
      </c>
      <c r="B7" s="1205"/>
      <c r="C7" s="1205"/>
      <c r="D7" s="1205"/>
      <c r="E7" s="1205"/>
    </row>
    <row r="8" spans="1:9" ht="13.5" thickBot="1" x14ac:dyDescent="0.25">
      <c r="A8" s="472" t="str">
        <f>'2.0Abstract of Cost'!A9</f>
        <v>Name of Bridge: Lambu Khola Motorable Bridge</v>
      </c>
      <c r="B8" s="470"/>
      <c r="C8" s="471"/>
      <c r="D8" s="1207" t="str">
        <f>'2.0Abstract of Cost'!H9</f>
        <v>Span=20 x 1m</v>
      </c>
      <c r="E8" s="1207"/>
    </row>
    <row r="9" spans="1:9" ht="13.5" thickBot="1" x14ac:dyDescent="0.25">
      <c r="A9" s="1001" t="s">
        <v>261</v>
      </c>
      <c r="B9" s="1002" t="s">
        <v>37</v>
      </c>
      <c r="C9" s="1003" t="s">
        <v>2</v>
      </c>
      <c r="D9" s="1002" t="s">
        <v>1076</v>
      </c>
      <c r="E9" s="1004" t="s">
        <v>87</v>
      </c>
    </row>
    <row r="10" spans="1:9" x14ac:dyDescent="0.2">
      <c r="A10" s="1005">
        <v>1</v>
      </c>
      <c r="B10" s="1006" t="s">
        <v>216</v>
      </c>
      <c r="C10" s="1007">
        <f>'2.0Abstract of Cost'!H19</f>
        <v>1135000</v>
      </c>
      <c r="D10" s="1008" t="str">
        <f>IF(OR(C10="",C10=0),"",SpellNumber(C10))</f>
        <v>One Million One Hundred Thirty Five Thousand  Rupees and No Paisa</v>
      </c>
      <c r="E10" s="1009"/>
    </row>
    <row r="11" spans="1:9" x14ac:dyDescent="0.2">
      <c r="A11" s="218">
        <v>2</v>
      </c>
      <c r="B11" s="96" t="s">
        <v>262</v>
      </c>
      <c r="C11" s="412">
        <f>'2.0Abstract of Cost'!H28</f>
        <v>10018956.210000001</v>
      </c>
      <c r="D11" s="999" t="str">
        <f>IF(OR(C11="",C11=0),"",SpellNumber(C11))</f>
        <v>Ten Million Eighteen Thousand Nine Hundred Fifty Six Rupees and Twenty One Paisa</v>
      </c>
      <c r="E11" s="219"/>
      <c r="G11" s="415"/>
    </row>
    <row r="12" spans="1:9" ht="21" customHeight="1" x14ac:dyDescent="0.2">
      <c r="A12" s="218">
        <v>3</v>
      </c>
      <c r="B12" s="96" t="s">
        <v>263</v>
      </c>
      <c r="C12" s="412">
        <f>'2.0Abstract of Cost'!H37</f>
        <v>8847839.2999999989</v>
      </c>
      <c r="D12" s="999" t="str">
        <f t="shared" ref="D12:D28" si="0">IF(OR(C12="",C12=0),"",SpellNumber(C12))</f>
        <v>Eight Million Eight Hundred Forty Seven Thousand Eight Hundred Thirty Nine Rupees and Thirty  Paisa</v>
      </c>
      <c r="E12" s="219"/>
    </row>
    <row r="13" spans="1:9" x14ac:dyDescent="0.2">
      <c r="A13" s="218">
        <v>4</v>
      </c>
      <c r="B13" s="96" t="s">
        <v>264</v>
      </c>
      <c r="C13" s="412">
        <f>IF(client_1="DOR",IF(Super_type="RCC",Super_RCC_DOR,Super_PSC_DOR),IF(Super_type="PSC",Super_PSC_DESIGNED,Super_RCC_DESIGNED))</f>
        <v>6101730.6399999997</v>
      </c>
      <c r="D13" s="999" t="str">
        <f t="shared" si="0"/>
        <v>Six Million One Hundred One Thousand Seven Hundred Thirty  Rupees and Sixty Four Paisa</v>
      </c>
      <c r="E13" s="219"/>
    </row>
    <row r="14" spans="1:9" x14ac:dyDescent="0.2">
      <c r="A14" s="218">
        <v>5</v>
      </c>
      <c r="B14" s="96" t="s">
        <v>265</v>
      </c>
      <c r="C14" s="412">
        <f>'2.0Abstract of Cost'!H57</f>
        <v>5790918.4165075328</v>
      </c>
      <c r="D14" s="999" t="str">
        <f t="shared" si="0"/>
        <v>Five Million Seven Hundred Ninety  Thousand Nine Hundred Eighteen Rupees and Forty One Paisa</v>
      </c>
      <c r="E14" s="219"/>
    </row>
    <row r="15" spans="1:9" x14ac:dyDescent="0.2">
      <c r="A15" s="218">
        <v>6</v>
      </c>
      <c r="B15" s="96" t="s">
        <v>319</v>
      </c>
      <c r="C15" s="1155">
        <f>'2.0Abstract of Cost'!H63</f>
        <v>8429753.5199999996</v>
      </c>
      <c r="D15" s="999" t="str">
        <f t="shared" si="0"/>
        <v>Eight Million Four Hundred Twenty Nine Thousand Seven Hundred Fifty Three Rupees and Fifty Two Paisa</v>
      </c>
      <c r="E15" s="219"/>
    </row>
    <row r="16" spans="1:9" x14ac:dyDescent="0.2">
      <c r="A16" s="218">
        <v>8</v>
      </c>
      <c r="B16" s="96" t="s">
        <v>266</v>
      </c>
      <c r="C16" s="412">
        <f>'2.0Abstract of Cost'!H67</f>
        <v>700000</v>
      </c>
      <c r="D16" s="999" t="str">
        <f t="shared" si="0"/>
        <v>Seven Hundred  Thousand  Rupees and No Paisa</v>
      </c>
      <c r="E16" s="219"/>
    </row>
    <row r="17" spans="1:5" x14ac:dyDescent="0.2">
      <c r="A17" s="218">
        <v>9</v>
      </c>
      <c r="B17" s="96" t="s">
        <v>309</v>
      </c>
      <c r="C17" s="412">
        <f>'2.0Abstract of Cost'!H76</f>
        <v>370200</v>
      </c>
      <c r="D17" s="999" t="str">
        <f t="shared" si="0"/>
        <v>Three Hundred Seventy  Thousand Two Hundred  Rupees and No Paisa</v>
      </c>
      <c r="E17" s="219"/>
    </row>
    <row r="18" spans="1:5" x14ac:dyDescent="0.2">
      <c r="A18" s="1198" t="s">
        <v>1096</v>
      </c>
      <c r="B18" s="1199"/>
      <c r="C18" s="413">
        <f>SUM(C10:C16)</f>
        <v>41024198.086507529</v>
      </c>
      <c r="D18" s="999" t="str">
        <f t="shared" si="0"/>
        <v>Forty One Million Twenty Four Thousand One Hundred Ninety Eight Rupees and Eight Paisa</v>
      </c>
      <c r="E18" s="312"/>
    </row>
    <row r="19" spans="1:5" x14ac:dyDescent="0.2">
      <c r="A19" s="1198" t="s">
        <v>305</v>
      </c>
      <c r="B19" s="1199"/>
      <c r="C19" s="412">
        <v>500000</v>
      </c>
      <c r="D19" s="999" t="str">
        <f t="shared" si="0"/>
        <v>Five Hundred  Thousand  Rupees and No Paisa</v>
      </c>
      <c r="E19" s="219"/>
    </row>
    <row r="20" spans="1:5" x14ac:dyDescent="0.2">
      <c r="A20" s="1198" t="s">
        <v>306</v>
      </c>
      <c r="B20" s="1199"/>
      <c r="C20" s="412">
        <f>C18-C19</f>
        <v>40524198.086507529</v>
      </c>
      <c r="D20" s="999" t="str">
        <f t="shared" si="0"/>
        <v>Forty  Million Five Hundred Twenty Four Thousand One Hundred Ninety Eight Rupees and Eight Paisa</v>
      </c>
      <c r="E20" s="312"/>
    </row>
    <row r="21" spans="1:5" x14ac:dyDescent="0.2">
      <c r="A21" s="1198" t="s">
        <v>307</v>
      </c>
      <c r="B21" s="1199"/>
      <c r="C21" s="412">
        <f>13%*C20</f>
        <v>5268145.7512459792</v>
      </c>
      <c r="D21" s="999" t="str">
        <f t="shared" si="0"/>
        <v>Five Million Two Hundred Sixty Eight Thousand One Hundred Forty Five Rupees and Seventy Five Paisa</v>
      </c>
      <c r="E21" s="312"/>
    </row>
    <row r="22" spans="1:5" ht="19.5" customHeight="1" x14ac:dyDescent="0.2">
      <c r="A22" s="1198" t="s">
        <v>1704</v>
      </c>
      <c r="B22" s="1199"/>
      <c r="C22" s="412">
        <f>4%*C20</f>
        <v>1620967.9234603012</v>
      </c>
      <c r="D22" s="999" t="str">
        <f t="shared" si="0"/>
        <v>One Million Six Hundred Twenty  Thousand Nine Hundred Sixty Seven Rupees and Ninety Two Paisa</v>
      </c>
      <c r="E22" s="312"/>
    </row>
    <row r="23" spans="1:5" ht="24.75" customHeight="1" x14ac:dyDescent="0.2">
      <c r="A23" s="1198" t="s">
        <v>308</v>
      </c>
      <c r="B23" s="1199"/>
      <c r="C23" s="1138">
        <f>C22+C21+C18</f>
        <v>47913311.761213809</v>
      </c>
      <c r="D23" s="999" t="str">
        <f t="shared" ref="D23:D25" si="1">IF(OR(C23="",C23=0),"",SpellNumber(C23))</f>
        <v>Forty Seven Million Nine Hundred Thirteen Thousand Three Hundred Eleven Rupees and Seventy Six Paisa</v>
      </c>
      <c r="E23" s="312"/>
    </row>
    <row r="24" spans="1:5" ht="25.5" customHeight="1" x14ac:dyDescent="0.2">
      <c r="A24" s="1198" t="s">
        <v>1736</v>
      </c>
      <c r="B24" s="1199"/>
      <c r="C24" s="1138">
        <f>C23*10%</f>
        <v>4791331.1761213811</v>
      </c>
      <c r="D24" s="999" t="str">
        <f t="shared" si="1"/>
        <v>Four Million Seven Hundred Ninety One Thousand Three Hundred Thirty One Rupees and Seventeen Paisa</v>
      </c>
      <c r="E24" s="312"/>
    </row>
    <row r="25" spans="1:5" ht="24" customHeight="1" x14ac:dyDescent="0.2">
      <c r="A25" s="1198" t="s">
        <v>1759</v>
      </c>
      <c r="B25" s="1199"/>
      <c r="C25" s="1138">
        <f>C23*10%</f>
        <v>4791331.1761213811</v>
      </c>
      <c r="D25" s="999" t="str">
        <f t="shared" si="1"/>
        <v>Four Million Seven Hundred Ninety One Thousand Three Hundred Thirty One Rupees and Seventeen Paisa</v>
      </c>
      <c r="E25" s="312"/>
    </row>
    <row r="26" spans="1:5" ht="27.75" customHeight="1" thickBot="1" x14ac:dyDescent="0.25">
      <c r="A26" s="1200" t="s">
        <v>1737</v>
      </c>
      <c r="B26" s="1201"/>
      <c r="C26" s="1139">
        <f>SUM(C23:C25)</f>
        <v>57495974.113456577</v>
      </c>
      <c r="D26" s="1000" t="str">
        <f t="shared" ref="D26" si="2">IF(OR(C26="",C26=0),"",SpellNumber(C26))</f>
        <v>Fifty Seven Million Four Hundred Ninety Five Thousand Nine Hundred Seventy Four Rupees and Eleven Paisa</v>
      </c>
      <c r="E26" s="531"/>
    </row>
    <row r="27" spans="1:5" ht="25.5" customHeight="1" x14ac:dyDescent="0.2">
      <c r="A27" s="1198" t="s">
        <v>1738</v>
      </c>
      <c r="B27" s="1199"/>
      <c r="C27" s="412">
        <f>C26/(Le*n_span)</f>
        <v>2874798.7056728289</v>
      </c>
      <c r="D27" s="999" t="str">
        <f t="shared" si="0"/>
        <v>Two Million Eight Hundred Seventy Four Thousand Seven Hundred Ninety Eight Rupees and Seventy  Paisa</v>
      </c>
      <c r="E27" s="312"/>
    </row>
    <row r="28" spans="1:5" ht="28.15" customHeight="1" x14ac:dyDescent="0.2">
      <c r="A28" s="1198" t="s">
        <v>1739</v>
      </c>
      <c r="B28" s="1199"/>
      <c r="C28" s="412">
        <f>C18/Le</f>
        <v>2051209.9043253765</v>
      </c>
      <c r="D28" s="999" t="str">
        <f t="shared" si="0"/>
        <v>Two Million Fifty One Thousand Two Hundred Nine Rupees and Ninety  Paisa</v>
      </c>
      <c r="E28" s="312"/>
    </row>
    <row r="29" spans="1:5" ht="39.6" customHeight="1" thickBot="1" x14ac:dyDescent="0.25">
      <c r="A29" s="1200" t="s">
        <v>1740</v>
      </c>
      <c r="B29" s="1201"/>
      <c r="C29" s="414">
        <f>(C18-C14-C15)/Le</f>
        <v>1340176.3074999996</v>
      </c>
      <c r="D29" s="1000" t="str">
        <f>IF(OR(C29="",C29=0),"",SpellNumber(C29))</f>
        <v>One Million Three Hundred Forty  Thousand One Hundred Seventy Six Rupees and Thirty  Paisa</v>
      </c>
      <c r="E29" s="531"/>
    </row>
  </sheetData>
  <mergeCells count="19">
    <mergeCell ref="A1:E1"/>
    <mergeCell ref="A2:E2"/>
    <mergeCell ref="A3:E3"/>
    <mergeCell ref="A27:B27"/>
    <mergeCell ref="A7:E7"/>
    <mergeCell ref="A4:E4"/>
    <mergeCell ref="A5:E5"/>
    <mergeCell ref="A18:B18"/>
    <mergeCell ref="A19:B19"/>
    <mergeCell ref="A20:B20"/>
    <mergeCell ref="A21:B21"/>
    <mergeCell ref="A22:B22"/>
    <mergeCell ref="D8:E8"/>
    <mergeCell ref="A23:B23"/>
    <mergeCell ref="A24:B24"/>
    <mergeCell ref="A25:B25"/>
    <mergeCell ref="A26:B26"/>
    <mergeCell ref="A28:B28"/>
    <mergeCell ref="A29:B29"/>
  </mergeCells>
  <pageMargins left="0.7" right="0.34" top="0.75" bottom="0.89" header="0.3" footer="0.3"/>
  <pageSetup paperSize="9" scale="87" orientation="landscape" r:id="rId1"/>
  <headerFooter>
    <oddFooter>&amp;LPrepared By:_______________&amp;CChecked By:_______________&amp;RApproved By: _______________</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5"/>
  <sheetViews>
    <sheetView view="pageBreakPreview" topLeftCell="A2" zoomScale="85" zoomScaleNormal="85" zoomScaleSheetLayoutView="85" zoomScalePageLayoutView="55" workbookViewId="0">
      <selection activeCell="D54" sqref="D54"/>
    </sheetView>
  </sheetViews>
  <sheetFormatPr defaultColWidth="9.140625" defaultRowHeight="12.75" x14ac:dyDescent="0.2"/>
  <cols>
    <col min="1" max="1" width="5.85546875" style="124" customWidth="1"/>
    <col min="2" max="2" width="8.7109375" style="165" customWidth="1"/>
    <col min="3" max="3" width="6" style="165" customWidth="1"/>
    <col min="4" max="4" width="33.28515625" style="166" customWidth="1"/>
    <col min="5" max="5" width="7.85546875" style="124" customWidth="1"/>
    <col min="6" max="6" width="9.28515625" style="124" customWidth="1"/>
    <col min="7" max="7" width="14.42578125" style="92" bestFit="1" customWidth="1"/>
    <col min="8" max="8" width="14.7109375" style="92" customWidth="1"/>
    <col min="9" max="9" width="7.85546875" style="169" customWidth="1"/>
    <col min="10" max="10" width="13.28515625" style="155" customWidth="1"/>
    <col min="11" max="11" width="9.140625" style="155" customWidth="1"/>
    <col min="12" max="12" width="17.28515625" style="155" bestFit="1" customWidth="1"/>
    <col min="13" max="13" width="9.140625" style="155" customWidth="1"/>
    <col min="14" max="14" width="15.42578125" style="155" bestFit="1" customWidth="1"/>
    <col min="15" max="15" width="9.140625" style="155" customWidth="1"/>
    <col min="16" max="16384" width="9.140625" style="156"/>
  </cols>
  <sheetData>
    <row r="1" spans="1:15" hidden="1" x14ac:dyDescent="0.2">
      <c r="A1" s="1202" t="str">
        <f>'0.Data Sheet'!C18</f>
        <v>Government Of Nepal</v>
      </c>
      <c r="B1" s="1202"/>
      <c r="C1" s="1202"/>
      <c r="D1" s="1202"/>
      <c r="E1" s="1202"/>
      <c r="F1" s="1202"/>
      <c r="G1" s="1202"/>
      <c r="H1" s="1202"/>
      <c r="I1" s="1202"/>
    </row>
    <row r="2" spans="1:15" x14ac:dyDescent="0.2">
      <c r="A2" s="1202" t="str">
        <f>'0.Data Sheet'!C19</f>
        <v xml:space="preserve">Ministry of Federal Affairs and General Administration
</v>
      </c>
      <c r="B2" s="1202"/>
      <c r="C2" s="1202"/>
      <c r="D2" s="1202"/>
      <c r="E2" s="1202"/>
      <c r="F2" s="1202"/>
      <c r="G2" s="1202"/>
      <c r="H2" s="1202"/>
      <c r="I2" s="1202"/>
    </row>
    <row r="3" spans="1:15" ht="18" x14ac:dyDescent="0.25">
      <c r="A3" s="1209" t="str">
        <f>'0.Data Sheet'!C20</f>
        <v>Department Of Local Infrastructure (DOLI)</v>
      </c>
      <c r="B3" s="1209"/>
      <c r="C3" s="1209"/>
      <c r="D3" s="1209"/>
      <c r="E3" s="1209"/>
      <c r="F3" s="1209"/>
      <c r="G3" s="1209"/>
      <c r="H3" s="1209"/>
      <c r="I3" s="1209"/>
    </row>
    <row r="4" spans="1:15" ht="15.75" x14ac:dyDescent="0.25">
      <c r="A4" s="1210" t="str">
        <f>'0.Data Sheet'!C21</f>
        <v>Local Bridge Section</v>
      </c>
      <c r="B4" s="1210"/>
      <c r="C4" s="1210"/>
      <c r="D4" s="1210"/>
      <c r="E4" s="1210"/>
      <c r="F4" s="1210"/>
      <c r="G4" s="1210"/>
      <c r="H4" s="1210"/>
      <c r="I4" s="1210"/>
    </row>
    <row r="5" spans="1:15" x14ac:dyDescent="0.2">
      <c r="A5" s="1202" t="str">
        <f>'0.Data Sheet'!C22</f>
        <v>Pulchowk, Lalitpur</v>
      </c>
      <c r="B5" s="1202"/>
      <c r="C5" s="1202"/>
      <c r="D5" s="1202"/>
      <c r="E5" s="1202"/>
      <c r="F5" s="1202"/>
      <c r="G5" s="1202"/>
      <c r="H5" s="1202"/>
      <c r="I5" s="1202"/>
    </row>
    <row r="6" spans="1:15" ht="20.25" x14ac:dyDescent="0.3">
      <c r="A6" s="1208" t="s">
        <v>284</v>
      </c>
      <c r="B6" s="1208"/>
      <c r="C6" s="1208"/>
      <c r="D6" s="1208"/>
      <c r="E6" s="1208"/>
      <c r="F6" s="1208"/>
      <c r="G6" s="1208"/>
      <c r="H6" s="1208"/>
      <c r="I6" s="1208"/>
    </row>
    <row r="7" spans="1:15" x14ac:dyDescent="0.2">
      <c r="A7" s="299"/>
      <c r="B7" s="301"/>
      <c r="C7" s="301"/>
      <c r="D7" s="118"/>
      <c r="E7" s="119"/>
      <c r="F7" s="119"/>
      <c r="G7" s="121"/>
      <c r="H7" s="121"/>
      <c r="I7" s="120"/>
    </row>
    <row r="8" spans="1:15" x14ac:dyDescent="0.2">
      <c r="A8" s="299"/>
      <c r="B8" s="301"/>
      <c r="C8" s="301"/>
      <c r="D8" s="118"/>
      <c r="E8" s="119"/>
      <c r="F8" s="119"/>
      <c r="G8" s="121" t="s">
        <v>448</v>
      </c>
      <c r="H8" s="121" t="str">
        <f>IF(Le&lt;=25,"RCC","PSC")</f>
        <v>RCC</v>
      </c>
      <c r="I8" s="119"/>
    </row>
    <row r="9" spans="1:15" x14ac:dyDescent="0.2">
      <c r="A9" s="1211" t="str">
        <f>'3.0Quantity'!A9</f>
        <v>Name of Bridge: Lambu Khola Motorable Bridge</v>
      </c>
      <c r="B9" s="1211"/>
      <c r="C9" s="1211"/>
      <c r="D9" s="1211"/>
      <c r="E9" s="119"/>
      <c r="F9" s="119"/>
      <c r="G9" s="122"/>
      <c r="H9" s="125" t="str">
        <f>"Span="&amp;'3.0Quantity'!N9&amp;" x "&amp;'3.0Quantity'!N10&amp;"m"</f>
        <v>Span=20 x 1m</v>
      </c>
      <c r="I9" s="120"/>
    </row>
    <row r="10" spans="1:15" ht="38.25" customHeight="1" x14ac:dyDescent="0.2">
      <c r="A10" s="313" t="s">
        <v>199</v>
      </c>
      <c r="B10" s="1226" t="s">
        <v>285</v>
      </c>
      <c r="C10" s="1227"/>
      <c r="D10" s="313" t="s">
        <v>200</v>
      </c>
      <c r="E10" s="313" t="s">
        <v>0</v>
      </c>
      <c r="F10" s="313" t="s">
        <v>5</v>
      </c>
      <c r="G10" s="315" t="s">
        <v>446</v>
      </c>
      <c r="H10" s="315" t="s">
        <v>445</v>
      </c>
      <c r="I10" s="313" t="s">
        <v>87</v>
      </c>
    </row>
    <row r="11" spans="1:15" ht="15" x14ac:dyDescent="0.2">
      <c r="A11" s="1222" t="s">
        <v>286</v>
      </c>
      <c r="B11" s="1223"/>
      <c r="C11" s="1223"/>
      <c r="D11" s="1223"/>
      <c r="E11" s="1223"/>
      <c r="F11" s="1223"/>
      <c r="G11" s="1223"/>
      <c r="H11" s="1223"/>
      <c r="I11" s="1224"/>
    </row>
    <row r="12" spans="1:15" s="159" customFormat="1" ht="38.25" x14ac:dyDescent="0.2">
      <c r="A12" s="87">
        <v>1.01</v>
      </c>
      <c r="B12" s="115">
        <v>119</v>
      </c>
      <c r="C12" s="115"/>
      <c r="D12" s="101" t="s">
        <v>427</v>
      </c>
      <c r="E12" s="104" t="s">
        <v>189</v>
      </c>
      <c r="F12" s="105">
        <f>ROUNDUP('3.0Quantity'!$I$12,2)</f>
        <v>1</v>
      </c>
      <c r="G12" s="93">
        <v>161000</v>
      </c>
      <c r="H12" s="93">
        <f t="shared" ref="H12:H18" si="0">ROUNDUP(G12*F12,2)</f>
        <v>161000</v>
      </c>
      <c r="I12" s="106"/>
      <c r="J12" s="157"/>
      <c r="K12" s="158"/>
      <c r="L12" s="158"/>
      <c r="M12" s="158"/>
      <c r="N12" s="158"/>
      <c r="O12" s="158"/>
    </row>
    <row r="13" spans="1:15" s="159" customFormat="1" ht="89.25" x14ac:dyDescent="0.2">
      <c r="A13" s="87">
        <f>A12+0.01</f>
        <v>1.02</v>
      </c>
      <c r="B13" s="115" t="s">
        <v>315</v>
      </c>
      <c r="C13" s="115"/>
      <c r="D13" s="102" t="s">
        <v>428</v>
      </c>
      <c r="E13" s="104" t="s">
        <v>189</v>
      </c>
      <c r="F13" s="105">
        <f>ROUNDUP('3.0Quantity'!$I$13,2)</f>
        <v>1</v>
      </c>
      <c r="G13" s="93">
        <v>300000</v>
      </c>
      <c r="H13" s="93">
        <f t="shared" si="0"/>
        <v>300000</v>
      </c>
      <c r="I13" s="106"/>
      <c r="J13" s="158"/>
      <c r="K13" s="314"/>
      <c r="L13" s="158"/>
      <c r="M13" s="158"/>
      <c r="N13" s="158"/>
      <c r="O13" s="158"/>
    </row>
    <row r="14" spans="1:15" s="159" customFormat="1" ht="51" x14ac:dyDescent="0.2">
      <c r="A14" s="87">
        <f t="shared" ref="A14:A18" si="1">A13+0.01</f>
        <v>1.03</v>
      </c>
      <c r="B14" s="115">
        <v>110</v>
      </c>
      <c r="C14" s="115"/>
      <c r="D14" s="103" t="s">
        <v>1668</v>
      </c>
      <c r="E14" s="104" t="s">
        <v>287</v>
      </c>
      <c r="F14" s="105">
        <f>ROUNDUP('3.0Quantity'!$I$14,2)</f>
        <v>1</v>
      </c>
      <c r="G14" s="93">
        <v>15000</v>
      </c>
      <c r="H14" s="93">
        <f t="shared" si="0"/>
        <v>15000</v>
      </c>
      <c r="I14" s="106"/>
      <c r="J14" s="158"/>
      <c r="K14" s="158"/>
      <c r="L14" s="158"/>
      <c r="M14" s="158"/>
      <c r="N14" s="158"/>
      <c r="O14" s="158"/>
    </row>
    <row r="15" spans="1:15" s="159" customFormat="1" ht="38.25" x14ac:dyDescent="0.2">
      <c r="A15" s="87">
        <f t="shared" si="1"/>
        <v>1.04</v>
      </c>
      <c r="B15" s="115"/>
      <c r="C15" s="115"/>
      <c r="D15" s="103" t="s">
        <v>1741</v>
      </c>
      <c r="E15" s="1140" t="s">
        <v>256</v>
      </c>
      <c r="F15" s="1141">
        <v>1</v>
      </c>
      <c r="G15" s="93">
        <v>100000</v>
      </c>
      <c r="H15" s="93">
        <f t="shared" si="0"/>
        <v>100000</v>
      </c>
      <c r="I15" s="106"/>
      <c r="J15" s="158"/>
      <c r="K15" s="158"/>
      <c r="L15" s="158"/>
      <c r="M15" s="158"/>
      <c r="N15" s="158"/>
      <c r="O15" s="158"/>
    </row>
    <row r="16" spans="1:15" s="159" customFormat="1" ht="38.25" x14ac:dyDescent="0.2">
      <c r="A16" s="87">
        <f t="shared" si="1"/>
        <v>1.05</v>
      </c>
      <c r="B16" s="115">
        <v>105</v>
      </c>
      <c r="C16" s="115"/>
      <c r="D16" s="107" t="s">
        <v>429</v>
      </c>
      <c r="E16" s="104" t="s">
        <v>256</v>
      </c>
      <c r="F16" s="105">
        <f>ROUNDUP('3.0Quantity'!$I$16,2)</f>
        <v>1</v>
      </c>
      <c r="G16" s="93">
        <v>500000</v>
      </c>
      <c r="H16" s="93">
        <f t="shared" si="0"/>
        <v>500000</v>
      </c>
      <c r="I16" s="106"/>
      <c r="J16" s="158"/>
      <c r="K16" s="158"/>
      <c r="L16" s="158"/>
      <c r="M16" s="158"/>
      <c r="N16" s="158"/>
      <c r="O16" s="158"/>
    </row>
    <row r="17" spans="1:15" s="159" customFormat="1" ht="25.5" x14ac:dyDescent="0.2">
      <c r="A17" s="87">
        <f t="shared" si="1"/>
        <v>1.06</v>
      </c>
      <c r="B17" s="115">
        <v>116</v>
      </c>
      <c r="C17" s="115"/>
      <c r="D17" s="107" t="s">
        <v>282</v>
      </c>
      <c r="E17" s="104" t="s">
        <v>283</v>
      </c>
      <c r="F17" s="105">
        <f>ROUNDUP('3.0Quantity'!$I$17,2)</f>
        <v>18</v>
      </c>
      <c r="G17" s="93">
        <v>500</v>
      </c>
      <c r="H17" s="93">
        <f t="shared" si="0"/>
        <v>9000</v>
      </c>
      <c r="I17" s="106"/>
      <c r="J17" s="158"/>
      <c r="K17" s="158"/>
      <c r="L17" s="158"/>
      <c r="M17" s="158"/>
      <c r="N17" s="158"/>
      <c r="O17" s="158"/>
    </row>
    <row r="18" spans="1:15" s="159" customFormat="1" ht="76.5" x14ac:dyDescent="0.2">
      <c r="A18" s="87">
        <f t="shared" si="1"/>
        <v>1.07</v>
      </c>
      <c r="B18" s="115"/>
      <c r="C18" s="115"/>
      <c r="D18" s="1142" t="s">
        <v>1742</v>
      </c>
      <c r="E18" s="1140" t="s">
        <v>189</v>
      </c>
      <c r="F18" s="1141">
        <v>1</v>
      </c>
      <c r="G18" s="93">
        <v>50000</v>
      </c>
      <c r="H18" s="93">
        <f t="shared" si="0"/>
        <v>50000</v>
      </c>
      <c r="I18" s="106"/>
      <c r="J18" s="158"/>
      <c r="K18" s="158"/>
      <c r="L18" s="158"/>
      <c r="M18" s="158"/>
      <c r="N18" s="158"/>
      <c r="O18" s="158"/>
    </row>
    <row r="19" spans="1:15" s="161" customFormat="1" x14ac:dyDescent="0.2">
      <c r="A19" s="297"/>
      <c r="B19" s="108"/>
      <c r="C19" s="108"/>
      <c r="D19" s="109" t="s">
        <v>288</v>
      </c>
      <c r="E19" s="297"/>
      <c r="F19" s="297"/>
      <c r="G19" s="303"/>
      <c r="H19" s="114">
        <f>SUM(H12:H18)</f>
        <v>1135000</v>
      </c>
      <c r="I19" s="110"/>
      <c r="J19" s="160"/>
      <c r="K19" s="160"/>
      <c r="L19" s="160"/>
      <c r="M19" s="160"/>
      <c r="N19" s="160"/>
      <c r="O19" s="160"/>
    </row>
    <row r="20" spans="1:15" s="159" customFormat="1" ht="15" x14ac:dyDescent="0.2">
      <c r="A20" s="1222" t="s">
        <v>289</v>
      </c>
      <c r="B20" s="1223"/>
      <c r="C20" s="1223"/>
      <c r="D20" s="1223"/>
      <c r="E20" s="1223"/>
      <c r="F20" s="1223"/>
      <c r="G20" s="1223"/>
      <c r="H20" s="1223"/>
      <c r="I20" s="1224"/>
      <c r="J20" s="158"/>
      <c r="K20" s="158"/>
      <c r="L20" s="158"/>
      <c r="M20" s="158"/>
      <c r="N20" s="158"/>
      <c r="O20" s="158"/>
    </row>
    <row r="21" spans="1:15" s="159" customFormat="1" ht="102" x14ac:dyDescent="0.2">
      <c r="A21" s="87">
        <v>2.0099999999999998</v>
      </c>
      <c r="B21" s="115" t="str">
        <f>'4.0Summary of Rates'!B13</f>
        <v>Spec .cl.No:907</v>
      </c>
      <c r="C21" s="115" t="str">
        <f>'4.0Summary of Rates'!C14</f>
        <v>9.4 I B(ii)</v>
      </c>
      <c r="D21" s="100" t="str">
        <f>'4.0Summary of Rates'!D13</f>
        <v>Earth work in excavation of foundation of structures, including construction of shoring and bracing, removal of stumps and other deleterious matter and backfilling with approved Material as per Drawing and Technical Specifications  
( ordinary soil)</v>
      </c>
      <c r="E21" s="104" t="s">
        <v>1114</v>
      </c>
      <c r="F21" s="105">
        <f>ROUNDUP('3.0Quantity'!$I$25,0)</f>
        <v>1201</v>
      </c>
      <c r="G21" s="93">
        <f>exc_ord_soil_abv6m</f>
        <v>271.41913399999999</v>
      </c>
      <c r="H21" s="93">
        <f t="shared" ref="H21:H27" si="2">ROUNDUP(G21*F21,2)</f>
        <v>325974.38</v>
      </c>
      <c r="I21" s="111"/>
      <c r="J21" s="158">
        <v>5</v>
      </c>
      <c r="K21" s="158"/>
      <c r="L21" s="158"/>
      <c r="M21" s="158"/>
      <c r="N21" s="158"/>
      <c r="O21" s="158"/>
    </row>
    <row r="22" spans="1:15" s="159" customFormat="1" ht="102" x14ac:dyDescent="0.2">
      <c r="A22" s="87">
        <f>A21+0.01</f>
        <v>2.0199999999999996</v>
      </c>
      <c r="B22" s="115" t="str">
        <f>'4.0Summary of Rates'!B13</f>
        <v>Spec .cl.No:907</v>
      </c>
      <c r="C22" s="115" t="str">
        <f>'4.0Summary of Rates'!C16</f>
        <v>9.4 II B</v>
      </c>
      <c r="D22" s="100" t="s">
        <v>1772</v>
      </c>
      <c r="E22" s="104" t="s">
        <v>1114</v>
      </c>
      <c r="F22" s="105">
        <f>ROUNDUP('3.0Quantity'!$I$29,0)</f>
        <v>340</v>
      </c>
      <c r="G22" s="93">
        <f>'4.0Summary of Rates'!F16</f>
        <v>528.36104444444447</v>
      </c>
      <c r="H22" s="93">
        <f t="shared" si="2"/>
        <v>179642.76</v>
      </c>
      <c r="I22" s="111"/>
      <c r="J22" s="158"/>
      <c r="K22" s="158"/>
      <c r="L22" s="158"/>
      <c r="M22" s="158"/>
      <c r="N22" s="158"/>
      <c r="O22" s="158"/>
    </row>
    <row r="23" spans="1:15" s="159" customFormat="1" ht="38.25" x14ac:dyDescent="0.2">
      <c r="A23" s="87">
        <f>A22+0.01</f>
        <v>2.0299999999999994</v>
      </c>
      <c r="B23" s="115" t="str">
        <f>'4.0Summary of Rates'!B17</f>
        <v>Spec .cl.No:1006</v>
      </c>
      <c r="C23" s="115">
        <f>'4.0Summary of Rates'!C17</f>
        <v>10.8</v>
      </c>
      <c r="D23" s="100" t="str">
        <f>'3.0Quantity'!D30</f>
        <v>Providing and laying dry stone soling works all complete as directed by the engineer.(SS/SP 2600)</v>
      </c>
      <c r="E23" s="104" t="s">
        <v>1114</v>
      </c>
      <c r="F23" s="105">
        <f>ROUNDUP('3.0Quantity'!$I$34,0)</f>
        <v>19</v>
      </c>
      <c r="G23" s="707">
        <f>stone_soling</f>
        <v>6466.5420000000004</v>
      </c>
      <c r="H23" s="93">
        <f t="shared" si="2"/>
        <v>122864.29999999999</v>
      </c>
      <c r="I23" s="111"/>
      <c r="J23" s="158">
        <v>0.6</v>
      </c>
      <c r="K23" s="158"/>
      <c r="L23" s="158"/>
      <c r="M23" s="158"/>
      <c r="N23" s="158"/>
      <c r="O23" s="158"/>
    </row>
    <row r="24" spans="1:15" s="159" customFormat="1" ht="76.5" x14ac:dyDescent="0.2">
      <c r="A24" s="87">
        <f>A23+0.01</f>
        <v>2.0399999999999991</v>
      </c>
      <c r="B24" s="115" t="str">
        <f>'4.0Summary of Rates'!B18</f>
        <v>Spec .cl.No:2000</v>
      </c>
      <c r="C24" s="115">
        <f>'4.0Summary of Rates'!C19</f>
        <v>20.100000000000001</v>
      </c>
      <c r="D24" s="1143" t="s">
        <v>1743</v>
      </c>
      <c r="E24" s="104" t="s">
        <v>1114</v>
      </c>
      <c r="F24" s="105">
        <f>ROUNDUP('3.0Quantity'!$I$41,0)</f>
        <v>24</v>
      </c>
      <c r="G24" s="93">
        <f>pcc_M10_found</f>
        <v>11045.513866666666</v>
      </c>
      <c r="H24" s="93">
        <f t="shared" si="2"/>
        <v>265092.34000000003</v>
      </c>
      <c r="I24" s="106"/>
      <c r="J24" s="158">
        <v>2</v>
      </c>
      <c r="K24" s="158"/>
      <c r="L24" s="158"/>
      <c r="M24" s="158"/>
      <c r="N24" s="158"/>
      <c r="O24" s="158"/>
    </row>
    <row r="25" spans="1:15" s="159" customFormat="1" ht="76.5" x14ac:dyDescent="0.2">
      <c r="A25" s="87">
        <f t="shared" ref="A25:A26" si="3">A24+0.01</f>
        <v>2.0499999999999989</v>
      </c>
      <c r="B25" s="115" t="str">
        <f>'4.0Summary of Rates'!B18</f>
        <v>Spec .cl.No:2000</v>
      </c>
      <c r="C25" s="115" t="str">
        <f>'4.0Summary of Rates'!C21</f>
        <v>20.2 G</v>
      </c>
      <c r="D25" s="88" t="str">
        <f>"Providing and placing machine mixed cement concrete Grade "&amp;'0.Data Sheet'!C40&amp;"/20 for foundation  including formwork, compaction, curing, testing  etc. all complete as per specification and drawing.[2000]"</f>
        <v>Providing and placing machine mixed cement concrete Grade M30/20 for foundation  including formwork, compaction, curing, testing  etc. all complete as per specification and drawing.[2000]</v>
      </c>
      <c r="E25" s="104" t="s">
        <v>1114</v>
      </c>
      <c r="F25" s="105">
        <f>ROUNDUP('3.0Quantity'!$I$46,0)</f>
        <v>341</v>
      </c>
      <c r="G25" s="93">
        <f>'4.0Summary of Rates'!F21</f>
        <v>16249.009139999998</v>
      </c>
      <c r="H25" s="93">
        <f t="shared" si="2"/>
        <v>5540912.1200000001</v>
      </c>
      <c r="I25" s="106"/>
      <c r="J25" s="158"/>
      <c r="K25" s="158"/>
      <c r="L25" s="158"/>
      <c r="M25" s="158"/>
      <c r="N25" s="158"/>
      <c r="O25" s="158"/>
    </row>
    <row r="26" spans="1:15" s="159" customFormat="1" ht="63.75" x14ac:dyDescent="0.2">
      <c r="A26" s="87">
        <f t="shared" si="3"/>
        <v>2.0599999999999987</v>
      </c>
      <c r="B26" s="115" t="str">
        <f>'4.0Summary of Rates'!B22</f>
        <v>Spec .cl.No: 2014</v>
      </c>
      <c r="C26" s="115">
        <f>'4.0Summary of Rates'!C22</f>
        <v>20.3</v>
      </c>
      <c r="D26" s="100" t="s">
        <v>1017</v>
      </c>
      <c r="E26" s="104" t="s">
        <v>25</v>
      </c>
      <c r="F26" s="105">
        <f>ROUNDUP('3.0Quantity'!$I$51,0)</f>
        <v>30</v>
      </c>
      <c r="G26" s="93">
        <f>reinf_HYSD_foundation</f>
        <v>119482.3435</v>
      </c>
      <c r="H26" s="93">
        <f t="shared" si="2"/>
        <v>3584470.3099999996</v>
      </c>
      <c r="I26" s="106"/>
      <c r="J26" s="158"/>
      <c r="K26" s="158"/>
      <c r="L26" s="158"/>
      <c r="M26" s="158"/>
      <c r="N26" s="158"/>
      <c r="O26" s="158"/>
    </row>
    <row r="27" spans="1:15" s="159" customFormat="1" ht="76.5" hidden="1" x14ac:dyDescent="0.2">
      <c r="A27" s="87">
        <v>2.06</v>
      </c>
      <c r="B27" s="115" t="str">
        <f>'4.0Summary of Rates'!B23</f>
        <v>Spec .cl.No:1804,1805</v>
      </c>
      <c r="C27" s="115" t="str">
        <f>'4.0Summary of Rates'!C23</f>
        <v>18.1(b)</v>
      </c>
      <c r="D27" s="100" t="s">
        <v>1018</v>
      </c>
      <c r="E27" s="104" t="s">
        <v>290</v>
      </c>
      <c r="F27" s="105">
        <f>ROUNDUP('3.0Quantity'!$I$60,0)</f>
        <v>0</v>
      </c>
      <c r="G27" s="93">
        <f>formw_foundnfooting_F1</f>
        <v>748.75350000000003</v>
      </c>
      <c r="H27" s="93">
        <f t="shared" si="2"/>
        <v>0</v>
      </c>
      <c r="I27" s="106"/>
      <c r="J27" s="158"/>
      <c r="K27" s="158"/>
      <c r="L27" s="158"/>
      <c r="M27" s="158"/>
      <c r="N27" s="158"/>
      <c r="O27" s="158"/>
    </row>
    <row r="28" spans="1:15" s="161" customFormat="1" x14ac:dyDescent="0.2">
      <c r="A28" s="297"/>
      <c r="B28" s="108"/>
      <c r="C28" s="108"/>
      <c r="D28" s="109" t="s">
        <v>291</v>
      </c>
      <c r="E28" s="297"/>
      <c r="F28" s="297"/>
      <c r="G28" s="303"/>
      <c r="H28" s="114">
        <f>SUM(H21:H27)</f>
        <v>10018956.210000001</v>
      </c>
      <c r="I28" s="110"/>
      <c r="J28" s="160"/>
      <c r="K28" s="160"/>
      <c r="L28" s="160"/>
      <c r="M28" s="160"/>
      <c r="N28" s="160"/>
      <c r="O28" s="160"/>
    </row>
    <row r="29" spans="1:15" s="163" customFormat="1" ht="15" x14ac:dyDescent="0.2">
      <c r="A29" s="1222" t="s">
        <v>292</v>
      </c>
      <c r="B29" s="1223"/>
      <c r="C29" s="1223"/>
      <c r="D29" s="1223"/>
      <c r="E29" s="1223"/>
      <c r="F29" s="1223"/>
      <c r="G29" s="1223"/>
      <c r="H29" s="1223"/>
      <c r="I29" s="1224"/>
      <c r="J29" s="162"/>
      <c r="K29" s="162"/>
      <c r="L29" s="162"/>
      <c r="M29" s="162"/>
      <c r="N29" s="162"/>
      <c r="O29" s="162"/>
    </row>
    <row r="30" spans="1:15" s="159" customFormat="1" ht="140.25" x14ac:dyDescent="0.2">
      <c r="A30" s="87">
        <v>3.01</v>
      </c>
      <c r="B30" s="115" t="str">
        <f>'4.0Summary of Rates'!B25</f>
        <v>Spec .cl.No:2000</v>
      </c>
      <c r="C30" s="115" t="str">
        <f>'4.0Summary of Rates'!C27</f>
        <v>20.4 G(q)</v>
      </c>
      <c r="D30" s="100" t="str">
        <f>'3.0Quantity'!D62</f>
        <v>Providing and placing machine mixed cement concrete Grade M30 /20 for abutment stem, pier, wall etc. of sub structure including formwork, compaction, curing, testing and  lead  etc. all complete as per specification and drawing including supply and placing 100 mm HDPE pipe (pressure:4 Kg/cm2) weep hole as per the drawings and specifications.(ss/sp-2000)</v>
      </c>
      <c r="E30" s="104" t="s">
        <v>1114</v>
      </c>
      <c r="F30" s="105">
        <f>ROUNDUP('3.0Quantity'!$I$86,0)</f>
        <v>238</v>
      </c>
      <c r="G30" s="93">
        <f>'4.0Summary of Rates'!F27</f>
        <v>17688.794759999997</v>
      </c>
      <c r="H30" s="93">
        <f t="shared" ref="H30:H35" si="4">ROUNDUP(G30*F30,2)</f>
        <v>4209933.16</v>
      </c>
      <c r="I30" s="112"/>
      <c r="J30" s="158"/>
      <c r="K30" s="158"/>
      <c r="L30" s="158"/>
      <c r="M30" s="158"/>
      <c r="N30" s="158"/>
      <c r="O30" s="158"/>
    </row>
    <row r="31" spans="1:15" s="159" customFormat="1" ht="89.25" x14ac:dyDescent="0.2">
      <c r="A31" s="87">
        <v>3.02</v>
      </c>
      <c r="B31" s="115" t="str">
        <f>'4.0Summary of Rates'!B25</f>
        <v>Spec .cl.No:2000</v>
      </c>
      <c r="C31" s="115" t="str">
        <f>C30</f>
        <v>20.4 G(q)</v>
      </c>
      <c r="D31" s="100" t="str">
        <f>'3.0Quantity'!D87</f>
        <v>Providing and placing machine mixed cement concrete Grade M30/20 for RC pedestal in sub structure including formwork, compaction, curing, testing  etc. all complete as per specification and drawing.  (ss/sp-2000)</v>
      </c>
      <c r="E31" s="104" t="s">
        <v>1114</v>
      </c>
      <c r="F31" s="105">
        <f>ROUNDUP('3.0Quantity'!$I$90,0)</f>
        <v>1</v>
      </c>
      <c r="G31" s="93">
        <f>'4.0Summary of Rates'!F27</f>
        <v>17688.794759999997</v>
      </c>
      <c r="H31" s="93">
        <f t="shared" si="4"/>
        <v>17688.8</v>
      </c>
      <c r="I31" s="106"/>
      <c r="J31" s="158"/>
      <c r="K31" s="158"/>
      <c r="L31" s="158"/>
      <c r="M31" s="158"/>
      <c r="N31" s="158"/>
      <c r="O31" s="158"/>
    </row>
    <row r="32" spans="1:15" s="159" customFormat="1" ht="76.5" x14ac:dyDescent="0.2">
      <c r="A32" s="87">
        <v>3.03</v>
      </c>
      <c r="B32" s="115" t="str">
        <f>'4.0Summary of Rates'!B28</f>
        <v>Spec .cl.No: 2014</v>
      </c>
      <c r="C32" s="115">
        <f>'4.0Summary of Rates'!C28</f>
        <v>20.5</v>
      </c>
      <c r="D32" s="100" t="s">
        <v>430</v>
      </c>
      <c r="E32" s="104" t="s">
        <v>25</v>
      </c>
      <c r="F32" s="105">
        <f>ROUNDUP('3.0Quantity'!$I$104,0)</f>
        <v>25</v>
      </c>
      <c r="G32" s="93">
        <f>reinf_HYSD_sub</f>
        <v>119482.3435</v>
      </c>
      <c r="H32" s="93">
        <f t="shared" si="4"/>
        <v>2987058.59</v>
      </c>
      <c r="I32" s="106"/>
      <c r="J32" s="158"/>
      <c r="K32" s="158"/>
      <c r="L32" s="158"/>
      <c r="M32" s="158"/>
      <c r="N32" s="158"/>
      <c r="O32" s="158"/>
    </row>
    <row r="33" spans="1:15" s="159" customFormat="1" ht="76.5" hidden="1" x14ac:dyDescent="0.2">
      <c r="A33" s="87">
        <v>3.03</v>
      </c>
      <c r="B33" s="115" t="str">
        <f>'4.0Summary of Rates'!B29</f>
        <v>Spec .cl.No:1804,1805</v>
      </c>
      <c r="C33" s="115" t="str">
        <f>'4.0Summary of Rates'!C30</f>
        <v>18.2(b) iii.</v>
      </c>
      <c r="D33" s="100" t="s">
        <v>431</v>
      </c>
      <c r="E33" s="104" t="s">
        <v>290</v>
      </c>
      <c r="F33" s="105">
        <f>ROUNDUP('3.0Quantity'!$I$140,0)</f>
        <v>0</v>
      </c>
      <c r="G33" s="93">
        <f>formw_vertwall_F2_6mto9m</f>
        <v>1035.7053333333333</v>
      </c>
      <c r="H33" s="93">
        <f t="shared" si="4"/>
        <v>0</v>
      </c>
      <c r="I33" s="106"/>
      <c r="J33" s="158"/>
      <c r="K33" s="158"/>
      <c r="L33" s="158"/>
      <c r="M33" s="158"/>
      <c r="N33" s="158"/>
      <c r="O33" s="158"/>
    </row>
    <row r="34" spans="1:15" s="159" customFormat="1" ht="51" x14ac:dyDescent="0.2">
      <c r="A34" s="87">
        <f>A32+0.01</f>
        <v>3.0399999999999996</v>
      </c>
      <c r="B34" s="115" t="str">
        <f>'4.0Summary of Rates'!B31</f>
        <v>Spec .cl.No:908</v>
      </c>
      <c r="C34" s="115" t="str">
        <f>'4.0Summary of Rates'!C33</f>
        <v>9.11 C</v>
      </c>
      <c r="D34" s="100" t="str">
        <f>'3.0Quantity'!D141</f>
        <v>Backfilling with the common material in layers in foundation pits, trenches etc. with necessary watering and compaction.(ss/sp-908)</v>
      </c>
      <c r="E34" s="104" t="s">
        <v>1114</v>
      </c>
      <c r="F34" s="105">
        <f>ROUNDUP('3.0Quantity'!$I$150,0)</f>
        <v>1008</v>
      </c>
      <c r="G34" s="93">
        <f>backfilling_local</f>
        <v>1289.78</v>
      </c>
      <c r="H34" s="93">
        <f t="shared" si="4"/>
        <v>1300098.24</v>
      </c>
      <c r="I34" s="106"/>
      <c r="J34" s="158"/>
      <c r="K34" s="158"/>
      <c r="L34" s="158"/>
      <c r="M34" s="158"/>
      <c r="N34" s="158"/>
      <c r="O34" s="158"/>
    </row>
    <row r="35" spans="1:15" s="159" customFormat="1" ht="51" x14ac:dyDescent="0.2">
      <c r="A35" s="87">
        <f>A34+0.01</f>
        <v>3.0499999999999994</v>
      </c>
      <c r="B35" s="115" t="str">
        <f>'4.0Summary of Rates'!B31</f>
        <v>Spec .cl.No:908</v>
      </c>
      <c r="C35" s="115" t="str">
        <f>'4.0Summary of Rates'!C32</f>
        <v>9.11-A</v>
      </c>
      <c r="D35" s="100" t="str">
        <f>'3.0Quantity'!D151</f>
        <v>Backfilling with graded filter material in layer behind the structures including compaction and watering, all complete(ss/sp-2400)</v>
      </c>
      <c r="E35" s="104" t="s">
        <v>1114</v>
      </c>
      <c r="F35" s="105">
        <f>ROUNDUP('3.0Quantity'!$I$154,0)</f>
        <v>89</v>
      </c>
      <c r="G35" s="93">
        <f>backfilling_granular</f>
        <v>3341.58</v>
      </c>
      <c r="H35" s="93">
        <f t="shared" si="4"/>
        <v>297400.62</v>
      </c>
      <c r="I35" s="106"/>
      <c r="J35" s="164"/>
      <c r="K35" s="158"/>
      <c r="L35" s="158"/>
      <c r="M35" s="158"/>
      <c r="N35" s="158"/>
      <c r="O35" s="158"/>
    </row>
    <row r="36" spans="1:15" s="159" customFormat="1" ht="51" x14ac:dyDescent="0.2">
      <c r="A36" s="87">
        <f>A35+0.01</f>
        <v>3.0599999999999992</v>
      </c>
      <c r="B36" s="115" t="str">
        <f>'4.0Summary of Rates'!B35</f>
        <v>Spec .cl.No:2404</v>
      </c>
      <c r="C36" s="115">
        <f>'4.0Summary of Rates'!C35</f>
        <v>24.5</v>
      </c>
      <c r="D36" s="89" t="s">
        <v>435</v>
      </c>
      <c r="E36" s="104" t="s">
        <v>290</v>
      </c>
      <c r="F36" s="106">
        <f>ROUNDUP('3.0Quantity'!$I$158,0)</f>
        <v>138</v>
      </c>
      <c r="G36" s="93">
        <f>geo_textile_rate</f>
        <v>258.40499999999997</v>
      </c>
      <c r="H36" s="123">
        <f>ROUNDUP(F36*G36,2)</f>
        <v>35659.89</v>
      </c>
      <c r="I36" s="106"/>
      <c r="J36" s="158"/>
      <c r="K36" s="158"/>
      <c r="L36" s="158"/>
      <c r="M36" s="158"/>
      <c r="N36" s="158"/>
      <c r="O36" s="158"/>
    </row>
    <row r="37" spans="1:15" s="161" customFormat="1" x14ac:dyDescent="0.2">
      <c r="A37" s="297"/>
      <c r="B37" s="108"/>
      <c r="C37" s="108"/>
      <c r="D37" s="109" t="s">
        <v>293</v>
      </c>
      <c r="E37" s="297"/>
      <c r="F37" s="297"/>
      <c r="G37" s="303"/>
      <c r="H37" s="114">
        <f>SUM(H30:H36)</f>
        <v>8847839.2999999989</v>
      </c>
      <c r="I37" s="110"/>
      <c r="J37" s="160"/>
      <c r="K37" s="160"/>
      <c r="L37" s="160"/>
      <c r="M37" s="160"/>
      <c r="N37" s="160"/>
      <c r="O37" s="160"/>
    </row>
    <row r="38" spans="1:15" s="162" customFormat="1" ht="15" x14ac:dyDescent="0.2">
      <c r="A38" s="1225" t="s">
        <v>1112</v>
      </c>
      <c r="B38" s="1225"/>
      <c r="C38" s="1225"/>
      <c r="D38" s="1225"/>
      <c r="E38" s="1225"/>
      <c r="F38" s="1225"/>
      <c r="G38" s="1225"/>
      <c r="H38" s="1225"/>
      <c r="I38" s="1225"/>
      <c r="J38" s="296">
        <f>ROW()</f>
        <v>38</v>
      </c>
    </row>
    <row r="39" spans="1:15" s="296" customFormat="1" ht="56.25" customHeight="1" x14ac:dyDescent="0.2">
      <c r="A39" s="104">
        <v>4.01</v>
      </c>
      <c r="B39" s="316" t="str">
        <f>'4.0Summary of Rates'!B38</f>
        <v>Spec .cl.No:2000</v>
      </c>
      <c r="C39" s="316" t="str">
        <f>'4.0Summary of Rates'!C39</f>
        <v>20.8 B ii (r)</v>
      </c>
      <c r="D39" s="107" t="str">
        <f>'3.0Quantity'!D161</f>
        <v>Supply and place M25/20 grade concrete including mixing, laying, compacting and curing all complete (2000)</v>
      </c>
      <c r="E39" s="104" t="s">
        <v>1114</v>
      </c>
      <c r="F39" s="105">
        <f>IF(AND(Super_type="PSC",'0.Data Sheet'!C25="DOR"),0,ROUNDUP('3.0Quantity'!I175,0))</f>
        <v>119</v>
      </c>
      <c r="G39" s="302">
        <f>rcc_m25_solid_super_above10m</f>
        <v>19688.42673333333</v>
      </c>
      <c r="H39" s="93">
        <f>ROUNDUP(G39*F39,2)</f>
        <v>2342922.7899999996</v>
      </c>
      <c r="I39" s="295"/>
    </row>
    <row r="40" spans="1:15" s="296" customFormat="1" ht="63.75" x14ac:dyDescent="0.2">
      <c r="A40" s="104">
        <f>A39+0.01</f>
        <v>4.0199999999999996</v>
      </c>
      <c r="B40" s="316" t="str">
        <f>'4.0Summary of Rates'!B40</f>
        <v>Spec .cl.No: 2014</v>
      </c>
      <c r="C40" s="316">
        <f>'4.0Summary of Rates'!C40</f>
        <v>20.9</v>
      </c>
      <c r="D40" s="107" t="str">
        <f>'3.0Quantity'!D176</f>
        <v>Supplying, Cutting, bending, placing of reinforcement (HYSD bars) in position as shown in the drawings and binding by wires as specified in the specification.  (2014)</v>
      </c>
      <c r="E40" s="104" t="s">
        <v>259</v>
      </c>
      <c r="F40" s="105">
        <f>IF(AND(Super_type="PSC",'0.Data Sheet'!C25="DOR"),0,ROUNDUP('3.0Quantity'!I183,0))</f>
        <v>18</v>
      </c>
      <c r="G40" s="302">
        <f>reinf_HYSD_superstr</f>
        <v>122138.8435</v>
      </c>
      <c r="H40" s="93">
        <f t="shared" ref="H40:H45" si="5">ROUNDUP(G40*F40,2)</f>
        <v>2198499.19</v>
      </c>
      <c r="I40" s="295"/>
    </row>
    <row r="41" spans="1:15" s="296" customFormat="1" ht="76.5" hidden="1" x14ac:dyDescent="0.2">
      <c r="A41" s="104">
        <f t="shared" ref="A41:A46" si="6">A40+0.01</f>
        <v>4.0299999999999994</v>
      </c>
      <c r="B41" s="316" t="str">
        <f>'4.0Summary of Rates'!B41</f>
        <v>Spec .cl.No:1804,1805</v>
      </c>
      <c r="C41" s="316" t="str">
        <f>'4.0Summary of Rates'!C42</f>
        <v>18.7(b)</v>
      </c>
      <c r="D41" s="107" t="str">
        <f>'3.0Quantity'!D185</f>
        <v xml:space="preserve">Providing , Preparing and Installing form work including necessary supports and removing after completion for slab &amp; beam structure - Class F2 finish using shuttering ply, (false work not included). </v>
      </c>
      <c r="E41" s="104" t="s">
        <v>290</v>
      </c>
      <c r="F41" s="105">
        <f>IF(AND(Super_type="PSC",'0.Data Sheet'!C25="DOR"),0,ROUNDUP('3.0Quantity'!I194,0))</f>
        <v>0</v>
      </c>
      <c r="G41" s="302">
        <f>formw_slabnbeam_F2_nofalsew</f>
        <v>989.04216666666673</v>
      </c>
      <c r="H41" s="93">
        <f t="shared" si="5"/>
        <v>0</v>
      </c>
      <c r="I41" s="295"/>
    </row>
    <row r="42" spans="1:15" s="296" customFormat="1" ht="63.75" x14ac:dyDescent="0.2">
      <c r="A42" s="104">
        <f>A40+0.01</f>
        <v>4.0299999999999994</v>
      </c>
      <c r="B42" s="316" t="str">
        <f>'4.0Summary of Rates'!B43</f>
        <v>Spec .cl.No:1803</v>
      </c>
      <c r="C42" s="316" t="str">
        <f>'4.0Summary of Rates'!C44</f>
        <v>18.11(b) ii.</v>
      </c>
      <c r="D42" s="107" t="str">
        <f>'3.0Quantity'!D195</f>
        <v xml:space="preserve">Providing and assembling in position falsework for the construction of RCC superstructure and removing after completion all complete using steel as per drawing and specification. </v>
      </c>
      <c r="E42" s="104" t="s">
        <v>290</v>
      </c>
      <c r="F42" s="105">
        <f>IF(AND(Super_type="PSC",'0.Data Sheet'!C25="DOR"),0,ROUNDUP('3.0Quantity'!I197,0))</f>
        <v>128</v>
      </c>
      <c r="G42" s="302">
        <f>false_3to6_RCC</f>
        <v>4982.215666666666</v>
      </c>
      <c r="H42" s="93">
        <f t="shared" si="5"/>
        <v>637723.61</v>
      </c>
      <c r="I42" s="295"/>
    </row>
    <row r="43" spans="1:15" s="296" customFormat="1" ht="63.75" x14ac:dyDescent="0.2">
      <c r="A43" s="104">
        <f t="shared" si="6"/>
        <v>4.0399999999999991</v>
      </c>
      <c r="B43" s="316" t="str">
        <f>'4.0Summary of Rates'!B45</f>
        <v>Spec .cl.No:1902</v>
      </c>
      <c r="C43" s="316">
        <f>'4.0Summary of Rates'!C45</f>
        <v>19.399999999999999</v>
      </c>
      <c r="D43" s="107" t="str">
        <f>'4.0Summary of Rates'!D45</f>
        <v>Supplying, fitting and fixing in position true to line and level elastomeric bearing including all accessories as per Drawing and Technical Specifications.</v>
      </c>
      <c r="E43" s="104" t="s">
        <v>287</v>
      </c>
      <c r="F43" s="105">
        <f>IF(AND(Super_type="PSC",'0.Data Sheet'!C25="DOR"),0,ROUNDUP('3.0Quantity'!I200,0))</f>
        <v>6</v>
      </c>
      <c r="G43" s="302">
        <f>pot_bearing</f>
        <v>48597.16</v>
      </c>
      <c r="H43" s="93">
        <f t="shared" si="5"/>
        <v>291582.96000000002</v>
      </c>
      <c r="I43" s="295"/>
    </row>
    <row r="44" spans="1:15" s="296" customFormat="1" ht="38.25" x14ac:dyDescent="0.2">
      <c r="A44" s="104">
        <f t="shared" si="6"/>
        <v>4.0499999999999989</v>
      </c>
      <c r="B44" s="316" t="str">
        <f>'4.0Summary of Rates'!B46</f>
        <v>Spec .cl.No:1901</v>
      </c>
      <c r="C44" s="316">
        <f>'4.0Summary of Rates'!C46</f>
        <v>19.100000000000001</v>
      </c>
      <c r="D44" s="107" t="str">
        <f>'3.0Quantity'!D201</f>
        <v>Providing Elastomeric Slab Seal type  expansion joint  as per drawing and specification all complete.</v>
      </c>
      <c r="E44" s="104" t="s">
        <v>96</v>
      </c>
      <c r="F44" s="105">
        <f>IF(AND(Super_type="PSC",'0.Data Sheet'!C25="DOR"),0,ROUNDUP('3.0Quantity'!I201,0))</f>
        <v>17</v>
      </c>
      <c r="G44" s="302">
        <f>expansion_joint</f>
        <v>19427.66</v>
      </c>
      <c r="H44" s="93">
        <f t="shared" si="5"/>
        <v>330270.21999999997</v>
      </c>
      <c r="I44" s="295"/>
    </row>
    <row r="45" spans="1:15" s="296" customFormat="1" ht="127.5" x14ac:dyDescent="0.2">
      <c r="A45" s="104">
        <f t="shared" si="6"/>
        <v>4.0599999999999987</v>
      </c>
      <c r="B45" s="316" t="str">
        <f>'4.0Summary of Rates'!B47</f>
        <v>Spec .cl.No: 3105</v>
      </c>
      <c r="C45" s="316">
        <f>'4.0Summary of Rates'!C47</f>
        <v>31.7</v>
      </c>
      <c r="D45" s="107" t="str">
        <f>'4.0Summary of Rates'!D47</f>
        <v>Tubular Steel Railing on Precast RCC Posts, 1.2 m High Above Ground Level Providing, fencing and erecting 50 mm dia painted steel pipe railing in 3 rows on precast M 20 grade RCC vertical posts 1.8 metres high (1.2 m above GL) with 3 holes 50 mm dia for pipe, fixed 2 metres center to, complete as per Drawing and Technical Specifications.</v>
      </c>
      <c r="E45" s="104" t="s">
        <v>96</v>
      </c>
      <c r="F45" s="105">
        <f>IF(AND(Super_type="PSC",'0.Data Sheet'!C25="DOR"),0,ROUNDUP('3.0Quantity'!I204,0))</f>
        <v>57</v>
      </c>
      <c r="G45" s="302">
        <f>'4.0Summary of Rates'!F47</f>
        <v>3764.7193868318259</v>
      </c>
      <c r="H45" s="93">
        <f t="shared" si="5"/>
        <v>214589.01</v>
      </c>
      <c r="I45" s="295"/>
    </row>
    <row r="46" spans="1:15" s="296" customFormat="1" ht="76.5" x14ac:dyDescent="0.2">
      <c r="A46" s="104">
        <f t="shared" si="6"/>
        <v>4.0699999999999985</v>
      </c>
      <c r="B46" s="316" t="str">
        <f>'4.0Summary of Rates'!B48</f>
        <v>SS 1501</v>
      </c>
      <c r="C46" s="316">
        <f>'4.0Summary of Rates'!C48</f>
        <v>15.4</v>
      </c>
      <c r="D46" s="300" t="str">
        <f>'4.0Summary of Rates'!D48</f>
        <v>Providing and Painting two coats after filling the surface with synthetic enamel paint in all shades on concrete / plaster surfaces as per Drawing and Technical specifications. (1501)</v>
      </c>
      <c r="E46" s="104" t="s">
        <v>290</v>
      </c>
      <c r="F46" s="105">
        <f>'3.0Quantity'!I207</f>
        <v>93.06</v>
      </c>
      <c r="G46" s="302">
        <f>'4.0Summary of Rates'!F48</f>
        <v>925.67000000000007</v>
      </c>
      <c r="H46" s="93">
        <f>ROUNDUP(G46*F46,2)</f>
        <v>86142.86</v>
      </c>
      <c r="I46" s="295"/>
    </row>
    <row r="47" spans="1:15" s="296" customFormat="1" x14ac:dyDescent="0.2">
      <c r="A47" s="1068"/>
      <c r="B47" s="1069"/>
      <c r="C47" s="1069"/>
      <c r="D47" s="1070"/>
      <c r="E47" s="1068"/>
      <c r="F47" s="1071"/>
      <c r="G47" s="1072"/>
      <c r="H47" s="1073"/>
      <c r="I47" s="1074"/>
    </row>
    <row r="48" spans="1:15" s="296" customFormat="1" x14ac:dyDescent="0.2">
      <c r="A48" s="341"/>
      <c r="B48" s="342"/>
      <c r="C48" s="342"/>
      <c r="D48" s="343" t="s">
        <v>294</v>
      </c>
      <c r="E48" s="341"/>
      <c r="F48" s="341"/>
      <c r="G48" s="344"/>
      <c r="H48" s="345">
        <f>IF(OR(Super_type="PSC",client_1="DOR"),0,SUM(H39:H46))</f>
        <v>6101730.6399999997</v>
      </c>
      <c r="I48" s="346"/>
      <c r="J48" s="296">
        <f>ROW()</f>
        <v>48</v>
      </c>
    </row>
    <row r="49" spans="1:15" ht="15.75" x14ac:dyDescent="0.2">
      <c r="A49" s="1213" t="s">
        <v>295</v>
      </c>
      <c r="B49" s="1214"/>
      <c r="C49" s="1214"/>
      <c r="D49" s="1214"/>
      <c r="E49" s="1214"/>
      <c r="F49" s="1214"/>
      <c r="G49" s="1214"/>
      <c r="H49" s="1214"/>
      <c r="I49" s="1215"/>
    </row>
    <row r="50" spans="1:15" ht="63.75" x14ac:dyDescent="0.2">
      <c r="A50" s="87">
        <v>5.01</v>
      </c>
      <c r="B50" s="115" t="str">
        <f>'4.0Summary of Rates'!B13</f>
        <v>Spec .cl.No:907</v>
      </c>
      <c r="C50" s="115" t="str">
        <f>'4.0Summary of Rates'!C14</f>
        <v>9.4 I B(ii)</v>
      </c>
      <c r="D50" s="100" t="s">
        <v>1092</v>
      </c>
      <c r="E50" s="104" t="s">
        <v>1114</v>
      </c>
      <c r="F50" s="105">
        <f>ROUNDUP('3.0Quantity'!$I$213,0)</f>
        <v>296</v>
      </c>
      <c r="G50" s="93">
        <f>exc_3mto6m</f>
        <v>221.91163866666662</v>
      </c>
      <c r="H50" s="93">
        <f>ROUNDUP(G50*F50,2)</f>
        <v>65685.849999999991</v>
      </c>
      <c r="I50" s="113"/>
    </row>
    <row r="51" spans="1:15" ht="63.75" x14ac:dyDescent="0.2">
      <c r="A51" s="87">
        <f>A50+0.01</f>
        <v>5.0199999999999996</v>
      </c>
      <c r="B51" s="116" t="str">
        <f>'4.0Summary of Rates'!B31</f>
        <v>Spec .cl.No:908</v>
      </c>
      <c r="C51" s="116" t="str">
        <f>'4.0Summary of Rates'!C33</f>
        <v>9.11 C</v>
      </c>
      <c r="D51" s="100" t="s">
        <v>433</v>
      </c>
      <c r="E51" s="104" t="s">
        <v>1114</v>
      </c>
      <c r="F51" s="105">
        <f>ROUNDUP('3.0Quantity'!$I$214,0)</f>
        <v>148</v>
      </c>
      <c r="G51" s="93">
        <f>backfilling_local</f>
        <v>1289.78</v>
      </c>
      <c r="H51" s="93">
        <f>ROUNDUP(G51*F51,2)</f>
        <v>190887.44</v>
      </c>
      <c r="I51" s="113"/>
    </row>
    <row r="52" spans="1:15" ht="153" x14ac:dyDescent="0.2">
      <c r="A52" s="87">
        <f t="shared" ref="A52:A56" si="7">A51+0.01</f>
        <v>5.0299999999999994</v>
      </c>
      <c r="B52" s="115" t="str">
        <f>'4.0Summary of Rates'!B50</f>
        <v>Spec .cl.No: 2401</v>
      </c>
      <c r="C52" s="115" t="str">
        <f>'4.0Summary of Rates'!C52</f>
        <v>24.1-A(iv)</v>
      </c>
      <c r="D52" s="107" t="str">
        <f>'4.0Summary of Rates'!D52</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1x1x1(6 Sq.m), as per Drawing and Technical Specifications (SS 2401).</v>
      </c>
      <c r="E52" s="104" t="s">
        <v>1114</v>
      </c>
      <c r="F52" s="105">
        <f>ROUNDUP('3.0Quantity'!I215,0)</f>
        <v>40</v>
      </c>
      <c r="G52" s="93">
        <f>gabion_1x1x1</f>
        <v>6312.1105852566679</v>
      </c>
      <c r="H52" s="93">
        <f>ROUNDUP(G52*F52,2)</f>
        <v>252484.43000000002</v>
      </c>
      <c r="I52" s="113"/>
      <c r="J52" s="170"/>
    </row>
    <row r="53" spans="1:15" ht="153" x14ac:dyDescent="0.2">
      <c r="A53" s="87">
        <f t="shared" si="7"/>
        <v>5.0399999999999991</v>
      </c>
      <c r="B53" s="115" t="str">
        <f>'4.0Summary of Rates'!B51</f>
        <v>Spec .cl.No: 2401</v>
      </c>
      <c r="C53" s="115" t="str">
        <f>'4.0Summary of Rates'!C51</f>
        <v>24.1-A(ii)</v>
      </c>
      <c r="D53" s="107" t="str">
        <f>'4.0Summary of Rates'!D51</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2x1x1 ( 11 sqm), as per Drawing and Technical Specifications (SS 2401).</v>
      </c>
      <c r="E53" s="104" t="s">
        <v>1114</v>
      </c>
      <c r="F53" s="105">
        <f>ROUNDUP('3.0Quantity'!I216,0)</f>
        <v>160</v>
      </c>
      <c r="G53" s="93">
        <f>gabion_2x1x1</f>
        <v>5960.1064667483333</v>
      </c>
      <c r="H53" s="93">
        <f>+G53*F53</f>
        <v>953617.03467973333</v>
      </c>
      <c r="I53" s="113"/>
      <c r="J53" s="170"/>
    </row>
    <row r="54" spans="1:15" ht="153" x14ac:dyDescent="0.2">
      <c r="A54" s="87">
        <f t="shared" si="7"/>
        <v>5.0499999999999989</v>
      </c>
      <c r="B54" s="115" t="str">
        <f>B53</f>
        <v>Spec .cl.No: 2401</v>
      </c>
      <c r="C54" s="115" t="str">
        <f>'4.0Summary of Rates'!C50</f>
        <v>24.1-A(i)</v>
      </c>
      <c r="D54" s="107" t="str">
        <f>'4.0Summary of Rates'!D50</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3x1x1 ( 16 sqm), as per Drawing and Technical Specifications (SS 2401).</v>
      </c>
      <c r="E54" s="104" t="s">
        <v>1114</v>
      </c>
      <c r="F54" s="105">
        <f>ROUNDUP('3.0Quantity'!I217,0)</f>
        <v>240</v>
      </c>
      <c r="G54" s="93">
        <f>gabion_3x1x1</f>
        <v>5889.2809115533337</v>
      </c>
      <c r="H54" s="93">
        <f>+G54*F54</f>
        <v>1413427.4187728001</v>
      </c>
      <c r="I54" s="113"/>
      <c r="J54" s="170"/>
    </row>
    <row r="55" spans="1:15" ht="63.75" x14ac:dyDescent="0.2">
      <c r="A55" s="87">
        <f t="shared" si="7"/>
        <v>5.0599999999999987</v>
      </c>
      <c r="B55" s="115" t="str">
        <f>'4.0Summary of Rates'!B53</f>
        <v>Spec .cl.No: 2600,2607</v>
      </c>
      <c r="C55" s="115" t="str">
        <f>'4.0Summary of Rates'!C53</f>
        <v>26.5 A</v>
      </c>
      <c r="D55" s="95" t="str">
        <f>'3.0Quantity'!D218</f>
        <v>Providing and laying Random rubble stone masonry in cement mortar  (1:4) including scaffolding, curing, preparation of mortar etc complete [2600]</v>
      </c>
      <c r="E55" s="104" t="s">
        <v>1114</v>
      </c>
      <c r="F55" s="117">
        <f>ROUNDUP('3.0Quantity'!I222,0)</f>
        <v>230</v>
      </c>
      <c r="G55" s="93">
        <f>RRM_1_4</f>
        <v>11887.7875785</v>
      </c>
      <c r="H55" s="93">
        <f>G55*F55</f>
        <v>2734191.1430549999</v>
      </c>
      <c r="I55" s="113"/>
    </row>
    <row r="56" spans="1:15" ht="51" x14ac:dyDescent="0.2">
      <c r="A56" s="87">
        <f t="shared" si="7"/>
        <v>5.0699999999999985</v>
      </c>
      <c r="B56" s="115" t="str">
        <f>'4.0Summary of Rates'!B35</f>
        <v>Spec .cl.No:2404</v>
      </c>
      <c r="C56" s="115">
        <f>'4.0Summary of Rates'!C35</f>
        <v>24.5</v>
      </c>
      <c r="D56" s="89" t="s">
        <v>434</v>
      </c>
      <c r="E56" s="104" t="s">
        <v>290</v>
      </c>
      <c r="F56" s="117">
        <f>ROUNDUP('3.0Quantity'!I224,0)</f>
        <v>699</v>
      </c>
      <c r="G56" s="93">
        <f>geo_textile_rate</f>
        <v>258.40499999999997</v>
      </c>
      <c r="H56" s="93">
        <f>ROUNDUP(G56*F56,2)</f>
        <v>180625.1</v>
      </c>
      <c r="I56" s="113"/>
    </row>
    <row r="57" spans="1:15" s="161" customFormat="1" x14ac:dyDescent="0.2">
      <c r="A57" s="305"/>
      <c r="B57" s="307"/>
      <c r="C57" s="307"/>
      <c r="D57" s="306" t="s">
        <v>297</v>
      </c>
      <c r="E57" s="305"/>
      <c r="F57" s="305"/>
      <c r="G57" s="308"/>
      <c r="H57" s="309">
        <f>SUM(H50:H56)</f>
        <v>5790918.4165075328</v>
      </c>
      <c r="I57" s="310"/>
      <c r="J57" s="160"/>
      <c r="K57" s="160"/>
      <c r="L57" s="160"/>
      <c r="M57" s="160"/>
      <c r="N57" s="160"/>
      <c r="O57" s="160"/>
    </row>
    <row r="58" spans="1:15" s="159" customFormat="1" ht="15.75" x14ac:dyDescent="0.2">
      <c r="A58" s="1216" t="s">
        <v>296</v>
      </c>
      <c r="B58" s="1217"/>
      <c r="C58" s="1217"/>
      <c r="D58" s="1217"/>
      <c r="E58" s="1217"/>
      <c r="F58" s="1217"/>
      <c r="G58" s="1217"/>
      <c r="H58" s="1217"/>
      <c r="I58" s="1218"/>
      <c r="J58" s="158"/>
      <c r="K58" s="158"/>
      <c r="L58" s="158"/>
      <c r="M58" s="158"/>
      <c r="N58" s="158"/>
      <c r="O58" s="158"/>
    </row>
    <row r="59" spans="1:15" s="159" customFormat="1" ht="102" x14ac:dyDescent="0.2">
      <c r="A59" s="186">
        <v>6.01</v>
      </c>
      <c r="B59" s="115" t="str">
        <f>'4.0Summary of Rates'!B13</f>
        <v>Spec .cl.No:907</v>
      </c>
      <c r="C59" s="115" t="str">
        <f>'4.0Summary of Rates'!C14</f>
        <v>9.4 I B(ii)</v>
      </c>
      <c r="D59" s="171" t="str">
        <f>'3.0Quantity'!D226</f>
        <v xml:space="preserve">Roadway excavation in all types of soil/rock  by both manual and mechanical  means as per drawing and technical specification, including removal of stumps and other deleterious matter, with all lifts and lead as drawing and instruction of  engineer. </v>
      </c>
      <c r="E59" s="172" t="s">
        <v>1114</v>
      </c>
      <c r="F59" s="173">
        <f>'3.0Quantity'!I226</f>
        <v>1713.2</v>
      </c>
      <c r="G59" s="174">
        <f>exc_3mto6m</f>
        <v>221.91163866666662</v>
      </c>
      <c r="H59" s="174">
        <f t="shared" ref="H59:H62" si="8">ROUNDUP(G59*F59,2)</f>
        <v>380179.02</v>
      </c>
      <c r="I59" s="175"/>
      <c r="J59" s="158"/>
      <c r="K59" s="158"/>
      <c r="L59" s="158"/>
      <c r="M59" s="158"/>
      <c r="N59" s="158"/>
    </row>
    <row r="60" spans="1:15" s="159" customFormat="1" ht="76.5" x14ac:dyDescent="0.2">
      <c r="A60" s="186">
        <f>A59+0.01</f>
        <v>6.02</v>
      </c>
      <c r="B60" s="115" t="str">
        <f>'4.0Summary of Rates'!B34</f>
        <v>SS 909,910</v>
      </c>
      <c r="C60" s="115" t="str">
        <f>'4.0Summary of Rates'!C34</f>
        <v>9.9-B</v>
      </c>
      <c r="D60" s="171" t="str">
        <f>'3.0Quantity'!D227</f>
        <v>Providing,laying,spreading and compacting with Roadway cutting material and Compact to the required density (By Using Machine) as per Drawing and and Technical Specifications (SS 909,910)</v>
      </c>
      <c r="E60" s="172" t="s">
        <v>1114</v>
      </c>
      <c r="F60" s="173">
        <f>'3.0Quantity'!I230</f>
        <v>1600.3249999999998</v>
      </c>
      <c r="G60" s="174">
        <f>'4.0Summary of Rates'!F34</f>
        <v>376.70290000000006</v>
      </c>
      <c r="H60" s="174">
        <f>ROUNDUP(G60*F60,2)</f>
        <v>602847.07000000007</v>
      </c>
      <c r="I60" s="175"/>
      <c r="J60" s="158"/>
      <c r="K60" s="158"/>
      <c r="L60" s="158"/>
      <c r="M60" s="158"/>
      <c r="N60" s="158"/>
    </row>
    <row r="61" spans="1:15" ht="153" x14ac:dyDescent="0.25">
      <c r="A61" s="186">
        <v>6.03</v>
      </c>
      <c r="B61" s="177" t="str">
        <f>'4.0Summary of Rates'!B51</f>
        <v>Spec .cl.No: 2401</v>
      </c>
      <c r="C61" s="177" t="str">
        <f>'4.0Summary of Rates'!C51</f>
        <v>24.1-A(ii)</v>
      </c>
      <c r="D61" s="171" t="s">
        <v>1074</v>
      </c>
      <c r="E61" s="172" t="s">
        <v>198</v>
      </c>
      <c r="F61" s="173">
        <f>'3.0Quantity'!I231</f>
        <v>1158.75</v>
      </c>
      <c r="G61" s="174">
        <f>gabion_2x1x1</f>
        <v>5960.1064667483333</v>
      </c>
      <c r="H61" s="174">
        <f>ROUNDUP(G61*F61,2)</f>
        <v>6906273.3700000001</v>
      </c>
      <c r="I61" s="178"/>
      <c r="J61" s="320"/>
      <c r="K61" s="318"/>
      <c r="L61" s="319"/>
      <c r="M61" s="98"/>
      <c r="N61" s="321"/>
      <c r="O61" s="156"/>
    </row>
    <row r="62" spans="1:15" s="159" customFormat="1" ht="76.5" x14ac:dyDescent="0.2">
      <c r="A62" s="186">
        <f t="shared" ref="A62" si="9">A61+0.01</f>
        <v>6.04</v>
      </c>
      <c r="B62" s="177" t="str">
        <f>'4.0Summary of Rates'!B54</f>
        <v>SS 1201)</v>
      </c>
      <c r="C62" s="177" t="str">
        <f>'4.0Summary of Rates'!C54</f>
        <v>12.1 (A)</v>
      </c>
      <c r="D62" s="176" t="str">
        <f>'3.0Quantity'!D232</f>
        <v>Providing and laying granular sub-base on prepared surface, mixing at OMC and compacting to achieve the desired density (by Machine), complete per Drawing and Technical Specification (SS 1201).</v>
      </c>
      <c r="E62" s="172" t="s">
        <v>1114</v>
      </c>
      <c r="F62" s="173">
        <f>'3.0Quantity'!I232</f>
        <v>186.00000000000003</v>
      </c>
      <c r="G62" s="174">
        <f>Subbase_material</f>
        <v>2905.6669666666667</v>
      </c>
      <c r="H62" s="174">
        <f t="shared" si="8"/>
        <v>540454.06000000006</v>
      </c>
      <c r="I62" s="175"/>
      <c r="J62" s="158"/>
      <c r="K62" s="158"/>
      <c r="L62" s="158"/>
      <c r="M62" s="158"/>
      <c r="N62" s="158"/>
    </row>
    <row r="63" spans="1:15" s="161" customFormat="1" x14ac:dyDescent="0.2">
      <c r="A63" s="298"/>
      <c r="B63" s="180"/>
      <c r="C63" s="180"/>
      <c r="D63" s="181" t="s">
        <v>437</v>
      </c>
      <c r="E63" s="298"/>
      <c r="F63" s="298"/>
      <c r="G63" s="304"/>
      <c r="H63" s="182">
        <f>SUM(H59:H62)</f>
        <v>8429753.5199999996</v>
      </c>
      <c r="I63" s="183"/>
      <c r="J63" s="160"/>
      <c r="K63" s="160"/>
      <c r="L63" s="160"/>
      <c r="M63" s="160"/>
      <c r="N63" s="160"/>
      <c r="O63" s="160"/>
    </row>
    <row r="64" spans="1:15" ht="15" x14ac:dyDescent="0.2">
      <c r="A64" s="1219" t="s">
        <v>1669</v>
      </c>
      <c r="B64" s="1220"/>
      <c r="C64" s="1220"/>
      <c r="D64" s="1220"/>
      <c r="E64" s="1220"/>
      <c r="F64" s="1220"/>
      <c r="G64" s="1220"/>
      <c r="H64" s="1220"/>
      <c r="I64" s="1221"/>
    </row>
    <row r="65" spans="1:15" ht="63.75" x14ac:dyDescent="0.2">
      <c r="A65" s="172">
        <v>7.01</v>
      </c>
      <c r="B65" s="452"/>
      <c r="C65" s="683"/>
      <c r="D65" s="99" t="s">
        <v>1124</v>
      </c>
      <c r="E65" s="453" t="s">
        <v>189</v>
      </c>
      <c r="F65" s="454"/>
      <c r="G65" s="454"/>
      <c r="H65" s="174">
        <v>500000</v>
      </c>
      <c r="I65" s="454"/>
    </row>
    <row r="66" spans="1:15" ht="38.25" x14ac:dyDescent="0.2">
      <c r="A66" s="172">
        <f>A65+0.01</f>
        <v>7.02</v>
      </c>
      <c r="B66" s="184"/>
      <c r="C66" s="184"/>
      <c r="D66" s="179" t="str">
        <f>'3.0Quantity'!D235</f>
        <v>Enviromental protection works/Project manager as stated in specification/Special provisions[109]</v>
      </c>
      <c r="E66" s="172" t="s">
        <v>256</v>
      </c>
      <c r="F66" s="173">
        <v>1</v>
      </c>
      <c r="G66" s="174"/>
      <c r="H66" s="174">
        <v>200000</v>
      </c>
      <c r="I66" s="178"/>
    </row>
    <row r="67" spans="1:15" s="161" customFormat="1" x14ac:dyDescent="0.2">
      <c r="A67" s="298"/>
      <c r="B67" s="180"/>
      <c r="C67" s="180"/>
      <c r="D67" s="181" t="s">
        <v>298</v>
      </c>
      <c r="E67" s="298"/>
      <c r="F67" s="298"/>
      <c r="G67" s="304"/>
      <c r="H67" s="182">
        <f>SUM(H65:H66)</f>
        <v>700000</v>
      </c>
      <c r="I67" s="183"/>
      <c r="J67" s="160"/>
      <c r="K67" s="160"/>
      <c r="L67" s="160"/>
      <c r="M67" s="160"/>
      <c r="N67" s="160"/>
      <c r="O67" s="160"/>
    </row>
    <row r="68" spans="1:15" ht="15" x14ac:dyDescent="0.2">
      <c r="A68" s="1212" t="s">
        <v>1670</v>
      </c>
      <c r="B68" s="1212"/>
      <c r="C68" s="1212"/>
      <c r="D68" s="1212"/>
      <c r="E68" s="1212"/>
      <c r="F68" s="1212"/>
      <c r="G68" s="1212"/>
      <c r="H68" s="1212"/>
      <c r="I68" s="1212"/>
    </row>
    <row r="69" spans="1:15" x14ac:dyDescent="0.2">
      <c r="A69" s="172">
        <v>8.01</v>
      </c>
      <c r="B69" s="317"/>
      <c r="C69" s="317"/>
      <c r="D69" s="185" t="s">
        <v>15</v>
      </c>
      <c r="E69" s="172"/>
      <c r="F69" s="172"/>
      <c r="G69" s="186"/>
      <c r="H69" s="186"/>
      <c r="I69" s="178"/>
    </row>
    <row r="70" spans="1:15" ht="25.5" x14ac:dyDescent="0.2">
      <c r="A70" s="172"/>
      <c r="B70" s="317"/>
      <c r="C70" s="317"/>
      <c r="D70" s="188" t="s">
        <v>299</v>
      </c>
      <c r="E70" s="187" t="s">
        <v>275</v>
      </c>
      <c r="F70" s="173">
        <f>Le</f>
        <v>20</v>
      </c>
      <c r="G70" s="174">
        <f>sr</f>
        <v>1070</v>
      </c>
      <c r="H70" s="174">
        <f>ROUNDUP(G70*F70,2)</f>
        <v>21400</v>
      </c>
      <c r="I70" s="178"/>
    </row>
    <row r="71" spans="1:15" ht="38.25" x14ac:dyDescent="0.2">
      <c r="A71" s="172"/>
      <c r="B71" s="317"/>
      <c r="C71" s="317"/>
      <c r="D71" s="188" t="s">
        <v>300</v>
      </c>
      <c r="E71" s="187" t="s">
        <v>275</v>
      </c>
      <c r="F71" s="173">
        <f>F70*2</f>
        <v>40</v>
      </c>
      <c r="G71" s="174">
        <f>ur</f>
        <v>770</v>
      </c>
      <c r="H71" s="174">
        <f>ROUNDUP(G71*F71,2)</f>
        <v>30800</v>
      </c>
      <c r="I71" s="178"/>
    </row>
    <row r="72" spans="1:15" x14ac:dyDescent="0.2">
      <c r="A72" s="172">
        <f>A69+0.01</f>
        <v>8.02</v>
      </c>
      <c r="B72" s="317"/>
      <c r="C72" s="317"/>
      <c r="D72" s="189" t="s">
        <v>17</v>
      </c>
      <c r="E72" s="172"/>
      <c r="F72" s="173"/>
      <c r="G72" s="186"/>
      <c r="H72" s="186"/>
      <c r="I72" s="178"/>
    </row>
    <row r="73" spans="1:15" x14ac:dyDescent="0.2">
      <c r="A73" s="172"/>
      <c r="B73" s="317"/>
      <c r="C73" s="317"/>
      <c r="D73" s="188" t="s">
        <v>301</v>
      </c>
      <c r="E73" s="172" t="s">
        <v>302</v>
      </c>
      <c r="F73" s="173">
        <f>F70*3</f>
        <v>60</v>
      </c>
      <c r="G73" s="174">
        <f>truck</f>
        <v>450</v>
      </c>
      <c r="H73" s="174">
        <f>ROUNDUP(G73*F73,2)</f>
        <v>27000</v>
      </c>
      <c r="I73" s="178"/>
    </row>
    <row r="74" spans="1:15" x14ac:dyDescent="0.2">
      <c r="A74" s="172"/>
      <c r="B74" s="317"/>
      <c r="C74" s="317"/>
      <c r="D74" s="179" t="s">
        <v>303</v>
      </c>
      <c r="E74" s="172" t="s">
        <v>302</v>
      </c>
      <c r="F74" s="173">
        <f>F73</f>
        <v>60</v>
      </c>
      <c r="G74" s="174">
        <f>loader</f>
        <v>1000</v>
      </c>
      <c r="H74" s="174">
        <f>ROUNDUP(G74*F74,2)</f>
        <v>60000</v>
      </c>
      <c r="I74" s="178"/>
    </row>
    <row r="75" spans="1:15" x14ac:dyDescent="0.2">
      <c r="A75" s="172"/>
      <c r="B75" s="317"/>
      <c r="C75" s="317"/>
      <c r="D75" s="190" t="s">
        <v>304</v>
      </c>
      <c r="E75" s="172" t="s">
        <v>302</v>
      </c>
      <c r="F75" s="173">
        <f>Le*2</f>
        <v>40</v>
      </c>
      <c r="G75" s="174">
        <f>excavator</f>
        <v>5775</v>
      </c>
      <c r="H75" s="174">
        <f>ROUNDUP(G75*F75,2)</f>
        <v>231000</v>
      </c>
      <c r="I75" s="178"/>
    </row>
    <row r="76" spans="1:15" s="161" customFormat="1" x14ac:dyDescent="0.2">
      <c r="A76" s="297"/>
      <c r="B76" s="108"/>
      <c r="C76" s="108"/>
      <c r="D76" s="109"/>
      <c r="E76" s="297"/>
      <c r="F76" s="297"/>
      <c r="G76" s="303"/>
      <c r="H76" s="114">
        <f>SUM(H70:H75)</f>
        <v>370200</v>
      </c>
      <c r="I76" s="110"/>
      <c r="J76" s="160"/>
      <c r="K76" s="160"/>
      <c r="L76" s="469"/>
      <c r="M76" s="160"/>
      <c r="N76" s="469"/>
      <c r="O76" s="160"/>
    </row>
    <row r="77" spans="1:15" s="155" customFormat="1" x14ac:dyDescent="0.2">
      <c r="A77" s="124"/>
      <c r="B77" s="165"/>
      <c r="C77" s="165"/>
      <c r="D77" s="166"/>
      <c r="E77" s="124"/>
      <c r="F77" s="124"/>
      <c r="G77" s="92"/>
      <c r="H77" s="92"/>
      <c r="I77" s="167"/>
    </row>
    <row r="78" spans="1:15" s="155" customFormat="1" x14ac:dyDescent="0.2">
      <c r="A78" s="124"/>
      <c r="B78" s="165"/>
      <c r="C78" s="165"/>
      <c r="D78" s="166"/>
      <c r="E78" s="124"/>
      <c r="F78" s="124"/>
      <c r="G78" s="92"/>
      <c r="H78" s="92"/>
      <c r="I78" s="167"/>
    </row>
    <row r="79" spans="1:15" s="155" customFormat="1" x14ac:dyDescent="0.2">
      <c r="A79" s="124"/>
      <c r="B79" s="165"/>
      <c r="C79" s="165"/>
      <c r="D79" s="166"/>
      <c r="E79" s="124"/>
      <c r="F79" s="124"/>
      <c r="G79" s="92"/>
      <c r="H79" s="92"/>
      <c r="I79" s="167"/>
    </row>
    <row r="80" spans="1:15" s="155" customFormat="1" x14ac:dyDescent="0.2">
      <c r="A80" s="124"/>
      <c r="B80" s="165"/>
      <c r="C80" s="165"/>
      <c r="D80" s="166"/>
      <c r="E80" s="124"/>
      <c r="F80" s="124"/>
      <c r="G80" s="92"/>
      <c r="H80" s="92"/>
      <c r="I80" s="167"/>
    </row>
    <row r="81" spans="1:15" s="155" customFormat="1" x14ac:dyDescent="0.2">
      <c r="A81" s="124"/>
      <c r="B81" s="165"/>
      <c r="C81" s="165"/>
      <c r="D81" s="159"/>
      <c r="E81" s="124"/>
      <c r="F81" s="124"/>
      <c r="G81" s="92"/>
      <c r="H81" s="92"/>
      <c r="I81" s="167"/>
    </row>
    <row r="82" spans="1:15" s="155" customFormat="1" x14ac:dyDescent="0.2">
      <c r="A82" s="124"/>
      <c r="B82" s="165"/>
      <c r="C82" s="165"/>
      <c r="D82" s="159"/>
      <c r="E82" s="124"/>
      <c r="F82" s="124"/>
      <c r="G82" s="92"/>
      <c r="H82" s="92"/>
      <c r="I82" s="167"/>
    </row>
    <row r="83" spans="1:15" s="155" customFormat="1" x14ac:dyDescent="0.2">
      <c r="A83" s="124"/>
      <c r="B83" s="165"/>
      <c r="C83" s="165"/>
      <c r="D83" s="159"/>
      <c r="E83" s="124"/>
      <c r="F83" s="124"/>
      <c r="G83" s="92"/>
      <c r="H83" s="92"/>
      <c r="I83" s="167"/>
    </row>
    <row r="84" spans="1:15" s="155" customFormat="1" x14ac:dyDescent="0.2">
      <c r="A84" s="124"/>
      <c r="B84" s="165"/>
      <c r="C84" s="165"/>
      <c r="D84" s="159"/>
      <c r="E84" s="124"/>
      <c r="F84" s="124"/>
      <c r="G84" s="92"/>
      <c r="H84" s="92"/>
      <c r="I84" s="167"/>
    </row>
    <row r="85" spans="1:15" s="155" customFormat="1" x14ac:dyDescent="0.2">
      <c r="A85" s="124"/>
      <c r="B85" s="165"/>
      <c r="C85" s="165"/>
      <c r="D85" s="159"/>
      <c r="E85" s="124"/>
      <c r="F85" s="124"/>
      <c r="G85" s="92"/>
      <c r="H85" s="92"/>
      <c r="I85" s="167"/>
    </row>
    <row r="86" spans="1:15" s="155" customFormat="1" x14ac:dyDescent="0.2">
      <c r="A86" s="124"/>
      <c r="B86" s="165"/>
      <c r="C86" s="165"/>
      <c r="D86" s="159"/>
      <c r="E86" s="124"/>
      <c r="F86" s="124"/>
      <c r="G86" s="92"/>
      <c r="H86" s="92"/>
      <c r="I86" s="167"/>
    </row>
    <row r="87" spans="1:15" s="155" customFormat="1" x14ac:dyDescent="0.2">
      <c r="A87" s="124"/>
      <c r="B87" s="165"/>
      <c r="C87" s="165"/>
      <c r="D87" s="159"/>
      <c r="E87" s="124"/>
      <c r="F87" s="124"/>
      <c r="G87" s="92"/>
      <c r="H87" s="92"/>
      <c r="I87" s="167"/>
    </row>
    <row r="88" spans="1:15" s="155" customFormat="1" x14ac:dyDescent="0.2">
      <c r="A88" s="124"/>
      <c r="B88" s="165"/>
      <c r="C88" s="165"/>
      <c r="D88" s="159"/>
      <c r="E88" s="124"/>
      <c r="F88" s="124"/>
      <c r="G88" s="92"/>
      <c r="H88" s="92"/>
      <c r="I88" s="167"/>
    </row>
    <row r="89" spans="1:15" s="155" customFormat="1" x14ac:dyDescent="0.2">
      <c r="A89" s="124"/>
      <c r="B89" s="165"/>
      <c r="C89" s="165"/>
      <c r="D89" s="159"/>
      <c r="E89" s="124"/>
      <c r="F89" s="124"/>
      <c r="G89" s="92"/>
      <c r="H89" s="92"/>
      <c r="I89" s="167"/>
    </row>
    <row r="90" spans="1:15" s="155" customFormat="1" x14ac:dyDescent="0.2">
      <c r="A90" s="124"/>
      <c r="B90" s="165"/>
      <c r="C90" s="165"/>
      <c r="D90" s="159"/>
      <c r="E90" s="124"/>
      <c r="F90" s="124"/>
      <c r="G90" s="92"/>
      <c r="H90" s="92"/>
      <c r="I90" s="167"/>
    </row>
    <row r="91" spans="1:15" s="155" customFormat="1" x14ac:dyDescent="0.2">
      <c r="A91" s="124"/>
      <c r="B91" s="165"/>
      <c r="C91" s="165"/>
      <c r="D91" s="159"/>
      <c r="E91" s="124"/>
      <c r="F91" s="124"/>
      <c r="G91" s="92"/>
      <c r="H91" s="92"/>
      <c r="I91" s="167"/>
    </row>
    <row r="92" spans="1:15" s="155" customFormat="1" x14ac:dyDescent="0.2">
      <c r="A92" s="124"/>
      <c r="B92" s="165"/>
      <c r="C92" s="165"/>
      <c r="D92" s="159"/>
      <c r="E92" s="124"/>
      <c r="F92" s="124"/>
      <c r="G92" s="92"/>
      <c r="H92" s="92"/>
      <c r="I92" s="167"/>
    </row>
    <row r="93" spans="1:15" s="168" customFormat="1" x14ac:dyDescent="0.2">
      <c r="A93" s="124"/>
      <c r="B93" s="165"/>
      <c r="C93" s="165"/>
      <c r="D93" s="159"/>
      <c r="E93" s="124"/>
      <c r="F93" s="124"/>
      <c r="G93" s="92"/>
      <c r="H93" s="92"/>
      <c r="I93" s="167"/>
      <c r="J93" s="155"/>
      <c r="K93" s="155"/>
      <c r="L93" s="155"/>
      <c r="M93" s="155"/>
      <c r="N93" s="155"/>
      <c r="O93" s="155"/>
    </row>
    <row r="94" spans="1:15" s="168" customFormat="1" x14ac:dyDescent="0.2">
      <c r="A94" s="124"/>
      <c r="B94" s="165"/>
      <c r="C94" s="165"/>
      <c r="D94" s="159"/>
      <c r="E94" s="124"/>
      <c r="F94" s="124"/>
      <c r="G94" s="92"/>
      <c r="H94" s="92"/>
      <c r="I94" s="167"/>
      <c r="J94" s="155"/>
      <c r="K94" s="155"/>
      <c r="L94" s="155"/>
      <c r="M94" s="155"/>
      <c r="N94" s="155"/>
      <c r="O94" s="155"/>
    </row>
    <row r="95" spans="1:15" s="168" customFormat="1" x14ac:dyDescent="0.2">
      <c r="A95" s="124"/>
      <c r="B95" s="165"/>
      <c r="C95" s="165"/>
      <c r="D95" s="159"/>
      <c r="E95" s="124"/>
      <c r="F95" s="124"/>
      <c r="G95" s="92"/>
      <c r="H95" s="92"/>
      <c r="I95" s="167"/>
      <c r="J95" s="155"/>
      <c r="K95" s="155"/>
      <c r="L95" s="155"/>
      <c r="M95" s="155"/>
      <c r="N95" s="155"/>
      <c r="O95" s="155"/>
    </row>
  </sheetData>
  <mergeCells count="16">
    <mergeCell ref="A9:D9"/>
    <mergeCell ref="A68:I68"/>
    <mergeCell ref="A49:I49"/>
    <mergeCell ref="A58:I58"/>
    <mergeCell ref="A64:I64"/>
    <mergeCell ref="A11:I11"/>
    <mergeCell ref="A20:I20"/>
    <mergeCell ref="A38:I38"/>
    <mergeCell ref="A29:I29"/>
    <mergeCell ref="B10:C10"/>
    <mergeCell ref="A6:I6"/>
    <mergeCell ref="A1:I1"/>
    <mergeCell ref="A2:I2"/>
    <mergeCell ref="A3:I3"/>
    <mergeCell ref="A4:I4"/>
    <mergeCell ref="A5:I5"/>
  </mergeCells>
  <conditionalFormatting sqref="A46:I47 A39:C45 E39:I45">
    <cfRule type="expression" dxfId="49" priority="9">
      <formula>$H$8="PSC"</formula>
    </cfRule>
  </conditionalFormatting>
  <pageMargins left="0.51" right="0.2" top="0.46" bottom="0.82" header="0.3" footer="0.3"/>
  <pageSetup paperSize="9" scale="85" orientation="portrait" r:id="rId1"/>
  <headerFooter>
    <oddFooter>&amp;LPrepared By...........................&amp;CChecked By..........................&amp;RApproved By...................................</oddFooter>
  </headerFooter>
  <extLst>
    <ext xmlns:x14="http://schemas.microsoft.com/office/spreadsheetml/2009/9/main" uri="{78C0D931-6437-407d-A8EE-F0AAD7539E65}">
      <x14:conditionalFormattings>
        <x14:conditionalFormatting xmlns:xm="http://schemas.microsoft.com/office/excel/2006/main">
          <x14:cfRule type="expression" priority="7" id="{05A6F403-2CD7-44CC-BB64-4C0B99C7D460}">
            <xm:f>'0.Data Sheet'!$C$25="DOR"</xm:f>
            <x14:dxf>
              <font>
                <color theme="0" tint="-0.14996795556505021"/>
              </font>
              <fill>
                <patternFill>
                  <bgColor theme="0" tint="-0.34998626667073579"/>
                </patternFill>
              </fill>
            </x14:dxf>
          </x14:cfRule>
          <xm:sqref>A38:I38 A46:I48 A39:C45 E39:I45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BI236"/>
  <sheetViews>
    <sheetView view="pageBreakPreview" topLeftCell="A207" zoomScale="85" zoomScaleNormal="85" zoomScaleSheetLayoutView="85" workbookViewId="0">
      <selection activeCell="I230" sqref="I230"/>
    </sheetView>
  </sheetViews>
  <sheetFormatPr defaultColWidth="9.140625" defaultRowHeight="12.75" x14ac:dyDescent="0.2"/>
  <cols>
    <col min="1" max="1" width="6.28515625" style="9" bestFit="1" customWidth="1"/>
    <col min="2" max="2" width="6.140625" style="941" customWidth="1"/>
    <col min="3" max="3" width="5.42578125" style="941" customWidth="1"/>
    <col min="4" max="4" width="32.85546875" style="9" customWidth="1"/>
    <col min="5" max="5" width="6.7109375" style="903" bestFit="1" customWidth="1"/>
    <col min="6" max="6" width="9.28515625" style="903" customWidth="1"/>
    <col min="7" max="7" width="9" style="903" customWidth="1"/>
    <col min="8" max="8" width="8.7109375" style="903" customWidth="1"/>
    <col min="9" max="9" width="9.85546875" style="9" customWidth="1"/>
    <col min="10" max="10" width="6.5703125" style="903" customWidth="1"/>
    <col min="11" max="11" width="7.28515625" style="903" customWidth="1"/>
    <col min="12" max="12" width="21.85546875" style="9" customWidth="1"/>
    <col min="13" max="13" width="13.42578125" style="9" customWidth="1"/>
    <col min="14" max="14" width="11.7109375" style="9" bestFit="1" customWidth="1"/>
    <col min="15" max="18" width="9.28515625" style="9" bestFit="1" customWidth="1"/>
    <col min="19" max="26" width="9.140625" style="9"/>
    <col min="27" max="27" width="17.28515625" style="9" customWidth="1"/>
    <col min="28" max="36" width="9.28515625" style="9" bestFit="1" customWidth="1"/>
    <col min="37" max="16384" width="9.140625" style="9"/>
  </cols>
  <sheetData>
    <row r="1" spans="1:15" hidden="1" x14ac:dyDescent="0.2">
      <c r="A1" s="1234" t="str">
        <f>'0.Data Sheet'!C18</f>
        <v>Government Of Nepal</v>
      </c>
      <c r="B1" s="1234"/>
      <c r="C1" s="1234"/>
      <c r="D1" s="1234"/>
      <c r="E1" s="1234"/>
      <c r="F1" s="1234"/>
      <c r="G1" s="1234"/>
      <c r="H1" s="1234"/>
      <c r="I1" s="1234"/>
      <c r="J1" s="1234"/>
      <c r="K1" s="1234"/>
    </row>
    <row r="2" spans="1:15" x14ac:dyDescent="0.2">
      <c r="A2" s="1234" t="str">
        <f>'0.Data Sheet'!C19</f>
        <v xml:space="preserve">Ministry of Federal Affairs and General Administration
</v>
      </c>
      <c r="B2" s="1234"/>
      <c r="C2" s="1234"/>
      <c r="D2" s="1234"/>
      <c r="E2" s="1234"/>
      <c r="F2" s="1234"/>
      <c r="G2" s="1234"/>
      <c r="H2" s="1234"/>
      <c r="I2" s="1234"/>
      <c r="J2" s="1234"/>
      <c r="K2" s="1234"/>
    </row>
    <row r="3" spans="1:15" ht="15.75" x14ac:dyDescent="0.25">
      <c r="A3" s="1232" t="str">
        <f>'0.Data Sheet'!C20</f>
        <v>Department Of Local Infrastructure (DOLI)</v>
      </c>
      <c r="B3" s="1232"/>
      <c r="C3" s="1232"/>
      <c r="D3" s="1232"/>
      <c r="E3" s="1232"/>
      <c r="F3" s="1232"/>
      <c r="G3" s="1232"/>
      <c r="H3" s="1232"/>
      <c r="I3" s="1232"/>
      <c r="J3" s="1232"/>
      <c r="K3" s="1232"/>
    </row>
    <row r="4" spans="1:15" x14ac:dyDescent="0.2">
      <c r="A4" s="1233" t="str">
        <f>'0.Data Sheet'!C21</f>
        <v>Local Bridge Section</v>
      </c>
      <c r="B4" s="1233"/>
      <c r="C4" s="1233"/>
      <c r="D4" s="1233"/>
      <c r="E4" s="1233"/>
      <c r="F4" s="1233"/>
      <c r="G4" s="1233"/>
      <c r="H4" s="1233"/>
      <c r="I4" s="1233"/>
      <c r="J4" s="1233"/>
      <c r="K4" s="1233"/>
    </row>
    <row r="5" spans="1:15" x14ac:dyDescent="0.2">
      <c r="A5" s="1234" t="str">
        <f>'0.Data Sheet'!C22</f>
        <v>Pulchowk, Lalitpur</v>
      </c>
      <c r="B5" s="1234"/>
      <c r="C5" s="1234"/>
      <c r="D5" s="1234"/>
      <c r="E5" s="1234"/>
      <c r="F5" s="1234"/>
      <c r="G5" s="1234"/>
      <c r="H5" s="1234"/>
      <c r="I5" s="1234"/>
      <c r="J5" s="1234"/>
      <c r="K5" s="1234"/>
    </row>
    <row r="6" spans="1:15" x14ac:dyDescent="0.2">
      <c r="A6" s="714"/>
      <c r="B6" s="715"/>
      <c r="C6" s="715"/>
      <c r="D6" s="716"/>
      <c r="E6" s="717"/>
      <c r="F6" s="718"/>
      <c r="G6" s="718"/>
      <c r="H6" s="719"/>
      <c r="I6" s="720"/>
      <c r="J6" s="717"/>
      <c r="K6" s="717"/>
    </row>
    <row r="7" spans="1:15" x14ac:dyDescent="0.2">
      <c r="A7" s="1235" t="s">
        <v>224</v>
      </c>
      <c r="B7" s="1235"/>
      <c r="C7" s="1235"/>
      <c r="D7" s="1235"/>
      <c r="E7" s="1235"/>
      <c r="F7" s="1235"/>
      <c r="G7" s="1235"/>
      <c r="H7" s="1235"/>
      <c r="I7" s="1235"/>
      <c r="J7" s="1235"/>
      <c r="K7" s="1235"/>
    </row>
    <row r="8" spans="1:15" x14ac:dyDescent="0.2">
      <c r="A8" s="721"/>
      <c r="B8" s="721"/>
      <c r="C8" s="721"/>
      <c r="D8" s="721"/>
      <c r="E8" s="721"/>
      <c r="F8" s="721"/>
      <c r="G8" s="721"/>
      <c r="H8" s="721"/>
      <c r="I8" s="721"/>
      <c r="J8" s="721"/>
      <c r="K8" s="721"/>
    </row>
    <row r="9" spans="1:15" x14ac:dyDescent="0.2">
      <c r="A9" s="1237" t="str">
        <f>"Name of Bridge: "&amp;'0.Data Sheet'!C23</f>
        <v>Name of Bridge: Lambu Khola Motorable Bridge</v>
      </c>
      <c r="B9" s="1237"/>
      <c r="C9" s="1237"/>
      <c r="D9" s="1237"/>
      <c r="E9" s="721"/>
      <c r="F9" s="722"/>
      <c r="G9" s="722"/>
      <c r="H9" s="722"/>
      <c r="I9" s="1236" t="str">
        <f>'2.0Abstract of Cost'!H9</f>
        <v>Span=20 x 1m</v>
      </c>
      <c r="J9" s="1236"/>
      <c r="K9" s="721"/>
      <c r="M9" s="723" t="s">
        <v>337</v>
      </c>
      <c r="N9" s="724">
        <f>Le</f>
        <v>20</v>
      </c>
      <c r="O9" s="9" t="s">
        <v>42</v>
      </c>
    </row>
    <row r="10" spans="1:15" ht="25.5" x14ac:dyDescent="0.2">
      <c r="A10" s="725" t="s">
        <v>312</v>
      </c>
      <c r="B10" s="726"/>
      <c r="C10" s="726"/>
      <c r="D10" s="726" t="s">
        <v>37</v>
      </c>
      <c r="E10" s="727" t="s">
        <v>195</v>
      </c>
      <c r="F10" s="728" t="s">
        <v>225</v>
      </c>
      <c r="G10" s="728" t="s">
        <v>226</v>
      </c>
      <c r="H10" s="728" t="s">
        <v>227</v>
      </c>
      <c r="I10" s="729" t="s">
        <v>5</v>
      </c>
      <c r="J10" s="727" t="s">
        <v>0</v>
      </c>
      <c r="K10" s="726" t="s">
        <v>87</v>
      </c>
      <c r="M10" s="723" t="s">
        <v>338</v>
      </c>
      <c r="N10" s="724">
        <f>n_span</f>
        <v>1</v>
      </c>
    </row>
    <row r="11" spans="1:15" x14ac:dyDescent="0.2">
      <c r="A11" s="730">
        <v>1</v>
      </c>
      <c r="B11" s="731"/>
      <c r="C11" s="731"/>
      <c r="D11" s="730" t="s">
        <v>216</v>
      </c>
      <c r="E11" s="732"/>
      <c r="F11" s="732"/>
      <c r="G11" s="732"/>
      <c r="H11" s="732"/>
      <c r="I11" s="730"/>
      <c r="J11" s="732"/>
      <c r="K11" s="732"/>
    </row>
    <row r="12" spans="1:15" ht="38.25" x14ac:dyDescent="0.2">
      <c r="A12" s="733">
        <v>1.01</v>
      </c>
      <c r="B12" s="734"/>
      <c r="C12" s="734"/>
      <c r="D12" s="735" t="s">
        <v>279</v>
      </c>
      <c r="E12" s="736">
        <v>1</v>
      </c>
      <c r="F12" s="728"/>
      <c r="G12" s="728"/>
      <c r="H12" s="728"/>
      <c r="I12" s="736">
        <f>E12</f>
        <v>1</v>
      </c>
      <c r="J12" s="736" t="s">
        <v>255</v>
      </c>
      <c r="K12" s="726"/>
    </row>
    <row r="13" spans="1:15" ht="63.75" x14ac:dyDescent="0.2">
      <c r="A13" s="733">
        <f>A12+0.01</f>
        <v>1.02</v>
      </c>
      <c r="B13" s="734"/>
      <c r="C13" s="734"/>
      <c r="D13" s="737" t="s">
        <v>280</v>
      </c>
      <c r="E13" s="736">
        <v>1</v>
      </c>
      <c r="F13" s="728"/>
      <c r="G13" s="728"/>
      <c r="H13" s="728"/>
      <c r="I13" s="736">
        <f>E13</f>
        <v>1</v>
      </c>
      <c r="J13" s="736" t="s">
        <v>189</v>
      </c>
      <c r="K13" s="726"/>
    </row>
    <row r="14" spans="1:15" ht="51" x14ac:dyDescent="0.2">
      <c r="A14" s="733">
        <f t="shared" ref="A14:A18" si="0">A13+0.01</f>
        <v>1.03</v>
      </c>
      <c r="B14" s="734"/>
      <c r="C14" s="734"/>
      <c r="D14" s="735" t="s">
        <v>323</v>
      </c>
      <c r="E14" s="736">
        <v>1</v>
      </c>
      <c r="F14" s="728"/>
      <c r="G14" s="728"/>
      <c r="H14" s="728"/>
      <c r="I14" s="736">
        <f>E14</f>
        <v>1</v>
      </c>
      <c r="J14" s="736" t="s">
        <v>8</v>
      </c>
      <c r="K14" s="726"/>
    </row>
    <row r="15" spans="1:15" ht="51" x14ac:dyDescent="0.2">
      <c r="A15" s="733">
        <f t="shared" si="0"/>
        <v>1.04</v>
      </c>
      <c r="B15" s="734"/>
      <c r="C15" s="734"/>
      <c r="D15" s="735" t="str">
        <f>'2.0Abstract of Cost'!D14</f>
        <v xml:space="preserve">Providing and installation and demolishing after completion of work of project signboard with size of 1.8*1.2m as per specification. </v>
      </c>
      <c r="E15" s="736">
        <f>'2.0Abstract of Cost'!F14</f>
        <v>1</v>
      </c>
      <c r="F15" s="728"/>
      <c r="G15" s="728"/>
      <c r="H15" s="728"/>
      <c r="I15" s="736">
        <v>1</v>
      </c>
      <c r="J15" s="736" t="s">
        <v>1746</v>
      </c>
      <c r="K15" s="726"/>
    </row>
    <row r="16" spans="1:15" ht="25.5" x14ac:dyDescent="0.2">
      <c r="A16" s="733">
        <f t="shared" si="0"/>
        <v>1.05</v>
      </c>
      <c r="B16" s="734"/>
      <c r="C16" s="734"/>
      <c r="D16" s="738" t="s">
        <v>281</v>
      </c>
      <c r="E16" s="736">
        <v>1</v>
      </c>
      <c r="F16" s="728"/>
      <c r="G16" s="728"/>
      <c r="H16" s="728"/>
      <c r="I16" s="736">
        <f>E16</f>
        <v>1</v>
      </c>
      <c r="J16" s="736" t="s">
        <v>256</v>
      </c>
      <c r="K16" s="726"/>
    </row>
    <row r="17" spans="1:15" ht="25.5" x14ac:dyDescent="0.2">
      <c r="A17" s="733">
        <f t="shared" si="0"/>
        <v>1.06</v>
      </c>
      <c r="B17" s="734"/>
      <c r="C17" s="734"/>
      <c r="D17" s="738" t="s">
        <v>282</v>
      </c>
      <c r="E17" s="736">
        <v>18</v>
      </c>
      <c r="F17" s="728"/>
      <c r="G17" s="728"/>
      <c r="H17" s="728"/>
      <c r="I17" s="736">
        <f>E17</f>
        <v>18</v>
      </c>
      <c r="J17" s="736" t="s">
        <v>283</v>
      </c>
      <c r="K17" s="726"/>
    </row>
    <row r="18" spans="1:15" ht="76.5" x14ac:dyDescent="0.2">
      <c r="A18" s="733">
        <f t="shared" si="0"/>
        <v>1.07</v>
      </c>
      <c r="B18" s="734"/>
      <c r="C18" s="734"/>
      <c r="D18" s="738" t="str">
        <f>'2.0Abstract of Cost'!D18</f>
        <v>Provide  and  maintain  traffic  safety,  Occupation  Health  and  Safety  (OHS)  as  per  special  provision, control measures and temporary diversions during construction as instructed by the Engineer.</v>
      </c>
      <c r="E18" s="736">
        <f>'2.0Abstract of Cost'!F18</f>
        <v>1</v>
      </c>
      <c r="F18" s="728"/>
      <c r="G18" s="728"/>
      <c r="H18" s="728"/>
      <c r="I18" s="736">
        <f>'2.0Abstract of Cost'!F18</f>
        <v>1</v>
      </c>
      <c r="J18" s="736" t="s">
        <v>189</v>
      </c>
      <c r="K18" s="726"/>
    </row>
    <row r="19" spans="1:15" x14ac:dyDescent="0.2">
      <c r="A19" s="725"/>
      <c r="B19" s="726"/>
      <c r="C19" s="726"/>
      <c r="D19" s="725"/>
      <c r="E19" s="727"/>
      <c r="F19" s="728"/>
      <c r="G19" s="728"/>
      <c r="H19" s="728"/>
      <c r="I19" s="729"/>
      <c r="J19" s="727"/>
      <c r="K19" s="726"/>
    </row>
    <row r="20" spans="1:15" x14ac:dyDescent="0.2">
      <c r="A20" s="730"/>
      <c r="B20" s="731"/>
      <c r="C20" s="731"/>
      <c r="D20" s="739" t="s">
        <v>257</v>
      </c>
      <c r="E20" s="740"/>
      <c r="F20" s="741"/>
      <c r="G20" s="741"/>
      <c r="H20" s="741"/>
      <c r="I20" s="742"/>
      <c r="J20" s="743"/>
      <c r="K20" s="740"/>
    </row>
    <row r="21" spans="1:15" ht="102" x14ac:dyDescent="0.2">
      <c r="A21" s="744">
        <v>2.0099999999999998</v>
      </c>
      <c r="B21" s="745" t="str">
        <f>'2.0Abstract of Cost'!B21</f>
        <v>Spec .cl.No:907</v>
      </c>
      <c r="C21" s="745" t="str">
        <f>'2.0Abstract of Cost'!C21</f>
        <v>9.4 I B(ii)</v>
      </c>
      <c r="D21" s="746" t="str">
        <f>'2.0Abstract of Cost'!D21</f>
        <v>Earth work in excavation of foundation of structures, including construction of shoring and bracing, removal of stumps and other deleterious matter and backfilling with approved Material as per Drawing and Technical Specifications  
( ordinary soil)</v>
      </c>
      <c r="E21" s="747"/>
      <c r="F21" s="748"/>
      <c r="G21" s="748"/>
      <c r="H21" s="748"/>
      <c r="I21" s="729"/>
      <c r="J21" s="747"/>
      <c r="K21" s="749"/>
    </row>
    <row r="22" spans="1:15" x14ac:dyDescent="0.2">
      <c r="A22" s="744"/>
      <c r="B22" s="750"/>
      <c r="C22" s="750"/>
      <c r="D22" s="752" t="s">
        <v>219</v>
      </c>
      <c r="E22" s="753">
        <v>1</v>
      </c>
      <c r="F22" s="754">
        <f>ab_b8</f>
        <v>10.5</v>
      </c>
      <c r="G22" s="754">
        <f>ab_b9</f>
        <v>9</v>
      </c>
      <c r="H22" s="755">
        <v>6.2480000000000002</v>
      </c>
      <c r="I22" s="729">
        <f>PRODUCT(E22:H22)</f>
        <v>590.43600000000004</v>
      </c>
      <c r="J22" s="747"/>
      <c r="K22" s="749"/>
    </row>
    <row r="23" spans="1:15" x14ac:dyDescent="0.2">
      <c r="A23" s="744"/>
      <c r="B23" s="750"/>
      <c r="C23" s="750"/>
      <c r="D23" s="752" t="s">
        <v>220</v>
      </c>
      <c r="E23" s="753">
        <v>1</v>
      </c>
      <c r="F23" s="756">
        <f>F22</f>
        <v>10.5</v>
      </c>
      <c r="G23" s="756">
        <f>G22</f>
        <v>9</v>
      </c>
      <c r="H23" s="755">
        <v>6.4560000000000004</v>
      </c>
      <c r="I23" s="729">
        <f>PRODUCT(E23:H23)</f>
        <v>610.09199999999998</v>
      </c>
      <c r="J23" s="747"/>
      <c r="K23" s="749"/>
    </row>
    <row r="24" spans="1:15" x14ac:dyDescent="0.2">
      <c r="A24" s="744"/>
      <c r="B24" s="750"/>
      <c r="C24" s="750"/>
      <c r="D24" s="752" t="str">
        <f>IF(nspan=1,"","Pier")</f>
        <v/>
      </c>
      <c r="E24" s="753" t="str">
        <f>IF(nspan=1,"",nspan-1)</f>
        <v/>
      </c>
      <c r="F24" s="754" t="str">
        <f>IF(nspan=1,"",PI_b8)</f>
        <v/>
      </c>
      <c r="G24" s="754" t="str">
        <f>IF(nspan=1,"",PI_b9)</f>
        <v/>
      </c>
      <c r="H24" s="755"/>
      <c r="I24" s="729" t="str">
        <f>IF(nspan=1,"",PRODUCT(E24:H24))</f>
        <v/>
      </c>
      <c r="J24" s="747"/>
      <c r="K24" s="757"/>
      <c r="L24" s="1228" t="str">
        <f>IF(nspan=1,"Do not Delete this row pier is present in this row","")</f>
        <v>Do not Delete this row pier is present in this row</v>
      </c>
      <c r="M24" s="1228"/>
      <c r="N24" s="1228"/>
      <c r="O24" s="1228"/>
    </row>
    <row r="25" spans="1:15" ht="15.75" x14ac:dyDescent="0.2">
      <c r="A25" s="744"/>
      <c r="B25" s="750"/>
      <c r="C25" s="750"/>
      <c r="D25" s="758" t="s">
        <v>194</v>
      </c>
      <c r="E25" s="747"/>
      <c r="F25" s="748"/>
      <c r="G25" s="748"/>
      <c r="H25" s="748"/>
      <c r="I25" s="729">
        <f>SUM(I22:I24)</f>
        <v>1200.528</v>
      </c>
      <c r="J25" s="747" t="s">
        <v>1697</v>
      </c>
      <c r="K25" s="749"/>
    </row>
    <row r="26" spans="1:15" ht="102" x14ac:dyDescent="0.2">
      <c r="A26" s="744">
        <f>A21+0.01</f>
        <v>2.0199999999999996</v>
      </c>
      <c r="B26" s="745" t="str">
        <f>'2.0Abstract of Cost'!B22</f>
        <v>Spec .cl.No:907</v>
      </c>
      <c r="C26" s="745" t="str">
        <f>'2.0Abstract of Cost'!C22</f>
        <v>9.4 II B</v>
      </c>
      <c r="D26" s="746" t="str">
        <f>'2.0Abstract of Cost'!D22</f>
        <v>Earth work in excavation of foundation of structures, including construction of shoring and bracing, removal of stumps and other deleterious matter and backfilling with approved Material as per Drawing and Technical Specifications.(ordinary rock not requiring blasting)</v>
      </c>
      <c r="E26" s="747"/>
      <c r="F26" s="748"/>
      <c r="G26" s="748"/>
      <c r="H26" s="748"/>
      <c r="I26" s="729"/>
      <c r="J26" s="747"/>
      <c r="K26" s="749"/>
    </row>
    <row r="27" spans="1:15" x14ac:dyDescent="0.2">
      <c r="A27" s="744"/>
      <c r="B27" s="750"/>
      <c r="C27" s="750"/>
      <c r="D27" s="752" t="s">
        <v>219</v>
      </c>
      <c r="E27" s="753">
        <v>1</v>
      </c>
      <c r="F27" s="754">
        <f>ab_b8</f>
        <v>10.5</v>
      </c>
      <c r="G27" s="754">
        <f>ab_b9</f>
        <v>9</v>
      </c>
      <c r="H27" s="755">
        <f>8.096-4.5</f>
        <v>3.5960000000000001</v>
      </c>
      <c r="I27" s="729">
        <f>PRODUCT(E27:H27)</f>
        <v>339.822</v>
      </c>
      <c r="J27" s="747"/>
      <c r="K27" s="749"/>
    </row>
    <row r="28" spans="1:15" x14ac:dyDescent="0.2">
      <c r="A28" s="744"/>
      <c r="B28" s="750"/>
      <c r="C28" s="750"/>
      <c r="D28" s="752" t="str">
        <f>IF(nspan=1,"","Pier")</f>
        <v/>
      </c>
      <c r="E28" s="753" t="str">
        <f>IF(nspan=1,"",nspan-1)</f>
        <v/>
      </c>
      <c r="F28" s="754" t="str">
        <f>IF(nspan=1,"",PI_b8)</f>
        <v/>
      </c>
      <c r="G28" s="754" t="str">
        <f>IF(nspan=1,"",PI_b9)</f>
        <v/>
      </c>
      <c r="H28" s="755"/>
      <c r="I28" s="729" t="str">
        <f>IF(nspan=1,"",PRODUCT(E28:H28))</f>
        <v/>
      </c>
      <c r="J28" s="747"/>
      <c r="K28" s="757"/>
      <c r="L28" s="1228" t="str">
        <f>IF(nspan=1,"Do not Delete this row pier is present in this row","")</f>
        <v>Do not Delete this row pier is present in this row</v>
      </c>
      <c r="M28" s="1228"/>
      <c r="N28" s="1228"/>
      <c r="O28" s="1228"/>
    </row>
    <row r="29" spans="1:15" ht="15.75" x14ac:dyDescent="0.2">
      <c r="A29" s="744"/>
      <c r="B29" s="750"/>
      <c r="C29" s="750"/>
      <c r="D29" s="758" t="s">
        <v>194</v>
      </c>
      <c r="E29" s="747"/>
      <c r="F29" s="748"/>
      <c r="G29" s="748"/>
      <c r="H29" s="748"/>
      <c r="I29" s="729">
        <f>SUM(I27:I28)</f>
        <v>339.822</v>
      </c>
      <c r="J29" s="747" t="s">
        <v>1697</v>
      </c>
      <c r="K29" s="749"/>
    </row>
    <row r="30" spans="1:15" ht="38.25" x14ac:dyDescent="0.2">
      <c r="A30" s="744">
        <f>A26+0.01</f>
        <v>2.0299999999999994</v>
      </c>
      <c r="B30" s="745" t="str">
        <f>'2.0Abstract of Cost'!B23</f>
        <v>Spec .cl.No:1006</v>
      </c>
      <c r="C30" s="759">
        <f>'2.0Abstract of Cost'!C23</f>
        <v>10.8</v>
      </c>
      <c r="D30" s="746" t="s">
        <v>351</v>
      </c>
      <c r="E30" s="747"/>
      <c r="F30" s="748"/>
      <c r="G30" s="748"/>
      <c r="H30" s="748"/>
      <c r="I30" s="729"/>
      <c r="J30" s="747"/>
      <c r="K30" s="749"/>
    </row>
    <row r="31" spans="1:15" x14ac:dyDescent="0.2">
      <c r="A31" s="744"/>
      <c r="B31" s="750"/>
      <c r="C31" s="750"/>
      <c r="D31" s="760" t="s">
        <v>219</v>
      </c>
      <c r="E31" s="753">
        <f t="shared" ref="E31:G32" si="1">E22</f>
        <v>1</v>
      </c>
      <c r="F31" s="756">
        <f t="shared" si="1"/>
        <v>10.5</v>
      </c>
      <c r="G31" s="756">
        <f t="shared" si="1"/>
        <v>9</v>
      </c>
      <c r="H31" s="761">
        <v>0.1</v>
      </c>
      <c r="I31" s="729">
        <f>PRODUCT(E31:H31)</f>
        <v>9.4500000000000011</v>
      </c>
      <c r="J31" s="747"/>
      <c r="K31" s="749"/>
    </row>
    <row r="32" spans="1:15" x14ac:dyDescent="0.2">
      <c r="A32" s="744"/>
      <c r="B32" s="750"/>
      <c r="C32" s="750"/>
      <c r="D32" s="760" t="s">
        <v>220</v>
      </c>
      <c r="E32" s="753">
        <f t="shared" si="1"/>
        <v>1</v>
      </c>
      <c r="F32" s="756">
        <f t="shared" si="1"/>
        <v>10.5</v>
      </c>
      <c r="G32" s="756">
        <f t="shared" si="1"/>
        <v>9</v>
      </c>
      <c r="H32" s="762">
        <f>H31</f>
        <v>0.1</v>
      </c>
      <c r="I32" s="729">
        <f>PRODUCT(E32:H32)</f>
        <v>9.4500000000000011</v>
      </c>
      <c r="J32" s="747"/>
      <c r="K32" s="749"/>
    </row>
    <row r="33" spans="1:17" x14ac:dyDescent="0.2">
      <c r="A33" s="744"/>
      <c r="B33" s="750"/>
      <c r="C33" s="750"/>
      <c r="D33" s="752" t="str">
        <f>IF(nspan=1,"","Pier")</f>
        <v/>
      </c>
      <c r="E33" s="753" t="str">
        <f>IF(nspan=1,"",E24)</f>
        <v/>
      </c>
      <c r="F33" s="753" t="str">
        <f>IF(nspan=1,"",F24)</f>
        <v/>
      </c>
      <c r="G33" s="753" t="str">
        <f>IF(nspan=1,"",G24)</f>
        <v/>
      </c>
      <c r="H33" s="762" t="str">
        <f>IF(nspan=1,"",H31)</f>
        <v/>
      </c>
      <c r="I33" s="729" t="str">
        <f>IF(nspan=1,"",PRODUCT(E33:H33))</f>
        <v/>
      </c>
      <c r="J33" s="747"/>
      <c r="K33" s="749"/>
      <c r="L33" s="1228" t="str">
        <f>IF(nspan=1,"Do not Delete this row pier is present in this row","")</f>
        <v>Do not Delete this row pier is present in this row</v>
      </c>
      <c r="M33" s="1228"/>
      <c r="N33" s="1228"/>
      <c r="O33" s="1228"/>
    </row>
    <row r="34" spans="1:17" ht="15.75" x14ac:dyDescent="0.2">
      <c r="A34" s="744"/>
      <c r="B34" s="750"/>
      <c r="C34" s="750"/>
      <c r="D34" s="758" t="s">
        <v>194</v>
      </c>
      <c r="E34" s="747"/>
      <c r="F34" s="748" t="s">
        <v>20</v>
      </c>
      <c r="G34" s="748"/>
      <c r="H34" s="748"/>
      <c r="I34" s="729">
        <f>SUM(I31:I33)</f>
        <v>18.900000000000002</v>
      </c>
      <c r="J34" s="747" t="s">
        <v>1697</v>
      </c>
      <c r="K34" s="749"/>
    </row>
    <row r="35" spans="1:17" x14ac:dyDescent="0.2">
      <c r="A35" s="744"/>
      <c r="B35" s="750"/>
      <c r="C35" s="750"/>
      <c r="D35" s="758"/>
      <c r="E35" s="747"/>
      <c r="F35" s="748"/>
      <c r="G35" s="748"/>
      <c r="H35" s="748"/>
      <c r="I35" s="729"/>
      <c r="J35" s="747"/>
      <c r="K35" s="749"/>
    </row>
    <row r="36" spans="1:17" ht="63.75" x14ac:dyDescent="0.2">
      <c r="A36" s="744">
        <f>A30+0.01</f>
        <v>2.0399999999999991</v>
      </c>
      <c r="B36" s="745" t="str">
        <f>'2.0Abstract of Cost'!B24</f>
        <v>Spec .cl.No:2000</v>
      </c>
      <c r="C36" s="759">
        <f>'2.0Abstract of Cost'!C24</f>
        <v>20.100000000000001</v>
      </c>
      <c r="D36" s="1144" t="s">
        <v>352</v>
      </c>
      <c r="E36" s="747"/>
      <c r="F36" s="748"/>
      <c r="G36" s="748"/>
      <c r="H36" s="748"/>
      <c r="I36" s="729"/>
      <c r="J36" s="747"/>
      <c r="K36" s="763"/>
    </row>
    <row r="37" spans="1:17" x14ac:dyDescent="0.2">
      <c r="A37" s="744"/>
      <c r="B37" s="750"/>
      <c r="C37" s="750"/>
      <c r="D37" s="764" t="str">
        <f>IF('0.Data Sheet'!C42="pile","Left Abutment pile Cap","Left Abutment footing")</f>
        <v>Left Abutment footing</v>
      </c>
      <c r="E37" s="753">
        <f t="shared" ref="E37:G38" si="2">E22</f>
        <v>1</v>
      </c>
      <c r="F37" s="756">
        <f t="shared" si="2"/>
        <v>10.5</v>
      </c>
      <c r="G37" s="756">
        <f t="shared" si="2"/>
        <v>9</v>
      </c>
      <c r="H37" s="756">
        <f>H31</f>
        <v>0.1</v>
      </c>
      <c r="I37" s="729">
        <f>PRODUCT(E37:H37)</f>
        <v>9.4500000000000011</v>
      </c>
      <c r="J37" s="747"/>
      <c r="K37" s="763"/>
    </row>
    <row r="38" spans="1:17" x14ac:dyDescent="0.2">
      <c r="A38" s="765"/>
      <c r="B38" s="766"/>
      <c r="C38" s="766"/>
      <c r="D38" s="760" t="str">
        <f>IF('0.Data Sheet'!C42="pile","Right Abutment pile Cap","Right Abutment footing")</f>
        <v>Right Abutment footing</v>
      </c>
      <c r="E38" s="753">
        <f t="shared" si="2"/>
        <v>1</v>
      </c>
      <c r="F38" s="756">
        <f t="shared" si="2"/>
        <v>10.5</v>
      </c>
      <c r="G38" s="756">
        <f t="shared" si="2"/>
        <v>9</v>
      </c>
      <c r="H38" s="756">
        <f>H37</f>
        <v>0.1</v>
      </c>
      <c r="I38" s="729">
        <f>PRODUCT(E38:H38)</f>
        <v>9.4500000000000011</v>
      </c>
      <c r="J38" s="747"/>
      <c r="K38" s="749"/>
    </row>
    <row r="39" spans="1:17" x14ac:dyDescent="0.2">
      <c r="A39" s="765"/>
      <c r="B39" s="766"/>
      <c r="C39" s="766"/>
      <c r="D39" s="760" t="str">
        <f>IF(nspan=1,"",IF('0.Data Sheet'!C42="pile","Pier pile Cap","Pier footing"))</f>
        <v/>
      </c>
      <c r="E39" s="753" t="str">
        <f>IF(nspan=1,"",E24)</f>
        <v/>
      </c>
      <c r="F39" s="756" t="str">
        <f>IF(nspan=1,"",F24)</f>
        <v/>
      </c>
      <c r="G39" s="756" t="str">
        <f>IF(nspan=1,"",G24)</f>
        <v/>
      </c>
      <c r="H39" s="756" t="str">
        <f>IF(nspan=1,"",H38)</f>
        <v/>
      </c>
      <c r="I39" s="729" t="str">
        <f>IF(nspan=1,"",PRODUCT(E39:H39))</f>
        <v/>
      </c>
      <c r="J39" s="747"/>
      <c r="K39" s="749"/>
      <c r="L39" s="1228" t="str">
        <f>IF(nspan=1,"Do not Delete this row pier is present in this row","")</f>
        <v>Do not Delete this row pier is present in this row</v>
      </c>
      <c r="M39" s="1228"/>
      <c r="N39" s="1228"/>
      <c r="O39" s="1228"/>
    </row>
    <row r="40" spans="1:17" x14ac:dyDescent="0.2">
      <c r="A40" s="765"/>
      <c r="B40" s="766"/>
      <c r="C40" s="766"/>
      <c r="D40" s="760" t="s">
        <v>229</v>
      </c>
      <c r="E40" s="753">
        <f>E22+E23</f>
        <v>2</v>
      </c>
      <c r="F40" s="754">
        <f>'0.Data Sheet'!C36</f>
        <v>6</v>
      </c>
      <c r="G40" s="754">
        <f>'0.Data Sheet'!C38</f>
        <v>3.5</v>
      </c>
      <c r="H40" s="754">
        <v>0.1</v>
      </c>
      <c r="I40" s="729">
        <f>PRODUCT(E40:H40)</f>
        <v>4.2</v>
      </c>
      <c r="J40" s="747"/>
      <c r="K40" s="749"/>
    </row>
    <row r="41" spans="1:17" ht="15.75" x14ac:dyDescent="0.2">
      <c r="A41" s="765"/>
      <c r="B41" s="766"/>
      <c r="C41" s="766"/>
      <c r="D41" s="758" t="s">
        <v>194</v>
      </c>
      <c r="E41" s="767"/>
      <c r="F41" s="768"/>
      <c r="G41" s="768"/>
      <c r="H41" s="768"/>
      <c r="I41" s="729">
        <f>SUM(I37:I40)</f>
        <v>23.1</v>
      </c>
      <c r="J41" s="747" t="s">
        <v>1697</v>
      </c>
      <c r="K41" s="749"/>
    </row>
    <row r="42" spans="1:17" ht="76.5" x14ac:dyDescent="0.2">
      <c r="A42" s="744">
        <f>A36+0.01</f>
        <v>2.0499999999999989</v>
      </c>
      <c r="B42" s="745" t="str">
        <f>'2.0Abstract of Cost'!B25</f>
        <v>Spec .cl.No:2000</v>
      </c>
      <c r="C42" s="759" t="str">
        <f>'2.0Abstract of Cost'!C25</f>
        <v>20.2 G</v>
      </c>
      <c r="D42" s="1144" t="str">
        <f>'2.0Abstract of Cost'!D25</f>
        <v>Providing and placing machine mixed cement concrete Grade M30/20 for foundation  including formwork, compaction, curing, testing  etc. all complete as per specification and drawing.[2000]</v>
      </c>
      <c r="E42" s="747"/>
      <c r="F42" s="748"/>
      <c r="G42" s="748"/>
      <c r="H42" s="748"/>
      <c r="I42" s="729"/>
      <c r="J42" s="747"/>
      <c r="K42" s="749"/>
    </row>
    <row r="43" spans="1:17" x14ac:dyDescent="0.2">
      <c r="A43" s="770"/>
      <c r="B43" s="771"/>
      <c r="C43" s="771"/>
      <c r="D43" s="760" t="str">
        <f>D37</f>
        <v>Left Abutment footing</v>
      </c>
      <c r="E43" s="753">
        <f>E37</f>
        <v>1</v>
      </c>
      <c r="F43" s="753">
        <f>F37</f>
        <v>10.5</v>
      </c>
      <c r="G43" s="753">
        <f>G37</f>
        <v>9</v>
      </c>
      <c r="H43" s="754">
        <f>ab_h5</f>
        <v>1.8</v>
      </c>
      <c r="I43" s="729">
        <f>PRODUCT(E43:H43)</f>
        <v>170.1</v>
      </c>
      <c r="J43" s="747"/>
      <c r="K43" s="749"/>
    </row>
    <row r="44" spans="1:17" x14ac:dyDescent="0.2">
      <c r="A44" s="765"/>
      <c r="B44" s="766"/>
      <c r="C44" s="766"/>
      <c r="D44" s="760" t="str">
        <f>D38</f>
        <v>Right Abutment footing</v>
      </c>
      <c r="E44" s="753">
        <f t="shared" ref="E44:G44" si="3">E38</f>
        <v>1</v>
      </c>
      <c r="F44" s="753">
        <f t="shared" si="3"/>
        <v>10.5</v>
      </c>
      <c r="G44" s="753">
        <f t="shared" si="3"/>
        <v>9</v>
      </c>
      <c r="H44" s="756">
        <f>H43</f>
        <v>1.8</v>
      </c>
      <c r="I44" s="729">
        <f>PRODUCT(E44:H44)</f>
        <v>170.1</v>
      </c>
      <c r="J44" s="747"/>
      <c r="K44" s="749"/>
    </row>
    <row r="45" spans="1:17" x14ac:dyDescent="0.2">
      <c r="A45" s="765"/>
      <c r="B45" s="766"/>
      <c r="C45" s="766"/>
      <c r="D45" s="760" t="str">
        <f>IF(nspan=1,"",D39)</f>
        <v/>
      </c>
      <c r="E45" s="753" t="str">
        <f>IF(nspan=1,"",E39)</f>
        <v/>
      </c>
      <c r="F45" s="753" t="str">
        <f>IF(nspan=1,"",F39)</f>
        <v/>
      </c>
      <c r="G45" s="753" t="str">
        <f>IF(nspan=1,"",G39)</f>
        <v/>
      </c>
      <c r="H45" s="754" t="str">
        <f>IF(nspan=1,"",AF94)</f>
        <v/>
      </c>
      <c r="I45" s="729" t="str">
        <f>IF(nspan=1,"",PRODUCT(E45:H45))</f>
        <v/>
      </c>
      <c r="J45" s="747"/>
      <c r="K45" s="749"/>
      <c r="L45" s="1228" t="str">
        <f>IF(nspan=1,"Do not Delete this row pier is present in this row","")</f>
        <v>Do not Delete this row pier is present in this row</v>
      </c>
      <c r="M45" s="1228"/>
      <c r="N45" s="1228"/>
      <c r="O45" s="1228"/>
    </row>
    <row r="46" spans="1:17" ht="15.75" x14ac:dyDescent="0.2">
      <c r="A46" s="765"/>
      <c r="B46" s="766"/>
      <c r="C46" s="766"/>
      <c r="D46" s="772" t="s">
        <v>194</v>
      </c>
      <c r="E46" s="747"/>
      <c r="F46" s="748"/>
      <c r="G46" s="748"/>
      <c r="H46" s="748"/>
      <c r="I46" s="729">
        <f>SUM(I43:I45)</f>
        <v>340.2</v>
      </c>
      <c r="J46" s="747" t="s">
        <v>1697</v>
      </c>
      <c r="K46" s="749"/>
    </row>
    <row r="47" spans="1:17" ht="63.75" x14ac:dyDescent="0.2">
      <c r="A47" s="744">
        <f>A42+0.01</f>
        <v>2.0599999999999987</v>
      </c>
      <c r="B47" s="745" t="str">
        <f>'2.0Abstract of Cost'!B26</f>
        <v>Spec .cl.No: 2014</v>
      </c>
      <c r="C47" s="759">
        <f>'2.0Abstract of Cost'!C26</f>
        <v>20.3</v>
      </c>
      <c r="D47" s="1144" t="s">
        <v>1016</v>
      </c>
      <c r="E47" s="747"/>
      <c r="F47" s="748"/>
      <c r="G47" s="748"/>
      <c r="H47" s="773"/>
      <c r="I47" s="729"/>
      <c r="J47" s="747"/>
      <c r="K47" s="749"/>
    </row>
    <row r="48" spans="1:17" x14ac:dyDescent="0.2">
      <c r="A48" s="744"/>
      <c r="B48" s="750"/>
      <c r="C48" s="750"/>
      <c r="D48" s="764" t="str">
        <f t="shared" ref="D48:E49" si="4">D43</f>
        <v>Left Abutment footing</v>
      </c>
      <c r="E48" s="753">
        <f t="shared" si="4"/>
        <v>1</v>
      </c>
      <c r="F48" s="1244">
        <v>14.974</v>
      </c>
      <c r="G48" s="1245"/>
      <c r="H48" s="1246"/>
      <c r="I48" s="729">
        <f>PRODUCT(E48:H48)</f>
        <v>14.974</v>
      </c>
      <c r="J48" s="747"/>
      <c r="K48" s="749"/>
      <c r="Q48" s="9">
        <v>9935.5949854913706</v>
      </c>
    </row>
    <row r="49" spans="1:29" x14ac:dyDescent="0.2">
      <c r="A49" s="744"/>
      <c r="B49" s="750"/>
      <c r="C49" s="750"/>
      <c r="D49" s="764" t="str">
        <f t="shared" si="4"/>
        <v>Right Abutment footing</v>
      </c>
      <c r="E49" s="753">
        <f t="shared" si="4"/>
        <v>1</v>
      </c>
      <c r="F49" s="1241">
        <f>F48</f>
        <v>14.974</v>
      </c>
      <c r="G49" s="1242"/>
      <c r="H49" s="1243"/>
      <c r="I49" s="729">
        <f>PRODUCT(E49:H49)</f>
        <v>14.974</v>
      </c>
      <c r="J49" s="747"/>
      <c r="K49" s="749"/>
    </row>
    <row r="50" spans="1:29" x14ac:dyDescent="0.2">
      <c r="A50" s="765"/>
      <c r="B50" s="766"/>
      <c r="C50" s="766"/>
      <c r="D50" s="760" t="str">
        <f>IF(nspan=1,"",D45)</f>
        <v/>
      </c>
      <c r="E50" s="753" t="str">
        <f>IF(nspan=1,"",E45)</f>
        <v/>
      </c>
      <c r="F50" s="1238"/>
      <c r="G50" s="1239"/>
      <c r="H50" s="1240"/>
      <c r="I50" s="729" t="str">
        <f>IF(nspan=1,"",PRODUCT(E50:H50))</f>
        <v/>
      </c>
      <c r="J50" s="747"/>
      <c r="K50" s="774"/>
      <c r="L50" s="1228" t="str">
        <f>IF(nspan=1,"Do not Delete this row pier is present in this row","")</f>
        <v>Do not Delete this row pier is present in this row</v>
      </c>
      <c r="M50" s="1228"/>
      <c r="N50" s="1228"/>
      <c r="O50" s="1228"/>
    </row>
    <row r="51" spans="1:29" x14ac:dyDescent="0.2">
      <c r="A51" s="765"/>
      <c r="B51" s="766"/>
      <c r="C51" s="766"/>
      <c r="D51" s="758" t="s">
        <v>194</v>
      </c>
      <c r="E51" s="747"/>
      <c r="F51" s="748"/>
      <c r="G51" s="748"/>
      <c r="H51" s="748"/>
      <c r="I51" s="729">
        <f>SUM(I48:I50)</f>
        <v>29.948</v>
      </c>
      <c r="J51" s="747" t="s">
        <v>14</v>
      </c>
      <c r="K51" s="774"/>
    </row>
    <row r="52" spans="1:29" ht="63.75" hidden="1" x14ac:dyDescent="0.2">
      <c r="A52" s="744">
        <f>A47+0.01</f>
        <v>2.0699999999999985</v>
      </c>
      <c r="B52" s="745" t="str">
        <f>'2.0Abstract of Cost'!B27</f>
        <v>Spec .cl.No:1804,1805</v>
      </c>
      <c r="C52" s="745" t="str">
        <f>'2.0Abstract of Cost'!C27</f>
        <v>18.1(b)</v>
      </c>
      <c r="D52" s="769" t="s">
        <v>450</v>
      </c>
      <c r="E52" s="747"/>
      <c r="F52" s="748"/>
      <c r="G52" s="748"/>
      <c r="H52" s="748"/>
      <c r="I52" s="729"/>
      <c r="J52" s="747"/>
      <c r="K52" s="749"/>
    </row>
    <row r="53" spans="1:29" hidden="1" x14ac:dyDescent="0.2">
      <c r="A53" s="744"/>
      <c r="B53" s="750"/>
      <c r="C53" s="750"/>
      <c r="D53" s="764" t="str">
        <f>CONCATENATE(D43," Lean Concrete")</f>
        <v>Left Abutment footing Lean Concrete</v>
      </c>
      <c r="E53" s="753">
        <f>E48</f>
        <v>1</v>
      </c>
      <c r="F53" s="756">
        <f>2*F37+2*G37</f>
        <v>39</v>
      </c>
      <c r="G53" s="748"/>
      <c r="H53" s="756">
        <f>H37</f>
        <v>0.1</v>
      </c>
      <c r="I53" s="729"/>
      <c r="J53" s="747"/>
      <c r="K53" s="749"/>
    </row>
    <row r="54" spans="1:29" ht="25.5" hidden="1" x14ac:dyDescent="0.2">
      <c r="A54" s="765"/>
      <c r="B54" s="766"/>
      <c r="C54" s="766"/>
      <c r="D54" s="764" t="str">
        <f t="shared" ref="D54" si="5">CONCATENATE(D44," Lean Concrete")</f>
        <v>Right Abutment footing Lean Concrete</v>
      </c>
      <c r="E54" s="753">
        <f>E49</f>
        <v>1</v>
      </c>
      <c r="F54" s="756">
        <f>2*F38+2*G38</f>
        <v>39</v>
      </c>
      <c r="G54" s="756"/>
      <c r="H54" s="756">
        <f>H38</f>
        <v>0.1</v>
      </c>
      <c r="I54" s="729"/>
      <c r="J54" s="747"/>
      <c r="K54" s="749"/>
    </row>
    <row r="55" spans="1:29" hidden="1" x14ac:dyDescent="0.2">
      <c r="A55" s="765"/>
      <c r="B55" s="766"/>
      <c r="C55" s="766"/>
      <c r="D55" s="764" t="str">
        <f>IF(nspan=1,"",CONCATENATE(D45," Lean Concrete"))</f>
        <v/>
      </c>
      <c r="E55" s="753" t="str">
        <f>IF(nspan=1,"",E50)</f>
        <v/>
      </c>
      <c r="F55" s="756" t="str">
        <f>IF(nspan=1,"",2*F39+2*G39)</f>
        <v/>
      </c>
      <c r="G55" s="756"/>
      <c r="H55" s="756" t="str">
        <f>IF(nspan=1,"",H39)</f>
        <v/>
      </c>
      <c r="I55" s="729"/>
      <c r="J55" s="747"/>
      <c r="K55" s="749"/>
    </row>
    <row r="56" spans="1:29" hidden="1" x14ac:dyDescent="0.2">
      <c r="A56" s="765"/>
      <c r="B56" s="766"/>
      <c r="C56" s="766"/>
      <c r="D56" s="760" t="s">
        <v>1008</v>
      </c>
      <c r="E56" s="753">
        <v>2</v>
      </c>
      <c r="F56" s="756">
        <f>'0.Data Sheet'!C38</f>
        <v>3.5</v>
      </c>
      <c r="G56" s="756"/>
      <c r="H56" s="756">
        <f>H40</f>
        <v>0.1</v>
      </c>
      <c r="I56" s="729"/>
      <c r="J56" s="747"/>
      <c r="K56" s="749"/>
    </row>
    <row r="57" spans="1:29" hidden="1" x14ac:dyDescent="0.2">
      <c r="A57" s="765"/>
      <c r="B57" s="766"/>
      <c r="C57" s="766"/>
      <c r="D57" s="760" t="str">
        <f>D43</f>
        <v>Left Abutment footing</v>
      </c>
      <c r="E57" s="753">
        <f t="shared" ref="E57:F58" si="6">E53</f>
        <v>1</v>
      </c>
      <c r="F57" s="756">
        <f t="shared" si="6"/>
        <v>39</v>
      </c>
      <c r="G57" s="756"/>
      <c r="H57" s="756">
        <f>H43</f>
        <v>1.8</v>
      </c>
      <c r="I57" s="729"/>
      <c r="J57" s="747"/>
      <c r="K57" s="749"/>
    </row>
    <row r="58" spans="1:29" hidden="1" x14ac:dyDescent="0.2">
      <c r="A58" s="765"/>
      <c r="B58" s="766"/>
      <c r="C58" s="766"/>
      <c r="D58" s="760" t="str">
        <f>D44</f>
        <v>Right Abutment footing</v>
      </c>
      <c r="E58" s="753">
        <f t="shared" si="6"/>
        <v>1</v>
      </c>
      <c r="F58" s="756">
        <f>F54</f>
        <v>39</v>
      </c>
      <c r="G58" s="756"/>
      <c r="H58" s="756">
        <f>H44</f>
        <v>1.8</v>
      </c>
      <c r="I58" s="729"/>
      <c r="J58" s="747"/>
      <c r="K58" s="749"/>
    </row>
    <row r="59" spans="1:29" hidden="1" x14ac:dyDescent="0.2">
      <c r="A59" s="765"/>
      <c r="B59" s="766"/>
      <c r="C59" s="766"/>
      <c r="D59" s="760" t="str">
        <f>IF(nspan=1,"",D45)</f>
        <v/>
      </c>
      <c r="E59" s="753" t="str">
        <f>IF(nspan=1,"",E55)</f>
        <v/>
      </c>
      <c r="F59" s="756" t="str">
        <f>IF(nspan=1,"",F55)</f>
        <v/>
      </c>
      <c r="G59" s="756"/>
      <c r="H59" s="756" t="str">
        <f>IF(nspan=1,"",H45)</f>
        <v/>
      </c>
      <c r="I59" s="729" t="str">
        <f>IF(nspan=1,"",PRODUCT(E59:H59))</f>
        <v/>
      </c>
      <c r="J59" s="747"/>
      <c r="K59" s="749"/>
      <c r="L59" s="1228" t="str">
        <f>IF(nspan=1,"Do not Delete this row pier is present in this row","")</f>
        <v>Do not Delete this row pier is present in this row</v>
      </c>
      <c r="M59" s="1228"/>
      <c r="N59" s="1228"/>
      <c r="O59" s="1228"/>
    </row>
    <row r="60" spans="1:29" ht="15.75" hidden="1" x14ac:dyDescent="0.2">
      <c r="A60" s="765"/>
      <c r="B60" s="766"/>
      <c r="C60" s="766"/>
      <c r="D60" s="758" t="s">
        <v>194</v>
      </c>
      <c r="E60" s="747"/>
      <c r="F60" s="748"/>
      <c r="G60" s="748"/>
      <c r="H60" s="748"/>
      <c r="I60" s="729"/>
      <c r="J60" s="747" t="s">
        <v>1698</v>
      </c>
      <c r="K60" s="749"/>
    </row>
    <row r="61" spans="1:29" x14ac:dyDescent="0.2">
      <c r="A61" s="780"/>
      <c r="B61" s="781"/>
      <c r="C61" s="781"/>
      <c r="D61" s="739" t="s">
        <v>231</v>
      </c>
      <c r="E61" s="782"/>
      <c r="F61" s="783"/>
      <c r="G61" s="783"/>
      <c r="H61" s="783"/>
      <c r="I61" s="784"/>
      <c r="J61" s="785"/>
      <c r="K61" s="782"/>
      <c r="AC61" s="779"/>
    </row>
    <row r="62" spans="1:29" ht="127.5" x14ac:dyDescent="0.2">
      <c r="A62" s="744">
        <v>3.01</v>
      </c>
      <c r="B62" s="750" t="str">
        <f>'2.0Abstract of Cost'!B30</f>
        <v>Spec .cl.No:2000</v>
      </c>
      <c r="C62" s="750" t="str">
        <f>'2.0Abstract of Cost'!C30</f>
        <v>20.4 G(q)</v>
      </c>
      <c r="D62" s="813" t="s">
        <v>1744</v>
      </c>
      <c r="E62" s="747"/>
      <c r="F62" s="748"/>
      <c r="G62" s="748"/>
      <c r="H62" s="748"/>
      <c r="I62" s="729"/>
      <c r="J62" s="747"/>
      <c r="K62" s="749"/>
      <c r="AC62" s="779"/>
    </row>
    <row r="63" spans="1:29" x14ac:dyDescent="0.2">
      <c r="A63" s="765"/>
      <c r="B63" s="766"/>
      <c r="C63" s="766"/>
      <c r="D63" s="776"/>
      <c r="E63" s="747"/>
      <c r="F63" s="748"/>
      <c r="G63" s="748"/>
      <c r="H63" s="748"/>
      <c r="I63" s="729"/>
      <c r="J63" s="747"/>
      <c r="K63" s="749"/>
      <c r="AC63" s="779"/>
    </row>
    <row r="64" spans="1:29" s="18" customFormat="1" x14ac:dyDescent="0.2">
      <c r="A64" s="765"/>
      <c r="B64" s="786"/>
      <c r="C64" s="786"/>
      <c r="D64" s="787" t="s">
        <v>339</v>
      </c>
      <c r="E64" s="753"/>
      <c r="F64" s="756"/>
      <c r="G64" s="756"/>
      <c r="H64" s="756"/>
      <c r="I64" s="729"/>
      <c r="J64" s="747"/>
      <c r="K64" s="749"/>
      <c r="AC64" s="779"/>
    </row>
    <row r="65" spans="1:40" s="18" customFormat="1" x14ac:dyDescent="0.2">
      <c r="A65" s="765"/>
      <c r="B65" s="766"/>
      <c r="C65" s="766"/>
      <c r="D65" s="752" t="s">
        <v>353</v>
      </c>
      <c r="E65" s="753">
        <f>E53</f>
        <v>1</v>
      </c>
      <c r="F65" s="754">
        <f>ab_width</f>
        <v>8.4</v>
      </c>
      <c r="G65" s="754">
        <f>AVERAGE(ab_b1,ab_b1+ab_b2)</f>
        <v>1.5</v>
      </c>
      <c r="H65" s="754">
        <f>ab_h4</f>
        <v>7.65</v>
      </c>
      <c r="I65" s="729">
        <f>H65*G65*F65*E65</f>
        <v>96.390000000000015</v>
      </c>
      <c r="J65" s="747"/>
      <c r="K65" s="749"/>
      <c r="AC65" s="779"/>
    </row>
    <row r="66" spans="1:40" x14ac:dyDescent="0.2">
      <c r="A66" s="765"/>
      <c r="B66" s="766"/>
      <c r="C66" s="766"/>
      <c r="D66" s="752" t="s">
        <v>355</v>
      </c>
      <c r="E66" s="753">
        <f>E65</f>
        <v>1</v>
      </c>
      <c r="F66" s="756">
        <f>F65</f>
        <v>8.4</v>
      </c>
      <c r="G66" s="754">
        <f>ab_b5</f>
        <v>1.5</v>
      </c>
      <c r="H66" s="754">
        <f>ab_h3</f>
        <v>0.6</v>
      </c>
      <c r="I66" s="729">
        <f>H66*G66*F66*E66</f>
        <v>7.56</v>
      </c>
      <c r="J66" s="747"/>
      <c r="K66" s="749"/>
      <c r="M66" s="9">
        <f>ab_b3</f>
        <v>0.4</v>
      </c>
      <c r="Q66" s="9">
        <f>8.4-1.75*2</f>
        <v>4.9000000000000004</v>
      </c>
      <c r="AC66" s="779"/>
    </row>
    <row r="67" spans="1:40" x14ac:dyDescent="0.2">
      <c r="A67" s="765"/>
      <c r="B67" s="766"/>
      <c r="C67" s="766"/>
      <c r="D67" s="752" t="s">
        <v>1011</v>
      </c>
      <c r="E67" s="753">
        <f>E65</f>
        <v>1</v>
      </c>
      <c r="F67" s="756">
        <f>F65</f>
        <v>8.4</v>
      </c>
      <c r="G67" s="754">
        <f>ab_b3</f>
        <v>0.4</v>
      </c>
      <c r="H67" s="754">
        <f>ab_h2+ab_h3</f>
        <v>2.35</v>
      </c>
      <c r="I67" s="729">
        <f t="shared" ref="I67:I71" si="7">PRODUCT(E67:H67)</f>
        <v>7.8960000000000008</v>
      </c>
      <c r="J67" s="747"/>
      <c r="K67" s="749"/>
      <c r="AC67" s="779"/>
    </row>
    <row r="68" spans="1:40" s="18" customFormat="1" x14ac:dyDescent="0.2">
      <c r="A68" s="765"/>
      <c r="B68" s="766"/>
      <c r="C68" s="766"/>
      <c r="D68" s="752" t="s">
        <v>356</v>
      </c>
      <c r="E68" s="753">
        <f>2*E65</f>
        <v>2</v>
      </c>
      <c r="F68" s="756">
        <f>AD137</f>
        <v>1.1000000000000001</v>
      </c>
      <c r="G68" s="1230">
        <f>0.5*AD136*(AD133+AD134)+0.5*AD134*(AD135-AD136)</f>
        <v>0.25</v>
      </c>
      <c r="H68" s="1231"/>
      <c r="I68" s="729">
        <f t="shared" si="7"/>
        <v>0.55000000000000004</v>
      </c>
      <c r="J68" s="747"/>
      <c r="K68" s="749"/>
      <c r="AC68" s="779"/>
    </row>
    <row r="69" spans="1:40" s="18" customFormat="1" x14ac:dyDescent="0.2">
      <c r="A69" s="765"/>
      <c r="B69" s="766"/>
      <c r="C69" s="766"/>
      <c r="D69" s="752" t="s">
        <v>232</v>
      </c>
      <c r="E69" s="753">
        <f>E65*2</f>
        <v>2</v>
      </c>
      <c r="F69" s="756">
        <f>ab_b3</f>
        <v>0.4</v>
      </c>
      <c r="G69" s="1249">
        <f>AVERAGE(AB152,AB151)*(AB155+ab_b3)</f>
        <v>7.5075000000000003</v>
      </c>
      <c r="H69" s="1250"/>
      <c r="I69" s="729">
        <f t="shared" si="7"/>
        <v>6.0060000000000002</v>
      </c>
      <c r="J69" s="747"/>
      <c r="K69" s="749"/>
      <c r="AC69" s="779"/>
    </row>
    <row r="70" spans="1:40" s="18" customFormat="1" x14ac:dyDescent="0.2">
      <c r="A70" s="765"/>
      <c r="B70" s="766"/>
      <c r="C70" s="766"/>
      <c r="D70" s="752" t="s">
        <v>327</v>
      </c>
      <c r="E70" s="753">
        <f>2*E65</f>
        <v>2</v>
      </c>
      <c r="F70" s="1230">
        <f>0.3*0.3/2</f>
        <v>4.4999999999999998E-2</v>
      </c>
      <c r="G70" s="1231"/>
      <c r="H70" s="756">
        <f>AB151</f>
        <v>2.75</v>
      </c>
      <c r="I70" s="729">
        <f>PRODUCT(E70:H70)</f>
        <v>0.2475</v>
      </c>
      <c r="J70" s="747"/>
      <c r="K70" s="749"/>
      <c r="AC70" s="779"/>
    </row>
    <row r="71" spans="1:40" s="18" customFormat="1" x14ac:dyDescent="0.2">
      <c r="A71" s="765"/>
      <c r="B71" s="766"/>
      <c r="C71" s="766"/>
      <c r="D71" s="752" t="s">
        <v>328</v>
      </c>
      <c r="E71" s="753">
        <f>2*E65</f>
        <v>2</v>
      </c>
      <c r="F71" s="788">
        <f>AB155</f>
        <v>3.5</v>
      </c>
      <c r="G71" s="1230">
        <f>0.3*0.3/2</f>
        <v>4.4999999999999998E-2</v>
      </c>
      <c r="H71" s="1231"/>
      <c r="I71" s="729">
        <f t="shared" si="7"/>
        <v>0.315</v>
      </c>
      <c r="J71" s="747"/>
      <c r="K71" s="749"/>
      <c r="AC71" s="779"/>
    </row>
    <row r="72" spans="1:40" s="18" customFormat="1" x14ac:dyDescent="0.2">
      <c r="A72" s="765"/>
      <c r="B72" s="766"/>
      <c r="C72" s="766"/>
      <c r="D72" s="752"/>
      <c r="E72" s="753"/>
      <c r="F72" s="788"/>
      <c r="G72" s="789"/>
      <c r="H72" s="790"/>
      <c r="I72" s="729"/>
      <c r="J72" s="747"/>
      <c r="K72" s="749"/>
      <c r="AC72" s="779"/>
    </row>
    <row r="73" spans="1:40" s="18" customFormat="1" x14ac:dyDescent="0.2">
      <c r="A73" s="765"/>
      <c r="B73" s="786"/>
      <c r="C73" s="786"/>
      <c r="D73" s="787" t="s">
        <v>354</v>
      </c>
      <c r="E73" s="753"/>
      <c r="F73" s="788"/>
      <c r="G73" s="789"/>
      <c r="H73" s="790"/>
      <c r="I73" s="729"/>
      <c r="J73" s="747"/>
      <c r="K73" s="749"/>
      <c r="AC73" s="779"/>
    </row>
    <row r="74" spans="1:40" x14ac:dyDescent="0.2">
      <c r="A74" s="765"/>
      <c r="B74" s="766"/>
      <c r="C74" s="766"/>
      <c r="D74" s="752" t="s">
        <v>353</v>
      </c>
      <c r="E74" s="753">
        <f>E65</f>
        <v>1</v>
      </c>
      <c r="F74" s="756">
        <f>F65</f>
        <v>8.4</v>
      </c>
      <c r="G74" s="756">
        <f>G65</f>
        <v>1.5</v>
      </c>
      <c r="H74" s="1041">
        <f>H65</f>
        <v>7.65</v>
      </c>
      <c r="I74" s="729">
        <f t="shared" ref="I74:I80" si="8">PRODUCT(E74:H74)</f>
        <v>96.390000000000015</v>
      </c>
      <c r="J74" s="747"/>
      <c r="K74" s="749"/>
    </row>
    <row r="75" spans="1:40" x14ac:dyDescent="0.2">
      <c r="A75" s="765"/>
      <c r="B75" s="766"/>
      <c r="C75" s="766"/>
      <c r="D75" s="752" t="s">
        <v>355</v>
      </c>
      <c r="E75" s="753">
        <f>E74</f>
        <v>1</v>
      </c>
      <c r="F75" s="756">
        <f t="shared" ref="F75:F80" si="9">F66</f>
        <v>8.4</v>
      </c>
      <c r="G75" s="1041">
        <f t="shared" ref="G75:H75" si="10">G66</f>
        <v>1.5</v>
      </c>
      <c r="H75" s="1041">
        <f t="shared" si="10"/>
        <v>0.6</v>
      </c>
      <c r="I75" s="729">
        <f t="shared" si="8"/>
        <v>7.5600000000000005</v>
      </c>
      <c r="J75" s="747"/>
      <c r="K75" s="749"/>
    </row>
    <row r="76" spans="1:40" x14ac:dyDescent="0.2">
      <c r="A76" s="765"/>
      <c r="B76" s="766"/>
      <c r="C76" s="766"/>
      <c r="D76" s="752" t="s">
        <v>1011</v>
      </c>
      <c r="E76" s="753">
        <f>E67</f>
        <v>1</v>
      </c>
      <c r="F76" s="756">
        <f t="shared" si="9"/>
        <v>8.4</v>
      </c>
      <c r="G76" s="1041">
        <f t="shared" ref="G76:H76" si="11">G67</f>
        <v>0.4</v>
      </c>
      <c r="H76" s="1041">
        <f t="shared" si="11"/>
        <v>2.35</v>
      </c>
      <c r="I76" s="729">
        <f t="shared" si="8"/>
        <v>7.8960000000000008</v>
      </c>
      <c r="J76" s="747"/>
      <c r="K76" s="749"/>
    </row>
    <row r="77" spans="1:40" s="18" customFormat="1" x14ac:dyDescent="0.2">
      <c r="A77" s="765"/>
      <c r="B77" s="766"/>
      <c r="C77" s="766"/>
      <c r="D77" s="752" t="s">
        <v>356</v>
      </c>
      <c r="E77" s="753">
        <f>2*E74</f>
        <v>2</v>
      </c>
      <c r="F77" s="756">
        <f t="shared" si="9"/>
        <v>1.1000000000000001</v>
      </c>
      <c r="G77" s="1230">
        <f>G68</f>
        <v>0.25</v>
      </c>
      <c r="H77" s="1231"/>
      <c r="I77" s="729">
        <f t="shared" si="8"/>
        <v>0.55000000000000004</v>
      </c>
      <c r="J77" s="747"/>
      <c r="K77" s="749"/>
      <c r="P77" s="791"/>
    </row>
    <row r="78" spans="1:40" s="18" customFormat="1" ht="13.5" thickBot="1" x14ac:dyDescent="0.25">
      <c r="A78" s="765"/>
      <c r="B78" s="766"/>
      <c r="C78" s="766"/>
      <c r="D78" s="752" t="s">
        <v>232</v>
      </c>
      <c r="E78" s="753">
        <f>E69</f>
        <v>2</v>
      </c>
      <c r="F78" s="756">
        <f t="shared" si="9"/>
        <v>0.4</v>
      </c>
      <c r="G78" s="1249">
        <f>G69</f>
        <v>7.5075000000000003</v>
      </c>
      <c r="H78" s="1250"/>
      <c r="I78" s="729">
        <f t="shared" si="8"/>
        <v>6.0060000000000002</v>
      </c>
      <c r="J78" s="747"/>
      <c r="K78" s="749"/>
      <c r="P78" s="792"/>
      <c r="Q78" s="778"/>
      <c r="X78" s="9"/>
      <c r="Y78" s="9"/>
      <c r="Z78" s="9"/>
      <c r="AA78" s="9"/>
      <c r="AB78" s="9"/>
      <c r="AC78" s="9"/>
      <c r="AD78" s="9"/>
      <c r="AE78" s="9"/>
      <c r="AF78" s="9"/>
      <c r="AG78" s="9"/>
      <c r="AH78" s="9"/>
      <c r="AI78" s="9"/>
      <c r="AJ78" s="9"/>
      <c r="AK78" s="9"/>
      <c r="AL78" s="9"/>
      <c r="AM78" s="9"/>
      <c r="AN78" s="9"/>
    </row>
    <row r="79" spans="1:40" x14ac:dyDescent="0.2">
      <c r="A79" s="765"/>
      <c r="B79" s="766"/>
      <c r="C79" s="766"/>
      <c r="D79" s="752" t="s">
        <v>327</v>
      </c>
      <c r="E79" s="753">
        <f>E70</f>
        <v>2</v>
      </c>
      <c r="F79" s="1230">
        <f t="shared" si="9"/>
        <v>4.4999999999999998E-2</v>
      </c>
      <c r="G79" s="1231"/>
      <c r="H79" s="756">
        <f>H70</f>
        <v>2.75</v>
      </c>
      <c r="I79" s="729">
        <f t="shared" si="8"/>
        <v>0.2475</v>
      </c>
      <c r="J79" s="747"/>
      <c r="K79" s="749"/>
      <c r="Y79" s="793"/>
      <c r="Z79" s="794"/>
      <c r="AA79" s="794"/>
      <c r="AB79" s="794"/>
      <c r="AC79" s="794"/>
      <c r="AD79" s="795"/>
      <c r="AE79" s="795"/>
      <c r="AF79" s="795"/>
      <c r="AG79" s="795"/>
      <c r="AH79" s="796"/>
      <c r="AI79" s="797"/>
      <c r="AJ79" s="798"/>
    </row>
    <row r="80" spans="1:40" x14ac:dyDescent="0.2">
      <c r="A80" s="765"/>
      <c r="B80" s="766"/>
      <c r="C80" s="766"/>
      <c r="D80" s="752" t="s">
        <v>328</v>
      </c>
      <c r="E80" s="753">
        <f>2*E74</f>
        <v>2</v>
      </c>
      <c r="F80" s="788">
        <f t="shared" si="9"/>
        <v>3.5</v>
      </c>
      <c r="G80" s="1230">
        <f>G71</f>
        <v>4.4999999999999998E-2</v>
      </c>
      <c r="H80" s="1231"/>
      <c r="I80" s="729">
        <f t="shared" si="8"/>
        <v>0.315</v>
      </c>
      <c r="J80" s="747"/>
      <c r="K80" s="749"/>
      <c r="Y80" s="799"/>
      <c r="Z80" s="800"/>
      <c r="AA80" s="800"/>
      <c r="AB80" s="801"/>
      <c r="AC80" s="800"/>
      <c r="AD80" s="802"/>
      <c r="AE80" s="802"/>
      <c r="AF80" s="803"/>
      <c r="AG80" s="1248"/>
      <c r="AH80" s="1248"/>
      <c r="AI80" s="1248"/>
      <c r="AJ80" s="804"/>
    </row>
    <row r="81" spans="1:36" s="18" customFormat="1" hidden="1" x14ac:dyDescent="0.2">
      <c r="A81" s="765"/>
      <c r="B81" s="766"/>
      <c r="C81" s="766"/>
      <c r="D81" s="760" t="str">
        <f>IF(nspan=1,"","Pier")</f>
        <v/>
      </c>
      <c r="E81" s="753"/>
      <c r="F81" s="753"/>
      <c r="G81" s="753"/>
      <c r="H81" s="753"/>
      <c r="I81" s="729"/>
      <c r="J81" s="747"/>
      <c r="K81" s="749"/>
      <c r="L81" s="1228" t="str">
        <f>IF(nspan=1,"Do not Delete this row pier is present in this row","")</f>
        <v>Do not Delete this row pier is present in this row</v>
      </c>
      <c r="M81" s="1228"/>
      <c r="N81" s="1228"/>
      <c r="O81" s="1228"/>
      <c r="Y81" s="799"/>
      <c r="Z81" s="800"/>
      <c r="AA81" s="800"/>
      <c r="AB81" s="800"/>
      <c r="AC81" s="800"/>
      <c r="AD81" s="802"/>
      <c r="AE81" s="802"/>
      <c r="AF81" s="802"/>
      <c r="AG81" s="802"/>
      <c r="AH81" s="805"/>
      <c r="AI81" s="806"/>
      <c r="AJ81" s="804"/>
    </row>
    <row r="82" spans="1:36" hidden="1" x14ac:dyDescent="0.2">
      <c r="A82" s="765"/>
      <c r="B82" s="766"/>
      <c r="C82" s="766"/>
      <c r="D82" s="752" t="str">
        <f>IF(nspan=1,"","Pier Stem")</f>
        <v/>
      </c>
      <c r="E82" s="753" t="str">
        <f>IF(nspan=1,"",#REF!)</f>
        <v/>
      </c>
      <c r="F82" s="1230" t="str">
        <f>IF(nspan=1,"",PI()*Pi_D^2/4)</f>
        <v/>
      </c>
      <c r="G82" s="1231"/>
      <c r="H82" s="807" t="str">
        <f>IF(nspan=1,"",PI_h3)</f>
        <v/>
      </c>
      <c r="I82" s="729" t="str">
        <f>IF(nspan=1,"",PRODUCT(E82:H82))</f>
        <v/>
      </c>
      <c r="J82" s="747"/>
      <c r="K82" s="749"/>
      <c r="L82" s="1228" t="str">
        <f>IF(nspan=1,"Do not Delete this row pier is present in this row","")</f>
        <v>Do not Delete this row pier is present in this row</v>
      </c>
      <c r="M82" s="1228"/>
      <c r="N82" s="1228"/>
      <c r="O82" s="1228"/>
      <c r="Y82" s="799"/>
      <c r="Z82" s="800"/>
      <c r="AA82" s="800"/>
      <c r="AB82" s="800"/>
      <c r="AC82" s="800"/>
      <c r="AD82" s="802"/>
      <c r="AE82" s="802"/>
      <c r="AF82" s="802"/>
      <c r="AG82" s="802"/>
      <c r="AH82" s="805"/>
      <c r="AI82" s="806"/>
      <c r="AJ82" s="804"/>
    </row>
    <row r="83" spans="1:36" hidden="1" x14ac:dyDescent="0.2">
      <c r="A83" s="765"/>
      <c r="B83" s="766"/>
      <c r="C83" s="766"/>
      <c r="D83" s="752" t="str">
        <f>IF(nspan=1,"","Pier Cap Rectangular Portion")</f>
        <v/>
      </c>
      <c r="E83" s="753" t="str">
        <f>IF(nspan=1,"",E82)</f>
        <v/>
      </c>
      <c r="F83" s="808" t="str">
        <f>IF(nspan=1,"",PI_b1)</f>
        <v/>
      </c>
      <c r="G83" s="808" t="str">
        <f>IF(nspan=1,"",PI_b4)</f>
        <v/>
      </c>
      <c r="H83" s="808" t="str">
        <f>IF(nspan=1,"",PI_h1)</f>
        <v/>
      </c>
      <c r="I83" s="729" t="str">
        <f>IF(nspan=1,"",PRODUCT(E83:H83))</f>
        <v/>
      </c>
      <c r="J83" s="747"/>
      <c r="K83" s="749"/>
      <c r="L83" s="1228" t="str">
        <f>IF(nspan=1,"Do not Delete this row pier is present in this row","")</f>
        <v>Do not Delete this row pier is present in this row</v>
      </c>
      <c r="M83" s="1228"/>
      <c r="N83" s="1228"/>
      <c r="O83" s="1228"/>
      <c r="Y83" s="799"/>
      <c r="Z83" s="800"/>
      <c r="AA83" s="800"/>
      <c r="AB83" s="800"/>
      <c r="AC83" s="800"/>
      <c r="AD83" s="802"/>
      <c r="AE83" s="802"/>
      <c r="AF83" s="802"/>
      <c r="AG83" s="802"/>
      <c r="AH83" s="805"/>
      <c r="AI83" s="806"/>
      <c r="AJ83" s="804"/>
    </row>
    <row r="84" spans="1:36" hidden="1" x14ac:dyDescent="0.2">
      <c r="A84" s="765"/>
      <c r="B84" s="766"/>
      <c r="C84" s="766"/>
      <c r="D84" s="752" t="str">
        <f>IF(nspan=1,"","Pier Cap Trapezoidal Portion")</f>
        <v/>
      </c>
      <c r="E84" s="753" t="str">
        <f>IF(nspan=1,"",E82)</f>
        <v/>
      </c>
      <c r="F84" s="1230" t="str">
        <f>IF(nspan=1,"",(1/3)*(F83^2+F83*G83+G83^2))</f>
        <v/>
      </c>
      <c r="G84" s="1231"/>
      <c r="H84" s="809" t="str">
        <f>IF(nspan=1,"",PI_h2-PI_h1)</f>
        <v/>
      </c>
      <c r="I84" s="729" t="str">
        <f>IF(nspan=1,"",PRODUCT(E84:H84))</f>
        <v/>
      </c>
      <c r="J84" s="747"/>
      <c r="K84" s="749"/>
      <c r="L84" s="1228" t="str">
        <f>IF(nspan=1,"Do not Delete this row pier is present in this row","")</f>
        <v>Do not Delete this row pier is present in this row</v>
      </c>
      <c r="M84" s="1228"/>
      <c r="N84" s="1228"/>
      <c r="O84" s="1228"/>
      <c r="Y84" s="799"/>
      <c r="Z84" s="800"/>
      <c r="AA84" s="800"/>
      <c r="AB84" s="800"/>
      <c r="AC84" s="800"/>
      <c r="AD84" s="802"/>
      <c r="AE84" s="802"/>
      <c r="AF84" s="802"/>
      <c r="AG84" s="802"/>
      <c r="AH84" s="805"/>
      <c r="AI84" s="806"/>
      <c r="AJ84" s="804"/>
    </row>
    <row r="85" spans="1:36" hidden="1" x14ac:dyDescent="0.2">
      <c r="A85" s="765"/>
      <c r="B85" s="766"/>
      <c r="C85" s="766"/>
      <c r="D85" s="752" t="str">
        <f>IF(nspan=1,"","Pier Stopper")</f>
        <v/>
      </c>
      <c r="E85" s="753" t="str">
        <f>IF(nspan=1,"",2*E82)</f>
        <v/>
      </c>
      <c r="F85" s="810" t="str">
        <f>IF(nspan=1,"",AD138)</f>
        <v/>
      </c>
      <c r="G85" s="1230" t="str">
        <f>IF(nspan=1,"",0.5*AD136*(AD133+AD134)+0.5*AD134*(AD135-AD136))</f>
        <v/>
      </c>
      <c r="H85" s="1231"/>
      <c r="I85" s="729" t="str">
        <f>IF(nspan=1,"",PRODUCT(E85:H85))</f>
        <v/>
      </c>
      <c r="J85" s="747"/>
      <c r="K85" s="749"/>
      <c r="L85" s="1228" t="str">
        <f>IF(nspan=1,"Do not Delete this row pier is present in this row","")</f>
        <v>Do not Delete this row pier is present in this row</v>
      </c>
      <c r="M85" s="1228"/>
      <c r="N85" s="1228"/>
      <c r="O85" s="1228"/>
      <c r="Y85" s="799"/>
      <c r="Z85" s="800"/>
      <c r="AA85" s="800"/>
      <c r="AB85" s="800"/>
      <c r="AC85" s="800"/>
      <c r="AD85" s="802"/>
      <c r="AE85" s="802"/>
      <c r="AF85" s="802"/>
      <c r="AG85" s="811"/>
      <c r="AH85" s="812"/>
      <c r="AI85" s="811"/>
      <c r="AJ85" s="804"/>
    </row>
    <row r="86" spans="1:36" ht="15.75" x14ac:dyDescent="0.2">
      <c r="A86" s="765"/>
      <c r="B86" s="766"/>
      <c r="C86" s="766"/>
      <c r="D86" s="758" t="s">
        <v>194</v>
      </c>
      <c r="E86" s="747"/>
      <c r="F86" s="748"/>
      <c r="G86" s="748"/>
      <c r="H86" s="748"/>
      <c r="I86" s="729">
        <f>SUM(I65:I80)</f>
        <v>237.92900000000006</v>
      </c>
      <c r="J86" s="747" t="s">
        <v>1697</v>
      </c>
      <c r="K86" s="749"/>
      <c r="Y86" s="799"/>
      <c r="Z86" s="800"/>
      <c r="AA86" s="800"/>
      <c r="AB86" s="800"/>
      <c r="AC86" s="800"/>
      <c r="AD86" s="802"/>
      <c r="AE86" s="802"/>
      <c r="AF86" s="802"/>
      <c r="AG86" s="802"/>
      <c r="AH86" s="805"/>
      <c r="AI86" s="806"/>
      <c r="AJ86" s="804"/>
    </row>
    <row r="87" spans="1:36" ht="76.5" x14ac:dyDescent="0.2">
      <c r="A87" s="744">
        <f>A62+0.01</f>
        <v>3.0199999999999996</v>
      </c>
      <c r="B87" s="745" t="str">
        <f>'2.0Abstract of Cost'!B31</f>
        <v>Spec .cl.No:2000</v>
      </c>
      <c r="C87" s="745" t="str">
        <f>'2.0Abstract of Cost'!C31</f>
        <v>20.4 G(q)</v>
      </c>
      <c r="D87" s="813" t="s">
        <v>1745</v>
      </c>
      <c r="E87" s="747"/>
      <c r="F87" s="748"/>
      <c r="G87" s="748"/>
      <c r="H87" s="748"/>
      <c r="I87" s="729"/>
      <c r="J87" s="747"/>
      <c r="K87" s="749"/>
      <c r="V87" s="9" t="s">
        <v>1077</v>
      </c>
      <c r="Y87" s="799"/>
      <c r="Z87" s="800"/>
      <c r="AA87" s="800"/>
      <c r="AB87" s="1251"/>
      <c r="AC87" s="800"/>
      <c r="AD87" s="802"/>
      <c r="AE87" s="802"/>
      <c r="AF87" s="802"/>
      <c r="AG87" s="1247"/>
      <c r="AH87" s="1247"/>
      <c r="AI87" s="1247"/>
      <c r="AJ87" s="804"/>
    </row>
    <row r="88" spans="1:36" x14ac:dyDescent="0.2">
      <c r="A88" s="765"/>
      <c r="B88" s="766"/>
      <c r="C88" s="766"/>
      <c r="D88" s="760" t="s">
        <v>1014</v>
      </c>
      <c r="E88" s="753">
        <f>n_girder*2</f>
        <v>6</v>
      </c>
      <c r="F88" s="814">
        <v>0.5</v>
      </c>
      <c r="G88" s="814">
        <v>0.5</v>
      </c>
      <c r="H88" s="754">
        <f>ab_h6</f>
        <v>0.25</v>
      </c>
      <c r="I88" s="729">
        <f>PRODUCT(E88:H88)</f>
        <v>0.375</v>
      </c>
      <c r="J88" s="815"/>
      <c r="K88" s="749"/>
      <c r="Y88" s="799"/>
      <c r="Z88" s="800"/>
      <c r="AA88" s="800"/>
      <c r="AB88" s="1251"/>
      <c r="AC88" s="800"/>
      <c r="AD88" s="802"/>
      <c r="AE88" s="802"/>
      <c r="AF88" s="802"/>
      <c r="AG88" s="802"/>
      <c r="AH88" s="805"/>
      <c r="AI88" s="806"/>
      <c r="AJ88" s="804"/>
    </row>
    <row r="89" spans="1:36" x14ac:dyDescent="0.2">
      <c r="A89" s="765"/>
      <c r="B89" s="766"/>
      <c r="C89" s="766"/>
      <c r="D89" s="760" t="str">
        <f>IF(nspan=1,"","RC Pedestals in Pier")</f>
        <v/>
      </c>
      <c r="E89" s="753" t="str">
        <f>IF(nspan=1,"",n_girder*(n_span-1))</f>
        <v/>
      </c>
      <c r="F89" s="756" t="str">
        <f>IF(nspan=1,"",F88)</f>
        <v/>
      </c>
      <c r="G89" s="788" t="str">
        <f>IF(nspan=1,"",G88)</f>
        <v/>
      </c>
      <c r="H89" s="816" t="str">
        <f>IF(nspan=1,"",H88)</f>
        <v/>
      </c>
      <c r="I89" s="729" t="str">
        <f>IF(nspan=1,"",PRODUCT(E89:H89))</f>
        <v/>
      </c>
      <c r="J89" s="815"/>
      <c r="K89" s="749"/>
      <c r="L89" s="1228" t="str">
        <f>IF(nspan=1,"Do not Delete this row pier is present in this row","")</f>
        <v>Do not Delete this row pier is present in this row</v>
      </c>
      <c r="M89" s="1228"/>
      <c r="N89" s="1228"/>
      <c r="O89" s="1228"/>
      <c r="Y89" s="799"/>
      <c r="Z89" s="800"/>
      <c r="AA89" s="800"/>
      <c r="AB89" s="800"/>
      <c r="AC89" s="800"/>
      <c r="AD89" s="802"/>
      <c r="AE89" s="802"/>
      <c r="AF89" s="802"/>
      <c r="AG89" s="802"/>
      <c r="AH89" s="805"/>
      <c r="AI89" s="806"/>
      <c r="AJ89" s="804"/>
    </row>
    <row r="90" spans="1:36" ht="15.75" x14ac:dyDescent="0.2">
      <c r="A90" s="765"/>
      <c r="B90" s="766"/>
      <c r="C90" s="766"/>
      <c r="D90" s="772" t="s">
        <v>194</v>
      </c>
      <c r="E90" s="747"/>
      <c r="F90" s="748"/>
      <c r="G90" s="817"/>
      <c r="H90" s="818"/>
      <c r="I90" s="729">
        <f>SUM(I88:I88)</f>
        <v>0.375</v>
      </c>
      <c r="J90" s="747" t="s">
        <v>1697</v>
      </c>
      <c r="K90" s="749"/>
      <c r="Y90" s="799"/>
      <c r="Z90" s="800"/>
      <c r="AA90" s="800"/>
      <c r="AB90" s="800"/>
      <c r="AC90" s="800"/>
      <c r="AD90" s="802"/>
      <c r="AE90" s="802"/>
      <c r="AF90" s="802"/>
      <c r="AG90" s="802"/>
      <c r="AH90" s="805"/>
      <c r="AI90" s="806"/>
      <c r="AJ90" s="804"/>
    </row>
    <row r="91" spans="1:36" ht="51" x14ac:dyDescent="0.2">
      <c r="A91" s="744">
        <f>A87+0.01</f>
        <v>3.0299999999999994</v>
      </c>
      <c r="B91" s="745" t="str">
        <f>'2.0Abstract of Cost'!B32</f>
        <v>Spec .cl.No: 2014</v>
      </c>
      <c r="C91" s="759">
        <f>'2.0Abstract of Cost'!C32</f>
        <v>20.5</v>
      </c>
      <c r="D91" s="813" t="s">
        <v>252</v>
      </c>
      <c r="E91" s="747"/>
      <c r="F91" s="748"/>
      <c r="G91" s="748"/>
      <c r="H91" s="773"/>
      <c r="I91" s="729"/>
      <c r="J91" s="747"/>
      <c r="K91" s="749"/>
      <c r="Y91" s="799"/>
      <c r="Z91" s="800"/>
      <c r="AA91" s="800"/>
      <c r="AB91" s="800"/>
      <c r="AC91" s="800"/>
      <c r="AD91" s="802"/>
      <c r="AE91" s="802"/>
      <c r="AF91" s="802"/>
      <c r="AG91" s="802"/>
      <c r="AH91" s="805"/>
      <c r="AI91" s="806"/>
      <c r="AJ91" s="804"/>
    </row>
    <row r="92" spans="1:36" s="18" customFormat="1" x14ac:dyDescent="0.2">
      <c r="A92" s="744"/>
      <c r="B92" s="750"/>
      <c r="C92" s="750"/>
      <c r="D92" s="764" t="s">
        <v>219</v>
      </c>
      <c r="E92" s="747"/>
      <c r="F92" s="748"/>
      <c r="G92" s="748"/>
      <c r="H92" s="773"/>
      <c r="I92" s="729"/>
      <c r="J92" s="747"/>
      <c r="K92" s="749"/>
      <c r="Y92" s="819"/>
      <c r="Z92" s="800"/>
      <c r="AA92" s="800"/>
      <c r="AB92" s="800"/>
      <c r="AC92" s="802"/>
      <c r="AD92" s="802"/>
      <c r="AE92" s="802"/>
      <c r="AF92" s="811"/>
      <c r="AG92" s="805"/>
      <c r="AH92" s="806"/>
      <c r="AI92" s="820"/>
      <c r="AJ92" s="821"/>
    </row>
    <row r="93" spans="1:36" s="18" customFormat="1" x14ac:dyDescent="0.2">
      <c r="A93" s="765"/>
      <c r="B93" s="766"/>
      <c r="C93" s="766"/>
      <c r="D93" s="713" t="s">
        <v>324</v>
      </c>
      <c r="E93" s="753">
        <f>E74</f>
        <v>1</v>
      </c>
      <c r="F93" s="1229">
        <v>11.2149</v>
      </c>
      <c r="G93" s="1229"/>
      <c r="H93" s="1229"/>
      <c r="I93" s="729">
        <f>PRODUCT(E93:H93)</f>
        <v>11.2149</v>
      </c>
      <c r="J93" s="747"/>
      <c r="K93" s="774"/>
      <c r="Y93" s="819"/>
      <c r="Z93" s="711"/>
      <c r="AA93" s="711" t="s">
        <v>350</v>
      </c>
      <c r="AB93" s="711" t="s">
        <v>340</v>
      </c>
      <c r="AC93" s="711" t="s">
        <v>341</v>
      </c>
      <c r="AD93" s="711" t="s">
        <v>342</v>
      </c>
      <c r="AE93" s="711" t="s">
        <v>343</v>
      </c>
      <c r="AF93" s="711" t="s">
        <v>344</v>
      </c>
      <c r="AG93" s="822"/>
      <c r="AH93" s="711"/>
      <c r="AI93" s="711"/>
      <c r="AJ93" s="823"/>
    </row>
    <row r="94" spans="1:36" x14ac:dyDescent="0.2">
      <c r="A94" s="765"/>
      <c r="B94" s="766"/>
      <c r="C94" s="766"/>
      <c r="D94" s="752" t="s">
        <v>232</v>
      </c>
      <c r="E94" s="753">
        <f>2*E93</f>
        <v>2</v>
      </c>
      <c r="F94" s="1229">
        <v>0.36037999999999998</v>
      </c>
      <c r="G94" s="1229"/>
      <c r="H94" s="1229"/>
      <c r="I94" s="729">
        <f>PRODUCT(E94:H94)</f>
        <v>0.72075999999999996</v>
      </c>
      <c r="J94" s="747"/>
      <c r="K94" s="774"/>
      <c r="Y94" s="819"/>
      <c r="Z94" s="824"/>
      <c r="AA94" s="824"/>
      <c r="AB94" s="824"/>
      <c r="AC94" s="824"/>
      <c r="AD94" s="824"/>
      <c r="AE94" s="824"/>
      <c r="AF94" s="824"/>
      <c r="AG94" s="824" t="s">
        <v>1117</v>
      </c>
      <c r="AH94" s="824" t="s">
        <v>1117</v>
      </c>
      <c r="AI94" s="824" t="s">
        <v>1117</v>
      </c>
      <c r="AJ94" s="825"/>
    </row>
    <row r="95" spans="1:36" x14ac:dyDescent="0.2">
      <c r="A95" s="765"/>
      <c r="B95" s="766"/>
      <c r="C95" s="766"/>
      <c r="D95" s="752" t="s">
        <v>233</v>
      </c>
      <c r="E95" s="753">
        <f>E77</f>
        <v>2</v>
      </c>
      <c r="F95" s="1229">
        <v>4.3799999999999999E-2</v>
      </c>
      <c r="G95" s="1229"/>
      <c r="H95" s="1229"/>
      <c r="I95" s="729">
        <f>PRODUCT(E95:H95)</f>
        <v>8.7599999999999997E-2</v>
      </c>
      <c r="J95" s="747"/>
      <c r="K95" s="774"/>
      <c r="Y95" s="819"/>
      <c r="Z95" s="826"/>
      <c r="AA95" s="826"/>
      <c r="AB95" s="826"/>
      <c r="AC95" s="826"/>
      <c r="AD95" s="826"/>
      <c r="AE95" s="826"/>
      <c r="AF95" s="826"/>
      <c r="AG95" s="826"/>
      <c r="AH95" s="827"/>
      <c r="AI95" s="828"/>
      <c r="AJ95" s="825"/>
    </row>
    <row r="96" spans="1:36" x14ac:dyDescent="0.2">
      <c r="A96" s="765"/>
      <c r="B96" s="766"/>
      <c r="C96" s="766"/>
      <c r="D96" s="760" t="s">
        <v>220</v>
      </c>
      <c r="E96" s="753"/>
      <c r="F96" s="1229"/>
      <c r="G96" s="1229"/>
      <c r="H96" s="1229"/>
      <c r="I96" s="729"/>
      <c r="J96" s="747"/>
      <c r="K96" s="774"/>
      <c r="Y96" s="829"/>
      <c r="Z96" s="824"/>
      <c r="AA96" s="824"/>
      <c r="AB96" s="824"/>
      <c r="AC96" s="824"/>
      <c r="AD96" s="824"/>
      <c r="AE96" s="824"/>
      <c r="AF96" s="824"/>
      <c r="AG96" s="824"/>
      <c r="AH96" s="824"/>
      <c r="AI96" s="824"/>
      <c r="AJ96" s="825"/>
    </row>
    <row r="97" spans="1:40" ht="13.5" thickBot="1" x14ac:dyDescent="0.25">
      <c r="A97" s="765"/>
      <c r="B97" s="766"/>
      <c r="C97" s="766"/>
      <c r="D97" s="713" t="s">
        <v>324</v>
      </c>
      <c r="E97" s="753">
        <f t="shared" ref="E97:F99" si="12">E93</f>
        <v>1</v>
      </c>
      <c r="F97" s="1229">
        <f t="shared" si="12"/>
        <v>11.2149</v>
      </c>
      <c r="G97" s="1229"/>
      <c r="H97" s="1229"/>
      <c r="I97" s="729">
        <f>F97*E97</f>
        <v>11.2149</v>
      </c>
      <c r="J97" s="747"/>
      <c r="K97" s="774"/>
      <c r="Y97" s="830"/>
      <c r="Z97" s="831"/>
      <c r="AA97" s="831"/>
      <c r="AB97" s="831"/>
      <c r="AC97" s="831"/>
      <c r="AD97" s="831"/>
      <c r="AE97" s="831"/>
      <c r="AF97" s="831"/>
      <c r="AG97" s="831"/>
      <c r="AH97" s="831"/>
      <c r="AI97" s="831"/>
      <c r="AJ97" s="832"/>
    </row>
    <row r="98" spans="1:40" x14ac:dyDescent="0.2">
      <c r="A98" s="765"/>
      <c r="B98" s="766"/>
      <c r="C98" s="766"/>
      <c r="D98" s="752" t="s">
        <v>232</v>
      </c>
      <c r="E98" s="753">
        <f t="shared" si="12"/>
        <v>2</v>
      </c>
      <c r="F98" s="1229">
        <f t="shared" si="12"/>
        <v>0.36037999999999998</v>
      </c>
      <c r="G98" s="1229"/>
      <c r="H98" s="1229"/>
      <c r="I98" s="729">
        <f t="shared" ref="I98:I99" si="13">F98*E98</f>
        <v>0.72075999999999996</v>
      </c>
      <c r="J98" s="747"/>
      <c r="K98" s="774"/>
    </row>
    <row r="99" spans="1:40" x14ac:dyDescent="0.2">
      <c r="A99" s="765"/>
      <c r="B99" s="766"/>
      <c r="C99" s="766"/>
      <c r="D99" s="752" t="s">
        <v>233</v>
      </c>
      <c r="E99" s="753">
        <f t="shared" si="12"/>
        <v>2</v>
      </c>
      <c r="F99" s="1229">
        <f t="shared" si="12"/>
        <v>4.3799999999999999E-2</v>
      </c>
      <c r="G99" s="1229"/>
      <c r="H99" s="1229"/>
      <c r="I99" s="729">
        <f t="shared" si="13"/>
        <v>8.7599999999999997E-2</v>
      </c>
      <c r="J99" s="747"/>
      <c r="K99" s="774"/>
    </row>
    <row r="100" spans="1:40" x14ac:dyDescent="0.2">
      <c r="A100" s="765"/>
      <c r="B100" s="766"/>
      <c r="C100" s="766"/>
      <c r="D100" s="760" t="str">
        <f>IF(nspan=1,"","Pier")</f>
        <v/>
      </c>
      <c r="E100" s="753"/>
      <c r="F100" s="1262"/>
      <c r="G100" s="1263"/>
      <c r="H100" s="1264"/>
      <c r="I100" s="729"/>
      <c r="J100" s="747"/>
      <c r="K100" s="774"/>
      <c r="L100" s="1261" t="str">
        <f>IF(nspan=1,"Do not Delete this row pier is present in this row","")</f>
        <v>Do not Delete this row pier is present in this row</v>
      </c>
      <c r="M100" s="1228"/>
      <c r="N100" s="1228"/>
      <c r="O100" s="1228"/>
    </row>
    <row r="101" spans="1:40" ht="13.5" thickBot="1" x14ac:dyDescent="0.25">
      <c r="A101" s="765"/>
      <c r="B101" s="766"/>
      <c r="C101" s="766"/>
      <c r="D101" s="752" t="str">
        <f>IF(nspan=1,"","Pier Stem and cap")</f>
        <v/>
      </c>
      <c r="E101" s="753" t="str">
        <f>IF(nspan=1,"",E82)</f>
        <v/>
      </c>
      <c r="F101" s="1262"/>
      <c r="G101" s="1263"/>
      <c r="H101" s="1264"/>
      <c r="I101" s="729" t="str">
        <f>IF(nspan=1,"",F101*E101)</f>
        <v/>
      </c>
      <c r="J101" s="747"/>
      <c r="K101" s="774"/>
      <c r="L101" s="1261" t="str">
        <f>IF(nspan=1,"Do not Delete this row pier is present in this row","")</f>
        <v>Do not Delete this row pier is present in this row</v>
      </c>
      <c r="M101" s="1228"/>
      <c r="N101" s="1228"/>
      <c r="O101" s="1228"/>
      <c r="U101" s="777"/>
      <c r="V101" s="777"/>
      <c r="W101" s="777"/>
      <c r="X101" s="777"/>
      <c r="Y101" s="777"/>
    </row>
    <row r="102" spans="1:40" s="18" customFormat="1" x14ac:dyDescent="0.2">
      <c r="A102" s="765"/>
      <c r="B102" s="766"/>
      <c r="C102" s="766"/>
      <c r="D102" s="752" t="str">
        <f>IF(nspan=1,"","Stoppers at Pier")</f>
        <v/>
      </c>
      <c r="E102" s="753" t="str">
        <f>IF(nspan=1,"",2*E101)</f>
        <v/>
      </c>
      <c r="F102" s="1262"/>
      <c r="G102" s="1263"/>
      <c r="H102" s="1264"/>
      <c r="I102" s="729" t="str">
        <f>IF(nspan=1,"",F102*E102)</f>
        <v/>
      </c>
      <c r="J102" s="747"/>
      <c r="K102" s="774"/>
      <c r="L102" s="1261" t="str">
        <f>IF(nspan=1,"Do not Delete this row pier is present in this row","")</f>
        <v>Do not Delete this row pier is present in this row</v>
      </c>
      <c r="M102" s="1228"/>
      <c r="N102" s="1228"/>
      <c r="O102" s="1228"/>
      <c r="U102" s="777"/>
      <c r="V102" s="777"/>
      <c r="W102" s="777"/>
      <c r="X102" s="777"/>
      <c r="Y102" s="777"/>
      <c r="Z102" s="9"/>
      <c r="AA102" s="833"/>
      <c r="AB102" s="834"/>
      <c r="AC102" s="834"/>
      <c r="AD102" s="834"/>
      <c r="AE102" s="834"/>
      <c r="AF102" s="834"/>
      <c r="AG102" s="834"/>
      <c r="AH102" s="834"/>
      <c r="AI102" s="834"/>
      <c r="AJ102" s="834"/>
      <c r="AK102" s="834"/>
      <c r="AL102" s="834"/>
      <c r="AM102" s="835"/>
      <c r="AN102" s="9"/>
    </row>
    <row r="103" spans="1:40" ht="25.5" x14ac:dyDescent="0.2">
      <c r="A103" s="765"/>
      <c r="B103" s="766"/>
      <c r="C103" s="766"/>
      <c r="D103" s="752" t="str">
        <f>IF(nspan=1,"","RC Pedestals")</f>
        <v/>
      </c>
      <c r="E103" s="753"/>
      <c r="F103" s="1265"/>
      <c r="G103" s="1266"/>
      <c r="H103" s="1267"/>
      <c r="I103" s="729" t="str">
        <f>IF(nspan=1,"",F103*E103)</f>
        <v/>
      </c>
      <c r="J103" s="747"/>
      <c r="K103" s="774"/>
      <c r="L103" s="1261" t="str">
        <f>IF(nspan=1,"Do not Delete this row pier is present in this row","")</f>
        <v>Do not Delete this row pier is present in this row</v>
      </c>
      <c r="M103" s="1228"/>
      <c r="N103" s="1228"/>
      <c r="O103" s="1228"/>
      <c r="U103" s="777"/>
      <c r="V103" s="777"/>
      <c r="W103" s="777"/>
      <c r="X103" s="777"/>
      <c r="Y103" s="777"/>
      <c r="AA103" s="836"/>
      <c r="AB103" s="775" t="s">
        <v>346</v>
      </c>
      <c r="AC103" s="837">
        <f>'0.Data Sheet'!C33</f>
        <v>8.4</v>
      </c>
      <c r="AD103" s="838"/>
      <c r="AE103" s="838"/>
      <c r="AF103" s="838"/>
      <c r="AG103" s="838"/>
      <c r="AH103" s="838"/>
      <c r="AI103" s="838"/>
      <c r="AJ103" s="838"/>
      <c r="AK103" s="838"/>
      <c r="AL103" s="838"/>
      <c r="AM103" s="839"/>
    </row>
    <row r="104" spans="1:40" x14ac:dyDescent="0.2">
      <c r="A104" s="744"/>
      <c r="B104" s="750"/>
      <c r="C104" s="750"/>
      <c r="D104" s="758" t="s">
        <v>194</v>
      </c>
      <c r="E104" s="767"/>
      <c r="F104" s="768"/>
      <c r="G104" s="768"/>
      <c r="H104" s="768"/>
      <c r="I104" s="729">
        <f>SUM(I93:I103)</f>
        <v>24.046519999999997</v>
      </c>
      <c r="J104" s="747" t="s">
        <v>14</v>
      </c>
      <c r="K104" s="749"/>
      <c r="U104" s="777"/>
      <c r="V104" s="777"/>
      <c r="W104" s="777"/>
      <c r="X104" s="777"/>
      <c r="Y104" s="777"/>
      <c r="AA104" s="836"/>
      <c r="AB104" s="822" t="s">
        <v>452</v>
      </c>
      <c r="AC104" s="822" t="s">
        <v>453</v>
      </c>
      <c r="AD104" s="822" t="s">
        <v>454</v>
      </c>
      <c r="AE104" s="822" t="s">
        <v>455</v>
      </c>
      <c r="AF104" s="822" t="s">
        <v>456</v>
      </c>
      <c r="AG104" s="822" t="s">
        <v>457</v>
      </c>
      <c r="AH104" s="840" t="s">
        <v>1466</v>
      </c>
      <c r="AI104" s="841"/>
      <c r="AJ104" s="838"/>
      <c r="AK104" s="838"/>
      <c r="AL104" s="838"/>
      <c r="AM104" s="839"/>
    </row>
    <row r="105" spans="1:40" ht="63.75" hidden="1" x14ac:dyDescent="0.2">
      <c r="A105" s="744">
        <f>A91+0.01</f>
        <v>3.0399999999999991</v>
      </c>
      <c r="B105" s="745" t="str">
        <f>'2.0Abstract of Cost'!B33</f>
        <v>Spec .cl.No:1804,1805</v>
      </c>
      <c r="C105" s="745" t="str">
        <f>'2.0Abstract of Cost'!C33</f>
        <v>18.2(b) iii.</v>
      </c>
      <c r="D105" s="813" t="s">
        <v>313</v>
      </c>
      <c r="E105" s="747"/>
      <c r="F105" s="748"/>
      <c r="G105" s="748"/>
      <c r="H105" s="748"/>
      <c r="I105" s="729"/>
      <c r="J105" s="747"/>
      <c r="K105" s="749"/>
      <c r="U105" s="777"/>
      <c r="V105" s="777"/>
      <c r="W105" s="777"/>
      <c r="X105" s="777"/>
      <c r="Y105" s="777"/>
      <c r="AA105" s="842"/>
      <c r="AB105" s="9">
        <v>8.25</v>
      </c>
      <c r="AC105" s="9">
        <v>1.75</v>
      </c>
      <c r="AD105" s="9">
        <v>0.6</v>
      </c>
      <c r="AE105" s="9">
        <v>7.65</v>
      </c>
      <c r="AF105" s="9">
        <v>1.8</v>
      </c>
      <c r="AG105" s="9">
        <v>0.25</v>
      </c>
      <c r="AH105" s="843" t="s">
        <v>1466</v>
      </c>
      <c r="AI105" s="844"/>
      <c r="AJ105" s="845"/>
      <c r="AK105" s="846"/>
      <c r="AL105" s="838"/>
      <c r="AM105" s="847"/>
    </row>
    <row r="106" spans="1:40" hidden="1" x14ac:dyDescent="0.2">
      <c r="A106" s="765"/>
      <c r="B106" s="766"/>
      <c r="C106" s="766"/>
      <c r="D106" s="848" t="s">
        <v>219</v>
      </c>
      <c r="E106" s="747"/>
      <c r="F106" s="748"/>
      <c r="G106" s="748"/>
      <c r="H106" s="748"/>
      <c r="I106" s="729"/>
      <c r="J106" s="747"/>
      <c r="K106" s="749"/>
      <c r="U106" s="849"/>
      <c r="V106" s="850"/>
      <c r="AA106" s="842"/>
      <c r="AB106" s="851"/>
      <c r="AC106" s="852"/>
      <c r="AD106" s="852"/>
      <c r="AE106" s="852"/>
      <c r="AF106" s="852"/>
      <c r="AG106" s="852"/>
      <c r="AH106" s="852"/>
      <c r="AI106" s="853"/>
      <c r="AJ106" s="844"/>
      <c r="AK106" s="838"/>
      <c r="AL106" s="838"/>
      <c r="AM106" s="847"/>
    </row>
    <row r="107" spans="1:40" hidden="1" x14ac:dyDescent="0.2">
      <c r="A107" s="765"/>
      <c r="B107" s="766"/>
      <c r="C107" s="766"/>
      <c r="D107" s="752" t="s">
        <v>234</v>
      </c>
      <c r="E107" s="753">
        <f>E74</f>
        <v>1</v>
      </c>
      <c r="F107" s="754">
        <f>ab_width</f>
        <v>8.4</v>
      </c>
      <c r="G107" s="756"/>
      <c r="H107" s="756">
        <f>H65</f>
        <v>7.65</v>
      </c>
      <c r="I107" s="729"/>
      <c r="J107" s="747"/>
      <c r="K107" s="749"/>
      <c r="U107" s="849"/>
      <c r="V107" s="850"/>
      <c r="AA107" s="842"/>
      <c r="AB107" s="854" t="s">
        <v>458</v>
      </c>
      <c r="AC107" s="854" t="s">
        <v>459</v>
      </c>
      <c r="AD107" s="854" t="s">
        <v>460</v>
      </c>
      <c r="AE107" s="854" t="s">
        <v>461</v>
      </c>
      <c r="AF107" s="854" t="s">
        <v>462</v>
      </c>
      <c r="AG107" s="854" t="s">
        <v>463</v>
      </c>
      <c r="AH107" s="854" t="s">
        <v>464</v>
      </c>
      <c r="AI107" s="855" t="s">
        <v>465</v>
      </c>
      <c r="AJ107" s="854" t="s">
        <v>466</v>
      </c>
      <c r="AK107" s="838"/>
      <c r="AL107" s="838"/>
      <c r="AM107" s="847"/>
    </row>
    <row r="108" spans="1:40" hidden="1" x14ac:dyDescent="0.2">
      <c r="A108" s="765"/>
      <c r="B108" s="766"/>
      <c r="C108" s="766"/>
      <c r="D108" s="856" t="s">
        <v>235</v>
      </c>
      <c r="E108" s="753">
        <f>E107</f>
        <v>1</v>
      </c>
      <c r="F108" s="756">
        <f>F107</f>
        <v>8.4</v>
      </c>
      <c r="G108" s="756"/>
      <c r="H108" s="756">
        <f>H107</f>
        <v>7.65</v>
      </c>
      <c r="I108" s="729"/>
      <c r="J108" s="747"/>
      <c r="K108" s="749"/>
      <c r="U108" s="849"/>
      <c r="V108" s="850"/>
      <c r="AA108" s="842"/>
      <c r="AB108" s="9">
        <v>0.9</v>
      </c>
      <c r="AC108" s="9">
        <v>1.2</v>
      </c>
      <c r="AD108" s="9">
        <v>0.4</v>
      </c>
      <c r="AE108" s="9">
        <v>0.65</v>
      </c>
      <c r="AF108" s="9">
        <v>1.5</v>
      </c>
      <c r="AG108" s="9">
        <v>4.7</v>
      </c>
      <c r="AH108" s="9">
        <v>3.7</v>
      </c>
      <c r="AI108" s="9">
        <v>10.5</v>
      </c>
      <c r="AJ108" s="9">
        <v>9</v>
      </c>
      <c r="AK108" s="857"/>
      <c r="AL108" s="858"/>
      <c r="AM108" s="847"/>
    </row>
    <row r="109" spans="1:40" hidden="1" x14ac:dyDescent="0.2">
      <c r="A109" s="765"/>
      <c r="B109" s="766"/>
      <c r="C109" s="766"/>
      <c r="D109" s="856" t="s">
        <v>236</v>
      </c>
      <c r="E109" s="753">
        <f>2*E107</f>
        <v>2</v>
      </c>
      <c r="F109" s="756">
        <f>G65</f>
        <v>1.5</v>
      </c>
      <c r="G109" s="756"/>
      <c r="H109" s="756">
        <f>H107</f>
        <v>7.65</v>
      </c>
      <c r="I109" s="729"/>
      <c r="J109" s="747"/>
      <c r="K109" s="749"/>
      <c r="U109" s="849"/>
      <c r="V109" s="850"/>
      <c r="Z109" s="777"/>
      <c r="AA109" s="842"/>
      <c r="AB109" s="859"/>
      <c r="AC109" s="859"/>
      <c r="AD109" s="859"/>
      <c r="AE109" s="859"/>
      <c r="AF109" s="859"/>
      <c r="AG109" s="859"/>
      <c r="AH109" s="859"/>
      <c r="AI109" s="859"/>
      <c r="AJ109" s="859"/>
      <c r="AK109" s="859"/>
      <c r="AL109" s="859"/>
      <c r="AM109" s="847"/>
      <c r="AN109" s="777"/>
    </row>
    <row r="110" spans="1:40" hidden="1" x14ac:dyDescent="0.2">
      <c r="A110" s="765"/>
      <c r="B110" s="766"/>
      <c r="C110" s="766"/>
      <c r="D110" s="752" t="s">
        <v>1009</v>
      </c>
      <c r="E110" s="753">
        <f>E107</f>
        <v>1</v>
      </c>
      <c r="F110" s="754">
        <f>(ab_width+ab_b5)*2</f>
        <v>19.8</v>
      </c>
      <c r="G110" s="756"/>
      <c r="H110" s="754">
        <f>ab_h3</f>
        <v>0.6</v>
      </c>
      <c r="I110" s="729"/>
      <c r="J110" s="747"/>
      <c r="K110" s="749"/>
      <c r="U110" s="849"/>
      <c r="V110" s="850"/>
      <c r="Z110" s="777"/>
      <c r="AA110" s="842"/>
      <c r="AD110" s="859"/>
      <c r="AE110" s="859"/>
      <c r="AF110" s="859"/>
      <c r="AG110" s="859"/>
      <c r="AH110" s="859"/>
      <c r="AI110" s="859"/>
      <c r="AJ110" s="859"/>
      <c r="AK110" s="859"/>
      <c r="AL110" s="859"/>
      <c r="AM110" s="847"/>
      <c r="AN110" s="777"/>
    </row>
    <row r="111" spans="1:40" hidden="1" x14ac:dyDescent="0.2">
      <c r="A111" s="765"/>
      <c r="B111" s="766"/>
      <c r="C111" s="766"/>
      <c r="D111" s="752" t="s">
        <v>1090</v>
      </c>
      <c r="E111" s="753">
        <v>2</v>
      </c>
      <c r="F111" s="754">
        <f>(ab_width)</f>
        <v>8.4</v>
      </c>
      <c r="G111" s="756"/>
      <c r="H111" s="756">
        <f>H67</f>
        <v>2.35</v>
      </c>
      <c r="I111" s="729"/>
      <c r="J111" s="747"/>
      <c r="K111" s="749"/>
      <c r="U111" s="849"/>
      <c r="V111" s="850"/>
      <c r="Z111" s="777"/>
      <c r="AA111" s="842"/>
      <c r="AB111" s="859"/>
      <c r="AC111" s="859"/>
      <c r="AD111" s="859"/>
      <c r="AE111" s="859"/>
      <c r="AF111" s="859"/>
      <c r="AG111" s="860"/>
      <c r="AH111" s="860"/>
      <c r="AI111" s="859"/>
      <c r="AJ111" s="859"/>
      <c r="AK111" s="859"/>
      <c r="AL111" s="859"/>
      <c r="AM111" s="847"/>
      <c r="AN111" s="777"/>
    </row>
    <row r="112" spans="1:40" hidden="1" x14ac:dyDescent="0.2">
      <c r="A112" s="765"/>
      <c r="B112" s="766"/>
      <c r="C112" s="766"/>
      <c r="D112" s="861" t="s">
        <v>1012</v>
      </c>
      <c r="E112" s="753">
        <f>E107*2</f>
        <v>2</v>
      </c>
      <c r="F112" s="754">
        <f>ab_b3</f>
        <v>0.4</v>
      </c>
      <c r="G112" s="862"/>
      <c r="H112" s="754">
        <f>ab_h2</f>
        <v>1.75</v>
      </c>
      <c r="I112" s="729"/>
      <c r="J112" s="747"/>
      <c r="K112" s="749"/>
      <c r="U112" s="849"/>
      <c r="V112" s="850"/>
      <c r="Z112" s="777"/>
      <c r="AA112" s="842"/>
      <c r="AB112" s="859"/>
      <c r="AC112" s="859"/>
      <c r="AD112" s="859"/>
      <c r="AE112" s="859"/>
      <c r="AF112" s="859"/>
      <c r="AG112" s="859"/>
      <c r="AH112" s="859"/>
      <c r="AI112" s="859"/>
      <c r="AJ112" s="859"/>
      <c r="AK112" s="859"/>
      <c r="AL112" s="859"/>
      <c r="AM112" s="847"/>
      <c r="AN112" s="777"/>
    </row>
    <row r="113" spans="1:40" s="18" customFormat="1" hidden="1" x14ac:dyDescent="0.2">
      <c r="A113" s="765"/>
      <c r="B113" s="766"/>
      <c r="C113" s="766"/>
      <c r="D113" s="861" t="s">
        <v>1091</v>
      </c>
      <c r="E113" s="753">
        <v>1</v>
      </c>
      <c r="F113" s="863">
        <f>F107</f>
        <v>8.4</v>
      </c>
      <c r="G113" s="762"/>
      <c r="H113" s="754">
        <f>F112</f>
        <v>0.4</v>
      </c>
      <c r="I113" s="729"/>
      <c r="J113" s="747"/>
      <c r="K113" s="749"/>
      <c r="U113" s="849"/>
      <c r="V113" s="850"/>
      <c r="W113" s="779"/>
      <c r="X113" s="779"/>
      <c r="Y113" s="864"/>
      <c r="Z113" s="777"/>
      <c r="AA113" s="842"/>
      <c r="AB113" s="859"/>
      <c r="AC113" s="859"/>
      <c r="AD113" s="859"/>
      <c r="AE113" s="859"/>
      <c r="AF113" s="859"/>
      <c r="AG113" s="859"/>
      <c r="AH113" s="859"/>
      <c r="AI113" s="859"/>
      <c r="AJ113" s="859"/>
      <c r="AK113" s="859"/>
      <c r="AL113" s="859"/>
      <c r="AM113" s="847"/>
      <c r="AN113" s="777"/>
    </row>
    <row r="114" spans="1:40" s="18" customFormat="1" hidden="1" x14ac:dyDescent="0.2">
      <c r="A114" s="765"/>
      <c r="B114" s="766"/>
      <c r="C114" s="766"/>
      <c r="D114" s="752" t="s">
        <v>1010</v>
      </c>
      <c r="E114" s="753"/>
      <c r="F114" s="788"/>
      <c r="G114" s="816"/>
      <c r="H114" s="756"/>
      <c r="I114" s="729"/>
      <c r="J114" s="747"/>
      <c r="K114" s="749"/>
      <c r="U114" s="849"/>
      <c r="V114" s="850"/>
      <c r="W114" s="779"/>
      <c r="X114" s="779"/>
      <c r="Y114" s="779"/>
      <c r="Z114" s="779"/>
      <c r="AA114" s="842"/>
      <c r="AB114" s="859"/>
      <c r="AC114" s="859"/>
      <c r="AD114" s="859"/>
      <c r="AE114" s="859"/>
      <c r="AF114" s="859"/>
      <c r="AG114" s="859"/>
      <c r="AH114" s="859"/>
      <c r="AI114" s="859"/>
      <c r="AJ114" s="859"/>
      <c r="AK114" s="859"/>
      <c r="AL114" s="859"/>
      <c r="AM114" s="847"/>
      <c r="AN114" s="779"/>
    </row>
    <row r="115" spans="1:40" s="18" customFormat="1" hidden="1" x14ac:dyDescent="0.2">
      <c r="A115" s="765"/>
      <c r="B115" s="766"/>
      <c r="C115" s="766"/>
      <c r="D115" s="861" t="s">
        <v>329</v>
      </c>
      <c r="E115" s="753">
        <f>2*E107</f>
        <v>2</v>
      </c>
      <c r="F115" s="1230">
        <f>G69</f>
        <v>7.5075000000000003</v>
      </c>
      <c r="G115" s="1231"/>
      <c r="H115" s="756"/>
      <c r="I115" s="729"/>
      <c r="J115" s="747"/>
      <c r="K115" s="749"/>
      <c r="U115" s="849"/>
      <c r="V115" s="850"/>
      <c r="Z115" s="779"/>
      <c r="AA115" s="842"/>
      <c r="AB115" s="859"/>
      <c r="AC115" s="859"/>
      <c r="AD115" s="859"/>
      <c r="AE115" s="859"/>
      <c r="AF115" s="859"/>
      <c r="AG115" s="859"/>
      <c r="AH115" s="859"/>
      <c r="AI115" s="859"/>
      <c r="AJ115" s="859"/>
      <c r="AK115" s="859"/>
      <c r="AL115" s="859"/>
      <c r="AM115" s="847"/>
      <c r="AN115" s="779"/>
    </row>
    <row r="116" spans="1:40" s="18" customFormat="1" hidden="1" x14ac:dyDescent="0.2">
      <c r="A116" s="765"/>
      <c r="B116" s="766"/>
      <c r="C116" s="766"/>
      <c r="D116" s="861" t="s">
        <v>330</v>
      </c>
      <c r="E116" s="753">
        <v>1</v>
      </c>
      <c r="F116" s="863">
        <f>F107</f>
        <v>8.4</v>
      </c>
      <c r="G116" s="865"/>
      <c r="H116" s="754">
        <f>AB151</f>
        <v>2.75</v>
      </c>
      <c r="I116" s="729"/>
      <c r="J116" s="747"/>
      <c r="K116" s="749"/>
      <c r="U116" s="849"/>
      <c r="V116" s="850"/>
      <c r="Z116" s="779"/>
      <c r="AA116" s="842"/>
      <c r="AB116" s="859"/>
      <c r="AC116" s="859"/>
      <c r="AD116" s="859"/>
      <c r="AE116" s="859"/>
      <c r="AF116" s="859"/>
      <c r="AG116" s="859"/>
      <c r="AH116" s="859"/>
      <c r="AI116" s="859"/>
      <c r="AJ116" s="859"/>
      <c r="AK116" s="859"/>
      <c r="AL116" s="859"/>
      <c r="AM116" s="847"/>
      <c r="AN116" s="779"/>
    </row>
    <row r="117" spans="1:40" s="18" customFormat="1" hidden="1" x14ac:dyDescent="0.2">
      <c r="A117" s="765"/>
      <c r="B117" s="766"/>
      <c r="C117" s="766"/>
      <c r="D117" s="752" t="s">
        <v>1013</v>
      </c>
      <c r="E117" s="753">
        <f>n_girder*E107</f>
        <v>3</v>
      </c>
      <c r="F117" s="1253">
        <f>G68*2+AD137*2*AD135</f>
        <v>1.6</v>
      </c>
      <c r="G117" s="1254"/>
      <c r="H117" s="756"/>
      <c r="I117" s="729"/>
      <c r="J117" s="747"/>
      <c r="K117" s="749"/>
      <c r="U117" s="849"/>
      <c r="V117" s="779"/>
      <c r="Z117" s="779"/>
      <c r="AA117" s="842"/>
      <c r="AB117" s="859"/>
      <c r="AC117" s="859"/>
      <c r="AD117" s="859"/>
      <c r="AE117" s="859"/>
      <c r="AF117" s="859"/>
      <c r="AG117" s="859"/>
      <c r="AH117" s="859"/>
      <c r="AI117" s="859"/>
      <c r="AJ117" s="859"/>
      <c r="AK117" s="859"/>
      <c r="AL117" s="859"/>
      <c r="AM117" s="847"/>
      <c r="AN117" s="779"/>
    </row>
    <row r="118" spans="1:40" s="18" customFormat="1" ht="25.5" hidden="1" x14ac:dyDescent="0.2">
      <c r="A118" s="765"/>
      <c r="B118" s="766"/>
      <c r="C118" s="766"/>
      <c r="D118" s="752" t="s">
        <v>325</v>
      </c>
      <c r="E118" s="753">
        <f>n_girder*E107</f>
        <v>3</v>
      </c>
      <c r="F118" s="1230">
        <f>(F88+G88)*2</f>
        <v>2</v>
      </c>
      <c r="G118" s="1231"/>
      <c r="H118" s="756">
        <f>H88</f>
        <v>0.25</v>
      </c>
      <c r="I118" s="729"/>
      <c r="J118" s="747"/>
      <c r="K118" s="749"/>
      <c r="U118" s="849"/>
      <c r="V118" s="850"/>
      <c r="W118" s="779"/>
      <c r="X118" s="779"/>
      <c r="Y118" s="779"/>
      <c r="Z118" s="779"/>
      <c r="AA118" s="842"/>
      <c r="AB118" s="859"/>
      <c r="AC118" s="859"/>
      <c r="AD118" s="859"/>
      <c r="AE118" s="859"/>
      <c r="AF118" s="859"/>
      <c r="AG118" s="859"/>
      <c r="AH118" s="859"/>
      <c r="AI118" s="859"/>
      <c r="AJ118" s="859"/>
      <c r="AK118" s="859"/>
      <c r="AL118" s="859"/>
      <c r="AM118" s="847"/>
      <c r="AN118" s="779"/>
    </row>
    <row r="119" spans="1:40" s="18" customFormat="1" hidden="1" x14ac:dyDescent="0.2">
      <c r="A119" s="765"/>
      <c r="B119" s="766"/>
      <c r="C119" s="766"/>
      <c r="D119" s="866"/>
      <c r="E119" s="753"/>
      <c r="F119" s="756"/>
      <c r="G119" s="756"/>
      <c r="H119" s="756"/>
      <c r="I119" s="729"/>
      <c r="J119" s="747"/>
      <c r="K119" s="749"/>
      <c r="X119" s="9"/>
      <c r="Y119" s="779"/>
      <c r="Z119" s="779"/>
      <c r="AA119" s="842"/>
      <c r="AB119" s="859"/>
      <c r="AC119" s="859"/>
      <c r="AD119" s="859"/>
      <c r="AE119" s="859"/>
      <c r="AF119" s="859"/>
      <c r="AG119" s="859"/>
      <c r="AH119" s="859"/>
      <c r="AI119" s="859"/>
      <c r="AJ119" s="859"/>
      <c r="AK119" s="859"/>
      <c r="AL119" s="859"/>
      <c r="AM119" s="847"/>
      <c r="AN119" s="779"/>
    </row>
    <row r="120" spans="1:40" hidden="1" x14ac:dyDescent="0.2">
      <c r="A120" s="765"/>
      <c r="B120" s="766"/>
      <c r="C120" s="766"/>
      <c r="D120" s="848" t="s">
        <v>220</v>
      </c>
      <c r="E120" s="753"/>
      <c r="F120" s="756"/>
      <c r="G120" s="756"/>
      <c r="H120" s="756"/>
      <c r="I120" s="729"/>
      <c r="J120" s="747"/>
      <c r="K120" s="749"/>
      <c r="Y120" s="779"/>
      <c r="Z120" s="779"/>
      <c r="AA120" s="842"/>
      <c r="AB120" s="859"/>
      <c r="AC120" s="859"/>
      <c r="AD120" s="859"/>
      <c r="AE120" s="859"/>
      <c r="AF120" s="859"/>
      <c r="AG120" s="859"/>
      <c r="AH120" s="859"/>
      <c r="AI120" s="859"/>
      <c r="AJ120" s="859"/>
      <c r="AK120" s="859"/>
      <c r="AL120" s="859"/>
      <c r="AM120" s="847"/>
      <c r="AN120" s="779"/>
    </row>
    <row r="121" spans="1:40" hidden="1" x14ac:dyDescent="0.2">
      <c r="A121" s="765"/>
      <c r="B121" s="766"/>
      <c r="C121" s="766"/>
      <c r="D121" s="752" t="str">
        <f>D107</f>
        <v>Abutments Stem front side</v>
      </c>
      <c r="E121" s="753">
        <f>E107</f>
        <v>1</v>
      </c>
      <c r="F121" s="753">
        <f t="shared" ref="F121:H121" si="14">F107</f>
        <v>8.4</v>
      </c>
      <c r="G121" s="753"/>
      <c r="H121" s="753">
        <f t="shared" si="14"/>
        <v>7.65</v>
      </c>
      <c r="I121" s="753"/>
      <c r="J121" s="756"/>
      <c r="K121" s="756"/>
      <c r="L121" s="867"/>
      <c r="M121" s="867"/>
      <c r="N121" s="867"/>
      <c r="O121" s="867"/>
      <c r="P121" s="867"/>
      <c r="Q121" s="867"/>
      <c r="R121" s="867"/>
      <c r="S121" s="867"/>
      <c r="T121" s="867"/>
      <c r="U121" s="868"/>
      <c r="V121" s="869"/>
      <c r="X121" s="18"/>
      <c r="Y121" s="779"/>
      <c r="Z121" s="779"/>
      <c r="AA121" s="842"/>
      <c r="AB121" s="859"/>
      <c r="AC121" s="859"/>
      <c r="AD121" s="859"/>
      <c r="AE121" s="859"/>
      <c r="AF121" s="859"/>
      <c r="AG121" s="859"/>
      <c r="AH121" s="859"/>
      <c r="AI121" s="859"/>
      <c r="AJ121" s="859"/>
      <c r="AK121" s="859"/>
      <c r="AL121" s="859"/>
      <c r="AM121" s="847"/>
      <c r="AN121" s="779"/>
    </row>
    <row r="122" spans="1:40" hidden="1" x14ac:dyDescent="0.2">
      <c r="A122" s="765"/>
      <c r="B122" s="766"/>
      <c r="C122" s="766"/>
      <c r="D122" s="856" t="str">
        <f t="shared" ref="D122:H132" si="15">D108</f>
        <v>Stem back side</v>
      </c>
      <c r="E122" s="753">
        <f t="shared" si="15"/>
        <v>1</v>
      </c>
      <c r="F122" s="753">
        <f t="shared" si="15"/>
        <v>8.4</v>
      </c>
      <c r="G122" s="753"/>
      <c r="H122" s="753">
        <f t="shared" si="15"/>
        <v>7.65</v>
      </c>
      <c r="I122" s="753"/>
      <c r="J122" s="756"/>
      <c r="K122" s="756"/>
      <c r="L122" s="867"/>
      <c r="M122" s="867"/>
      <c r="N122" s="867"/>
      <c r="O122" s="867"/>
      <c r="P122" s="867"/>
      <c r="Q122" s="867"/>
      <c r="R122" s="867"/>
      <c r="S122" s="867"/>
      <c r="T122" s="867"/>
      <c r="U122" s="867"/>
      <c r="V122" s="869"/>
      <c r="X122" s="18"/>
      <c r="Y122" s="779"/>
      <c r="Z122" s="779"/>
      <c r="AA122" s="842"/>
      <c r="AB122" s="859"/>
      <c r="AC122" s="859"/>
      <c r="AD122" s="859"/>
      <c r="AE122" s="859"/>
      <c r="AF122" s="859"/>
      <c r="AG122" s="859"/>
      <c r="AH122" s="859"/>
      <c r="AI122" s="859"/>
      <c r="AJ122" s="859"/>
      <c r="AK122" s="859"/>
      <c r="AL122" s="859"/>
      <c r="AM122" s="847"/>
      <c r="AN122" s="779"/>
    </row>
    <row r="123" spans="1:40" hidden="1" x14ac:dyDescent="0.2">
      <c r="A123" s="765"/>
      <c r="B123" s="766"/>
      <c r="C123" s="766"/>
      <c r="D123" s="856" t="str">
        <f t="shared" si="15"/>
        <v>Stem end sides</v>
      </c>
      <c r="E123" s="753">
        <f t="shared" si="15"/>
        <v>2</v>
      </c>
      <c r="F123" s="753">
        <f t="shared" si="15"/>
        <v>1.5</v>
      </c>
      <c r="G123" s="753"/>
      <c r="H123" s="753">
        <f t="shared" si="15"/>
        <v>7.65</v>
      </c>
      <c r="I123" s="753"/>
      <c r="J123" s="870"/>
      <c r="K123" s="871"/>
      <c r="L123" s="867"/>
      <c r="M123" s="867"/>
      <c r="N123" s="867"/>
      <c r="O123" s="867"/>
      <c r="P123" s="867"/>
      <c r="Q123" s="867"/>
      <c r="R123" s="867"/>
      <c r="S123" s="867"/>
      <c r="T123" s="867"/>
      <c r="U123" s="867"/>
      <c r="V123" s="869"/>
      <c r="Y123" s="779"/>
      <c r="Z123" s="779"/>
      <c r="AA123" s="842"/>
      <c r="AB123" s="859"/>
      <c r="AC123" s="859"/>
      <c r="AD123" s="859"/>
      <c r="AE123" s="859"/>
      <c r="AF123" s="859"/>
      <c r="AG123" s="859"/>
      <c r="AH123" s="859"/>
      <c r="AI123" s="859"/>
      <c r="AJ123" s="859"/>
      <c r="AK123" s="859"/>
      <c r="AL123" s="859"/>
      <c r="AM123" s="847"/>
      <c r="AN123" s="779"/>
    </row>
    <row r="124" spans="1:40" hidden="1" x14ac:dyDescent="0.2">
      <c r="A124" s="765"/>
      <c r="B124" s="766"/>
      <c r="C124" s="766"/>
      <c r="D124" s="752" t="str">
        <f t="shared" si="15"/>
        <v xml:space="preserve">Abutment Cap </v>
      </c>
      <c r="E124" s="753">
        <f t="shared" si="15"/>
        <v>1</v>
      </c>
      <c r="F124" s="753">
        <f t="shared" si="15"/>
        <v>19.8</v>
      </c>
      <c r="G124" s="753"/>
      <c r="H124" s="753">
        <f t="shared" si="15"/>
        <v>0.6</v>
      </c>
      <c r="I124" s="753"/>
      <c r="J124" s="756"/>
      <c r="K124" s="756"/>
      <c r="L124" s="867"/>
      <c r="M124" s="867"/>
      <c r="N124" s="867"/>
      <c r="O124" s="867"/>
      <c r="P124" s="867"/>
      <c r="Q124" s="867"/>
      <c r="R124" s="867"/>
      <c r="S124" s="867"/>
      <c r="T124" s="867"/>
      <c r="U124" s="867"/>
      <c r="V124" s="869"/>
      <c r="Y124" s="779"/>
      <c r="Z124" s="779"/>
      <c r="AA124" s="842"/>
      <c r="AB124" s="859"/>
      <c r="AC124" s="859"/>
      <c r="AD124" s="859"/>
      <c r="AE124" s="859"/>
      <c r="AF124" s="859"/>
      <c r="AG124" s="859"/>
      <c r="AH124" s="859"/>
      <c r="AI124" s="859"/>
      <c r="AJ124" s="859"/>
      <c r="AK124" s="859"/>
      <c r="AL124" s="859"/>
      <c r="AM124" s="847"/>
      <c r="AN124" s="779"/>
    </row>
    <row r="125" spans="1:40" hidden="1" x14ac:dyDescent="0.2">
      <c r="A125" s="765"/>
      <c r="B125" s="766"/>
      <c r="C125" s="766"/>
      <c r="D125" s="752" t="str">
        <f t="shared" si="15"/>
        <v xml:space="preserve">Abutment Dirt Wall along height </v>
      </c>
      <c r="E125" s="753">
        <f t="shared" si="15"/>
        <v>2</v>
      </c>
      <c r="F125" s="753">
        <f>F111</f>
        <v>8.4</v>
      </c>
      <c r="G125" s="753"/>
      <c r="H125" s="753">
        <f>H111</f>
        <v>2.35</v>
      </c>
      <c r="I125" s="753"/>
      <c r="J125" s="756"/>
      <c r="K125" s="756"/>
      <c r="L125" s="867"/>
      <c r="M125" s="867"/>
      <c r="N125" s="867"/>
      <c r="O125" s="867"/>
      <c r="P125" s="867"/>
      <c r="Q125" s="867"/>
      <c r="R125" s="867"/>
      <c r="S125" s="867"/>
      <c r="T125" s="867"/>
      <c r="U125" s="867"/>
      <c r="V125" s="869"/>
      <c r="X125" s="18"/>
      <c r="Y125" s="779"/>
      <c r="Z125" s="872"/>
      <c r="AA125" s="842"/>
      <c r="AB125" s="859"/>
      <c r="AC125" s="859"/>
      <c r="AD125" s="859"/>
      <c r="AE125" s="859"/>
      <c r="AF125" s="859"/>
      <c r="AG125" s="859"/>
      <c r="AH125" s="859"/>
      <c r="AI125" s="859"/>
      <c r="AJ125" s="859"/>
      <c r="AK125" s="859"/>
      <c r="AL125" s="859"/>
      <c r="AM125" s="847"/>
      <c r="AN125" s="779"/>
    </row>
    <row r="126" spans="1:40" hidden="1" x14ac:dyDescent="0.2">
      <c r="A126" s="765"/>
      <c r="B126" s="766"/>
      <c r="C126" s="766"/>
      <c r="D126" s="861" t="str">
        <f t="shared" si="15"/>
        <v>Dirt  Wall outer faces</v>
      </c>
      <c r="E126" s="753">
        <f t="shared" si="15"/>
        <v>2</v>
      </c>
      <c r="F126" s="753">
        <f t="shared" si="15"/>
        <v>0.4</v>
      </c>
      <c r="G126" s="753"/>
      <c r="H126" s="753">
        <f t="shared" si="15"/>
        <v>1.75</v>
      </c>
      <c r="I126" s="753"/>
      <c r="J126" s="756"/>
      <c r="K126" s="756"/>
      <c r="L126" s="867"/>
      <c r="M126" s="867"/>
      <c r="N126" s="867"/>
      <c r="O126" s="867"/>
      <c r="P126" s="867"/>
      <c r="Q126" s="867"/>
      <c r="R126" s="867"/>
      <c r="S126" s="867"/>
      <c r="T126" s="867"/>
      <c r="U126" s="867"/>
      <c r="V126" s="869"/>
      <c r="X126" s="18"/>
      <c r="Y126" s="779"/>
      <c r="Z126" s="779"/>
      <c r="AA126" s="842"/>
      <c r="AB126" s="859"/>
      <c r="AC126" s="859"/>
      <c r="AD126" s="859"/>
      <c r="AE126" s="859"/>
      <c r="AF126" s="859"/>
      <c r="AG126" s="859"/>
      <c r="AH126" s="859"/>
      <c r="AI126" s="859"/>
      <c r="AJ126" s="859"/>
      <c r="AK126" s="859"/>
      <c r="AL126" s="859"/>
      <c r="AM126" s="847"/>
      <c r="AN126" s="779"/>
    </row>
    <row r="127" spans="1:40" hidden="1" x14ac:dyDescent="0.2">
      <c r="A127" s="765"/>
      <c r="B127" s="766"/>
      <c r="C127" s="766"/>
      <c r="D127" s="861" t="str">
        <f t="shared" si="15"/>
        <v>Dirt Wall bottom side</v>
      </c>
      <c r="E127" s="753">
        <f>E113</f>
        <v>1</v>
      </c>
      <c r="F127" s="753">
        <f>F113</f>
        <v>8.4</v>
      </c>
      <c r="G127" s="753"/>
      <c r="H127" s="753">
        <f>H113</f>
        <v>0.4</v>
      </c>
      <c r="I127" s="753"/>
      <c r="J127" s="756"/>
      <c r="K127" s="756"/>
      <c r="L127" s="867"/>
      <c r="M127" s="867"/>
      <c r="N127" s="867"/>
      <c r="O127" s="867"/>
      <c r="P127" s="867"/>
      <c r="Q127" s="867"/>
      <c r="R127" s="867"/>
      <c r="S127" s="867"/>
      <c r="T127" s="867"/>
      <c r="U127" s="868"/>
      <c r="V127" s="869"/>
      <c r="X127" s="18"/>
      <c r="Y127" s="779"/>
      <c r="Z127" s="779"/>
      <c r="AA127" s="842"/>
      <c r="AB127" s="859"/>
      <c r="AC127" s="859"/>
      <c r="AD127" s="859"/>
      <c r="AE127" s="859"/>
      <c r="AF127" s="859"/>
      <c r="AG127" s="859"/>
      <c r="AH127" s="859"/>
      <c r="AI127" s="859"/>
      <c r="AJ127" s="859"/>
      <c r="AK127" s="859"/>
      <c r="AL127" s="859"/>
      <c r="AM127" s="847"/>
      <c r="AN127" s="779"/>
    </row>
    <row r="128" spans="1:40" hidden="1" x14ac:dyDescent="0.2">
      <c r="A128" s="765"/>
      <c r="B128" s="766"/>
      <c r="C128" s="766"/>
      <c r="D128" s="752" t="str">
        <f t="shared" si="15"/>
        <v>Return Wall</v>
      </c>
      <c r="E128" s="753"/>
      <c r="F128" s="753"/>
      <c r="G128" s="753"/>
      <c r="H128" s="753"/>
      <c r="I128" s="753"/>
      <c r="J128" s="756"/>
      <c r="K128" s="756"/>
      <c r="L128" s="867"/>
      <c r="M128" s="867"/>
      <c r="N128" s="867"/>
      <c r="O128" s="867"/>
      <c r="P128" s="867"/>
      <c r="Q128" s="867"/>
      <c r="R128" s="867"/>
      <c r="S128" s="867"/>
      <c r="T128" s="867"/>
      <c r="U128" s="868"/>
      <c r="V128" s="869"/>
      <c r="X128" s="18"/>
      <c r="Y128" s="873"/>
      <c r="Z128" s="779"/>
      <c r="AA128" s="842"/>
      <c r="AB128" s="859"/>
      <c r="AC128" s="859"/>
      <c r="AD128" s="859"/>
      <c r="AE128" s="859"/>
      <c r="AF128" s="859"/>
      <c r="AG128" s="859"/>
      <c r="AH128" s="859"/>
      <c r="AI128" s="859"/>
      <c r="AJ128" s="859"/>
      <c r="AK128" s="859"/>
      <c r="AL128" s="859"/>
      <c r="AM128" s="847"/>
      <c r="AN128" s="779"/>
    </row>
    <row r="129" spans="1:40" hidden="1" x14ac:dyDescent="0.2">
      <c r="A129" s="765"/>
      <c r="B129" s="766"/>
      <c r="C129" s="766"/>
      <c r="D129" s="861" t="str">
        <f t="shared" si="15"/>
        <v>Return Wall outer faces</v>
      </c>
      <c r="E129" s="753">
        <f t="shared" si="15"/>
        <v>2</v>
      </c>
      <c r="F129" s="1230">
        <f t="shared" si="15"/>
        <v>7.5075000000000003</v>
      </c>
      <c r="G129" s="1231"/>
      <c r="H129" s="753"/>
      <c r="I129" s="753"/>
      <c r="J129" s="756"/>
      <c r="K129" s="756"/>
      <c r="L129" s="867"/>
      <c r="M129" s="867"/>
      <c r="N129" s="867"/>
      <c r="O129" s="867"/>
      <c r="P129" s="867"/>
      <c r="Q129" s="867"/>
      <c r="R129" s="867"/>
      <c r="S129" s="867"/>
      <c r="T129" s="867"/>
      <c r="U129" s="868"/>
      <c r="V129" s="869"/>
      <c r="X129" s="18"/>
      <c r="Y129" s="779"/>
      <c r="Z129" s="779"/>
      <c r="AA129" s="874"/>
      <c r="AB129" s="875"/>
      <c r="AC129" s="875"/>
      <c r="AD129" s="875"/>
      <c r="AE129" s="875"/>
      <c r="AF129" s="875"/>
      <c r="AG129" s="875"/>
      <c r="AH129" s="875"/>
      <c r="AI129" s="875"/>
      <c r="AJ129" s="875"/>
      <c r="AK129" s="875"/>
      <c r="AL129" s="875"/>
      <c r="AM129" s="876"/>
      <c r="AN129" s="779"/>
    </row>
    <row r="130" spans="1:40" ht="13.5" hidden="1" thickBot="1" x14ac:dyDescent="0.25">
      <c r="A130" s="765"/>
      <c r="B130" s="766"/>
      <c r="C130" s="766"/>
      <c r="D130" s="861" t="str">
        <f t="shared" si="15"/>
        <v>Return Wall inner faces</v>
      </c>
      <c r="E130" s="753">
        <f t="shared" si="15"/>
        <v>1</v>
      </c>
      <c r="F130" s="877">
        <f t="shared" si="15"/>
        <v>8.4</v>
      </c>
      <c r="G130" s="878"/>
      <c r="H130" s="753">
        <f t="shared" si="15"/>
        <v>2.75</v>
      </c>
      <c r="I130" s="753"/>
      <c r="J130" s="756"/>
      <c r="K130" s="756"/>
      <c r="L130" s="867"/>
      <c r="M130" s="867"/>
      <c r="N130" s="867"/>
      <c r="O130" s="867"/>
      <c r="P130" s="867"/>
      <c r="Q130" s="867"/>
      <c r="R130" s="867"/>
      <c r="S130" s="867"/>
      <c r="T130" s="867"/>
      <c r="U130" s="868"/>
      <c r="V130" s="869"/>
      <c r="X130" s="18"/>
      <c r="Y130" s="779"/>
      <c r="Z130" s="779"/>
      <c r="AA130" s="830"/>
      <c r="AB130" s="831"/>
      <c r="AC130" s="831"/>
      <c r="AD130" s="831"/>
      <c r="AE130" s="831"/>
      <c r="AF130" s="831"/>
      <c r="AG130" s="831"/>
      <c r="AH130" s="831"/>
      <c r="AI130" s="831" t="s">
        <v>422</v>
      </c>
      <c r="AJ130" s="831"/>
      <c r="AK130" s="831"/>
      <c r="AL130" s="831"/>
      <c r="AM130" s="832"/>
      <c r="AN130" s="779"/>
    </row>
    <row r="131" spans="1:40" ht="13.5" hidden="1" thickBot="1" x14ac:dyDescent="0.25">
      <c r="A131" s="765"/>
      <c r="B131" s="766"/>
      <c r="C131" s="766"/>
      <c r="D131" s="752" t="str">
        <f t="shared" si="15"/>
        <v>Stoppers on abutments</v>
      </c>
      <c r="E131" s="753">
        <f t="shared" si="15"/>
        <v>3</v>
      </c>
      <c r="F131" s="1230">
        <f t="shared" si="15"/>
        <v>1.6</v>
      </c>
      <c r="G131" s="1231"/>
      <c r="H131" s="753"/>
      <c r="I131" s="879"/>
      <c r="J131" s="756"/>
      <c r="K131" s="756"/>
      <c r="L131" s="867"/>
      <c r="M131" s="867"/>
      <c r="N131" s="867"/>
      <c r="O131" s="867"/>
      <c r="P131" s="867"/>
      <c r="Q131" s="867"/>
      <c r="R131" s="867"/>
      <c r="S131" s="867"/>
      <c r="T131" s="867"/>
      <c r="U131" s="868"/>
      <c r="V131" s="869"/>
      <c r="X131" s="18"/>
      <c r="Y131" s="779"/>
      <c r="Z131" s="779"/>
      <c r="AA131" s="779"/>
      <c r="AB131" s="779"/>
      <c r="AC131" s="779"/>
      <c r="AD131" s="779"/>
      <c r="AE131" s="779"/>
      <c r="AF131" s="779"/>
      <c r="AG131" s="779"/>
      <c r="AH131" s="779"/>
      <c r="AI131" s="779"/>
      <c r="AJ131" s="779"/>
      <c r="AK131" s="779"/>
      <c r="AL131" s="779"/>
      <c r="AM131" s="779"/>
      <c r="AN131" s="779"/>
    </row>
    <row r="132" spans="1:40" s="387" customFormat="1" ht="25.5" hidden="1" x14ac:dyDescent="0.2">
      <c r="A132" s="765"/>
      <c r="B132" s="766"/>
      <c r="C132" s="766"/>
      <c r="D132" s="752" t="str">
        <f t="shared" si="15"/>
        <v>Bearing Pedestral on abutments, Long sides</v>
      </c>
      <c r="E132" s="753">
        <f t="shared" si="15"/>
        <v>3</v>
      </c>
      <c r="F132" s="1230">
        <f t="shared" si="15"/>
        <v>2</v>
      </c>
      <c r="G132" s="1231"/>
      <c r="H132" s="753">
        <f t="shared" si="15"/>
        <v>0.25</v>
      </c>
      <c r="I132" s="753"/>
      <c r="J132" s="756"/>
      <c r="K132" s="756"/>
      <c r="L132" s="867"/>
      <c r="M132" s="867"/>
      <c r="N132" s="867"/>
      <c r="O132" s="867"/>
      <c r="P132" s="867"/>
      <c r="Q132" s="867"/>
      <c r="R132" s="867"/>
      <c r="S132" s="867"/>
      <c r="T132" s="867"/>
      <c r="U132" s="868"/>
      <c r="V132" s="869"/>
      <c r="X132" s="18"/>
      <c r="Y132" s="779"/>
      <c r="Z132" s="779"/>
      <c r="AA132" s="880"/>
      <c r="AB132" s="881"/>
      <c r="AC132" s="881"/>
      <c r="AD132" s="881"/>
      <c r="AE132" s="881"/>
      <c r="AF132" s="881"/>
      <c r="AG132" s="881"/>
      <c r="AH132" s="881"/>
      <c r="AI132" s="882"/>
      <c r="AJ132" s="779"/>
      <c r="AK132" s="779"/>
      <c r="AL132" s="779"/>
      <c r="AM132" s="779"/>
      <c r="AN132" s="779"/>
    </row>
    <row r="133" spans="1:40" s="18" customFormat="1" hidden="1" x14ac:dyDescent="0.2">
      <c r="A133" s="765"/>
      <c r="B133" s="766"/>
      <c r="C133" s="766"/>
      <c r="D133" s="848" t="str">
        <f>IF(nspan=1,"","Pier")</f>
        <v/>
      </c>
      <c r="E133" s="753"/>
      <c r="F133" s="756"/>
      <c r="G133" s="756"/>
      <c r="H133" s="756"/>
      <c r="I133" s="729"/>
      <c r="J133" s="747"/>
      <c r="K133" s="749"/>
      <c r="L133" s="867"/>
      <c r="M133" s="867"/>
      <c r="N133" s="867"/>
      <c r="O133" s="867"/>
      <c r="P133" s="867"/>
      <c r="Q133" s="867"/>
      <c r="R133" s="867"/>
      <c r="S133" s="867"/>
      <c r="T133" s="867"/>
      <c r="U133" s="868"/>
      <c r="V133" s="869"/>
      <c r="AA133" s="819"/>
      <c r="AB133" s="811"/>
      <c r="AC133" s="360" t="s">
        <v>357</v>
      </c>
      <c r="AD133" s="867">
        <v>0.5</v>
      </c>
      <c r="AE133" s="867" t="s">
        <v>42</v>
      </c>
      <c r="AF133" s="811"/>
      <c r="AG133" s="811"/>
      <c r="AH133" s="811"/>
      <c r="AI133" s="823"/>
    </row>
    <row r="134" spans="1:40" hidden="1" x14ac:dyDescent="0.2">
      <c r="A134" s="765"/>
      <c r="B134" s="766"/>
      <c r="C134" s="766"/>
      <c r="D134" s="752" t="str">
        <f>IF(nspan=1,"","Pier stem")</f>
        <v/>
      </c>
      <c r="E134" s="753" t="str">
        <f>IF(nspan=1,"",E101)</f>
        <v/>
      </c>
      <c r="F134" s="1259" t="str">
        <f>IF(nspan=1,"",PI()*Pi_D)</f>
        <v/>
      </c>
      <c r="G134" s="1260"/>
      <c r="H134" s="754" t="str">
        <f>IF(nspan=1,"",PI_h3)</f>
        <v/>
      </c>
      <c r="I134" s="729" t="str">
        <f>IF(nspan=1,"",PRODUCT(E134:H134))</f>
        <v/>
      </c>
      <c r="J134" s="747"/>
      <c r="K134" s="749"/>
      <c r="L134" s="1228" t="str">
        <f t="shared" ref="L134:L138" si="16">IF(nspan=1,"Do not Delete this row pier is present in this row","")</f>
        <v>Do not Delete this row pier is present in this row</v>
      </c>
      <c r="M134" s="1228"/>
      <c r="N134" s="1228"/>
      <c r="O134" s="1228"/>
      <c r="AA134" s="829"/>
      <c r="AB134" s="360"/>
      <c r="AC134" s="360" t="s">
        <v>358</v>
      </c>
      <c r="AD134" s="867">
        <v>0.5</v>
      </c>
      <c r="AE134" s="867" t="s">
        <v>42</v>
      </c>
      <c r="AF134" s="360"/>
      <c r="AG134" s="360"/>
      <c r="AH134" s="360"/>
      <c r="AI134" s="825"/>
    </row>
    <row r="135" spans="1:40" hidden="1" x14ac:dyDescent="0.2">
      <c r="A135" s="765"/>
      <c r="B135" s="766"/>
      <c r="C135" s="766"/>
      <c r="D135" s="752" t="str">
        <f>IF(nspan=1,"","Pier Cap Rectangular ")</f>
        <v/>
      </c>
      <c r="E135" s="753" t="str">
        <f>IF(nspan=1,"",E134)</f>
        <v/>
      </c>
      <c r="F135" s="1259" t="str">
        <f>IF(nspan=1,"",2*(PI_b1+PI_b4))</f>
        <v/>
      </c>
      <c r="G135" s="1260"/>
      <c r="H135" s="754" t="str">
        <f>IF(nspan=1,"",PI_h1)</f>
        <v/>
      </c>
      <c r="I135" s="729" t="str">
        <f>IF(nspan=1,"",PRODUCT(E135:H135))</f>
        <v/>
      </c>
      <c r="J135" s="747"/>
      <c r="K135" s="749"/>
      <c r="L135" s="1228" t="str">
        <f t="shared" si="16"/>
        <v>Do not Delete this row pier is present in this row</v>
      </c>
      <c r="M135" s="1228"/>
      <c r="N135" s="1228"/>
      <c r="O135" s="1228"/>
      <c r="AA135" s="829"/>
      <c r="AB135" s="360"/>
      <c r="AC135" s="360" t="s">
        <v>359</v>
      </c>
      <c r="AD135" s="867">
        <v>0.5</v>
      </c>
      <c r="AE135" s="867" t="s">
        <v>42</v>
      </c>
      <c r="AF135" s="360"/>
      <c r="AG135" s="360"/>
      <c r="AH135" s="360"/>
      <c r="AI135" s="825"/>
    </row>
    <row r="136" spans="1:40" hidden="1" x14ac:dyDescent="0.2">
      <c r="A136" s="765"/>
      <c r="B136" s="766"/>
      <c r="C136" s="766"/>
      <c r="D136" s="752" t="str">
        <f>IF(nspan=1,"","Pier Cap Trapezoidal")</f>
        <v/>
      </c>
      <c r="E136" s="753" t="str">
        <f>IF(nspan=1,"",E134)</f>
        <v/>
      </c>
      <c r="F136" s="1253" t="str">
        <f>IF(nspan=1,"",2*0.5*(Pi_D+PI_b1)*(PI_h2-PI_h1)+2*PI_b4*(PI_h2-PI_h1))</f>
        <v/>
      </c>
      <c r="G136" s="1254"/>
      <c r="H136" s="883"/>
      <c r="I136" s="729" t="str">
        <f>IF(nspan=1,"",PRODUCT(E136:H136))</f>
        <v/>
      </c>
      <c r="J136" s="747"/>
      <c r="K136" s="749"/>
      <c r="L136" s="1228" t="str">
        <f t="shared" si="16"/>
        <v>Do not Delete this row pier is present in this row</v>
      </c>
      <c r="M136" s="1228"/>
      <c r="N136" s="1228"/>
      <c r="O136" s="1228"/>
      <c r="AA136" s="829"/>
      <c r="AB136" s="360"/>
      <c r="AC136" s="360" t="s">
        <v>360</v>
      </c>
      <c r="AD136" s="867">
        <v>0.5</v>
      </c>
      <c r="AE136" s="867" t="s">
        <v>42</v>
      </c>
      <c r="AF136" s="360"/>
      <c r="AG136" s="360"/>
      <c r="AH136" s="360"/>
      <c r="AI136" s="825"/>
    </row>
    <row r="137" spans="1:40" s="18" customFormat="1" hidden="1" x14ac:dyDescent="0.2">
      <c r="A137" s="765"/>
      <c r="B137" s="766"/>
      <c r="C137" s="766"/>
      <c r="D137" s="752" t="str">
        <f>IF(nspan=1,"","Stoppers on pier")</f>
        <v/>
      </c>
      <c r="E137" s="753" t="str">
        <f>IF(nspan=1,"",2*E134)</f>
        <v/>
      </c>
      <c r="F137" s="1253" t="str">
        <f>IF(nspan=1,"",G68*2+AD137*2*AD135)</f>
        <v/>
      </c>
      <c r="G137" s="1254"/>
      <c r="H137" s="756"/>
      <c r="I137" s="729" t="str">
        <f>IF(nspan=1,"",PRODUCT(E137:H137))</f>
        <v/>
      </c>
      <c r="J137" s="747"/>
      <c r="K137" s="749"/>
      <c r="L137" s="1228" t="str">
        <f t="shared" si="16"/>
        <v>Do not Delete this row pier is present in this row</v>
      </c>
      <c r="M137" s="1228"/>
      <c r="N137" s="1228"/>
      <c r="O137" s="1228"/>
      <c r="AA137" s="819"/>
      <c r="AB137" s="811"/>
      <c r="AC137" s="884" t="s">
        <v>1089</v>
      </c>
      <c r="AD137" s="885">
        <v>1.1000000000000001</v>
      </c>
      <c r="AE137" s="886" t="s">
        <v>42</v>
      </c>
      <c r="AF137" s="811"/>
      <c r="AG137" s="811"/>
      <c r="AH137" s="811"/>
      <c r="AI137" s="823"/>
    </row>
    <row r="138" spans="1:40" hidden="1" x14ac:dyDescent="0.2">
      <c r="A138" s="765"/>
      <c r="B138" s="766"/>
      <c r="C138" s="766"/>
      <c r="D138" s="752" t="str">
        <f>IF(nspan=1,"","Bearing Pedestal on pier")</f>
        <v/>
      </c>
      <c r="E138" s="753" t="str">
        <f>IF(nspan=1,"",n_girder*2*E134)</f>
        <v/>
      </c>
      <c r="F138" s="1230" t="str">
        <f>IF(nspan=1,"",(F88+G88)*2)</f>
        <v/>
      </c>
      <c r="G138" s="1231"/>
      <c r="H138" s="756"/>
      <c r="I138" s="729" t="str">
        <f>IF(nspan=1,"",PRODUCT(E138:H138))</f>
        <v/>
      </c>
      <c r="J138" s="747"/>
      <c r="K138" s="749"/>
      <c r="L138" s="1228" t="str">
        <f t="shared" si="16"/>
        <v>Do not Delete this row pier is present in this row</v>
      </c>
      <c r="M138" s="1228"/>
      <c r="N138" s="1228"/>
      <c r="O138" s="1228"/>
      <c r="AA138" s="829"/>
      <c r="AB138" s="360"/>
      <c r="AC138" s="887" t="s">
        <v>1088</v>
      </c>
      <c r="AD138" s="885">
        <v>1.1000000000000001</v>
      </c>
      <c r="AE138" s="886" t="s">
        <v>42</v>
      </c>
      <c r="AF138" s="360"/>
      <c r="AG138" s="360"/>
      <c r="AH138" s="360"/>
      <c r="AI138" s="825"/>
    </row>
    <row r="139" spans="1:40" hidden="1" x14ac:dyDescent="0.2">
      <c r="A139" s="765"/>
      <c r="B139" s="766"/>
      <c r="C139" s="766"/>
      <c r="D139" s="888"/>
      <c r="E139" s="753"/>
      <c r="F139" s="889"/>
      <c r="G139" s="889"/>
      <c r="H139" s="756"/>
      <c r="I139" s="729"/>
      <c r="J139" s="747"/>
      <c r="K139" s="749"/>
      <c r="AA139" s="829"/>
      <c r="AB139" s="360"/>
      <c r="AC139" s="811"/>
      <c r="AD139" s="875"/>
      <c r="AE139" s="811"/>
      <c r="AF139" s="360"/>
      <c r="AG139" s="360"/>
      <c r="AH139" s="360"/>
      <c r="AI139" s="825"/>
    </row>
    <row r="140" spans="1:40" ht="16.5" hidden="1" thickBot="1" x14ac:dyDescent="0.25">
      <c r="A140" s="765"/>
      <c r="B140" s="766"/>
      <c r="C140" s="766"/>
      <c r="D140" s="758" t="s">
        <v>194</v>
      </c>
      <c r="E140" s="747"/>
      <c r="F140" s="748"/>
      <c r="G140" s="748"/>
      <c r="H140" s="748"/>
      <c r="I140" s="729"/>
      <c r="J140" s="747" t="s">
        <v>1698</v>
      </c>
      <c r="K140" s="749"/>
      <c r="AA140" s="830"/>
      <c r="AB140" s="831"/>
      <c r="AC140" s="831"/>
      <c r="AD140" s="831"/>
      <c r="AE140" s="831"/>
      <c r="AF140" s="831"/>
      <c r="AG140" s="831"/>
      <c r="AH140" s="831"/>
      <c r="AI140" s="832"/>
    </row>
    <row r="141" spans="1:40" ht="51" x14ac:dyDescent="0.2">
      <c r="A141" s="744">
        <f>A91+0.01</f>
        <v>3.0399999999999991</v>
      </c>
      <c r="B141" s="750" t="str">
        <f>'2.0Abstract of Cost'!B34</f>
        <v>Spec .cl.No:908</v>
      </c>
      <c r="C141" s="750" t="str">
        <f>'2.0Abstract of Cost'!C34</f>
        <v>9.11 C</v>
      </c>
      <c r="D141" s="813" t="s">
        <v>276</v>
      </c>
      <c r="E141" s="747"/>
      <c r="F141" s="748"/>
      <c r="G141" s="748"/>
      <c r="H141" s="748"/>
      <c r="I141" s="729"/>
      <c r="J141" s="747"/>
      <c r="K141" s="749"/>
    </row>
    <row r="142" spans="1:40" ht="13.5" thickBot="1" x14ac:dyDescent="0.25">
      <c r="A142" s="744"/>
      <c r="B142" s="750"/>
      <c r="C142" s="750"/>
      <c r="D142" s="769" t="s">
        <v>1118</v>
      </c>
      <c r="E142" s="747"/>
      <c r="F142" s="748"/>
      <c r="G142" s="748"/>
      <c r="H142" s="748"/>
      <c r="I142" s="729"/>
      <c r="J142" s="747"/>
      <c r="K142" s="749"/>
    </row>
    <row r="143" spans="1:40" x14ac:dyDescent="0.2">
      <c r="A143" s="890"/>
      <c r="B143" s="891"/>
      <c r="C143" s="891"/>
      <c r="D143" s="760" t="s">
        <v>423</v>
      </c>
      <c r="E143" s="753">
        <v>1</v>
      </c>
      <c r="F143" s="754">
        <f>ab_b9</f>
        <v>9</v>
      </c>
      <c r="G143" s="754">
        <f>ab_b6</f>
        <v>4.7</v>
      </c>
      <c r="H143" s="754">
        <f>ab_h1+ab_h2-'0.Data Sheet'!C37-H31</f>
        <v>9.6</v>
      </c>
      <c r="I143" s="729">
        <f>PRODUCT(E143:H143)</f>
        <v>406.08000000000004</v>
      </c>
      <c r="J143" s="892"/>
      <c r="K143" s="893"/>
      <c r="AA143" s="894"/>
      <c r="AB143" s="895"/>
      <c r="AC143" s="895"/>
      <c r="AD143" s="895"/>
      <c r="AE143" s="895"/>
      <c r="AF143" s="895"/>
      <c r="AG143" s="895"/>
      <c r="AH143" s="895"/>
      <c r="AI143" s="896"/>
    </row>
    <row r="144" spans="1:40" x14ac:dyDescent="0.2">
      <c r="A144" s="890"/>
      <c r="B144" s="891"/>
      <c r="C144" s="891"/>
      <c r="D144" s="760" t="s">
        <v>425</v>
      </c>
      <c r="E144" s="753">
        <f>E143</f>
        <v>1</v>
      </c>
      <c r="F144" s="897">
        <f>F143</f>
        <v>9</v>
      </c>
      <c r="G144" s="897">
        <f>G143</f>
        <v>4.7</v>
      </c>
      <c r="H144" s="897">
        <f>H143</f>
        <v>9.6</v>
      </c>
      <c r="I144" s="729">
        <f>PRODUCT(E144:H144)</f>
        <v>406.08000000000004</v>
      </c>
      <c r="J144" s="892"/>
      <c r="K144" s="893"/>
      <c r="AA144" s="829"/>
      <c r="AB144" s="775"/>
      <c r="AD144" s="775"/>
      <c r="AE144" s="360"/>
      <c r="AF144" s="360"/>
      <c r="AG144" s="360"/>
      <c r="AH144" s="360"/>
      <c r="AI144" s="825"/>
    </row>
    <row r="145" spans="1:35" x14ac:dyDescent="0.2">
      <c r="A145" s="890"/>
      <c r="B145" s="891"/>
      <c r="C145" s="891"/>
      <c r="D145" s="760" t="s">
        <v>228</v>
      </c>
      <c r="E145" s="747"/>
      <c r="F145" s="898"/>
      <c r="G145" s="898"/>
      <c r="H145" s="898"/>
      <c r="I145" s="729">
        <f>-I154</f>
        <v>-88.451999999999998</v>
      </c>
      <c r="J145" s="892"/>
      <c r="K145" s="893"/>
      <c r="AA145" s="829"/>
      <c r="AB145" s="775"/>
      <c r="AD145" s="775"/>
      <c r="AE145" s="360"/>
      <c r="AF145" s="360"/>
      <c r="AG145" s="360"/>
      <c r="AH145" s="360"/>
      <c r="AI145" s="825"/>
    </row>
    <row r="146" spans="1:35" x14ac:dyDescent="0.2">
      <c r="A146" s="890"/>
      <c r="B146" s="891"/>
      <c r="C146" s="891"/>
      <c r="D146" s="760" t="s">
        <v>424</v>
      </c>
      <c r="E146" s="753">
        <f>4*E143</f>
        <v>4</v>
      </c>
      <c r="F146" s="1230">
        <f>F115</f>
        <v>7.5075000000000003</v>
      </c>
      <c r="G146" s="1231"/>
      <c r="H146" s="897">
        <f>AD108</f>
        <v>0.4</v>
      </c>
      <c r="I146" s="729">
        <f>-PRODUCT(E146:H146)</f>
        <v>-12.012</v>
      </c>
      <c r="J146" s="892"/>
      <c r="K146" s="893"/>
      <c r="AA146" s="829"/>
      <c r="AB146" s="775"/>
      <c r="AD146" s="775"/>
      <c r="AE146" s="360"/>
      <c r="AF146" s="360"/>
      <c r="AG146" s="360"/>
      <c r="AH146" s="360"/>
      <c r="AI146" s="825"/>
    </row>
    <row r="147" spans="1:35" ht="13.5" thickBot="1" x14ac:dyDescent="0.25">
      <c r="A147" s="744"/>
      <c r="B147" s="750"/>
      <c r="C147" s="750"/>
      <c r="D147" s="769" t="s">
        <v>1119</v>
      </c>
      <c r="E147" s="747"/>
      <c r="F147" s="748"/>
      <c r="G147" s="748"/>
      <c r="H147" s="748"/>
      <c r="I147" s="729"/>
      <c r="J147" s="747"/>
      <c r="K147" s="749"/>
    </row>
    <row r="148" spans="1:35" x14ac:dyDescent="0.2">
      <c r="A148" s="890"/>
      <c r="B148" s="891"/>
      <c r="C148" s="891"/>
      <c r="D148" s="760" t="s">
        <v>1120</v>
      </c>
      <c r="E148" s="753">
        <v>1</v>
      </c>
      <c r="F148" s="754">
        <f>ab_b9</f>
        <v>9</v>
      </c>
      <c r="G148" s="754">
        <f>ab_b7</f>
        <v>3.7</v>
      </c>
      <c r="H148" s="754">
        <f>H22-ab_h5</f>
        <v>4.4480000000000004</v>
      </c>
      <c r="I148" s="729">
        <f>PRODUCT(E148:H148)</f>
        <v>148.11840000000004</v>
      </c>
      <c r="J148" s="892"/>
      <c r="K148" s="893"/>
      <c r="AA148" s="894"/>
      <c r="AB148" s="895"/>
      <c r="AC148" s="895"/>
      <c r="AD148" s="895"/>
      <c r="AE148" s="895"/>
      <c r="AF148" s="895"/>
      <c r="AG148" s="895"/>
      <c r="AH148" s="895"/>
      <c r="AI148" s="896"/>
    </row>
    <row r="149" spans="1:35" x14ac:dyDescent="0.2">
      <c r="A149" s="890"/>
      <c r="B149" s="891"/>
      <c r="C149" s="891"/>
      <c r="D149" s="760" t="s">
        <v>1121</v>
      </c>
      <c r="E149" s="753">
        <f>E148</f>
        <v>1</v>
      </c>
      <c r="F149" s="897">
        <f>F148</f>
        <v>9</v>
      </c>
      <c r="G149" s="897">
        <f>G148</f>
        <v>3.7</v>
      </c>
      <c r="H149" s="897">
        <f>H148</f>
        <v>4.4480000000000004</v>
      </c>
      <c r="I149" s="729">
        <f>PRODUCT(E149:H149)</f>
        <v>148.11840000000004</v>
      </c>
      <c r="J149" s="892"/>
      <c r="K149" s="893"/>
      <c r="AA149" s="829"/>
      <c r="AB149" s="775"/>
      <c r="AD149" s="775"/>
      <c r="AE149" s="360"/>
      <c r="AF149" s="360"/>
      <c r="AG149" s="360"/>
      <c r="AH149" s="360"/>
      <c r="AI149" s="825"/>
    </row>
    <row r="150" spans="1:35" s="18" customFormat="1" ht="15.75" x14ac:dyDescent="0.2">
      <c r="A150" s="744"/>
      <c r="B150" s="750"/>
      <c r="C150" s="750"/>
      <c r="D150" s="758" t="s">
        <v>194</v>
      </c>
      <c r="E150" s="747"/>
      <c r="F150" s="748"/>
      <c r="G150" s="748"/>
      <c r="H150" s="748"/>
      <c r="I150" s="729">
        <f>SUM(I143:I149)</f>
        <v>1007.9328000000003</v>
      </c>
      <c r="J150" s="747" t="s">
        <v>1697</v>
      </c>
      <c r="K150" s="749"/>
      <c r="AA150" s="819"/>
      <c r="AB150" s="811"/>
      <c r="AC150" s="811"/>
      <c r="AD150" s="811"/>
      <c r="AE150" s="811"/>
      <c r="AF150" s="811"/>
      <c r="AG150" s="811"/>
      <c r="AH150" s="811"/>
      <c r="AI150" s="823"/>
    </row>
    <row r="151" spans="1:35" s="18" customFormat="1" ht="51" x14ac:dyDescent="0.2">
      <c r="A151" s="744">
        <f>A141+0.01</f>
        <v>3.0499999999999989</v>
      </c>
      <c r="B151" s="745" t="str">
        <f>'2.0Abstract of Cost'!B35</f>
        <v>Spec .cl.No:908</v>
      </c>
      <c r="C151" s="745" t="str">
        <f>'2.0Abstract of Cost'!C35</f>
        <v>9.11-A</v>
      </c>
      <c r="D151" s="813" t="s">
        <v>432</v>
      </c>
      <c r="E151" s="747"/>
      <c r="F151" s="748"/>
      <c r="G151" s="748"/>
      <c r="H151" s="748"/>
      <c r="I151" s="729"/>
      <c r="J151" s="747"/>
      <c r="K151" s="749"/>
      <c r="AA151" s="819" t="s">
        <v>348</v>
      </c>
      <c r="AB151" s="724">
        <v>2.75</v>
      </c>
      <c r="AC151" s="811" t="s">
        <v>42</v>
      </c>
      <c r="AD151" s="811"/>
      <c r="AE151" s="811"/>
      <c r="AF151" s="811"/>
      <c r="AG151" s="811"/>
      <c r="AH151" s="811"/>
      <c r="AI151" s="823"/>
    </row>
    <row r="152" spans="1:35" s="18" customFormat="1" ht="38.25" x14ac:dyDescent="0.2">
      <c r="A152" s="890"/>
      <c r="B152" s="891"/>
      <c r="C152" s="891"/>
      <c r="D152" s="899" t="s">
        <v>1748</v>
      </c>
      <c r="E152" s="900">
        <f>E143</f>
        <v>1</v>
      </c>
      <c r="F152" s="897">
        <f>F143</f>
        <v>9</v>
      </c>
      <c r="G152" s="814">
        <v>1</v>
      </c>
      <c r="H152" s="754">
        <f>H143-H22*0.75</f>
        <v>4.9139999999999997</v>
      </c>
      <c r="I152" s="729">
        <f>PRODUCT(E152:H152)</f>
        <v>44.225999999999999</v>
      </c>
      <c r="J152" s="892"/>
      <c r="K152" s="893"/>
      <c r="AA152" s="819" t="s">
        <v>349</v>
      </c>
      <c r="AB152" s="724">
        <v>1.1000000000000001</v>
      </c>
      <c r="AC152" s="811" t="s">
        <v>42</v>
      </c>
      <c r="AD152" s="811"/>
      <c r="AE152" s="811"/>
      <c r="AF152" s="811"/>
      <c r="AG152" s="811"/>
      <c r="AH152" s="811"/>
      <c r="AI152" s="823"/>
    </row>
    <row r="153" spans="1:35" s="18" customFormat="1" ht="38.25" x14ac:dyDescent="0.2">
      <c r="A153" s="890"/>
      <c r="B153" s="891"/>
      <c r="C153" s="891"/>
      <c r="D153" s="899" t="s">
        <v>1747</v>
      </c>
      <c r="E153" s="900">
        <f>E152</f>
        <v>1</v>
      </c>
      <c r="F153" s="897">
        <f>F144</f>
        <v>9</v>
      </c>
      <c r="G153" s="756">
        <f>G152</f>
        <v>1</v>
      </c>
      <c r="H153" s="756">
        <f>H152</f>
        <v>4.9139999999999997</v>
      </c>
      <c r="I153" s="729">
        <f>PRODUCT(E153:H153)</f>
        <v>44.225999999999999</v>
      </c>
      <c r="J153" s="892"/>
      <c r="K153" s="893"/>
      <c r="AA153" s="819" t="s">
        <v>341</v>
      </c>
      <c r="AB153" s="811">
        <v>1.75</v>
      </c>
      <c r="AC153" s="811" t="s">
        <v>42</v>
      </c>
      <c r="AD153" s="811"/>
      <c r="AE153" s="811"/>
      <c r="AF153" s="811"/>
      <c r="AG153" s="811"/>
      <c r="AH153" s="811"/>
      <c r="AI153" s="823"/>
    </row>
    <row r="154" spans="1:35" s="18" customFormat="1" ht="15.75" x14ac:dyDescent="0.2">
      <c r="A154" s="744"/>
      <c r="B154" s="750"/>
      <c r="C154" s="750"/>
      <c r="D154" s="758" t="s">
        <v>194</v>
      </c>
      <c r="E154" s="747"/>
      <c r="F154" s="748"/>
      <c r="G154" s="748"/>
      <c r="H154" s="748"/>
      <c r="I154" s="729">
        <f>SUM(I152:I153)</f>
        <v>88.451999999999998</v>
      </c>
      <c r="J154" s="747" t="s">
        <v>1697</v>
      </c>
      <c r="K154" s="749"/>
      <c r="AA154" s="819" t="s">
        <v>342</v>
      </c>
      <c r="AB154" s="811">
        <v>0.6</v>
      </c>
      <c r="AC154" s="811" t="s">
        <v>42</v>
      </c>
      <c r="AD154" s="811"/>
      <c r="AE154" s="811"/>
      <c r="AF154" s="811"/>
      <c r="AG154" s="811"/>
      <c r="AH154" s="811"/>
      <c r="AI154" s="823"/>
    </row>
    <row r="155" spans="1:35" s="18" customFormat="1" ht="38.25" x14ac:dyDescent="0.2">
      <c r="A155" s="744">
        <f>A151+0.01</f>
        <v>3.0599999999999987</v>
      </c>
      <c r="B155" s="745" t="str">
        <f>'2.0Abstract of Cost'!B36</f>
        <v>Spec .cl.No:2404</v>
      </c>
      <c r="C155" s="901">
        <f>'2.0Abstract of Cost'!C36</f>
        <v>24.5</v>
      </c>
      <c r="D155" s="813" t="s">
        <v>1749</v>
      </c>
      <c r="E155" s="902"/>
      <c r="F155" s="902"/>
      <c r="G155" s="902"/>
      <c r="H155" s="902"/>
      <c r="I155" s="902"/>
      <c r="J155" s="747"/>
      <c r="K155" s="749"/>
      <c r="AA155" s="819" t="s">
        <v>347</v>
      </c>
      <c r="AB155" s="724">
        <v>3.5</v>
      </c>
      <c r="AC155" s="811" t="s">
        <v>42</v>
      </c>
      <c r="AD155" s="811"/>
      <c r="AE155" s="811"/>
      <c r="AF155" s="811"/>
      <c r="AG155" s="811"/>
      <c r="AH155" s="811"/>
      <c r="AI155" s="823"/>
    </row>
    <row r="156" spans="1:35" s="18" customFormat="1" x14ac:dyDescent="0.2">
      <c r="A156" s="744"/>
      <c r="B156" s="750"/>
      <c r="C156" s="750"/>
      <c r="D156" s="751" t="s">
        <v>426</v>
      </c>
      <c r="E156" s="753">
        <f>E152</f>
        <v>1</v>
      </c>
      <c r="F156" s="756">
        <f>F152</f>
        <v>9</v>
      </c>
      <c r="G156" s="756"/>
      <c r="H156" s="754">
        <f>ab_h4</f>
        <v>7.65</v>
      </c>
      <c r="I156" s="729">
        <f>PRODUCT(E156:H156)</f>
        <v>68.850000000000009</v>
      </c>
      <c r="J156" s="747"/>
      <c r="K156" s="749"/>
      <c r="AA156" s="819" t="s">
        <v>345</v>
      </c>
      <c r="AB156" s="811">
        <v>0.9</v>
      </c>
      <c r="AC156" s="811" t="s">
        <v>42</v>
      </c>
      <c r="AD156" s="811"/>
      <c r="AE156" s="811"/>
      <c r="AF156" s="811"/>
      <c r="AG156" s="811"/>
      <c r="AH156" s="811"/>
      <c r="AI156" s="823"/>
    </row>
    <row r="157" spans="1:35" s="18" customFormat="1" x14ac:dyDescent="0.2">
      <c r="A157" s="744"/>
      <c r="B157" s="750"/>
      <c r="C157" s="750"/>
      <c r="D157" s="751" t="s">
        <v>220</v>
      </c>
      <c r="E157" s="753">
        <f>E156</f>
        <v>1</v>
      </c>
      <c r="F157" s="756">
        <f>F153</f>
        <v>9</v>
      </c>
      <c r="G157" s="756"/>
      <c r="H157" s="756">
        <f>H156</f>
        <v>7.65</v>
      </c>
      <c r="I157" s="729">
        <f>PRODUCT(E157:H157)</f>
        <v>68.850000000000009</v>
      </c>
      <c r="J157" s="747"/>
      <c r="K157" s="749"/>
      <c r="AA157" s="819"/>
      <c r="AB157" s="811"/>
      <c r="AC157" s="811"/>
      <c r="AD157" s="811"/>
      <c r="AE157" s="811"/>
      <c r="AF157" s="811"/>
      <c r="AG157" s="811"/>
      <c r="AH157" s="811"/>
      <c r="AI157" s="823"/>
    </row>
    <row r="158" spans="1:35" s="18" customFormat="1" ht="15.75" x14ac:dyDescent="0.2">
      <c r="A158" s="765"/>
      <c r="B158" s="766"/>
      <c r="C158" s="766"/>
      <c r="D158" s="758" t="s">
        <v>194</v>
      </c>
      <c r="E158" s="747"/>
      <c r="F158" s="748"/>
      <c r="G158" s="748"/>
      <c r="H158" s="748"/>
      <c r="I158" s="729">
        <f>SUM(I156:I157)</f>
        <v>137.70000000000002</v>
      </c>
      <c r="J158" s="747" t="s">
        <v>1698</v>
      </c>
      <c r="K158" s="749"/>
      <c r="AA158" s="819"/>
      <c r="AB158" s="811"/>
      <c r="AC158" s="811"/>
      <c r="AD158" s="811"/>
      <c r="AE158" s="811"/>
      <c r="AF158" s="811"/>
      <c r="AG158" s="811"/>
      <c r="AH158" s="811"/>
      <c r="AI158" s="823"/>
    </row>
    <row r="159" spans="1:35" x14ac:dyDescent="0.2">
      <c r="A159" s="744"/>
      <c r="B159" s="750"/>
      <c r="C159" s="750"/>
      <c r="D159" s="769"/>
      <c r="E159" s="909"/>
      <c r="F159" s="748"/>
      <c r="G159" s="748"/>
      <c r="H159" s="748"/>
      <c r="I159" s="729"/>
      <c r="J159" s="747"/>
      <c r="K159" s="749"/>
      <c r="L159" s="9">
        <f>ROW()</f>
        <v>159</v>
      </c>
      <c r="AA159" s="829"/>
      <c r="AB159" s="360"/>
      <c r="AC159" s="360"/>
      <c r="AD159" s="360"/>
      <c r="AE159" s="360"/>
      <c r="AF159" s="360"/>
      <c r="AG159" s="360"/>
      <c r="AH159" s="360"/>
      <c r="AI159" s="825"/>
    </row>
    <row r="160" spans="1:35" s="409" customFormat="1" x14ac:dyDescent="0.2">
      <c r="A160" s="451">
        <v>4</v>
      </c>
      <c r="B160" s="1256" t="s">
        <v>1113</v>
      </c>
      <c r="C160" s="1257"/>
      <c r="D160" s="1257"/>
      <c r="E160" s="1257"/>
      <c r="F160" s="1257"/>
      <c r="G160" s="1257"/>
      <c r="H160" s="1257"/>
      <c r="I160" s="1257"/>
      <c r="J160" s="1257"/>
      <c r="K160" s="1258"/>
      <c r="L160" s="9">
        <f>ROW()</f>
        <v>160</v>
      </c>
    </row>
    <row r="161" spans="1:61" s="409" customFormat="1" ht="51" x14ac:dyDescent="0.2">
      <c r="A161" s="420">
        <f>A160+0.01</f>
        <v>4.01</v>
      </c>
      <c r="B161" s="1135" t="str">
        <f>'2.0Abstract of Cost'!B39</f>
        <v>Spec .cl.No:2000</v>
      </c>
      <c r="C161" s="1135" t="str">
        <f>'2.0Abstract of Cost'!C39</f>
        <v>20.8 B ii (r)</v>
      </c>
      <c r="D161" s="813" t="s">
        <v>1098</v>
      </c>
      <c r="E161" s="421"/>
      <c r="F161" s="422"/>
      <c r="G161" s="422"/>
      <c r="H161" s="422"/>
      <c r="I161" s="423"/>
      <c r="J161" s="424"/>
      <c r="K161" s="410"/>
    </row>
    <row r="162" spans="1:61" s="409" customFormat="1" x14ac:dyDescent="0.2">
      <c r="A162" s="425"/>
      <c r="B162" s="425"/>
      <c r="C162" s="425"/>
      <c r="D162" s="426" t="s">
        <v>1099</v>
      </c>
      <c r="E162" s="427">
        <v>1</v>
      </c>
      <c r="F162" s="428">
        <f>Le+1.2</f>
        <v>21.2</v>
      </c>
      <c r="G162" s="428">
        <f>'0.Data Sheet'!C36</f>
        <v>6</v>
      </c>
      <c r="H162" s="429">
        <v>0.25</v>
      </c>
      <c r="I162" s="729">
        <f>IF(OR('2.0Abstract of Cost'!$H$8="PSC",client_1="DOR"),0,PRODUCT(E162:H162))</f>
        <v>31.799999999999997</v>
      </c>
      <c r="J162" s="424"/>
      <c r="K162" s="410"/>
    </row>
    <row r="163" spans="1:61" s="409" customFormat="1" x14ac:dyDescent="0.2">
      <c r="A163" s="425"/>
      <c r="B163" s="425"/>
      <c r="C163" s="425"/>
      <c r="D163" s="426" t="s">
        <v>1765</v>
      </c>
      <c r="E163" s="427">
        <v>2</v>
      </c>
      <c r="F163" s="428">
        <f>F162</f>
        <v>21.2</v>
      </c>
      <c r="G163" s="448">
        <v>1.2</v>
      </c>
      <c r="H163" s="429">
        <v>0.15</v>
      </c>
      <c r="I163" s="729">
        <f>IF(OR('2.0Abstract of Cost'!$H$8="PSC",client_1="DOR"),0,PRODUCT(E163:H163))</f>
        <v>7.6319999999999988</v>
      </c>
      <c r="J163" s="424"/>
      <c r="K163" s="410"/>
    </row>
    <row r="164" spans="1:61" s="409" customFormat="1" x14ac:dyDescent="0.2">
      <c r="A164" s="425"/>
      <c r="B164" s="425"/>
      <c r="C164" s="425"/>
      <c r="D164" s="426" t="s">
        <v>1764</v>
      </c>
      <c r="E164" s="427">
        <f>E163</f>
        <v>2</v>
      </c>
      <c r="F164" s="428">
        <f>F163</f>
        <v>21.2</v>
      </c>
      <c r="G164" s="448">
        <f>G163</f>
        <v>1.2</v>
      </c>
      <c r="H164" s="429">
        <v>0.2</v>
      </c>
      <c r="I164" s="729">
        <f>PRODUCT(E164:H164)*0.5</f>
        <v>5.0880000000000001</v>
      </c>
      <c r="J164" s="424"/>
      <c r="K164" s="410"/>
    </row>
    <row r="165" spans="1:61" s="409" customFormat="1" x14ac:dyDescent="0.2">
      <c r="A165" s="432"/>
      <c r="B165" s="432"/>
      <c r="C165" s="432"/>
      <c r="D165" s="433" t="s">
        <v>1100</v>
      </c>
      <c r="E165" s="434">
        <f>n_girder</f>
        <v>3</v>
      </c>
      <c r="F165" s="428">
        <f>F163</f>
        <v>21.2</v>
      </c>
      <c r="G165" s="429">
        <v>0.4</v>
      </c>
      <c r="H165" s="429">
        <f>1.5-H162</f>
        <v>1.25</v>
      </c>
      <c r="I165" s="729">
        <f>IF(OR('2.0Abstract of Cost'!$H$8="PSC",client_1="DOR"),0,PRODUCT(E165:H165))</f>
        <v>31.799999999999997</v>
      </c>
      <c r="J165" s="435"/>
      <c r="K165" s="410"/>
    </row>
    <row r="166" spans="1:61" s="409" customFormat="1" x14ac:dyDescent="0.2">
      <c r="A166" s="425"/>
      <c r="B166" s="425"/>
      <c r="C166" s="425"/>
      <c r="D166" s="426" t="s">
        <v>1702</v>
      </c>
      <c r="E166" s="427">
        <f>E165*2</f>
        <v>6</v>
      </c>
      <c r="F166" s="428">
        <f t="shared" ref="F166" si="17">F165</f>
        <v>21.2</v>
      </c>
      <c r="G166" s="428" t="s">
        <v>1101</v>
      </c>
      <c r="H166" s="431">
        <v>1.4999999999999999E-2</v>
      </c>
      <c r="I166" s="729">
        <f>IF(OR('2.0Abstract of Cost'!$H$8="PSC",client_1="DOR"),0,PRODUCT(E166:H166))</f>
        <v>1.9079999999999997</v>
      </c>
      <c r="J166" s="436"/>
      <c r="K166" s="410"/>
    </row>
    <row r="167" spans="1:61" s="409" customFormat="1" x14ac:dyDescent="0.2">
      <c r="A167" s="425"/>
      <c r="B167" s="425"/>
      <c r="C167" s="425"/>
      <c r="D167" s="426" t="s">
        <v>1102</v>
      </c>
      <c r="E167" s="449">
        <v>5</v>
      </c>
      <c r="F167" s="449">
        <f>2.4*2</f>
        <v>4.8</v>
      </c>
      <c r="G167" s="437">
        <v>0.3</v>
      </c>
      <c r="H167" s="431">
        <f>1.125-H162</f>
        <v>0.875</v>
      </c>
      <c r="I167" s="729">
        <f>IF(OR('2.0Abstract of Cost'!$H$8="PSC",client_1="DOR"),0,PRODUCT(E167:H167))</f>
        <v>6.2999999999999989</v>
      </c>
      <c r="J167" s="424"/>
      <c r="K167" s="410"/>
    </row>
    <row r="168" spans="1:61" s="409" customFormat="1" x14ac:dyDescent="0.2">
      <c r="A168" s="425"/>
      <c r="B168" s="425"/>
      <c r="C168" s="425"/>
      <c r="D168" s="426" t="s">
        <v>1103</v>
      </c>
      <c r="E168" s="449"/>
      <c r="F168" s="437"/>
      <c r="G168" s="437"/>
      <c r="H168" s="449"/>
      <c r="I168" s="729"/>
      <c r="J168" s="424"/>
      <c r="K168" s="410"/>
    </row>
    <row r="169" spans="1:61" s="409" customFormat="1" x14ac:dyDescent="0.2">
      <c r="A169" s="425"/>
      <c r="B169" s="425"/>
      <c r="C169" s="425"/>
      <c r="D169" s="426" t="s">
        <v>1760</v>
      </c>
      <c r="E169" s="437">
        <f>n_span*2</f>
        <v>2</v>
      </c>
      <c r="F169" s="428">
        <f>F170</f>
        <v>28.2</v>
      </c>
      <c r="G169" s="1252">
        <f>100000/1000/1000</f>
        <v>0.1</v>
      </c>
      <c r="H169" s="1252"/>
      <c r="I169" s="729">
        <f>PRODUCT(E169:H169)</f>
        <v>5.6400000000000006</v>
      </c>
      <c r="J169" s="424"/>
      <c r="K169" s="410"/>
    </row>
    <row r="170" spans="1:61" s="409" customFormat="1" x14ac:dyDescent="0.2">
      <c r="A170" s="425"/>
      <c r="B170" s="425"/>
      <c r="C170" s="425"/>
      <c r="D170" s="426" t="s">
        <v>1761</v>
      </c>
      <c r="E170" s="437">
        <f>n_span*2</f>
        <v>2</v>
      </c>
      <c r="F170" s="431">
        <f>$G$40*2+Le+1.2</f>
        <v>28.2</v>
      </c>
      <c r="G170" s="1252">
        <f>20224/1000/1000</f>
        <v>2.0223999999999999E-2</v>
      </c>
      <c r="H170" s="1252"/>
      <c r="I170" s="729">
        <f t="shared" ref="I170:I171" si="18">PRODUCT(E170:H170)</f>
        <v>1.1406335999999999</v>
      </c>
      <c r="J170" s="424"/>
      <c r="K170" s="410"/>
    </row>
    <row r="171" spans="1:61" s="409" customFormat="1" x14ac:dyDescent="0.2">
      <c r="A171" s="425"/>
      <c r="B171" s="425"/>
      <c r="C171" s="425"/>
      <c r="D171" s="426" t="s">
        <v>1762</v>
      </c>
      <c r="E171" s="437">
        <f>n_span*2</f>
        <v>2</v>
      </c>
      <c r="F171" s="431">
        <f>F170</f>
        <v>28.2</v>
      </c>
      <c r="G171" s="1252">
        <f>57291/1000/1000</f>
        <v>5.7290999999999995E-2</v>
      </c>
      <c r="H171" s="1252"/>
      <c r="I171" s="729">
        <f t="shared" si="18"/>
        <v>3.2312123999999995</v>
      </c>
      <c r="J171" s="424"/>
      <c r="K171" s="410"/>
    </row>
    <row r="172" spans="1:61" s="409" customFormat="1" x14ac:dyDescent="0.2">
      <c r="A172" s="425"/>
      <c r="B172" s="425"/>
      <c r="C172" s="425"/>
      <c r="D172" s="426" t="s">
        <v>1763</v>
      </c>
      <c r="E172" s="437">
        <f>n_span*EVEN((+F173/1.67)*2)</f>
        <v>34</v>
      </c>
      <c r="F172" s="1252">
        <f>0.15*0.15</f>
        <v>2.2499999999999999E-2</v>
      </c>
      <c r="G172" s="1252"/>
      <c r="H172" s="431">
        <v>1</v>
      </c>
      <c r="I172" s="729">
        <f>H172*F172*E172</f>
        <v>0.76500000000000001</v>
      </c>
      <c r="J172" s="424"/>
      <c r="K172" s="410"/>
    </row>
    <row r="173" spans="1:61" s="409" customFormat="1" x14ac:dyDescent="0.2">
      <c r="A173" s="425"/>
      <c r="B173" s="425"/>
      <c r="C173" s="425"/>
      <c r="D173" s="426" t="s">
        <v>1104</v>
      </c>
      <c r="E173" s="437">
        <v>1</v>
      </c>
      <c r="F173" s="428">
        <f>F170</f>
        <v>28.2</v>
      </c>
      <c r="G173" s="428">
        <f>G162</f>
        <v>6</v>
      </c>
      <c r="H173" s="449">
        <v>6.5000000000000002E-2</v>
      </c>
      <c r="I173" s="729">
        <f>IF(OR('2.0Abstract of Cost'!$H$8="PSC",client_1="DOR"),0,PRODUCT(E173:H173))</f>
        <v>10.997999999999999</v>
      </c>
      <c r="J173" s="424"/>
      <c r="K173" s="410"/>
    </row>
    <row r="174" spans="1:61" s="409" customFormat="1" x14ac:dyDescent="0.2">
      <c r="A174" s="425"/>
      <c r="B174" s="425"/>
      <c r="C174" s="425"/>
      <c r="D174" s="426" t="s">
        <v>230</v>
      </c>
      <c r="E174" s="427">
        <v>2</v>
      </c>
      <c r="F174" s="428">
        <f>'0.Data Sheet'!C38</f>
        <v>3.5</v>
      </c>
      <c r="G174" s="428">
        <f>'0.Data Sheet'!C36</f>
        <v>6</v>
      </c>
      <c r="H174" s="428">
        <f>'0.Data Sheet'!C37</f>
        <v>0.3</v>
      </c>
      <c r="I174" s="729">
        <f>IF(OR('2.0Abstract of Cost'!$H$8="PSC",client_1="DOR"),0,PRODUCT(E174:H174))</f>
        <v>12.6</v>
      </c>
      <c r="J174" s="424"/>
      <c r="K174" s="410"/>
    </row>
    <row r="175" spans="1:61" s="409" customFormat="1" x14ac:dyDescent="0.2">
      <c r="A175" s="439"/>
      <c r="B175" s="439"/>
      <c r="C175" s="439"/>
      <c r="D175" s="440" t="str">
        <f>"Total for "&amp;n_span&amp;" span"</f>
        <v>Total for 1 span</v>
      </c>
      <c r="E175" s="441"/>
      <c r="F175" s="422"/>
      <c r="G175" s="422"/>
      <c r="H175" s="422"/>
      <c r="I175" s="430">
        <f>SUM(I162:I174)*n_span</f>
        <v>118.902846</v>
      </c>
      <c r="J175" s="440" t="s">
        <v>197</v>
      </c>
      <c r="K175" s="410"/>
    </row>
    <row r="176" spans="1:61" s="409" customFormat="1" ht="63.75" x14ac:dyDescent="0.2">
      <c r="A176" s="420">
        <f>A161+0.01</f>
        <v>4.0199999999999996</v>
      </c>
      <c r="B176" s="1135" t="str">
        <f>'2.0Abstract of Cost'!B40</f>
        <v>Spec .cl.No: 2014</v>
      </c>
      <c r="C176" s="1135">
        <f>'2.0Abstract of Cost'!C40</f>
        <v>20.9</v>
      </c>
      <c r="D176" s="813" t="s">
        <v>1105</v>
      </c>
      <c r="E176" s="421"/>
      <c r="F176" s="422"/>
      <c r="G176" s="422"/>
      <c r="H176" s="422"/>
      <c r="I176" s="423"/>
      <c r="J176" s="442"/>
      <c r="K176" s="443"/>
      <c r="L176" s="416"/>
      <c r="P176" s="416"/>
      <c r="Q176" s="416"/>
      <c r="R176" s="416"/>
      <c r="S176" s="416"/>
      <c r="T176" s="416"/>
      <c r="U176" s="416"/>
      <c r="V176" s="416"/>
      <c r="W176" s="416"/>
      <c r="X176" s="416"/>
      <c r="Y176" s="416"/>
      <c r="Z176" s="416"/>
      <c r="AA176" s="416"/>
      <c r="AB176" s="416"/>
      <c r="AC176" s="416"/>
      <c r="AD176" s="416"/>
      <c r="AE176" s="416"/>
      <c r="AF176" s="416"/>
      <c r="AG176" s="416"/>
      <c r="AH176" s="416"/>
      <c r="AI176" s="416"/>
      <c r="AJ176" s="416"/>
      <c r="AK176" s="416"/>
      <c r="AL176" s="416"/>
      <c r="AM176" s="416"/>
      <c r="AN176" s="416"/>
      <c r="AO176" s="416"/>
      <c r="AP176" s="416"/>
      <c r="AQ176" s="416"/>
      <c r="AR176" s="416"/>
      <c r="AS176" s="416"/>
      <c r="AT176" s="416"/>
      <c r="AU176" s="416"/>
      <c r="AV176" s="416"/>
      <c r="AW176" s="416"/>
      <c r="AX176" s="416"/>
      <c r="AY176" s="416"/>
      <c r="AZ176" s="416"/>
      <c r="BA176" s="416"/>
      <c r="BB176" s="416"/>
      <c r="BC176" s="416"/>
      <c r="BD176" s="416"/>
      <c r="BE176" s="416"/>
      <c r="BF176" s="416"/>
      <c r="BG176" s="416"/>
      <c r="BH176" s="416"/>
      <c r="BI176" s="416"/>
    </row>
    <row r="177" spans="1:61" s="409" customFormat="1" x14ac:dyDescent="0.2">
      <c r="A177" s="425"/>
      <c r="B177" s="425"/>
      <c r="C177" s="425"/>
      <c r="D177" s="438" t="s">
        <v>1106</v>
      </c>
      <c r="E177" s="427">
        <f>E162</f>
        <v>1</v>
      </c>
      <c r="F177" s="444"/>
      <c r="G177" s="444"/>
      <c r="H177" s="444">
        <v>6573.96</v>
      </c>
      <c r="I177" s="729">
        <f>IF(OR('2.0Abstract of Cost'!$H$8="PSC",client_1="DOR"),0,PRODUCT(E177:H177))</f>
        <v>6573.96</v>
      </c>
      <c r="J177" s="445"/>
      <c r="K177" s="443"/>
      <c r="L177" s="416"/>
      <c r="P177" s="416"/>
      <c r="Q177" s="416"/>
      <c r="R177" s="416"/>
      <c r="S177" s="416"/>
      <c r="T177" s="416"/>
      <c r="U177" s="416"/>
      <c r="V177" s="416"/>
      <c r="W177" s="416"/>
      <c r="X177" s="416"/>
      <c r="Y177" s="416"/>
      <c r="Z177" s="416"/>
      <c r="AA177" s="416"/>
      <c r="AB177" s="416"/>
      <c r="AC177" s="416"/>
      <c r="AD177" s="416"/>
      <c r="AE177" s="416"/>
      <c r="AF177" s="416"/>
      <c r="AG177" s="416"/>
      <c r="AH177" s="416"/>
      <c r="AI177" s="416"/>
      <c r="AJ177" s="416"/>
      <c r="AK177" s="416"/>
      <c r="AL177" s="416"/>
      <c r="AM177" s="416"/>
      <c r="AN177" s="416"/>
      <c r="AO177" s="416"/>
      <c r="AP177" s="416"/>
      <c r="AQ177" s="416"/>
      <c r="AR177" s="416"/>
      <c r="AS177" s="416"/>
      <c r="AT177" s="416"/>
      <c r="AU177" s="416"/>
      <c r="AV177" s="416"/>
      <c r="AW177" s="416"/>
      <c r="AX177" s="416"/>
      <c r="AY177" s="416"/>
      <c r="AZ177" s="416"/>
      <c r="BA177" s="416"/>
      <c r="BB177" s="416"/>
      <c r="BC177" s="416"/>
      <c r="BD177" s="416"/>
      <c r="BE177" s="416"/>
      <c r="BF177" s="416"/>
      <c r="BG177" s="416"/>
      <c r="BH177" s="416"/>
      <c r="BI177" s="416"/>
    </row>
    <row r="178" spans="1:61" s="409" customFormat="1" x14ac:dyDescent="0.2">
      <c r="A178" s="425"/>
      <c r="B178" s="425"/>
      <c r="C178" s="425"/>
      <c r="D178" s="438" t="s">
        <v>1100</v>
      </c>
      <c r="E178" s="427">
        <f>E165</f>
        <v>3</v>
      </c>
      <c r="F178" s="444"/>
      <c r="G178" s="444"/>
      <c r="H178" s="444">
        <v>2768.9540232850077</v>
      </c>
      <c r="I178" s="712">
        <f>IF(OR('2.0Abstract of Cost'!$H$8="PSC",client_1="DOR"),0,PRODUCT(E178:H178))</f>
        <v>8306.8620698550221</v>
      </c>
      <c r="J178" s="445"/>
      <c r="K178" s="443"/>
      <c r="L178" s="416"/>
      <c r="P178" s="416"/>
      <c r="Q178" s="416"/>
      <c r="R178" s="416"/>
      <c r="S178" s="416"/>
      <c r="T178" s="416"/>
      <c r="U178" s="416"/>
      <c r="V178" s="416"/>
      <c r="W178" s="416"/>
      <c r="X178" s="416"/>
      <c r="Y178" s="416"/>
      <c r="Z178" s="416"/>
      <c r="AA178" s="416"/>
      <c r="AB178" s="416"/>
      <c r="AC178" s="416"/>
      <c r="AD178" s="416"/>
      <c r="AE178" s="416"/>
      <c r="AF178" s="416"/>
      <c r="AG178" s="416"/>
      <c r="AH178" s="416"/>
      <c r="AI178" s="416"/>
      <c r="AJ178" s="416"/>
      <c r="AK178" s="416"/>
      <c r="AL178" s="416"/>
      <c r="AM178" s="416"/>
      <c r="AN178" s="416"/>
      <c r="AO178" s="416"/>
      <c r="AP178" s="416"/>
      <c r="AQ178" s="416"/>
      <c r="AR178" s="416"/>
      <c r="AS178" s="416"/>
      <c r="AT178" s="416"/>
      <c r="AU178" s="416"/>
      <c r="AV178" s="416"/>
      <c r="AW178" s="416"/>
      <c r="AX178" s="416"/>
      <c r="AY178" s="416"/>
      <c r="AZ178" s="416"/>
      <c r="BA178" s="416"/>
      <c r="BB178" s="416"/>
      <c r="BC178" s="416"/>
      <c r="BD178" s="416"/>
      <c r="BE178" s="416"/>
      <c r="BF178" s="416"/>
      <c r="BG178" s="416"/>
      <c r="BH178" s="416"/>
      <c r="BI178" s="416"/>
    </row>
    <row r="179" spans="1:61" s="409" customFormat="1" x14ac:dyDescent="0.2">
      <c r="A179" s="425"/>
      <c r="B179" s="425"/>
      <c r="C179" s="425"/>
      <c r="D179" s="438" t="s">
        <v>1750</v>
      </c>
      <c r="E179" s="427">
        <v>2</v>
      </c>
      <c r="F179" s="444"/>
      <c r="G179" s="444"/>
      <c r="H179" s="444">
        <v>432.00737384763812</v>
      </c>
      <c r="I179" s="729">
        <f>IF(OR('2.0Abstract of Cost'!$H$8="PSC",client_1="DOR"),0,PRODUCT(E179:H179))</f>
        <v>864.01474769527624</v>
      </c>
      <c r="J179" s="445"/>
      <c r="K179" s="443"/>
      <c r="L179" s="416"/>
      <c r="P179" s="416"/>
      <c r="Q179" s="416"/>
      <c r="R179" s="416"/>
      <c r="S179" s="416"/>
      <c r="T179" s="416"/>
      <c r="U179" s="416"/>
      <c r="V179" s="416"/>
      <c r="W179" s="416"/>
      <c r="X179" s="416"/>
      <c r="Y179" s="416"/>
      <c r="Z179" s="416"/>
      <c r="AA179" s="416"/>
      <c r="AB179" s="416"/>
      <c r="AC179" s="416"/>
      <c r="AD179" s="416"/>
      <c r="AE179" s="416"/>
      <c r="AF179" s="416"/>
      <c r="AG179" s="416"/>
      <c r="AH179" s="416"/>
      <c r="AI179" s="416"/>
      <c r="AJ179" s="416"/>
      <c r="AK179" s="416"/>
      <c r="AL179" s="416"/>
      <c r="AM179" s="416"/>
      <c r="AN179" s="416"/>
      <c r="AO179" s="416"/>
      <c r="AP179" s="416"/>
      <c r="AQ179" s="416"/>
      <c r="AR179" s="416"/>
      <c r="AS179" s="416"/>
      <c r="AT179" s="416"/>
      <c r="AU179" s="416"/>
      <c r="AV179" s="416"/>
      <c r="AW179" s="416"/>
      <c r="AX179" s="416"/>
      <c r="AY179" s="416"/>
      <c r="AZ179" s="416"/>
      <c r="BA179" s="416"/>
      <c r="BB179" s="416"/>
      <c r="BC179" s="416"/>
      <c r="BD179" s="416"/>
      <c r="BE179" s="416"/>
      <c r="BF179" s="416"/>
      <c r="BG179" s="416"/>
      <c r="BH179" s="416"/>
      <c r="BI179" s="416"/>
    </row>
    <row r="180" spans="1:61" s="409" customFormat="1" x14ac:dyDescent="0.2">
      <c r="A180" s="425"/>
      <c r="B180" s="425"/>
      <c r="C180" s="425"/>
      <c r="D180" s="438" t="s">
        <v>1751</v>
      </c>
      <c r="E180" s="427">
        <v>3</v>
      </c>
      <c r="F180" s="444"/>
      <c r="G180" s="444"/>
      <c r="H180" s="444">
        <v>410.18194428498646</v>
      </c>
      <c r="I180" s="729">
        <f>IF(OR('2.0Abstract of Cost'!$H$8="PSC",client_1="DOR"),0,PRODUCT(E180:H180))</f>
        <v>1230.5458328549594</v>
      </c>
      <c r="J180" s="445"/>
      <c r="K180" s="443"/>
      <c r="L180" s="416"/>
      <c r="P180" s="416"/>
      <c r="Q180" s="416"/>
      <c r="R180" s="416"/>
      <c r="S180" s="416"/>
      <c r="T180" s="416"/>
      <c r="U180" s="416"/>
      <c r="V180" s="416"/>
      <c r="W180" s="416"/>
      <c r="X180" s="416"/>
      <c r="Y180" s="416"/>
      <c r="Z180" s="416"/>
      <c r="AA180" s="416"/>
      <c r="AB180" s="416"/>
      <c r="AC180" s="416"/>
      <c r="AD180" s="416"/>
      <c r="AE180" s="416"/>
      <c r="AF180" s="416"/>
      <c r="AG180" s="416"/>
      <c r="AH180" s="416"/>
      <c r="AI180" s="416"/>
      <c r="AJ180" s="416"/>
      <c r="AK180" s="416"/>
      <c r="AL180" s="416"/>
      <c r="AM180" s="416"/>
      <c r="AN180" s="416"/>
      <c r="AO180" s="416"/>
      <c r="AP180" s="416"/>
      <c r="AQ180" s="416"/>
      <c r="AR180" s="416"/>
      <c r="AS180" s="416"/>
      <c r="AT180" s="416"/>
      <c r="AU180" s="416"/>
      <c r="AV180" s="416"/>
      <c r="AW180" s="416"/>
      <c r="AX180" s="416"/>
      <c r="AY180" s="416"/>
      <c r="AZ180" s="416"/>
      <c r="BA180" s="416"/>
      <c r="BB180" s="416"/>
      <c r="BC180" s="416"/>
      <c r="BD180" s="416"/>
      <c r="BE180" s="416"/>
      <c r="BF180" s="416"/>
      <c r="BG180" s="416"/>
      <c r="BH180" s="416"/>
      <c r="BI180" s="416"/>
    </row>
    <row r="181" spans="1:61" s="409" customFormat="1" x14ac:dyDescent="0.2">
      <c r="A181" s="425"/>
      <c r="B181" s="425"/>
      <c r="C181" s="425"/>
      <c r="D181" s="438" t="s">
        <v>230</v>
      </c>
      <c r="E181" s="427">
        <f>E174</f>
        <v>2</v>
      </c>
      <c r="F181" s="444"/>
      <c r="G181" s="444"/>
      <c r="H181" s="444">
        <v>504.81</v>
      </c>
      <c r="I181" s="729">
        <f>IF(OR('2.0Abstract of Cost'!$H$8="PSC",client_1="DOR"),0,PRODUCT(E181:H181))</f>
        <v>1009.62</v>
      </c>
      <c r="J181" s="445"/>
      <c r="K181" s="443"/>
      <c r="L181" s="416"/>
      <c r="P181" s="416"/>
      <c r="Q181" s="416"/>
      <c r="R181" s="416"/>
      <c r="S181" s="416"/>
      <c r="T181" s="416"/>
      <c r="U181" s="416"/>
      <c r="V181" s="416"/>
      <c r="W181" s="416"/>
      <c r="X181" s="416"/>
      <c r="Y181" s="416"/>
      <c r="Z181" s="416"/>
      <c r="AA181" s="416"/>
      <c r="AB181" s="416"/>
      <c r="AC181" s="416"/>
      <c r="AD181" s="416"/>
      <c r="AE181" s="416"/>
      <c r="AF181" s="416"/>
      <c r="AG181" s="416"/>
      <c r="AH181" s="416"/>
      <c r="AI181" s="416"/>
      <c r="AJ181" s="416"/>
      <c r="AK181" s="416"/>
      <c r="AL181" s="416"/>
      <c r="AM181" s="416"/>
      <c r="AN181" s="416"/>
      <c r="AO181" s="416"/>
      <c r="AP181" s="416"/>
      <c r="AQ181" s="416"/>
      <c r="AR181" s="416"/>
      <c r="AS181" s="416"/>
      <c r="AT181" s="416"/>
      <c r="AU181" s="416"/>
      <c r="AV181" s="416"/>
      <c r="AW181" s="416"/>
      <c r="AX181" s="416"/>
      <c r="AY181" s="416"/>
      <c r="AZ181" s="416"/>
      <c r="BA181" s="416"/>
      <c r="BB181" s="416"/>
      <c r="BC181" s="416"/>
      <c r="BD181" s="416"/>
      <c r="BE181" s="416"/>
      <c r="BF181" s="416"/>
      <c r="BG181" s="416"/>
      <c r="BH181" s="416"/>
      <c r="BI181" s="416"/>
    </row>
    <row r="182" spans="1:61" s="409" customFormat="1" x14ac:dyDescent="0.2">
      <c r="A182" s="439"/>
      <c r="B182" s="439"/>
      <c r="C182" s="439"/>
      <c r="D182" s="440" t="s">
        <v>194</v>
      </c>
      <c r="E182" s="441"/>
      <c r="F182" s="422"/>
      <c r="G182" s="422"/>
      <c r="H182" s="422"/>
      <c r="I182" s="998">
        <f>SUM(I177:I181)</f>
        <v>17985.002650405255</v>
      </c>
      <c r="J182" s="440" t="s">
        <v>6</v>
      </c>
      <c r="K182" s="443"/>
      <c r="L182" s="416"/>
      <c r="P182" s="416"/>
      <c r="Q182" s="416"/>
      <c r="R182" s="416"/>
      <c r="S182" s="416"/>
      <c r="T182" s="416"/>
      <c r="U182" s="416"/>
      <c r="V182" s="416"/>
      <c r="W182" s="416"/>
      <c r="X182" s="416"/>
      <c r="Y182" s="416"/>
      <c r="Z182" s="416"/>
      <c r="AA182" s="416"/>
      <c r="AB182" s="416"/>
      <c r="AC182" s="416"/>
      <c r="AD182" s="416"/>
      <c r="AE182" s="416"/>
      <c r="AF182" s="416"/>
      <c r="AG182" s="416"/>
      <c r="AH182" s="416"/>
      <c r="AI182" s="416"/>
      <c r="AJ182" s="416"/>
      <c r="AK182" s="416"/>
      <c r="AL182" s="416"/>
      <c r="AM182" s="416"/>
      <c r="AN182" s="416"/>
      <c r="AO182" s="416"/>
      <c r="AP182" s="416"/>
      <c r="AQ182" s="416"/>
      <c r="AR182" s="416"/>
      <c r="AS182" s="416"/>
      <c r="AT182" s="416"/>
      <c r="AU182" s="416"/>
      <c r="AV182" s="416"/>
      <c r="AW182" s="416"/>
      <c r="AX182" s="416"/>
      <c r="AY182" s="416"/>
      <c r="AZ182" s="416"/>
      <c r="BA182" s="416"/>
      <c r="BB182" s="416"/>
      <c r="BC182" s="416"/>
      <c r="BD182" s="416"/>
      <c r="BE182" s="416"/>
      <c r="BF182" s="416"/>
      <c r="BG182" s="416"/>
      <c r="BH182" s="416"/>
      <c r="BI182" s="416"/>
    </row>
    <row r="183" spans="1:61" s="409" customFormat="1" x14ac:dyDescent="0.2">
      <c r="A183" s="439"/>
      <c r="B183" s="439"/>
      <c r="C183" s="439"/>
      <c r="D183" s="440" t="str">
        <f>"Total for "&amp;n_span&amp;" span"</f>
        <v>Total for 1 span</v>
      </c>
      <c r="E183" s="441"/>
      <c r="F183" s="422"/>
      <c r="G183" s="422"/>
      <c r="H183" s="422"/>
      <c r="I183" s="423">
        <f>I182/1000*n_span</f>
        <v>17.985002650405256</v>
      </c>
      <c r="J183" s="440" t="s">
        <v>26</v>
      </c>
      <c r="K183" s="443"/>
      <c r="L183" s="416"/>
      <c r="P183" s="416"/>
      <c r="Q183" s="416"/>
      <c r="R183" s="416"/>
      <c r="S183" s="416"/>
      <c r="T183" s="416"/>
      <c r="U183" s="416"/>
      <c r="V183" s="416"/>
      <c r="W183" s="416"/>
      <c r="X183" s="416"/>
      <c r="Y183" s="416"/>
      <c r="Z183" s="416"/>
      <c r="AA183" s="416"/>
      <c r="AB183" s="416"/>
      <c r="AC183" s="416"/>
      <c r="AD183" s="416"/>
      <c r="AE183" s="416"/>
      <c r="AF183" s="416"/>
      <c r="AG183" s="416"/>
      <c r="AH183" s="416"/>
      <c r="AI183" s="416"/>
      <c r="AJ183" s="416"/>
      <c r="AK183" s="416"/>
      <c r="AL183" s="416"/>
      <c r="AM183" s="416"/>
      <c r="AN183" s="416"/>
      <c r="AO183" s="416"/>
      <c r="AP183" s="416"/>
      <c r="AQ183" s="416"/>
      <c r="AR183" s="416"/>
      <c r="AS183" s="416"/>
      <c r="AT183" s="416"/>
      <c r="AU183" s="416"/>
      <c r="AV183" s="416"/>
      <c r="AW183" s="416"/>
      <c r="AX183" s="416"/>
      <c r="AY183" s="416"/>
      <c r="AZ183" s="416"/>
      <c r="BA183" s="416"/>
      <c r="BB183" s="416"/>
      <c r="BC183" s="416"/>
      <c r="BD183" s="416"/>
      <c r="BE183" s="416"/>
      <c r="BF183" s="416"/>
      <c r="BG183" s="416"/>
      <c r="BH183" s="416"/>
      <c r="BI183" s="416"/>
    </row>
    <row r="184" spans="1:61" s="409" customFormat="1" x14ac:dyDescent="0.2">
      <c r="A184" s="439"/>
      <c r="B184" s="439"/>
      <c r="C184" s="439"/>
      <c r="D184" s="440"/>
      <c r="E184" s="441"/>
      <c r="F184" s="422"/>
      <c r="G184" s="422"/>
      <c r="H184" s="422"/>
      <c r="I184" s="423"/>
      <c r="J184" s="440"/>
      <c r="K184" s="443"/>
      <c r="L184" s="416"/>
      <c r="M184" s="416"/>
      <c r="N184" s="416"/>
      <c r="O184" s="416"/>
      <c r="P184" s="416"/>
      <c r="Q184" s="416"/>
      <c r="R184" s="416"/>
      <c r="S184" s="416"/>
      <c r="T184" s="416"/>
      <c r="U184" s="416"/>
      <c r="V184" s="416"/>
      <c r="W184" s="416"/>
      <c r="X184" s="416"/>
      <c r="Y184" s="416"/>
      <c r="Z184" s="416"/>
      <c r="AA184" s="416"/>
      <c r="AB184" s="416"/>
      <c r="AC184" s="416"/>
      <c r="AD184" s="416"/>
      <c r="AE184" s="416"/>
      <c r="AF184" s="416"/>
      <c r="AG184" s="416"/>
      <c r="AH184" s="416"/>
      <c r="AI184" s="416"/>
      <c r="AJ184" s="416"/>
      <c r="AK184" s="416"/>
      <c r="AL184" s="416"/>
      <c r="AM184" s="416"/>
      <c r="AN184" s="416"/>
      <c r="AO184" s="416"/>
      <c r="AP184" s="416"/>
      <c r="AQ184" s="416"/>
      <c r="AR184" s="416"/>
      <c r="AS184" s="416"/>
      <c r="AT184" s="416"/>
      <c r="AU184" s="416"/>
      <c r="AV184" s="416"/>
      <c r="AW184" s="416"/>
      <c r="AX184" s="416"/>
      <c r="AY184" s="416"/>
      <c r="AZ184" s="416"/>
      <c r="BA184" s="416"/>
      <c r="BB184" s="416"/>
      <c r="BC184" s="416"/>
      <c r="BD184" s="416"/>
      <c r="BE184" s="416"/>
      <c r="BF184" s="416"/>
      <c r="BG184" s="416"/>
      <c r="BH184" s="416"/>
      <c r="BI184" s="416"/>
    </row>
    <row r="185" spans="1:61" s="409" customFormat="1" ht="63.75" hidden="1" x14ac:dyDescent="0.2">
      <c r="A185" s="420">
        <f>A176+0.01</f>
        <v>4.0299999999999994</v>
      </c>
      <c r="B185" s="745" t="str">
        <f>'2.0Abstract of Cost'!B41</f>
        <v>Spec .cl.No:1804,1805</v>
      </c>
      <c r="C185" s="745" t="str">
        <f>'2.0Abstract of Cost'!C41</f>
        <v>18.7(b)</v>
      </c>
      <c r="D185" s="813" t="s">
        <v>1107</v>
      </c>
      <c r="E185" s="441"/>
      <c r="F185" s="422"/>
      <c r="G185" s="422"/>
      <c r="H185" s="422"/>
      <c r="I185" s="423"/>
      <c r="J185" s="424"/>
      <c r="K185" s="443"/>
      <c r="L185" s="416"/>
      <c r="M185" s="416"/>
      <c r="N185" s="416"/>
      <c r="O185" s="416"/>
      <c r="P185" s="416"/>
      <c r="Q185" s="416"/>
      <c r="R185" s="416"/>
      <c r="S185" s="416"/>
      <c r="T185" s="416"/>
      <c r="U185" s="416"/>
      <c r="V185" s="416"/>
      <c r="W185" s="416"/>
      <c r="X185" s="416"/>
      <c r="Y185" s="416"/>
      <c r="Z185" s="416"/>
      <c r="AA185" s="416"/>
      <c r="AB185" s="416"/>
      <c r="AC185" s="416"/>
      <c r="AD185" s="416"/>
      <c r="AE185" s="416"/>
      <c r="AF185" s="416"/>
      <c r="AG185" s="416"/>
      <c r="AH185" s="416"/>
      <c r="AI185" s="416"/>
      <c r="AJ185" s="416"/>
      <c r="AK185" s="416"/>
      <c r="AL185" s="416"/>
      <c r="AM185" s="416"/>
      <c r="AN185" s="416"/>
      <c r="AO185" s="416"/>
      <c r="AP185" s="416"/>
      <c r="AQ185" s="416"/>
      <c r="AR185" s="416"/>
      <c r="AS185" s="416"/>
      <c r="AT185" s="416"/>
      <c r="AU185" s="416"/>
      <c r="AV185" s="416"/>
      <c r="AW185" s="416"/>
      <c r="AX185" s="416"/>
      <c r="AY185" s="416"/>
      <c r="AZ185" s="416"/>
      <c r="BA185" s="416"/>
      <c r="BB185" s="416"/>
      <c r="BC185" s="416"/>
      <c r="BD185" s="416"/>
      <c r="BE185" s="416"/>
      <c r="BF185" s="416"/>
      <c r="BG185" s="416"/>
      <c r="BH185" s="416"/>
      <c r="BI185" s="416"/>
    </row>
    <row r="186" spans="1:61" s="417" customFormat="1" hidden="1" x14ac:dyDescent="0.2">
      <c r="A186" s="446"/>
      <c r="B186" s="446"/>
      <c r="C186" s="446"/>
      <c r="D186" s="438" t="s">
        <v>1108</v>
      </c>
      <c r="E186" s="427">
        <f>E177</f>
        <v>1</v>
      </c>
      <c r="F186" s="431">
        <f>F162</f>
        <v>21.2</v>
      </c>
      <c r="G186" s="431">
        <f>G174</f>
        <v>6</v>
      </c>
      <c r="H186" s="431"/>
      <c r="I186" s="729"/>
      <c r="J186" s="424"/>
      <c r="K186" s="410"/>
      <c r="L186" s="409"/>
      <c r="M186" s="409"/>
      <c r="N186" s="409"/>
      <c r="O186" s="409"/>
      <c r="P186" s="409"/>
      <c r="Q186" s="409"/>
      <c r="R186" s="409"/>
      <c r="S186" s="409"/>
      <c r="T186" s="409"/>
      <c r="U186" s="409"/>
      <c r="V186" s="409"/>
      <c r="W186" s="409"/>
      <c r="X186" s="409"/>
      <c r="Y186" s="409"/>
      <c r="Z186" s="409"/>
      <c r="AA186" s="409"/>
      <c r="AB186" s="409"/>
      <c r="AC186" s="409"/>
      <c r="AD186" s="409"/>
      <c r="AE186" s="409"/>
      <c r="AF186" s="409"/>
      <c r="AG186" s="409"/>
      <c r="AH186" s="409"/>
      <c r="AI186" s="409"/>
      <c r="AJ186" s="409"/>
      <c r="AK186" s="409"/>
      <c r="AL186" s="409"/>
      <c r="AM186" s="409"/>
      <c r="AN186" s="409"/>
      <c r="AO186" s="409"/>
      <c r="AP186" s="409"/>
      <c r="AQ186" s="409"/>
      <c r="AR186" s="409"/>
      <c r="AS186" s="409"/>
      <c r="AT186" s="409"/>
      <c r="AU186" s="409"/>
      <c r="AV186" s="409"/>
      <c r="AW186" s="409"/>
      <c r="AX186" s="409"/>
      <c r="AY186" s="409"/>
      <c r="AZ186" s="409"/>
      <c r="BA186" s="409"/>
      <c r="BB186" s="409"/>
      <c r="BC186" s="409"/>
      <c r="BD186" s="409"/>
      <c r="BE186" s="409"/>
      <c r="BF186" s="409"/>
      <c r="BG186" s="409"/>
      <c r="BH186" s="409"/>
      <c r="BI186" s="409"/>
    </row>
    <row r="187" spans="1:61" s="417" customFormat="1" hidden="1" x14ac:dyDescent="0.2">
      <c r="A187" s="446"/>
      <c r="B187" s="446"/>
      <c r="C187" s="446"/>
      <c r="D187" s="438" t="s">
        <v>1100</v>
      </c>
      <c r="E187" s="427">
        <f>E178</f>
        <v>3</v>
      </c>
      <c r="F187" s="431">
        <f>F186</f>
        <v>21.2</v>
      </c>
      <c r="G187" s="431"/>
      <c r="H187" s="431">
        <f>H165*2+G165-H162*2</f>
        <v>2.4</v>
      </c>
      <c r="I187" s="729"/>
      <c r="J187" s="424"/>
      <c r="K187" s="410"/>
      <c r="L187" s="409"/>
      <c r="M187" s="409"/>
      <c r="N187" s="409"/>
      <c r="O187" s="409"/>
      <c r="P187" s="409"/>
      <c r="Q187" s="409"/>
      <c r="R187" s="409"/>
      <c r="S187" s="409"/>
      <c r="T187" s="409"/>
      <c r="U187" s="409"/>
      <c r="V187" s="409"/>
      <c r="W187" s="409"/>
      <c r="X187" s="409"/>
      <c r="Y187" s="409"/>
      <c r="Z187" s="409"/>
      <c r="AA187" s="409"/>
      <c r="AB187" s="409"/>
      <c r="AC187" s="409"/>
      <c r="AD187" s="409"/>
      <c r="AE187" s="409"/>
      <c r="AF187" s="409"/>
      <c r="AG187" s="409"/>
      <c r="AH187" s="409"/>
      <c r="AI187" s="409"/>
      <c r="AJ187" s="409"/>
      <c r="AK187" s="409"/>
      <c r="AL187" s="409"/>
      <c r="AM187" s="409"/>
      <c r="AN187" s="409"/>
      <c r="AO187" s="409"/>
      <c r="AP187" s="409"/>
      <c r="AQ187" s="409"/>
      <c r="AR187" s="409"/>
      <c r="AS187" s="409"/>
      <c r="AT187" s="409"/>
      <c r="AU187" s="409"/>
      <c r="AV187" s="409"/>
      <c r="AW187" s="409"/>
      <c r="AX187" s="409"/>
      <c r="AY187" s="409"/>
      <c r="AZ187" s="409"/>
      <c r="BA187" s="409"/>
      <c r="BB187" s="409"/>
      <c r="BC187" s="409"/>
      <c r="BD187" s="409"/>
      <c r="BE187" s="409"/>
      <c r="BF187" s="409"/>
      <c r="BG187" s="409"/>
      <c r="BH187" s="409"/>
      <c r="BI187" s="409"/>
    </row>
    <row r="188" spans="1:61" s="417" customFormat="1" hidden="1" x14ac:dyDescent="0.2">
      <c r="A188" s="446"/>
      <c r="B188" s="446"/>
      <c r="C188" s="446"/>
      <c r="D188" s="438" t="s">
        <v>1102</v>
      </c>
      <c r="E188" s="427">
        <f>E179</f>
        <v>2</v>
      </c>
      <c r="F188" s="431">
        <f>F167</f>
        <v>4.8</v>
      </c>
      <c r="G188" s="431"/>
      <c r="H188" s="431">
        <f>H167*2+G167-H162*2</f>
        <v>1.5499999999999998</v>
      </c>
      <c r="I188" s="729"/>
      <c r="J188" s="424"/>
      <c r="K188" s="447"/>
    </row>
    <row r="189" spans="1:61" s="409" customFormat="1" hidden="1" x14ac:dyDescent="0.2">
      <c r="A189" s="446"/>
      <c r="B189" s="446"/>
      <c r="C189" s="446"/>
      <c r="D189" s="438" t="s">
        <v>230</v>
      </c>
      <c r="E189" s="427">
        <v>2</v>
      </c>
      <c r="F189" s="431"/>
      <c r="G189" s="1230">
        <f>F174*G174+G174*H174*2+F174*H174</f>
        <v>25.650000000000002</v>
      </c>
      <c r="H189" s="1231"/>
      <c r="I189" s="729"/>
      <c r="J189" s="424"/>
      <c r="K189" s="443"/>
      <c r="L189" s="416"/>
      <c r="M189" s="416"/>
      <c r="N189" s="416"/>
      <c r="O189" s="416"/>
      <c r="P189" s="416"/>
      <c r="Q189" s="416"/>
      <c r="R189" s="416"/>
      <c r="S189" s="416"/>
      <c r="T189" s="416"/>
      <c r="U189" s="416"/>
      <c r="V189" s="416"/>
      <c r="W189" s="416"/>
      <c r="X189" s="416"/>
      <c r="Y189" s="416"/>
      <c r="Z189" s="416"/>
      <c r="AA189" s="416"/>
      <c r="AB189" s="416"/>
      <c r="AC189" s="416"/>
      <c r="AD189" s="416"/>
      <c r="AE189" s="416"/>
      <c r="AF189" s="416"/>
      <c r="AG189" s="416"/>
      <c r="AH189" s="416"/>
      <c r="AI189" s="416"/>
      <c r="AJ189" s="416"/>
      <c r="AK189" s="416"/>
      <c r="AL189" s="416"/>
      <c r="AM189" s="416"/>
      <c r="AN189" s="416"/>
      <c r="AO189" s="416"/>
      <c r="AP189" s="416"/>
      <c r="AQ189" s="416"/>
      <c r="AR189" s="416"/>
      <c r="AS189" s="416"/>
      <c r="AT189" s="416"/>
      <c r="AU189" s="416"/>
      <c r="AV189" s="416"/>
      <c r="AW189" s="416"/>
      <c r="AX189" s="416"/>
      <c r="AY189" s="416"/>
      <c r="AZ189" s="416"/>
      <c r="BA189" s="416"/>
      <c r="BB189" s="416"/>
      <c r="BC189" s="416"/>
      <c r="BD189" s="416"/>
      <c r="BE189" s="416"/>
      <c r="BF189" s="416"/>
      <c r="BG189" s="416"/>
      <c r="BH189" s="416"/>
      <c r="BI189" s="416"/>
    </row>
    <row r="190" spans="1:61" s="409" customFormat="1" hidden="1" x14ac:dyDescent="0.2">
      <c r="A190" s="446"/>
      <c r="B190" s="446"/>
      <c r="C190" s="446"/>
      <c r="D190" s="438" t="s">
        <v>1109</v>
      </c>
      <c r="E190" s="427">
        <v>2</v>
      </c>
      <c r="F190" s="431">
        <f>F168</f>
        <v>0</v>
      </c>
      <c r="G190" s="431"/>
      <c r="H190" s="431">
        <v>0.6</v>
      </c>
      <c r="I190" s="729"/>
      <c r="J190" s="424"/>
      <c r="K190" s="410"/>
    </row>
    <row r="191" spans="1:61" s="417" customFormat="1" hidden="1" x14ac:dyDescent="0.2">
      <c r="A191" s="446"/>
      <c r="B191" s="446"/>
      <c r="C191" s="446"/>
      <c r="D191" s="438" t="s">
        <v>1110</v>
      </c>
      <c r="E191" s="418">
        <f>E169</f>
        <v>2</v>
      </c>
      <c r="F191" s="419">
        <f>2*(0.15+0.15)</f>
        <v>0.6</v>
      </c>
      <c r="G191" s="419"/>
      <c r="H191" s="431">
        <v>1</v>
      </c>
      <c r="I191" s="729"/>
      <c r="J191" s="424"/>
      <c r="K191" s="447"/>
    </row>
    <row r="192" spans="1:61" s="417" customFormat="1" hidden="1" x14ac:dyDescent="0.2">
      <c r="A192" s="438"/>
      <c r="B192" s="438"/>
      <c r="C192" s="438"/>
      <c r="D192" s="438" t="s">
        <v>1111</v>
      </c>
      <c r="E192" s="427">
        <f>E170</f>
        <v>2</v>
      </c>
      <c r="F192" s="431">
        <f>F191</f>
        <v>0.6</v>
      </c>
      <c r="G192" s="437"/>
      <c r="H192" s="428">
        <v>1</v>
      </c>
      <c r="I192" s="729"/>
      <c r="J192" s="438"/>
      <c r="K192" s="447"/>
    </row>
    <row r="193" spans="1:12" s="417" customFormat="1" ht="15.75" hidden="1" x14ac:dyDescent="0.2">
      <c r="A193" s="438"/>
      <c r="B193" s="438"/>
      <c r="C193" s="438"/>
      <c r="D193" s="438"/>
      <c r="E193" s="427"/>
      <c r="F193" s="431"/>
      <c r="G193" s="437"/>
      <c r="H193" s="428"/>
      <c r="I193" s="729"/>
      <c r="J193" s="747" t="s">
        <v>1698</v>
      </c>
      <c r="K193" s="447"/>
    </row>
    <row r="194" spans="1:12" s="417" customFormat="1" hidden="1" x14ac:dyDescent="0.2">
      <c r="A194" s="438"/>
      <c r="B194" s="438"/>
      <c r="C194" s="438"/>
      <c r="D194" s="440" t="s">
        <v>1689</v>
      </c>
      <c r="E194" s="427"/>
      <c r="F194" s="431"/>
      <c r="G194" s="437"/>
      <c r="H194" s="428"/>
      <c r="I194" s="430"/>
      <c r="J194" s="450"/>
      <c r="K194" s="447"/>
    </row>
    <row r="195" spans="1:12" ht="63.75" x14ac:dyDescent="0.2">
      <c r="A195" s="420">
        <f>A176+0.01</f>
        <v>4.0299999999999994</v>
      </c>
      <c r="B195" s="745" t="str">
        <f>'2.0Abstract of Cost'!B42</f>
        <v>Spec .cl.No:1803</v>
      </c>
      <c r="C195" s="745" t="str">
        <f>'2.0Abstract of Cost'!C42</f>
        <v>18.11(b) ii.</v>
      </c>
      <c r="D195" s="813" t="s">
        <v>316</v>
      </c>
      <c r="E195" s="747"/>
      <c r="F195" s="748"/>
      <c r="G195" s="748"/>
      <c r="H195" s="748"/>
      <c r="I195" s="729"/>
      <c r="J195" s="747"/>
      <c r="K195" s="749"/>
    </row>
    <row r="196" spans="1:12" x14ac:dyDescent="0.2">
      <c r="A196" s="765"/>
      <c r="B196" s="766"/>
      <c r="C196" s="766"/>
      <c r="D196" s="776" t="s">
        <v>317</v>
      </c>
      <c r="E196" s="753">
        <f>nspan</f>
        <v>1</v>
      </c>
      <c r="F196" s="756">
        <f>F186</f>
        <v>21.2</v>
      </c>
      <c r="G196" s="756">
        <f>G186</f>
        <v>6</v>
      </c>
      <c r="H196" s="756"/>
      <c r="I196" s="729">
        <f>IF(OR('2.0Abstract of Cost'!$H$8="PSC",client_1="DOR"),0,PRODUCT(E196:H196))</f>
        <v>127.19999999999999</v>
      </c>
      <c r="J196" s="747"/>
      <c r="K196" s="749"/>
    </row>
    <row r="197" spans="1:12" ht="15.75" x14ac:dyDescent="0.2">
      <c r="A197" s="765"/>
      <c r="B197" s="766"/>
      <c r="C197" s="766"/>
      <c r="D197" s="758" t="str">
        <f>"Total for "&amp;n_span&amp;" span"</f>
        <v>Total for 1 span</v>
      </c>
      <c r="E197" s="747"/>
      <c r="F197" s="748"/>
      <c r="G197" s="748"/>
      <c r="H197" s="748"/>
      <c r="I197" s="729">
        <f>SUM(I196)</f>
        <v>127.19999999999999</v>
      </c>
      <c r="J197" s="747" t="s">
        <v>1698</v>
      </c>
      <c r="K197" s="749"/>
    </row>
    <row r="198" spans="1:12" x14ac:dyDescent="0.2">
      <c r="A198" s="765"/>
      <c r="B198" s="766"/>
      <c r="C198" s="766"/>
      <c r="D198" s="758"/>
      <c r="E198" s="747"/>
      <c r="F198" s="748"/>
      <c r="G198" s="748"/>
      <c r="H198" s="748"/>
      <c r="I198" s="729"/>
      <c r="J198" s="747"/>
      <c r="K198" s="749"/>
    </row>
    <row r="199" spans="1:12" ht="51" x14ac:dyDescent="0.2">
      <c r="A199" s="744">
        <f>A195+0.01</f>
        <v>4.0399999999999991</v>
      </c>
      <c r="B199" s="745" t="str">
        <f>'2.0Abstract of Cost'!B43</f>
        <v>Spec .cl.No:1902</v>
      </c>
      <c r="C199" s="1136">
        <f>'2.0Abstract of Cost'!C43</f>
        <v>19.399999999999999</v>
      </c>
      <c r="D199" s="813" t="str">
        <f>'2.0Abstract of Cost'!D43</f>
        <v>Supplying, fitting and fixing in position true to line and level elastomeric bearing including all accessories as per Drawing and Technical Specifications.</v>
      </c>
      <c r="E199" s="908">
        <f>nspan*6</f>
        <v>6</v>
      </c>
      <c r="F199" s="907"/>
      <c r="G199" s="773"/>
      <c r="H199" s="773"/>
      <c r="I199" s="729">
        <f>IF(OR('2.0Abstract of Cost'!$H$8="PSC",client_1="DOR"),0,PRODUCT(E199:H199))</f>
        <v>6</v>
      </c>
      <c r="J199" s="905"/>
      <c r="K199" s="749"/>
    </row>
    <row r="200" spans="1:12" x14ac:dyDescent="0.2">
      <c r="A200" s="744"/>
      <c r="B200" s="750"/>
      <c r="C200" s="750"/>
      <c r="D200" s="910" t="str">
        <f>"Total for "&amp;n_span&amp;" span"</f>
        <v>Total for 1 span</v>
      </c>
      <c r="E200" s="908"/>
      <c r="F200" s="907"/>
      <c r="G200" s="773"/>
      <c r="H200" s="773"/>
      <c r="I200" s="906">
        <f>SUM(I199)</f>
        <v>6</v>
      </c>
      <c r="J200" s="905" t="s">
        <v>223</v>
      </c>
      <c r="K200" s="749"/>
    </row>
    <row r="201" spans="1:12" ht="38.25" x14ac:dyDescent="0.2">
      <c r="A201" s="744">
        <f>A199+0.01</f>
        <v>4.0499999999999989</v>
      </c>
      <c r="B201" s="745" t="str">
        <f>'2.0Abstract of Cost'!B44</f>
        <v>Spec .cl.No:1901</v>
      </c>
      <c r="C201" s="1136">
        <f>'2.0Abstract of Cost'!C44</f>
        <v>19.100000000000001</v>
      </c>
      <c r="D201" s="813" t="s">
        <v>451</v>
      </c>
      <c r="E201" s="908">
        <f>nspan+1</f>
        <v>2</v>
      </c>
      <c r="F201" s="907">
        <f>'0.Data Sheet'!C33</f>
        <v>8.4</v>
      </c>
      <c r="G201" s="907"/>
      <c r="H201" s="907"/>
      <c r="I201" s="729">
        <f>IF(OR('2.0Abstract of Cost'!$H$8="PSC",client_1="DOR"),0,PRODUCT(E201:H201))</f>
        <v>16.8</v>
      </c>
      <c r="J201" s="905" t="s">
        <v>42</v>
      </c>
      <c r="K201" s="749"/>
    </row>
    <row r="202" spans="1:12" x14ac:dyDescent="0.2">
      <c r="A202" s="744"/>
      <c r="B202" s="745"/>
      <c r="C202" s="745"/>
      <c r="D202" s="769"/>
      <c r="E202" s="908"/>
      <c r="F202" s="911"/>
      <c r="G202" s="912"/>
      <c r="H202" s="913"/>
      <c r="I202" s="729"/>
      <c r="J202" s="905"/>
      <c r="K202" s="749"/>
    </row>
    <row r="203" spans="1:12" ht="114.75" x14ac:dyDescent="0.2">
      <c r="A203" s="744">
        <f>A201+0.01</f>
        <v>4.0599999999999987</v>
      </c>
      <c r="B203" s="745" t="str">
        <f>'2.0Abstract of Cost'!B45</f>
        <v>Spec .cl.No: 3105</v>
      </c>
      <c r="C203" s="1136">
        <f>'2.0Abstract of Cost'!C45</f>
        <v>31.7</v>
      </c>
      <c r="D203" s="813" t="str">
        <f>'2.0Abstract of Cost'!D45</f>
        <v>Tubular Steel Railing on Precast RCC Posts, 1.2 m High Above Ground Level Providing, fencing and erecting 50 mm dia painted steel pipe railing in 3 rows on precast M 20 grade RCC vertical posts 1.8 metres high (1.2 m above GL) with 3 holes 50 mm dia for pipe, fixed 2 metres center to, complete as per Drawing and Technical Specifications.</v>
      </c>
      <c r="E203" s="908">
        <f>nspan</f>
        <v>1</v>
      </c>
      <c r="F203" s="907">
        <f>F173*2</f>
        <v>56.4</v>
      </c>
      <c r="G203" s="907"/>
      <c r="H203" s="907"/>
      <c r="I203" s="729">
        <f>IF(OR('2.0Abstract of Cost'!$H$8="PSC",client_1="DOR"),0,PRODUCT(E203:H203))</f>
        <v>56.4</v>
      </c>
      <c r="J203" s="905"/>
      <c r="K203" s="749"/>
    </row>
    <row r="204" spans="1:12" x14ac:dyDescent="0.2">
      <c r="A204" s="744"/>
      <c r="B204" s="750"/>
      <c r="C204" s="750"/>
      <c r="D204" s="758" t="str">
        <f>"Total for "&amp;n_span&amp;" span"</f>
        <v>Total for 1 span</v>
      </c>
      <c r="E204" s="904"/>
      <c r="F204" s="773"/>
      <c r="G204" s="773"/>
      <c r="H204" s="773"/>
      <c r="I204" s="906">
        <f>SUM(I203:I203)</f>
        <v>56.4</v>
      </c>
      <c r="J204" s="905" t="s">
        <v>42</v>
      </c>
      <c r="K204" s="749"/>
    </row>
    <row r="205" spans="1:12" ht="63.75" x14ac:dyDescent="0.2">
      <c r="A205" s="1042">
        <f>A203+0.01</f>
        <v>4.0699999999999985</v>
      </c>
      <c r="B205" s="1043" t="str">
        <f>'2.0Abstract of Cost'!B46</f>
        <v>SS 1501</v>
      </c>
      <c r="C205" s="1043">
        <f>'2.0Abstract of Cost'!C46</f>
        <v>15.4</v>
      </c>
      <c r="D205" s="813" t="str">
        <f>'2.0Abstract of Cost'!D46</f>
        <v>Providing and Painting two coats after filling the surface with synthetic enamel paint in all shades on concrete / plaster surfaces as per Drawing and Technical specifications. (1501)</v>
      </c>
      <c r="E205" s="1044"/>
      <c r="F205" s="1045"/>
      <c r="G205" s="1046"/>
      <c r="H205" s="1046"/>
      <c r="I205" s="1047"/>
      <c r="J205" s="1048" t="s">
        <v>42</v>
      </c>
      <c r="K205" s="1049"/>
    </row>
    <row r="206" spans="1:12" x14ac:dyDescent="0.2">
      <c r="A206" s="1050"/>
      <c r="B206" s="1051"/>
      <c r="C206" s="1051"/>
      <c r="D206" s="1052" t="s">
        <v>1722</v>
      </c>
      <c r="E206" s="1053">
        <v>2</v>
      </c>
      <c r="F206" s="1054">
        <f>0.55*3</f>
        <v>1.6500000000000001</v>
      </c>
      <c r="G206" s="1055"/>
      <c r="H206" s="1055">
        <f>Le+1.2+G40*2</f>
        <v>28.2</v>
      </c>
      <c r="I206" s="1056">
        <f>PRODUCT(E206:H206)</f>
        <v>93.06</v>
      </c>
      <c r="J206" s="1057"/>
      <c r="K206" s="1058"/>
    </row>
    <row r="207" spans="1:12" ht="13.5" thickBot="1" x14ac:dyDescent="0.25">
      <c r="A207" s="1059"/>
      <c r="B207" s="1060"/>
      <c r="C207" s="1060"/>
      <c r="D207" s="1061" t="str">
        <f>"Total for "&amp;n_span&amp;" span"</f>
        <v>Total for 1 span</v>
      </c>
      <c r="E207" s="1062"/>
      <c r="F207" s="1063"/>
      <c r="G207" s="1064"/>
      <c r="H207" s="1064"/>
      <c r="I207" s="1065">
        <f>SUM(I206:I206)</f>
        <v>93.06</v>
      </c>
      <c r="J207" s="1066" t="s">
        <v>1723</v>
      </c>
      <c r="K207" s="1067"/>
    </row>
    <row r="208" spans="1:12" x14ac:dyDescent="0.2">
      <c r="A208" s="942"/>
      <c r="B208" s="943"/>
      <c r="C208" s="943"/>
      <c r="D208" s="944"/>
      <c r="E208" s="945"/>
      <c r="F208" s="946"/>
      <c r="G208" s="946"/>
      <c r="H208" s="946"/>
      <c r="I208" s="947"/>
      <c r="J208" s="948"/>
      <c r="K208" s="949"/>
      <c r="L208" s="9">
        <f>ROW()</f>
        <v>208</v>
      </c>
    </row>
    <row r="209" spans="1:12" x14ac:dyDescent="0.2">
      <c r="A209" s="730"/>
      <c r="B209" s="731"/>
      <c r="C209" s="731"/>
      <c r="D209" s="739" t="s">
        <v>237</v>
      </c>
      <c r="E209" s="740"/>
      <c r="F209" s="741"/>
      <c r="G209" s="741"/>
      <c r="H209" s="741"/>
      <c r="I209" s="742"/>
      <c r="J209" s="743"/>
      <c r="K209" s="740"/>
    </row>
    <row r="210" spans="1:12" ht="51" x14ac:dyDescent="0.2">
      <c r="A210" s="744">
        <v>5.01</v>
      </c>
      <c r="B210" s="745" t="str">
        <f>'2.0Abstract of Cost'!B50</f>
        <v>Spec .cl.No:907</v>
      </c>
      <c r="C210" s="745" t="str">
        <f>'2.0Abstract of Cost'!C50</f>
        <v>9.4 I B(ii)</v>
      </c>
      <c r="D210" s="776" t="s">
        <v>254</v>
      </c>
      <c r="E210" s="753"/>
      <c r="F210" s="814"/>
      <c r="G210" s="914"/>
      <c r="H210" s="914"/>
      <c r="I210" s="902"/>
      <c r="J210" s="902"/>
      <c r="K210" s="916"/>
    </row>
    <row r="211" spans="1:12" x14ac:dyDescent="0.2">
      <c r="A211" s="744"/>
      <c r="B211" s="745"/>
      <c r="C211" s="745"/>
      <c r="D211" s="776" t="s">
        <v>1122</v>
      </c>
      <c r="E211" s="753">
        <v>1</v>
      </c>
      <c r="F211" s="756">
        <f>F217*E217</f>
        <v>80</v>
      </c>
      <c r="G211" s="756">
        <v>3</v>
      </c>
      <c r="H211" s="756">
        <v>0.5</v>
      </c>
      <c r="I211" s="917">
        <f>H211*F211*G211*E211</f>
        <v>120</v>
      </c>
      <c r="J211" s="753"/>
      <c r="K211" s="916"/>
    </row>
    <row r="212" spans="1:12" x14ac:dyDescent="0.2">
      <c r="A212" s="744"/>
      <c r="B212" s="745"/>
      <c r="C212" s="745"/>
      <c r="D212" s="776" t="s">
        <v>1123</v>
      </c>
      <c r="E212" s="753">
        <v>1</v>
      </c>
      <c r="F212" s="814">
        <f>E220*F220+E221*F221</f>
        <v>20</v>
      </c>
      <c r="G212" s="814">
        <f>ab_h4*0.5</f>
        <v>3.8250000000000002</v>
      </c>
      <c r="H212" s="814">
        <f>ab_h4*0.3</f>
        <v>2.2949999999999999</v>
      </c>
      <c r="I212" s="917">
        <f>H212*F212*G212*E212</f>
        <v>175.5675</v>
      </c>
      <c r="J212" s="753"/>
      <c r="K212" s="916"/>
    </row>
    <row r="213" spans="1:12" ht="15.75" x14ac:dyDescent="0.2">
      <c r="A213" s="744"/>
      <c r="B213" s="745"/>
      <c r="C213" s="745"/>
      <c r="D213" s="776"/>
      <c r="E213" s="753"/>
      <c r="F213" s="814"/>
      <c r="G213" s="915"/>
      <c r="H213" s="915"/>
      <c r="I213" s="917">
        <f>SUM(I211:I212)</f>
        <v>295.5675</v>
      </c>
      <c r="J213" s="753" t="s">
        <v>1028</v>
      </c>
      <c r="K213" s="916"/>
    </row>
    <row r="214" spans="1:12" ht="51" x14ac:dyDescent="0.2">
      <c r="A214" s="744">
        <f>A210+0.01</f>
        <v>5.0199999999999996</v>
      </c>
      <c r="B214" s="750" t="str">
        <f>'2.0Abstract of Cost'!B51</f>
        <v>Spec .cl.No:908</v>
      </c>
      <c r="C214" s="750" t="str">
        <f>'2.0Abstract of Cost'!C51</f>
        <v>9.11 C</v>
      </c>
      <c r="D214" s="813" t="s">
        <v>251</v>
      </c>
      <c r="E214" s="753">
        <v>1</v>
      </c>
      <c r="F214" s="1255">
        <f>I213*0.5</f>
        <v>147.78375</v>
      </c>
      <c r="G214" s="1255"/>
      <c r="H214" s="1255"/>
      <c r="I214" s="917">
        <f>PRODUCT(E214:G214)</f>
        <v>147.78375</v>
      </c>
      <c r="J214" s="753" t="s">
        <v>1028</v>
      </c>
      <c r="K214" s="916"/>
    </row>
    <row r="215" spans="1:12" ht="153" x14ac:dyDescent="0.2">
      <c r="A215" s="744">
        <f>A214+0.01</f>
        <v>5.0299999999999994</v>
      </c>
      <c r="B215" s="745" t="str">
        <f>'2.0Abstract of Cost'!B52</f>
        <v>Spec .cl.No: 2401</v>
      </c>
      <c r="C215" s="745" t="str">
        <f>'2.0Abstract of Cost'!C52</f>
        <v>24.1-A(iv)</v>
      </c>
      <c r="D215" s="813" t="str">
        <f>'4.0Summary of Rates'!D52</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1x1x1(6 Sq.m), as per Drawing and Technical Specifications (SS 2401).</v>
      </c>
      <c r="E215" s="407">
        <f>E216</f>
        <v>2</v>
      </c>
      <c r="F215" s="710">
        <v>20</v>
      </c>
      <c r="G215" s="1252">
        <v>1</v>
      </c>
      <c r="H215" s="1252"/>
      <c r="I215" s="473">
        <f>G215*F215*E215</f>
        <v>40</v>
      </c>
      <c r="J215" s="747" t="s">
        <v>1697</v>
      </c>
      <c r="K215" s="916"/>
    </row>
    <row r="216" spans="1:12" s="409" customFormat="1" ht="153" x14ac:dyDescent="0.2">
      <c r="A216" s="744">
        <f>A215+0.01</f>
        <v>5.0399999999999991</v>
      </c>
      <c r="B216" s="745" t="str">
        <f>'2.0Abstract of Cost'!B53</f>
        <v>Spec .cl.No: 2401</v>
      </c>
      <c r="C216" s="745" t="str">
        <f>'2.0Abstract of Cost'!C53</f>
        <v>24.1-A(ii)</v>
      </c>
      <c r="D216" s="813" t="str">
        <f>'4.0Summary of Rates'!D51</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2x1x1 ( 11 sqm), as per Drawing and Technical Specifications (SS 2401).</v>
      </c>
      <c r="E216" s="407">
        <v>2</v>
      </c>
      <c r="F216" s="710">
        <v>40</v>
      </c>
      <c r="G216" s="1252">
        <v>2</v>
      </c>
      <c r="H216" s="1252"/>
      <c r="I216" s="408">
        <f>G216*F216*E216</f>
        <v>160</v>
      </c>
      <c r="J216" s="747" t="s">
        <v>1697</v>
      </c>
      <c r="K216" s="410"/>
    </row>
    <row r="217" spans="1:12" s="409" customFormat="1" ht="153" x14ac:dyDescent="0.2">
      <c r="A217" s="744">
        <f>A216+0.01</f>
        <v>5.0499999999999989</v>
      </c>
      <c r="B217" s="745" t="str">
        <f>'2.0Abstract of Cost'!B53</f>
        <v>Spec .cl.No: 2401</v>
      </c>
      <c r="C217" s="745" t="str">
        <f>'2.0Abstract of Cost'!C54</f>
        <v>24.1-A(i)</v>
      </c>
      <c r="D217" s="813" t="str">
        <f>'4.0Summary of Rates'!D50</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3x1x1 ( 16 sqm), as per Drawing and Technical Specifications (SS 2401).</v>
      </c>
      <c r="E217" s="407">
        <v>2</v>
      </c>
      <c r="F217" s="710">
        <v>40</v>
      </c>
      <c r="G217" s="1252">
        <v>3</v>
      </c>
      <c r="H217" s="1252"/>
      <c r="I217" s="408">
        <f>G217*F217*E217</f>
        <v>240</v>
      </c>
      <c r="J217" s="747" t="s">
        <v>1697</v>
      </c>
      <c r="K217" s="410"/>
    </row>
    <row r="218" spans="1:12" s="387" customFormat="1" ht="63.75" x14ac:dyDescent="0.2">
      <c r="A218" s="744">
        <f>A217+0.01</f>
        <v>5.0599999999999987</v>
      </c>
      <c r="B218" s="745" t="str">
        <f>'2.0Abstract of Cost'!B55</f>
        <v>Spec .cl.No: 2600,2607</v>
      </c>
      <c r="C218" s="745" t="str">
        <f>'2.0Abstract of Cost'!C55</f>
        <v>26.5 A</v>
      </c>
      <c r="D218" s="813" t="s">
        <v>1093</v>
      </c>
      <c r="E218" s="753"/>
      <c r="F218" s="756"/>
      <c r="G218" s="756"/>
      <c r="H218" s="756"/>
      <c r="I218" s="917"/>
      <c r="K218" s="774"/>
    </row>
    <row r="219" spans="1:12" x14ac:dyDescent="0.2">
      <c r="A219" s="744"/>
      <c r="B219" s="918"/>
      <c r="C219" s="918"/>
      <c r="D219" s="776" t="s">
        <v>438</v>
      </c>
      <c r="E219" s="919"/>
      <c r="F219" s="756"/>
      <c r="G219" s="756"/>
      <c r="H219" s="756"/>
      <c r="I219" s="729"/>
      <c r="J219" s="753"/>
      <c r="K219" s="769"/>
    </row>
    <row r="220" spans="1:12" x14ac:dyDescent="0.2">
      <c r="A220" s="744"/>
      <c r="B220" s="918"/>
      <c r="C220" s="918"/>
      <c r="D220" s="760" t="s">
        <v>1094</v>
      </c>
      <c r="E220" s="919">
        <v>2</v>
      </c>
      <c r="F220" s="756">
        <v>5</v>
      </c>
      <c r="G220" s="1252">
        <f>0.5*ab_h4+((0.5*ab_h4-0.5)*ab_h4*0.5)*0.6</f>
        <v>11.455874999999999</v>
      </c>
      <c r="H220" s="1252"/>
      <c r="I220" s="729">
        <f>PRODUCT(E220:G220)</f>
        <v>114.55874999999999</v>
      </c>
      <c r="J220" s="753"/>
      <c r="K220" s="769"/>
    </row>
    <row r="221" spans="1:12" x14ac:dyDescent="0.2">
      <c r="A221" s="744"/>
      <c r="B221" s="918"/>
      <c r="C221" s="918"/>
      <c r="D221" s="760" t="s">
        <v>1095</v>
      </c>
      <c r="E221" s="753">
        <v>2</v>
      </c>
      <c r="F221" s="756">
        <v>5</v>
      </c>
      <c r="G221" s="1252">
        <f>G220</f>
        <v>11.455874999999999</v>
      </c>
      <c r="H221" s="1252"/>
      <c r="I221" s="729">
        <f>PRODUCT(E221:H221)</f>
        <v>114.55874999999999</v>
      </c>
      <c r="J221" s="753"/>
      <c r="K221" s="769"/>
      <c r="L221" s="920"/>
    </row>
    <row r="222" spans="1:12" ht="15.75" x14ac:dyDescent="0.2">
      <c r="A222" s="744"/>
      <c r="B222" s="918"/>
      <c r="C222" s="918"/>
      <c r="D222" s="760"/>
      <c r="E222" s="753"/>
      <c r="F222" s="756"/>
      <c r="G222" s="902" t="s">
        <v>194</v>
      </c>
      <c r="H222" s="756"/>
      <c r="I222" s="729">
        <f>SUM(I220:I221)</f>
        <v>229.11749999999998</v>
      </c>
      <c r="J222" s="747" t="s">
        <v>1697</v>
      </c>
      <c r="K222" s="769"/>
    </row>
    <row r="223" spans="1:12" ht="38.25" x14ac:dyDescent="0.2">
      <c r="A223" s="744">
        <f>A222+0.01</f>
        <v>0.01</v>
      </c>
      <c r="B223" s="921" t="str">
        <f>'2.0Abstract of Cost'!B56</f>
        <v>Spec .cl.No:2404</v>
      </c>
      <c r="C223" s="921">
        <f>'2.0Abstract of Cost'!C56</f>
        <v>24.5</v>
      </c>
      <c r="D223" s="922" t="s">
        <v>1690</v>
      </c>
      <c r="E223" s="753"/>
      <c r="F223" s="756"/>
      <c r="G223" s="756"/>
      <c r="H223" s="756"/>
      <c r="I223" s="917"/>
      <c r="J223" s="747"/>
      <c r="K223" s="902"/>
    </row>
    <row r="224" spans="1:12" ht="15.75" x14ac:dyDescent="0.2">
      <c r="A224" s="744"/>
      <c r="B224" s="902"/>
      <c r="C224" s="902"/>
      <c r="D224" s="776" t="s">
        <v>326</v>
      </c>
      <c r="E224" s="753">
        <v>1</v>
      </c>
      <c r="F224" s="1252">
        <f>(F217*E217+F216*E216+F215*E215)*3+(F220*E220+F221*E221)*ab_h1*0.6</f>
        <v>699</v>
      </c>
      <c r="G224" s="1252"/>
      <c r="H224" s="1252"/>
      <c r="I224" s="917">
        <f>PRODUCT(E224:H224)</f>
        <v>699</v>
      </c>
      <c r="J224" s="753" t="s">
        <v>1612</v>
      </c>
      <c r="K224" s="902"/>
    </row>
    <row r="225" spans="1:11" x14ac:dyDescent="0.2">
      <c r="A225" s="923"/>
      <c r="B225" s="924"/>
      <c r="C225" s="924"/>
      <c r="D225" s="739" t="s">
        <v>238</v>
      </c>
      <c r="E225" s="740"/>
      <c r="F225" s="741"/>
      <c r="G225" s="741"/>
      <c r="H225" s="741"/>
      <c r="I225" s="742"/>
      <c r="J225" s="743"/>
      <c r="K225" s="740"/>
    </row>
    <row r="226" spans="1:11" ht="89.25" x14ac:dyDescent="0.2">
      <c r="A226" s="925">
        <v>6.01</v>
      </c>
      <c r="B226" s="926" t="str">
        <f>'2.0Abstract of Cost'!B59</f>
        <v>Spec .cl.No:907</v>
      </c>
      <c r="C226" s="926" t="str">
        <f>'2.0Abstract of Cost'!C59</f>
        <v>9.4 I B(ii)</v>
      </c>
      <c r="D226" s="813" t="s">
        <v>1716</v>
      </c>
      <c r="E226" s="747"/>
      <c r="F226" s="927"/>
      <c r="G226" s="928"/>
      <c r="H226" s="929"/>
      <c r="I226" s="930">
        <v>1713.2</v>
      </c>
      <c r="J226" s="747" t="s">
        <v>1697</v>
      </c>
      <c r="K226" s="749"/>
    </row>
    <row r="227" spans="1:11" ht="76.5" x14ac:dyDescent="0.2">
      <c r="A227" s="925">
        <f>A226+0.01</f>
        <v>6.02</v>
      </c>
      <c r="B227" s="926" t="str">
        <f>'2.0Abstract of Cost'!B60</f>
        <v>SS 909,910</v>
      </c>
      <c r="C227" s="926" t="str">
        <f>'2.0Abstract of Cost'!C60</f>
        <v>9.9-B</v>
      </c>
      <c r="D227" s="813" t="str">
        <f>'4.0Summary of Rates'!D34</f>
        <v>Providing,laying,spreading and compacting with Roadway cutting material and Compact to the required density (By Using Machine) as per Drawing and and Technical Specifications (SS 909,910)</v>
      </c>
      <c r="E227" s="747"/>
      <c r="F227" s="927"/>
      <c r="G227" s="931"/>
      <c r="H227" s="932"/>
      <c r="J227" s="747" t="s">
        <v>1697</v>
      </c>
      <c r="K227" s="749"/>
    </row>
    <row r="228" spans="1:11" ht="15.75" x14ac:dyDescent="0.2">
      <c r="A228" s="925"/>
      <c r="B228" s="926"/>
      <c r="C228" s="926"/>
      <c r="D228" s="776" t="s">
        <v>467</v>
      </c>
      <c r="E228" s="747"/>
      <c r="F228" s="927"/>
      <c r="G228" s="931"/>
      <c r="H228" s="932"/>
      <c r="I228" s="729">
        <v>1113.675</v>
      </c>
      <c r="J228" s="747" t="s">
        <v>1697</v>
      </c>
      <c r="K228" s="749"/>
    </row>
    <row r="229" spans="1:11" ht="15.75" x14ac:dyDescent="0.2">
      <c r="A229" s="925"/>
      <c r="B229" s="926"/>
      <c r="C229" s="926"/>
      <c r="D229" s="776" t="s">
        <v>436</v>
      </c>
      <c r="E229" s="747"/>
      <c r="F229" s="927"/>
      <c r="G229" s="931"/>
      <c r="H229" s="932"/>
      <c r="I229" s="729">
        <v>486.65</v>
      </c>
      <c r="J229" s="747" t="s">
        <v>1697</v>
      </c>
      <c r="K229" s="749"/>
    </row>
    <row r="230" spans="1:11" ht="15.75" x14ac:dyDescent="0.2">
      <c r="A230" s="925"/>
      <c r="B230" s="933"/>
      <c r="C230" s="933"/>
      <c r="E230" s="747"/>
      <c r="F230" s="927"/>
      <c r="G230" s="931"/>
      <c r="H230" s="932"/>
      <c r="I230" s="729">
        <f>I228+I229</f>
        <v>1600.3249999999998</v>
      </c>
      <c r="J230" s="747" t="s">
        <v>1697</v>
      </c>
      <c r="K230" s="749"/>
    </row>
    <row r="231" spans="1:11" ht="140.25" x14ac:dyDescent="0.2">
      <c r="A231" s="925">
        <v>6.03</v>
      </c>
      <c r="B231" s="926" t="str">
        <f>'2.0Abstract of Cost'!B61</f>
        <v>Spec .cl.No: 2401</v>
      </c>
      <c r="C231" s="926" t="str">
        <f>'2.0Abstract of Cost'!C61</f>
        <v>24.1-A(ii)</v>
      </c>
      <c r="D231" s="934" t="s">
        <v>1074</v>
      </c>
      <c r="E231" s="747"/>
      <c r="F231" s="927"/>
      <c r="G231" s="817"/>
      <c r="H231" s="818"/>
      <c r="I231" s="729">
        <v>1158.75</v>
      </c>
      <c r="J231" s="747" t="s">
        <v>1697</v>
      </c>
      <c r="K231" s="749"/>
    </row>
    <row r="232" spans="1:11" ht="76.5" x14ac:dyDescent="0.2">
      <c r="A232" s="925">
        <f>A231+0.01</f>
        <v>6.04</v>
      </c>
      <c r="B232" s="926" t="str">
        <f>'2.0Abstract of Cost'!B62</f>
        <v>SS 1201)</v>
      </c>
      <c r="C232" s="766" t="str">
        <f>'2.0Abstract of Cost'!C62</f>
        <v>12.1 (A)</v>
      </c>
      <c r="D232" s="813" t="str">
        <f>'4.0Summary of Rates'!D54</f>
        <v>Providing and laying granular sub-base on prepared surface, mixing at OMC and compacting to achieve the desired density (by Machine), complete per Drawing and Technical Specification (SS 1201).</v>
      </c>
      <c r="E232" s="747">
        <v>1</v>
      </c>
      <c r="F232" s="935">
        <f>175-20</f>
        <v>155</v>
      </c>
      <c r="G232" s="936">
        <v>6</v>
      </c>
      <c r="H232" s="937">
        <v>0.2</v>
      </c>
      <c r="I232" s="729">
        <f>H232*G232*F232</f>
        <v>186.00000000000003</v>
      </c>
      <c r="J232" s="747" t="s">
        <v>1697</v>
      </c>
      <c r="K232" s="749"/>
    </row>
    <row r="233" spans="1:11" x14ac:dyDescent="0.2">
      <c r="A233" s="923"/>
      <c r="B233" s="924"/>
      <c r="C233" s="924"/>
      <c r="D233" s="739" t="s">
        <v>314</v>
      </c>
      <c r="E233" s="740"/>
      <c r="F233" s="741"/>
      <c r="G233" s="741"/>
      <c r="H233" s="741"/>
      <c r="I233" s="938"/>
      <c r="J233" s="743"/>
      <c r="K233" s="740"/>
    </row>
    <row r="234" spans="1:11" ht="51" x14ac:dyDescent="0.2">
      <c r="A234" s="925">
        <v>8.01</v>
      </c>
      <c r="B234" s="926"/>
      <c r="C234" s="926"/>
      <c r="D234" s="813" t="s">
        <v>250</v>
      </c>
      <c r="E234" s="747" t="s">
        <v>274</v>
      </c>
      <c r="F234" s="748">
        <v>200</v>
      </c>
      <c r="G234" s="748"/>
      <c r="H234" s="748"/>
      <c r="I234" s="917">
        <f>F234</f>
        <v>200</v>
      </c>
      <c r="J234" s="747"/>
      <c r="K234" s="939"/>
    </row>
    <row r="235" spans="1:11" ht="38.25" x14ac:dyDescent="0.2">
      <c r="A235" s="925"/>
      <c r="B235" s="926"/>
      <c r="C235" s="926"/>
      <c r="D235" s="813" t="s">
        <v>468</v>
      </c>
      <c r="E235" s="747" t="s">
        <v>256</v>
      </c>
      <c r="F235" s="748">
        <v>1</v>
      </c>
      <c r="G235" s="748"/>
      <c r="H235" s="748" t="s">
        <v>272</v>
      </c>
      <c r="I235" s="917">
        <v>1</v>
      </c>
      <c r="J235" s="747"/>
      <c r="K235" s="939"/>
    </row>
    <row r="236" spans="1:11" x14ac:dyDescent="0.2">
      <c r="A236" s="925"/>
      <c r="B236" s="926"/>
      <c r="C236" s="926"/>
      <c r="D236" s="940" t="s">
        <v>194</v>
      </c>
      <c r="E236" s="747"/>
      <c r="F236" s="748"/>
      <c r="G236" s="748"/>
      <c r="H236" s="748"/>
      <c r="I236" s="917">
        <v>1</v>
      </c>
      <c r="J236" s="748" t="s">
        <v>96</v>
      </c>
      <c r="K236" s="939"/>
    </row>
  </sheetData>
  <mergeCells count="83">
    <mergeCell ref="L103:O103"/>
    <mergeCell ref="L102:O102"/>
    <mergeCell ref="L101:O101"/>
    <mergeCell ref="L100:O100"/>
    <mergeCell ref="F131:G131"/>
    <mergeCell ref="F118:G118"/>
    <mergeCell ref="F115:G115"/>
    <mergeCell ref="F101:H101"/>
    <mergeCell ref="F117:G117"/>
    <mergeCell ref="F100:H100"/>
    <mergeCell ref="F102:H102"/>
    <mergeCell ref="F103:H103"/>
    <mergeCell ref="F132:G132"/>
    <mergeCell ref="F134:G134"/>
    <mergeCell ref="F135:G135"/>
    <mergeCell ref="F129:G129"/>
    <mergeCell ref="L134:O134"/>
    <mergeCell ref="L135:O135"/>
    <mergeCell ref="L136:O136"/>
    <mergeCell ref="F136:G136"/>
    <mergeCell ref="G217:H217"/>
    <mergeCell ref="G216:H216"/>
    <mergeCell ref="G215:H215"/>
    <mergeCell ref="G169:H169"/>
    <mergeCell ref="G170:H170"/>
    <mergeCell ref="G171:H171"/>
    <mergeCell ref="F172:G172"/>
    <mergeCell ref="G220:H220"/>
    <mergeCell ref="F224:H224"/>
    <mergeCell ref="L138:O138"/>
    <mergeCell ref="L137:O137"/>
    <mergeCell ref="F137:G137"/>
    <mergeCell ref="F138:G138"/>
    <mergeCell ref="G221:H221"/>
    <mergeCell ref="F214:H214"/>
    <mergeCell ref="B160:K160"/>
    <mergeCell ref="F146:G146"/>
    <mergeCell ref="G189:H189"/>
    <mergeCell ref="AG87:AI87"/>
    <mergeCell ref="AG80:AI80"/>
    <mergeCell ref="L59:O59"/>
    <mergeCell ref="G69:H69"/>
    <mergeCell ref="G68:H68"/>
    <mergeCell ref="L82:O82"/>
    <mergeCell ref="L83:O83"/>
    <mergeCell ref="L85:O85"/>
    <mergeCell ref="L81:O81"/>
    <mergeCell ref="G78:H78"/>
    <mergeCell ref="F79:G79"/>
    <mergeCell ref="F82:G82"/>
    <mergeCell ref="F84:G84"/>
    <mergeCell ref="L84:O84"/>
    <mergeCell ref="G85:H85"/>
    <mergeCell ref="AB87:AB88"/>
    <mergeCell ref="L45:O45"/>
    <mergeCell ref="L50:O50"/>
    <mergeCell ref="F50:H50"/>
    <mergeCell ref="L24:O24"/>
    <mergeCell ref="L33:O33"/>
    <mergeCell ref="F49:H49"/>
    <mergeCell ref="F48:H48"/>
    <mergeCell ref="L28:O28"/>
    <mergeCell ref="A1:K1"/>
    <mergeCell ref="A2:K2"/>
    <mergeCell ref="I9:J9"/>
    <mergeCell ref="A9:D9"/>
    <mergeCell ref="L39:O39"/>
    <mergeCell ref="G77:H77"/>
    <mergeCell ref="F70:G70"/>
    <mergeCell ref="G71:H71"/>
    <mergeCell ref="F96:H96"/>
    <mergeCell ref="A3:K3"/>
    <mergeCell ref="A4:K4"/>
    <mergeCell ref="A5:K5"/>
    <mergeCell ref="A7:K7"/>
    <mergeCell ref="G80:H80"/>
    <mergeCell ref="L89:O89"/>
    <mergeCell ref="F97:H97"/>
    <mergeCell ref="F98:H98"/>
    <mergeCell ref="F99:H99"/>
    <mergeCell ref="F94:H94"/>
    <mergeCell ref="F95:H95"/>
    <mergeCell ref="F93:H93"/>
  </mergeCells>
  <phoneticPr fontId="13" type="noConversion"/>
  <conditionalFormatting sqref="Z125">
    <cfRule type="beginsWith" dxfId="47" priority="113" operator="beginsWith" text="NOT">
      <formula>LEFT(Z125,LEN("NOT"))="NOT"</formula>
    </cfRule>
  </conditionalFormatting>
  <pageMargins left="0.44" right="0.27" top="0.46" bottom="0.68" header="0.3" footer="0.3"/>
  <pageSetup paperSize="9" scale="85" orientation="portrait" r:id="rId1"/>
  <headerFooter>
    <oddFooter>&amp;L__________________________Prepared By&amp;C__________________________Checked By&amp;R________________________Approved By</oddFooter>
  </headerFooter>
  <rowBreaks count="1" manualBreakCount="1">
    <brk id="208" max="10" man="1"/>
  </rowBreaks>
  <ignoredErrors>
    <ignoredError sqref="I9" unlockedFormula="1"/>
    <ignoredError sqref="I39 E75 E77 F153"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2" id="{A9B2B474-D74C-47FD-92E1-DF49D4FD5824}">
            <xm:f>'2.0Abstract of Cost'!$H$8</xm:f>
            <x14:dxf>
              <font>
                <color theme="0" tint="-0.24994659260841701"/>
              </font>
            </x14:dxf>
          </x14:cfRule>
          <xm:sqref>A189:F189 A186:H188 J186:K192 A182:K184 J177:K181 J162:K174 A175:K175 A190:H193 K193 A200:K200 A160:C161 A162:H168 A194:K194 B195:C195 E195:K195 A208:K208 E161:K161 E176:K176 A185:C185 E185:K185 A199:C199 E199:K199 A202:K202 A201:C201 E201:K201 A204:K204 A176:C176 E203:K203 A177:H181 A203:C203 A173:H174 A169:F171 A172:E172</xm:sqref>
        </x14:conditionalFormatting>
        <x14:conditionalFormatting xmlns:xm="http://schemas.microsoft.com/office/excel/2006/main">
          <x14:cfRule type="expression" priority="83" id="{5A15A8D9-8D3B-41F5-946C-92DD4E3C3B03}">
            <xm:f>'2.0Abstract of Cost'!$H$8="PSC"</xm:f>
            <x14:dxf>
              <font>
                <b val="0"/>
                <i/>
                <color theme="0" tint="-0.24994659260841701"/>
              </font>
              <fill>
                <patternFill patternType="none">
                  <bgColor auto="1"/>
                </patternFill>
              </fill>
            </x14:dxf>
          </x14:cfRule>
          <xm:sqref>A189:F189 A186:H188 J186:K192 A182:K184 J177:K181 J162:K174 A175:K175 A190:H193 K193 A200:K200 A160:C161 A162:H168 A194:K194 B195:C195 E195:K195 A208:K208 E161:K161 E176:K176 A185:C185 E185:K185 A199:C199 E199:K199 A202:K202 A201:C201 E201:K201 A204:K204 A176:C176 E203:K203 A177:H181 A203:C203 A173:H174 A169:F171 A172:E172</xm:sqref>
        </x14:conditionalFormatting>
        <x14:conditionalFormatting xmlns:xm="http://schemas.microsoft.com/office/excel/2006/main">
          <x14:cfRule type="expression" priority="82" id="{A04F893E-C4EF-464B-B6D6-CBA5DDD52F87}">
            <xm:f>'2.0Abstract of Cost'!$H$8="RCC"</xm:f>
            <x14:dxf>
              <font>
                <b val="0"/>
                <i/>
                <color theme="0" tint="-0.24994659260841701"/>
              </font>
            </x14:dxf>
          </x14:cfRule>
          <xm:sqref>A159:K159</xm:sqref>
        </x14:conditionalFormatting>
        <x14:conditionalFormatting xmlns:xm="http://schemas.microsoft.com/office/excel/2006/main">
          <x14:cfRule type="expression" priority="62" id="{F564D2DC-1159-4DAF-89C7-E7E63B154909}">
            <xm:f>'2.0Abstract of Cost'!$H$8</xm:f>
            <x14:dxf>
              <font>
                <color theme="0" tint="-0.24994659260841701"/>
              </font>
            </x14:dxf>
          </x14:cfRule>
          <xm:sqref>A196:K198</xm:sqref>
        </x14:conditionalFormatting>
        <x14:conditionalFormatting xmlns:xm="http://schemas.microsoft.com/office/excel/2006/main">
          <x14:cfRule type="expression" priority="61" id="{57ABD9DA-284C-4AFB-8AB4-3A6105E59D07}">
            <xm:f>'2.0Abstract of Cost'!$H$8="PSC"</xm:f>
            <x14:dxf>
              <font>
                <b val="0"/>
                <i/>
                <color theme="0" tint="-0.24994659260841701"/>
              </font>
              <fill>
                <patternFill patternType="none">
                  <bgColor auto="1"/>
                </patternFill>
              </fill>
            </x14:dxf>
          </x14:cfRule>
          <xm:sqref>A196:K198</xm:sqref>
        </x14:conditionalFormatting>
        <x14:conditionalFormatting xmlns:xm="http://schemas.microsoft.com/office/excel/2006/main">
          <x14:cfRule type="expression" priority="58" id="{4FA50AF8-1527-443C-B150-BDCB16EF181A}">
            <xm:f>'2.0Abstract of Cost'!$H$8</xm:f>
            <x14:dxf>
              <font>
                <color theme="0" tint="-0.24994659260841701"/>
              </font>
            </x14:dxf>
          </x14:cfRule>
          <xm:sqref>A195</xm:sqref>
        </x14:conditionalFormatting>
        <x14:conditionalFormatting xmlns:xm="http://schemas.microsoft.com/office/excel/2006/main">
          <x14:cfRule type="expression" priority="57" id="{3973B20D-E73D-4BA9-B260-545F13CF5DFB}">
            <xm:f>'2.0Abstract of Cost'!$H$8="PSC"</xm:f>
            <x14:dxf>
              <font>
                <b val="0"/>
                <i/>
                <color theme="0" tint="-0.24994659260841701"/>
              </font>
              <fill>
                <patternFill patternType="none">
                  <bgColor auto="1"/>
                </patternFill>
              </fill>
            </x14:dxf>
          </x14:cfRule>
          <xm:sqref>A195</xm:sqref>
        </x14:conditionalFormatting>
        <x14:conditionalFormatting xmlns:xm="http://schemas.microsoft.com/office/excel/2006/main">
          <x14:cfRule type="expression" priority="54" id="{C273D001-DCB5-4101-A9F9-E841F7110323}">
            <xm:f>'2.0Abstract of Cost'!$H$8</xm:f>
            <x14:dxf>
              <font>
                <color theme="0" tint="-0.24994659260841701"/>
              </font>
            </x14:dxf>
          </x14:cfRule>
          <xm:sqref>I186</xm:sqref>
        </x14:conditionalFormatting>
        <x14:conditionalFormatting xmlns:xm="http://schemas.microsoft.com/office/excel/2006/main">
          <x14:cfRule type="expression" priority="53" id="{8E21B304-96B5-41A5-B70A-45D2C8B67EB3}">
            <xm:f>'2.0Abstract of Cost'!$H$8="PSC"</xm:f>
            <x14:dxf>
              <font>
                <b val="0"/>
                <i/>
                <color theme="0" tint="-0.24994659260841701"/>
              </font>
              <fill>
                <patternFill patternType="none">
                  <bgColor auto="1"/>
                </patternFill>
              </fill>
            </x14:dxf>
          </x14:cfRule>
          <xm:sqref>I186</xm:sqref>
        </x14:conditionalFormatting>
        <x14:conditionalFormatting xmlns:xm="http://schemas.microsoft.com/office/excel/2006/main">
          <x14:cfRule type="expression" priority="52" id="{E55807EA-167E-490D-80D2-7B6DBAF39C3B}">
            <xm:f>'2.0Abstract of Cost'!$H$8</xm:f>
            <x14:dxf>
              <font>
                <color theme="0" tint="-0.24994659260841701"/>
              </font>
            </x14:dxf>
          </x14:cfRule>
          <xm:sqref>I187</xm:sqref>
        </x14:conditionalFormatting>
        <x14:conditionalFormatting xmlns:xm="http://schemas.microsoft.com/office/excel/2006/main">
          <x14:cfRule type="expression" priority="51" id="{1EBFC29C-1709-4681-8311-F5CA78A5AC0D}">
            <xm:f>'2.0Abstract of Cost'!$H$8="PSC"</xm:f>
            <x14:dxf>
              <font>
                <b val="0"/>
                <i/>
                <color theme="0" tint="-0.24994659260841701"/>
              </font>
              <fill>
                <patternFill patternType="none">
                  <bgColor auto="1"/>
                </patternFill>
              </fill>
            </x14:dxf>
          </x14:cfRule>
          <xm:sqref>I187</xm:sqref>
        </x14:conditionalFormatting>
        <x14:conditionalFormatting xmlns:xm="http://schemas.microsoft.com/office/excel/2006/main">
          <x14:cfRule type="expression" priority="50" id="{D3353058-D390-49FA-B166-74558C592C44}">
            <xm:f>'2.0Abstract of Cost'!$H$8</xm:f>
            <x14:dxf>
              <font>
                <color theme="0" tint="-0.24994659260841701"/>
              </font>
            </x14:dxf>
          </x14:cfRule>
          <xm:sqref>I188</xm:sqref>
        </x14:conditionalFormatting>
        <x14:conditionalFormatting xmlns:xm="http://schemas.microsoft.com/office/excel/2006/main">
          <x14:cfRule type="expression" priority="49" id="{49C6E3F7-66B4-4193-BB25-1505A1935FD0}">
            <xm:f>'2.0Abstract of Cost'!$H$8="PSC"</xm:f>
            <x14:dxf>
              <font>
                <b val="0"/>
                <i/>
                <color theme="0" tint="-0.24994659260841701"/>
              </font>
              <fill>
                <patternFill patternType="none">
                  <bgColor auto="1"/>
                </patternFill>
              </fill>
            </x14:dxf>
          </x14:cfRule>
          <xm:sqref>I188</xm:sqref>
        </x14:conditionalFormatting>
        <x14:conditionalFormatting xmlns:xm="http://schemas.microsoft.com/office/excel/2006/main">
          <x14:cfRule type="expression" priority="48" id="{F2253AFF-7E4D-4247-884B-EA5A19D5E607}">
            <xm:f>'2.0Abstract of Cost'!$H$8</xm:f>
            <x14:dxf>
              <font>
                <color theme="0" tint="-0.24994659260841701"/>
              </font>
            </x14:dxf>
          </x14:cfRule>
          <xm:sqref>I189</xm:sqref>
        </x14:conditionalFormatting>
        <x14:conditionalFormatting xmlns:xm="http://schemas.microsoft.com/office/excel/2006/main">
          <x14:cfRule type="expression" priority="47" id="{985465DB-F609-43AE-B7BA-DAD49B3D8677}">
            <xm:f>'2.0Abstract of Cost'!$H$8="PSC"</xm:f>
            <x14:dxf>
              <font>
                <b val="0"/>
                <i/>
                <color theme="0" tint="-0.24994659260841701"/>
              </font>
              <fill>
                <patternFill patternType="none">
                  <bgColor auto="1"/>
                </patternFill>
              </fill>
            </x14:dxf>
          </x14:cfRule>
          <xm:sqref>I189</xm:sqref>
        </x14:conditionalFormatting>
        <x14:conditionalFormatting xmlns:xm="http://schemas.microsoft.com/office/excel/2006/main">
          <x14:cfRule type="expression" priority="46" id="{9B479313-AFC6-497C-A02A-CE81AD0AACA9}">
            <xm:f>'2.0Abstract of Cost'!$H$8</xm:f>
            <x14:dxf>
              <font>
                <color theme="0" tint="-0.24994659260841701"/>
              </font>
            </x14:dxf>
          </x14:cfRule>
          <xm:sqref>I190</xm:sqref>
        </x14:conditionalFormatting>
        <x14:conditionalFormatting xmlns:xm="http://schemas.microsoft.com/office/excel/2006/main">
          <x14:cfRule type="expression" priority="45" id="{CE1BF51C-75D6-4A7C-84DD-96ED832A36B2}">
            <xm:f>'2.0Abstract of Cost'!$H$8="PSC"</xm:f>
            <x14:dxf>
              <font>
                <b val="0"/>
                <i/>
                <color theme="0" tint="-0.24994659260841701"/>
              </font>
              <fill>
                <patternFill patternType="none">
                  <bgColor auto="1"/>
                </patternFill>
              </fill>
            </x14:dxf>
          </x14:cfRule>
          <xm:sqref>I190</xm:sqref>
        </x14:conditionalFormatting>
        <x14:conditionalFormatting xmlns:xm="http://schemas.microsoft.com/office/excel/2006/main">
          <x14:cfRule type="expression" priority="44" id="{0F34F8EA-5D99-4B5A-A1F4-5C51E5E8CFA1}">
            <xm:f>'2.0Abstract of Cost'!$H$8</xm:f>
            <x14:dxf>
              <font>
                <color theme="0" tint="-0.24994659260841701"/>
              </font>
            </x14:dxf>
          </x14:cfRule>
          <xm:sqref>I191</xm:sqref>
        </x14:conditionalFormatting>
        <x14:conditionalFormatting xmlns:xm="http://schemas.microsoft.com/office/excel/2006/main">
          <x14:cfRule type="expression" priority="43" id="{4D5931F4-9A48-4B4B-B330-FB4502ACCB3F}">
            <xm:f>'2.0Abstract of Cost'!$H$8="PSC"</xm:f>
            <x14:dxf>
              <font>
                <b val="0"/>
                <i/>
                <color theme="0" tint="-0.24994659260841701"/>
              </font>
              <fill>
                <patternFill patternType="none">
                  <bgColor auto="1"/>
                </patternFill>
              </fill>
            </x14:dxf>
          </x14:cfRule>
          <xm:sqref>I191</xm:sqref>
        </x14:conditionalFormatting>
        <x14:conditionalFormatting xmlns:xm="http://schemas.microsoft.com/office/excel/2006/main">
          <x14:cfRule type="expression" priority="42" id="{23B8CA9C-F98F-403B-BFC6-5AE5CD434651}">
            <xm:f>'2.0Abstract of Cost'!$H$8</xm:f>
            <x14:dxf>
              <font>
                <color theme="0" tint="-0.24994659260841701"/>
              </font>
            </x14:dxf>
          </x14:cfRule>
          <xm:sqref>I192</xm:sqref>
        </x14:conditionalFormatting>
        <x14:conditionalFormatting xmlns:xm="http://schemas.microsoft.com/office/excel/2006/main">
          <x14:cfRule type="expression" priority="41" id="{9EE5F405-53E5-4311-B7D7-1791B217D885}">
            <xm:f>'2.0Abstract of Cost'!$H$8="PSC"</xm:f>
            <x14:dxf>
              <font>
                <b val="0"/>
                <i/>
                <color theme="0" tint="-0.24994659260841701"/>
              </font>
              <fill>
                <patternFill patternType="none">
                  <bgColor auto="1"/>
                </patternFill>
              </fill>
            </x14:dxf>
          </x14:cfRule>
          <xm:sqref>I192</xm:sqref>
        </x14:conditionalFormatting>
        <x14:conditionalFormatting xmlns:xm="http://schemas.microsoft.com/office/excel/2006/main">
          <x14:cfRule type="expression" priority="40" id="{5D265C1D-4D7D-4231-815A-4922B9C7FEC6}">
            <xm:f>'2.0Abstract of Cost'!$H$8</xm:f>
            <x14:dxf>
              <font>
                <color theme="0" tint="-0.24994659260841701"/>
              </font>
            </x14:dxf>
          </x14:cfRule>
          <xm:sqref>I177</xm:sqref>
        </x14:conditionalFormatting>
        <x14:conditionalFormatting xmlns:xm="http://schemas.microsoft.com/office/excel/2006/main">
          <x14:cfRule type="expression" priority="39" id="{BB9BBEFB-033C-47A4-9F9B-073B83B41BFB}">
            <xm:f>'2.0Abstract of Cost'!$H$8="PSC"</xm:f>
            <x14:dxf>
              <font>
                <b val="0"/>
                <i/>
                <color theme="0" tint="-0.24994659260841701"/>
              </font>
              <fill>
                <patternFill patternType="none">
                  <bgColor auto="1"/>
                </patternFill>
              </fill>
            </x14:dxf>
          </x14:cfRule>
          <xm:sqref>I177</xm:sqref>
        </x14:conditionalFormatting>
        <x14:conditionalFormatting xmlns:xm="http://schemas.microsoft.com/office/excel/2006/main">
          <x14:cfRule type="expression" priority="38" id="{5F9BFD01-976A-4131-A53D-460685AD314D}">
            <xm:f>'2.0Abstract of Cost'!$H$8</xm:f>
            <x14:dxf>
              <font>
                <color theme="0" tint="-0.24994659260841701"/>
              </font>
            </x14:dxf>
          </x14:cfRule>
          <xm:sqref>I178</xm:sqref>
        </x14:conditionalFormatting>
        <x14:conditionalFormatting xmlns:xm="http://schemas.microsoft.com/office/excel/2006/main">
          <x14:cfRule type="expression" priority="37" id="{0F8F9D54-07D4-46CF-B69F-9976BE33F12A}">
            <xm:f>'2.0Abstract of Cost'!$H$8="PSC"</xm:f>
            <x14:dxf>
              <font>
                <b val="0"/>
                <i/>
                <color theme="0" tint="-0.24994659260841701"/>
              </font>
              <fill>
                <patternFill patternType="none">
                  <bgColor auto="1"/>
                </patternFill>
              </fill>
            </x14:dxf>
          </x14:cfRule>
          <xm:sqref>I178</xm:sqref>
        </x14:conditionalFormatting>
        <x14:conditionalFormatting xmlns:xm="http://schemas.microsoft.com/office/excel/2006/main">
          <x14:cfRule type="expression" priority="36" id="{44D581E2-5A5D-45A8-BF37-BB2BCB427609}">
            <xm:f>'2.0Abstract of Cost'!$H$8</xm:f>
            <x14:dxf>
              <font>
                <color theme="0" tint="-0.24994659260841701"/>
              </font>
            </x14:dxf>
          </x14:cfRule>
          <xm:sqref>I179:I180</xm:sqref>
        </x14:conditionalFormatting>
        <x14:conditionalFormatting xmlns:xm="http://schemas.microsoft.com/office/excel/2006/main">
          <x14:cfRule type="expression" priority="35" id="{89370DE2-506E-4685-A537-76DE3801E61B}">
            <xm:f>'2.0Abstract of Cost'!$H$8="PSC"</xm:f>
            <x14:dxf>
              <font>
                <b val="0"/>
                <i/>
                <color theme="0" tint="-0.24994659260841701"/>
              </font>
              <fill>
                <patternFill patternType="none">
                  <bgColor auto="1"/>
                </patternFill>
              </fill>
            </x14:dxf>
          </x14:cfRule>
          <xm:sqref>I179:I180</xm:sqref>
        </x14:conditionalFormatting>
        <x14:conditionalFormatting xmlns:xm="http://schemas.microsoft.com/office/excel/2006/main">
          <x14:cfRule type="expression" priority="34" id="{09CD4262-34E8-43D2-8B4E-5700E5A98B6D}">
            <xm:f>'2.0Abstract of Cost'!$H$8</xm:f>
            <x14:dxf>
              <font>
                <color theme="0" tint="-0.24994659260841701"/>
              </font>
            </x14:dxf>
          </x14:cfRule>
          <xm:sqref>I181</xm:sqref>
        </x14:conditionalFormatting>
        <x14:conditionalFormatting xmlns:xm="http://schemas.microsoft.com/office/excel/2006/main">
          <x14:cfRule type="expression" priority="33" id="{560A4CE4-1763-4C3E-B4D4-4F3F32ADD624}">
            <xm:f>'2.0Abstract of Cost'!$H$8="PSC"</xm:f>
            <x14:dxf>
              <font>
                <b val="0"/>
                <i/>
                <color theme="0" tint="-0.24994659260841701"/>
              </font>
              <fill>
                <patternFill patternType="none">
                  <bgColor auto="1"/>
                </patternFill>
              </fill>
            </x14:dxf>
          </x14:cfRule>
          <xm:sqref>I181</xm:sqref>
        </x14:conditionalFormatting>
        <x14:conditionalFormatting xmlns:xm="http://schemas.microsoft.com/office/excel/2006/main">
          <x14:cfRule type="expression" priority="30" id="{5F5B2374-4B88-4634-B1D4-14A619D91FF4}">
            <xm:f>'2.0Abstract of Cost'!$H$8</xm:f>
            <x14:dxf>
              <font>
                <color theme="0" tint="-0.24994659260841701"/>
              </font>
            </x14:dxf>
          </x14:cfRule>
          <xm:sqref>I162</xm:sqref>
        </x14:conditionalFormatting>
        <x14:conditionalFormatting xmlns:xm="http://schemas.microsoft.com/office/excel/2006/main">
          <x14:cfRule type="expression" priority="29" id="{573A5887-3C54-41B1-B30B-D82F6537129C}">
            <xm:f>'2.0Abstract of Cost'!$H$8="PSC"</xm:f>
            <x14:dxf>
              <font>
                <b val="0"/>
                <i/>
                <color theme="0" tint="-0.24994659260841701"/>
              </font>
              <fill>
                <patternFill patternType="none">
                  <bgColor auto="1"/>
                </patternFill>
              </fill>
            </x14:dxf>
          </x14:cfRule>
          <xm:sqref>I162</xm:sqref>
        </x14:conditionalFormatting>
        <x14:conditionalFormatting xmlns:xm="http://schemas.microsoft.com/office/excel/2006/main">
          <x14:cfRule type="expression" priority="28" id="{0A62D4E4-B263-4177-AF0C-EB66E203EAF2}">
            <xm:f>'2.0Abstract of Cost'!$H$8</xm:f>
            <x14:dxf>
              <font>
                <color theme="0" tint="-0.24994659260841701"/>
              </font>
            </x14:dxf>
          </x14:cfRule>
          <xm:sqref>I163</xm:sqref>
        </x14:conditionalFormatting>
        <x14:conditionalFormatting xmlns:xm="http://schemas.microsoft.com/office/excel/2006/main">
          <x14:cfRule type="expression" priority="27" id="{140E8453-0D3C-4F72-B395-B60DC17FA3EC}">
            <xm:f>'2.0Abstract of Cost'!$H$8="PSC"</xm:f>
            <x14:dxf>
              <font>
                <b val="0"/>
                <i/>
                <color theme="0" tint="-0.24994659260841701"/>
              </font>
              <fill>
                <patternFill patternType="none">
                  <bgColor auto="1"/>
                </patternFill>
              </fill>
            </x14:dxf>
          </x14:cfRule>
          <xm:sqref>I163</xm:sqref>
        </x14:conditionalFormatting>
        <x14:conditionalFormatting xmlns:xm="http://schemas.microsoft.com/office/excel/2006/main">
          <x14:cfRule type="expression" priority="26" id="{27FA5AE2-10EC-4CE0-9A5B-6738781E905E}">
            <xm:f>'2.0Abstract of Cost'!$H$8</xm:f>
            <x14:dxf>
              <font>
                <color theme="0" tint="-0.24994659260841701"/>
              </font>
            </x14:dxf>
          </x14:cfRule>
          <xm:sqref>I165:I168 I173:I174</xm:sqref>
        </x14:conditionalFormatting>
        <x14:conditionalFormatting xmlns:xm="http://schemas.microsoft.com/office/excel/2006/main">
          <x14:cfRule type="expression" priority="25" id="{DBF7D75F-7779-41E7-98D3-A6BE9DBC9CED}">
            <xm:f>'2.0Abstract of Cost'!$H$8="PSC"</xm:f>
            <x14:dxf>
              <font>
                <b val="0"/>
                <i/>
                <color theme="0" tint="-0.24994659260841701"/>
              </font>
              <fill>
                <patternFill patternType="none">
                  <bgColor auto="1"/>
                </patternFill>
              </fill>
            </x14:dxf>
          </x14:cfRule>
          <xm:sqref>I165:I168 I173:I174</xm:sqref>
        </x14:conditionalFormatting>
        <x14:conditionalFormatting xmlns:xm="http://schemas.microsoft.com/office/excel/2006/main">
          <x14:cfRule type="expression" priority="22" id="{58C4E894-291D-42DB-B634-78CD5E83ED8E}">
            <xm:f>'2.0Abstract of Cost'!$H$8</xm:f>
            <x14:dxf>
              <font>
                <color theme="0" tint="-0.24994659260841701"/>
              </font>
            </x14:dxf>
          </x14:cfRule>
          <xm:sqref>I193:J193</xm:sqref>
        </x14:conditionalFormatting>
        <x14:conditionalFormatting xmlns:xm="http://schemas.microsoft.com/office/excel/2006/main">
          <x14:cfRule type="expression" priority="21" id="{9BD8CA89-7EB6-41F5-8A94-E465A00E8D71}">
            <xm:f>'2.0Abstract of Cost'!$H$8="PSC"</xm:f>
            <x14:dxf>
              <font>
                <b val="0"/>
                <i/>
                <color theme="0" tint="-0.24994659260841701"/>
              </font>
              <fill>
                <patternFill patternType="none">
                  <bgColor auto="1"/>
                </patternFill>
              </fill>
            </x14:dxf>
          </x14:cfRule>
          <xm:sqref>I193:J193</xm:sqref>
        </x14:conditionalFormatting>
        <x14:conditionalFormatting xmlns:xm="http://schemas.microsoft.com/office/excel/2006/main">
          <x14:cfRule type="expression" priority="17" id="{0D8F5F2A-BD8F-48FA-AA64-18854ED52589}">
            <xm:f>'0.Data Sheet'!$C$25="DOR"</xm:f>
            <x14:dxf>
              <font>
                <color theme="0" tint="-4.9989318521683403E-2"/>
              </font>
              <fill>
                <patternFill>
                  <bgColor theme="0" tint="-0.24994659260841701"/>
                </patternFill>
              </fill>
            </x14:dxf>
          </x14:cfRule>
          <xm:sqref>A162:K163 A208:K208 A160:C161 E161:K161 E176:K176 A186:K194 A185:C185 E185:K185 A196:K198 A195:C195 E195:K195 A200:K200 A199:C199 E199:K199 A202:K202 A201:C201 E201:K201 A204:K204 A176:C176 E203:K203 A177:K184 A203:C203 A173:K175 A169:F171 A172:E172 J169:K172 A165:K168 A164:H164 J164:K164</xm:sqref>
        </x14:conditionalFormatting>
        <x14:conditionalFormatting xmlns:xm="http://schemas.microsoft.com/office/excel/2006/main">
          <x14:cfRule type="expression" priority="12" id="{AF08629C-9DC4-4F9D-B5AC-91403EECD980}">
            <xm:f>'2.0Abstract of Cost'!$H$8</xm:f>
            <x14:dxf>
              <font>
                <color theme="0" tint="-0.24994659260841701"/>
              </font>
            </x14:dxf>
          </x14:cfRule>
          <xm:sqref>I169:I171</xm:sqref>
        </x14:conditionalFormatting>
        <x14:conditionalFormatting xmlns:xm="http://schemas.microsoft.com/office/excel/2006/main">
          <x14:cfRule type="expression" priority="11" id="{41E47DD4-2B2F-45D4-831D-D363E74C9D8F}">
            <xm:f>'2.0Abstract of Cost'!$H$8="PSC"</xm:f>
            <x14:dxf>
              <font>
                <b val="0"/>
                <i/>
                <color theme="0" tint="-0.24994659260841701"/>
              </font>
              <fill>
                <patternFill patternType="none">
                  <bgColor auto="1"/>
                </patternFill>
              </fill>
            </x14:dxf>
          </x14:cfRule>
          <xm:sqref>I169:I171</xm:sqref>
        </x14:conditionalFormatting>
        <x14:conditionalFormatting xmlns:xm="http://schemas.microsoft.com/office/excel/2006/main">
          <x14:cfRule type="expression" priority="10" id="{C6C204BA-DF06-421E-B227-246015D2E006}">
            <xm:f>'0.Data Sheet'!$C$25="DOR"</xm:f>
            <x14:dxf>
              <font>
                <color theme="0" tint="-4.9989318521683403E-2"/>
              </font>
              <fill>
                <patternFill>
                  <bgColor theme="0" tint="-0.24994659260841701"/>
                </patternFill>
              </fill>
            </x14:dxf>
          </x14:cfRule>
          <xm:sqref>I169:I171</xm:sqref>
        </x14:conditionalFormatting>
        <x14:conditionalFormatting xmlns:xm="http://schemas.microsoft.com/office/excel/2006/main">
          <x14:cfRule type="expression" priority="6" id="{59953383-7BAA-4DA6-9283-C40AECECDC7D}">
            <xm:f>'2.0Abstract of Cost'!$H$8</xm:f>
            <x14:dxf>
              <font>
                <color theme="0" tint="-0.24994659260841701"/>
              </font>
            </x14:dxf>
          </x14:cfRule>
          <xm:sqref>I172</xm:sqref>
        </x14:conditionalFormatting>
        <x14:conditionalFormatting xmlns:xm="http://schemas.microsoft.com/office/excel/2006/main">
          <x14:cfRule type="expression" priority="5" id="{507F3685-2866-46C8-AA84-7CBDAEB97854}">
            <xm:f>'2.0Abstract of Cost'!$H$8="PSC"</xm:f>
            <x14:dxf>
              <font>
                <b val="0"/>
                <i/>
                <color theme="0" tint="-0.24994659260841701"/>
              </font>
              <fill>
                <patternFill patternType="none">
                  <bgColor auto="1"/>
                </patternFill>
              </fill>
            </x14:dxf>
          </x14:cfRule>
          <xm:sqref>I172</xm:sqref>
        </x14:conditionalFormatting>
        <x14:conditionalFormatting xmlns:xm="http://schemas.microsoft.com/office/excel/2006/main">
          <x14:cfRule type="expression" priority="4" id="{C716B205-92F9-4462-B9EA-80D7D3FDA623}">
            <xm:f>'0.Data Sheet'!$C$25="DOR"</xm:f>
            <x14:dxf>
              <font>
                <color theme="0" tint="-4.9989318521683403E-2"/>
              </font>
              <fill>
                <patternFill>
                  <bgColor theme="0" tint="-0.24994659260841701"/>
                </patternFill>
              </fill>
            </x14:dxf>
          </x14:cfRule>
          <xm:sqref>I172</xm:sqref>
        </x14:conditionalFormatting>
        <x14:conditionalFormatting xmlns:xm="http://schemas.microsoft.com/office/excel/2006/main">
          <x14:cfRule type="expression" priority="3" id="{FF0F8CD7-75A3-41EB-A39F-1023D418502B}">
            <xm:f>'2.0Abstract of Cost'!$H$8</xm:f>
            <x14:dxf>
              <font>
                <color theme="0" tint="-0.24994659260841701"/>
              </font>
            </x14:dxf>
          </x14:cfRule>
          <xm:sqref>I164</xm:sqref>
        </x14:conditionalFormatting>
        <x14:conditionalFormatting xmlns:xm="http://schemas.microsoft.com/office/excel/2006/main">
          <x14:cfRule type="expression" priority="2" id="{90C407BD-2A1B-46DC-80C4-84E9B1B545E0}">
            <xm:f>'2.0Abstract of Cost'!$H$8="PSC"</xm:f>
            <x14:dxf>
              <font>
                <b val="0"/>
                <i/>
                <color theme="0" tint="-0.24994659260841701"/>
              </font>
              <fill>
                <patternFill patternType="none">
                  <bgColor auto="1"/>
                </patternFill>
              </fill>
            </x14:dxf>
          </x14:cfRule>
          <xm:sqref>I164</xm:sqref>
        </x14:conditionalFormatting>
        <x14:conditionalFormatting xmlns:xm="http://schemas.microsoft.com/office/excel/2006/main">
          <x14:cfRule type="expression" priority="1" id="{6E764676-C1D6-4CF1-8A53-0941627EE950}">
            <xm:f>'0.Data Sheet'!$C$25="DOR"</xm:f>
            <x14:dxf>
              <font>
                <color theme="0" tint="-4.9989318521683403E-2"/>
              </font>
              <fill>
                <patternFill>
                  <bgColor theme="0" tint="-0.24994659260841701"/>
                </patternFill>
              </fill>
            </x14:dxf>
          </x14:cfRule>
          <xm:sqref>I164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1:J114"/>
  <sheetViews>
    <sheetView view="pageBreakPreview" topLeftCell="A47" zoomScaleNormal="100" zoomScaleSheetLayoutView="100" workbookViewId="0">
      <selection activeCell="F50" sqref="F50"/>
    </sheetView>
  </sheetViews>
  <sheetFormatPr defaultColWidth="9.140625" defaultRowHeight="15" x14ac:dyDescent="0.2"/>
  <cols>
    <col min="1" max="1" width="6.85546875" style="603" customWidth="1"/>
    <col min="2" max="2" width="12.85546875" style="603" customWidth="1"/>
    <col min="3" max="3" width="9.7109375" style="634" customWidth="1"/>
    <col min="4" max="4" width="57.42578125" style="603" customWidth="1"/>
    <col min="5" max="5" width="9.42578125" style="603" customWidth="1"/>
    <col min="6" max="6" width="13.28515625" style="614" customWidth="1"/>
    <col min="7" max="7" width="11.42578125" style="603" bestFit="1" customWidth="1"/>
    <col min="8" max="8" width="9.140625" style="603"/>
    <col min="9" max="9" width="11.7109375" style="603" bestFit="1" customWidth="1"/>
    <col min="10" max="10" width="9.5703125" style="603" bestFit="1" customWidth="1"/>
    <col min="11" max="16384" width="9.140625" style="603"/>
  </cols>
  <sheetData>
    <row r="1" spans="1:9" hidden="1" x14ac:dyDescent="0.2">
      <c r="A1" s="1268" t="str">
        <f>'0.Data Sheet'!C18</f>
        <v>Government Of Nepal</v>
      </c>
      <c r="B1" s="1268"/>
      <c r="C1" s="1268"/>
      <c r="D1" s="1268"/>
      <c r="E1" s="1268"/>
      <c r="F1" s="1268"/>
      <c r="G1" s="1268"/>
      <c r="H1" s="602"/>
      <c r="I1" s="602"/>
    </row>
    <row r="2" spans="1:9" x14ac:dyDescent="0.2">
      <c r="A2" s="1268" t="str">
        <f>'0.Data Sheet'!C19</f>
        <v xml:space="preserve">Ministry of Federal Affairs and General Administration
</v>
      </c>
      <c r="B2" s="1268"/>
      <c r="C2" s="1268"/>
      <c r="D2" s="1268"/>
      <c r="E2" s="1268"/>
      <c r="F2" s="1268"/>
      <c r="G2" s="1268"/>
      <c r="H2" s="602"/>
      <c r="I2" s="602"/>
    </row>
    <row r="3" spans="1:9" ht="18.75" x14ac:dyDescent="0.3">
      <c r="A3" s="1269" t="str">
        <f>'0.Data Sheet'!C20</f>
        <v>Department Of Local Infrastructure (DOLI)</v>
      </c>
      <c r="B3" s="1269"/>
      <c r="C3" s="1269"/>
      <c r="D3" s="1269"/>
      <c r="E3" s="1269"/>
      <c r="F3" s="1269"/>
      <c r="G3" s="1269"/>
      <c r="H3" s="604"/>
      <c r="I3" s="604"/>
    </row>
    <row r="4" spans="1:9" ht="18.75" x14ac:dyDescent="0.3">
      <c r="A4" s="1232" t="str">
        <f>'0.Data Sheet'!C21</f>
        <v>Local Bridge Section</v>
      </c>
      <c r="B4" s="1232"/>
      <c r="C4" s="1232"/>
      <c r="D4" s="1232"/>
      <c r="E4" s="1232"/>
      <c r="F4" s="1232"/>
      <c r="G4" s="1232"/>
      <c r="H4" s="605"/>
      <c r="I4" s="605"/>
    </row>
    <row r="5" spans="1:9" x14ac:dyDescent="0.2">
      <c r="A5" s="1268" t="str">
        <f>'0.Data Sheet'!C22</f>
        <v>Pulchowk, Lalitpur</v>
      </c>
      <c r="B5" s="1268"/>
      <c r="C5" s="1268"/>
      <c r="D5" s="1268"/>
      <c r="E5" s="1268"/>
      <c r="F5" s="1268"/>
      <c r="G5" s="1268"/>
      <c r="H5" s="606"/>
      <c r="I5" s="606"/>
    </row>
    <row r="6" spans="1:9" x14ac:dyDescent="0.2">
      <c r="A6" s="1271"/>
      <c r="B6" s="1271"/>
      <c r="C6" s="1271"/>
      <c r="D6" s="1271"/>
      <c r="E6" s="1271"/>
      <c r="F6" s="1271"/>
      <c r="G6" s="1271"/>
      <c r="H6" s="606"/>
      <c r="I6" s="606"/>
    </row>
    <row r="7" spans="1:9" ht="15.75" x14ac:dyDescent="0.2">
      <c r="A7" s="1270" t="s">
        <v>36</v>
      </c>
      <c r="B7" s="1270"/>
      <c r="C7" s="1270"/>
      <c r="D7" s="1270"/>
      <c r="E7" s="1270"/>
      <c r="F7" s="1270"/>
      <c r="G7" s="1270"/>
    </row>
    <row r="8" spans="1:9" ht="15.75" x14ac:dyDescent="0.2">
      <c r="A8" s="607"/>
      <c r="B8" s="685"/>
      <c r="C8" s="607"/>
      <c r="D8" s="607"/>
      <c r="E8" s="607"/>
      <c r="F8" s="1031"/>
      <c r="G8" s="607"/>
    </row>
    <row r="9" spans="1:9" ht="15.75" x14ac:dyDescent="0.2">
      <c r="A9" s="608" t="str">
        <f>'3.0Quantity'!A9</f>
        <v>Name of Bridge: Lambu Khola Motorable Bridge</v>
      </c>
      <c r="B9" s="608"/>
      <c r="C9" s="609"/>
      <c r="D9" s="610"/>
      <c r="E9" s="611"/>
      <c r="F9" s="612" t="str">
        <f>'3.0Quantity'!I9</f>
        <v>Span=20 x 1m</v>
      </c>
    </row>
    <row r="10" spans="1:9" x14ac:dyDescent="0.2">
      <c r="C10" s="613"/>
      <c r="D10" s="608"/>
    </row>
    <row r="11" spans="1:9" x14ac:dyDescent="0.2">
      <c r="A11" s="615" t="s">
        <v>193</v>
      </c>
      <c r="B11" s="1272" t="s">
        <v>1015</v>
      </c>
      <c r="C11" s="1273"/>
      <c r="D11" s="616" t="s">
        <v>37</v>
      </c>
      <c r="E11" s="616" t="s">
        <v>0</v>
      </c>
      <c r="F11" s="616" t="s">
        <v>310</v>
      </c>
      <c r="G11" s="616" t="s">
        <v>87</v>
      </c>
      <c r="H11" s="1282" t="s">
        <v>1019</v>
      </c>
      <c r="I11" s="1283"/>
    </row>
    <row r="12" spans="1:9" s="614" customFormat="1" ht="15.75" customHeight="1" x14ac:dyDescent="0.2">
      <c r="A12" s="1279" t="s">
        <v>269</v>
      </c>
      <c r="B12" s="1280"/>
      <c r="C12" s="1280"/>
      <c r="D12" s="1280"/>
      <c r="E12" s="1280"/>
      <c r="F12" s="1280"/>
      <c r="G12" s="1281"/>
    </row>
    <row r="13" spans="1:9" s="614" customFormat="1" ht="63.75" x14ac:dyDescent="0.2">
      <c r="A13" s="621">
        <v>1</v>
      </c>
      <c r="B13" s="621" t="str">
        <f>'8.0 Final rate analysis'!A31</f>
        <v>Spec .cl.No:907</v>
      </c>
      <c r="C13" s="617"/>
      <c r="D13" s="635" t="s">
        <v>1636</v>
      </c>
      <c r="E13" s="618"/>
      <c r="F13" s="618"/>
      <c r="G13" s="619"/>
    </row>
    <row r="14" spans="1:9" ht="25.5" x14ac:dyDescent="0.2">
      <c r="A14" s="620">
        <f>A13+1</f>
        <v>2</v>
      </c>
      <c r="C14" s="621" t="str">
        <f>'8.0 Final rate analysis'!A15</f>
        <v>9.4 I B(ii)</v>
      </c>
      <c r="D14" s="673" t="s">
        <v>1634</v>
      </c>
      <c r="E14" s="622" t="s">
        <v>1028</v>
      </c>
      <c r="F14" s="623">
        <f>'8.0 Final rate analysis'!G26</f>
        <v>221.91163866666662</v>
      </c>
      <c r="G14" s="624"/>
      <c r="H14" s="614"/>
    </row>
    <row r="15" spans="1:9" ht="25.5" x14ac:dyDescent="0.2">
      <c r="A15" s="620">
        <f>A14+1</f>
        <v>3</v>
      </c>
      <c r="B15" s="620"/>
      <c r="C15" s="621" t="str">
        <f>'8.0 Final rate analysis'!A33</f>
        <v>9.4 I B(iii)</v>
      </c>
      <c r="D15" s="673" t="s">
        <v>1635</v>
      </c>
      <c r="E15" s="622" t="s">
        <v>1028</v>
      </c>
      <c r="F15" s="623">
        <f>'8.0 Final rate analysis'!G44</f>
        <v>271.41913399999999</v>
      </c>
      <c r="G15" s="624"/>
      <c r="H15" s="614"/>
    </row>
    <row r="16" spans="1:9" ht="15.75" x14ac:dyDescent="0.2">
      <c r="A16" s="620">
        <f t="shared" ref="A16:A17" si="0">A15+1</f>
        <v>4</v>
      </c>
      <c r="B16" s="620"/>
      <c r="C16" s="621" t="str">
        <f>'8.0 Final rate analysis'!A51</f>
        <v>9.4 II B</v>
      </c>
      <c r="D16" s="1172" t="s">
        <v>1771</v>
      </c>
      <c r="E16" s="622" t="s">
        <v>1028</v>
      </c>
      <c r="F16" s="623">
        <f>'8.0 Final rate analysis'!G62</f>
        <v>528.36104444444447</v>
      </c>
      <c r="G16" s="1171"/>
      <c r="H16" s="614"/>
    </row>
    <row r="17" spans="1:10" s="680" customFormat="1" ht="38.25" x14ac:dyDescent="0.2">
      <c r="A17" s="620">
        <f t="shared" si="0"/>
        <v>5</v>
      </c>
      <c r="B17" s="620" t="str">
        <f>'8.0 Final rate analysis'!A67</f>
        <v>Spec .cl.No:1006</v>
      </c>
      <c r="C17" s="704">
        <f>'8.0 Final rate analysis'!A69</f>
        <v>10.8</v>
      </c>
      <c r="D17" s="636" t="s">
        <v>1660</v>
      </c>
      <c r="E17" s="622" t="s">
        <v>1028</v>
      </c>
      <c r="F17" s="678">
        <f>'8.0 Final rate analysis'!G79</f>
        <v>6466.5420000000004</v>
      </c>
      <c r="G17" s="679"/>
      <c r="I17" s="681">
        <v>6655.18</v>
      </c>
      <c r="J17" s="682">
        <f t="shared" ref="J17" si="1">F17-I17</f>
        <v>-188.63799999999992</v>
      </c>
    </row>
    <row r="18" spans="1:10" ht="25.5" x14ac:dyDescent="0.2">
      <c r="A18" s="620">
        <f>A17+1</f>
        <v>6</v>
      </c>
      <c r="B18" s="620" t="str">
        <f>'8.0 Final rate analysis'!A130</f>
        <v>Spec .cl.No:2000</v>
      </c>
      <c r="C18" s="705"/>
      <c r="D18" s="675" t="s">
        <v>1639</v>
      </c>
      <c r="E18" s="622"/>
      <c r="F18" s="623"/>
      <c r="G18" s="624"/>
      <c r="H18" s="614"/>
    </row>
    <row r="19" spans="1:10" ht="15.75" x14ac:dyDescent="0.2">
      <c r="A19" s="620">
        <f t="shared" ref="A19:A23" si="2">A18+1</f>
        <v>7</v>
      </c>
      <c r="B19" s="620"/>
      <c r="C19" s="621">
        <f>'8.0 Final rate analysis'!A133</f>
        <v>20.100000000000001</v>
      </c>
      <c r="D19" s="674" t="s">
        <v>1638</v>
      </c>
      <c r="E19" s="622" t="s">
        <v>1610</v>
      </c>
      <c r="F19" s="623">
        <f>'8.0 Final rate analysis'!G144</f>
        <v>11045.513866666666</v>
      </c>
      <c r="G19" s="624"/>
      <c r="H19" s="614"/>
    </row>
    <row r="20" spans="1:10" ht="15.75" x14ac:dyDescent="0.2">
      <c r="A20" s="620">
        <f>A19+1</f>
        <v>8</v>
      </c>
      <c r="B20" s="620"/>
      <c r="C20" s="621" t="str">
        <f>'8.0 Final rate analysis'!A236</f>
        <v>20.2 E</v>
      </c>
      <c r="D20" s="674" t="s">
        <v>1721</v>
      </c>
      <c r="E20" s="622" t="s">
        <v>1610</v>
      </c>
      <c r="F20" s="623">
        <f>'8.0 Final rate analysis'!G250</f>
        <v>16210.950416666663</v>
      </c>
      <c r="G20" s="624"/>
      <c r="H20" s="614"/>
    </row>
    <row r="21" spans="1:10" s="1039" customFormat="1" ht="15.75" x14ac:dyDescent="0.2">
      <c r="A21" s="1036">
        <f t="shared" ref="A21:A22" si="3">A20+1</f>
        <v>9</v>
      </c>
      <c r="B21" s="1036"/>
      <c r="C21" s="1037" t="str">
        <f>'8.0 Final rate analysis'!A279</f>
        <v>20.2 G</v>
      </c>
      <c r="D21" s="1040" t="s">
        <v>1720</v>
      </c>
      <c r="E21" s="1038" t="s">
        <v>1610</v>
      </c>
      <c r="F21" s="623">
        <f>'8.0 Final rate analysis'!G293</f>
        <v>16249.009139999998</v>
      </c>
      <c r="G21" s="624"/>
    </row>
    <row r="22" spans="1:10" ht="38.25" x14ac:dyDescent="0.2">
      <c r="A22" s="1036">
        <f t="shared" si="3"/>
        <v>10</v>
      </c>
      <c r="B22" s="620" t="str">
        <f>'8.0 Final rate analysis'!A783</f>
        <v>Spec .cl.No: 2014</v>
      </c>
      <c r="C22" s="621">
        <f>'8.0 Final rate analysis'!A785</f>
        <v>20.3</v>
      </c>
      <c r="D22" s="637" t="s">
        <v>1560</v>
      </c>
      <c r="E22" s="622" t="s">
        <v>25</v>
      </c>
      <c r="F22" s="623">
        <f>'8.0 Final rate analysis'!G790</f>
        <v>119482.3435</v>
      </c>
      <c r="G22" s="624"/>
      <c r="H22" s="614"/>
    </row>
    <row r="23" spans="1:10" ht="38.25" x14ac:dyDescent="0.2">
      <c r="A23" s="620">
        <f t="shared" si="2"/>
        <v>11</v>
      </c>
      <c r="B23" s="620" t="str">
        <f>'8.0 Final rate analysis'!A815</f>
        <v>Spec .cl.No:1804,1805</v>
      </c>
      <c r="C23" s="621" t="str">
        <f>'8.0 Final rate analysis'!A818</f>
        <v>18.1(b)</v>
      </c>
      <c r="D23" s="637" t="s">
        <v>1593</v>
      </c>
      <c r="E23" s="622" t="s">
        <v>1612</v>
      </c>
      <c r="F23" s="623">
        <f>'8.0 Final rate analysis'!G825</f>
        <v>748.75350000000003</v>
      </c>
      <c r="G23" s="624"/>
      <c r="H23" s="614"/>
    </row>
    <row r="24" spans="1:10" x14ac:dyDescent="0.2">
      <c r="A24" s="620">
        <f>A23+1</f>
        <v>12</v>
      </c>
      <c r="B24" s="620"/>
      <c r="C24" s="620"/>
      <c r="D24" s="625" t="s">
        <v>270</v>
      </c>
      <c r="E24" s="622"/>
      <c r="F24" s="623"/>
      <c r="G24" s="624"/>
      <c r="H24" s="1282"/>
      <c r="I24" s="1283"/>
    </row>
    <row r="25" spans="1:10" ht="25.5" x14ac:dyDescent="0.2">
      <c r="A25" s="620">
        <f t="shared" ref="A25" si="4">A24+1</f>
        <v>13</v>
      </c>
      <c r="B25" s="620" t="str">
        <f>'8.0 Final rate analysis'!A130</f>
        <v>Spec .cl.No:2000</v>
      </c>
      <c r="C25" s="620"/>
      <c r="D25" s="675" t="s">
        <v>1641</v>
      </c>
      <c r="E25" s="622"/>
      <c r="F25" s="623"/>
      <c r="G25" s="624"/>
      <c r="H25" s="626"/>
      <c r="I25" s="647"/>
    </row>
    <row r="26" spans="1:10" ht="15.75" x14ac:dyDescent="0.2">
      <c r="A26" s="620">
        <f>A25+1</f>
        <v>14</v>
      </c>
      <c r="B26" s="620"/>
      <c r="C26" s="621" t="str">
        <f>'8.0 Final rate analysis'!A588</f>
        <v>20.4 F(q)</v>
      </c>
      <c r="D26" s="676" t="s">
        <v>1642</v>
      </c>
      <c r="E26" s="622" t="s">
        <v>1610</v>
      </c>
      <c r="F26" s="623">
        <f>'8.0 Final rate analysis'!G603</f>
        <v>17610.211399999997</v>
      </c>
      <c r="G26" s="624"/>
      <c r="H26" s="614"/>
    </row>
    <row r="27" spans="1:10" ht="15.75" x14ac:dyDescent="0.2">
      <c r="A27" s="620"/>
      <c r="B27" s="620"/>
      <c r="C27" s="621" t="str">
        <f>'8.0 Final rate analysis'!A654</f>
        <v>20.4 G(q)</v>
      </c>
      <c r="D27" s="676" t="s">
        <v>1735</v>
      </c>
      <c r="E27" s="622" t="s">
        <v>1610</v>
      </c>
      <c r="F27" s="623">
        <f>'8.0 Final rate analysis'!G669</f>
        <v>17688.794759999997</v>
      </c>
      <c r="G27" s="624"/>
      <c r="H27" s="614"/>
    </row>
    <row r="28" spans="1:10" ht="25.5" x14ac:dyDescent="0.2">
      <c r="A28" s="620">
        <f>A26+1</f>
        <v>15</v>
      </c>
      <c r="B28" s="620" t="str">
        <f>'8.0 Final rate analysis'!A793</f>
        <v>Spec .cl.No: 2014</v>
      </c>
      <c r="C28" s="620">
        <f>'8.0 Final rate analysis'!A795</f>
        <v>20.5</v>
      </c>
      <c r="D28" s="637" t="s">
        <v>1562</v>
      </c>
      <c r="E28" s="622" t="s">
        <v>25</v>
      </c>
      <c r="F28" s="623">
        <f>'8.0 Final rate analysis'!G800</f>
        <v>119482.3435</v>
      </c>
      <c r="G28" s="624"/>
      <c r="H28" s="626"/>
      <c r="I28" s="627"/>
    </row>
    <row r="29" spans="1:10" ht="38.25" x14ac:dyDescent="0.2">
      <c r="A29" s="620"/>
      <c r="B29" s="621" t="str">
        <f>'8.0 Final rate analysis'!A815</f>
        <v>Spec .cl.No:1804,1805</v>
      </c>
      <c r="C29" s="620"/>
      <c r="D29" s="706" t="s">
        <v>1655</v>
      </c>
      <c r="E29" s="622"/>
      <c r="F29" s="623"/>
      <c r="G29" s="624"/>
      <c r="H29" s="626"/>
      <c r="I29" s="684"/>
    </row>
    <row r="30" spans="1:10" ht="15.75" x14ac:dyDescent="0.2">
      <c r="A30" s="620">
        <f>A28+1</f>
        <v>16</v>
      </c>
      <c r="B30" s="620"/>
      <c r="C30" s="620" t="str">
        <f>'8.0 Final rate analysis'!A833</f>
        <v>18.2(b) iii.</v>
      </c>
      <c r="D30" s="635" t="s">
        <v>1682</v>
      </c>
      <c r="E30" s="622" t="s">
        <v>1611</v>
      </c>
      <c r="F30" s="623">
        <f>'8.0 Final rate analysis'!G840</f>
        <v>1035.7053333333333</v>
      </c>
      <c r="G30" s="624"/>
      <c r="H30" s="626"/>
      <c r="I30" s="627"/>
    </row>
    <row r="31" spans="1:10" ht="38.25" x14ac:dyDescent="0.2">
      <c r="A31" s="620"/>
      <c r="B31" s="620" t="str">
        <f>'8.0 Final rate analysis'!A101</f>
        <v>Spec .cl.No:908</v>
      </c>
      <c r="C31" s="620"/>
      <c r="D31" s="675" t="s">
        <v>1683</v>
      </c>
      <c r="E31" s="622"/>
      <c r="F31" s="623"/>
      <c r="G31" s="624"/>
      <c r="H31" s="626"/>
      <c r="I31" s="692"/>
    </row>
    <row r="32" spans="1:10" ht="15.75" x14ac:dyDescent="0.2">
      <c r="A32" s="620">
        <f>A30+1</f>
        <v>17</v>
      </c>
      <c r="B32" s="620"/>
      <c r="C32" s="620" t="str">
        <f>'8.0 Final rate analysis'!A86</f>
        <v>9.11-A</v>
      </c>
      <c r="D32" s="709" t="s">
        <v>1685</v>
      </c>
      <c r="E32" s="622" t="s">
        <v>1028</v>
      </c>
      <c r="F32" s="623">
        <f>TRUNC('8.0 Final rate analysis'!G96,2)</f>
        <v>3341.58</v>
      </c>
      <c r="G32" s="624"/>
      <c r="H32" s="614"/>
    </row>
    <row r="33" spans="1:9" ht="25.5" x14ac:dyDescent="0.2">
      <c r="A33" s="620">
        <f>A32+1</f>
        <v>18</v>
      </c>
      <c r="B33" s="700"/>
      <c r="C33" s="620" t="str">
        <f>'8.0 Final rate analysis'!A103</f>
        <v>9.11 C</v>
      </c>
      <c r="D33" s="709" t="s">
        <v>1686</v>
      </c>
      <c r="E33" s="622" t="s">
        <v>1612</v>
      </c>
      <c r="F33" s="623">
        <f>TRUNC('8.0 Final rate analysis'!G112,2)</f>
        <v>1289.78</v>
      </c>
      <c r="G33" s="624"/>
      <c r="H33" s="614"/>
    </row>
    <row r="34" spans="1:9" ht="38.25" x14ac:dyDescent="0.2">
      <c r="A34" s="620">
        <f>A33+1</f>
        <v>19</v>
      </c>
      <c r="B34" s="603" t="str">
        <f>'8.0 Final rate analysis'!A1006</f>
        <v>SS 909,910</v>
      </c>
      <c r="C34" s="620" t="str">
        <f>'8.0 Final rate analysis'!A1007</f>
        <v>9.9-B</v>
      </c>
      <c r="D34" s="629" t="str">
        <f>'8.0 Final rate analysis'!B1003</f>
        <v>Providing,laying,spreading and compacting with Roadway cutting material and Compact to the required density (By Using Machine) as per Drawing and and Technical Specifications (SS 909,910)</v>
      </c>
      <c r="E34" s="622" t="s">
        <v>1028</v>
      </c>
      <c r="F34" s="623">
        <f>'8.0 Final rate analysis'!G1015</f>
        <v>376.70290000000006</v>
      </c>
      <c r="G34" s="624"/>
      <c r="H34" s="614"/>
    </row>
    <row r="35" spans="1:9" s="90" customFormat="1" ht="38.25" x14ac:dyDescent="0.2">
      <c r="A35" s="686">
        <f>A34+1</f>
        <v>20</v>
      </c>
      <c r="B35" s="686" t="str">
        <f>'8.0 Final rate analysis'!A118</f>
        <v>Spec .cl.No:2404</v>
      </c>
      <c r="C35" s="689">
        <f>'8.0 Final rate analysis'!A120</f>
        <v>24.5</v>
      </c>
      <c r="D35" s="629" t="s">
        <v>244</v>
      </c>
      <c r="E35" s="687" t="s">
        <v>218</v>
      </c>
      <c r="F35" s="1032">
        <f>'8.0 Final rate analysis'!G127</f>
        <v>258.40499999999997</v>
      </c>
      <c r="G35" s="688"/>
    </row>
    <row r="36" spans="1:9" x14ac:dyDescent="0.2">
      <c r="A36" s="620"/>
      <c r="B36" s="620"/>
      <c r="C36" s="620"/>
      <c r="D36" s="629"/>
      <c r="E36" s="622"/>
      <c r="F36" s="623"/>
      <c r="G36" s="624"/>
      <c r="H36" s="614"/>
    </row>
    <row r="37" spans="1:9" x14ac:dyDescent="0.2">
      <c r="A37" s="620"/>
      <c r="B37" s="620"/>
      <c r="C37" s="620"/>
      <c r="D37" s="625" t="s">
        <v>271</v>
      </c>
      <c r="E37" s="622"/>
      <c r="F37" s="623"/>
      <c r="G37" s="624"/>
      <c r="H37" s="1274"/>
      <c r="I37" s="1275"/>
    </row>
    <row r="38" spans="1:9" ht="25.5" x14ac:dyDescent="0.2">
      <c r="A38" s="620"/>
      <c r="B38" s="620" t="str">
        <f>'8.0 Final rate analysis'!A719</f>
        <v>Spec .cl.No:2000</v>
      </c>
      <c r="C38" s="620"/>
      <c r="D38" s="708" t="s">
        <v>1717</v>
      </c>
      <c r="E38" s="622"/>
      <c r="F38" s="623"/>
      <c r="G38" s="624"/>
      <c r="H38" s="703"/>
      <c r="I38" s="691"/>
    </row>
    <row r="39" spans="1:9" ht="15.75" x14ac:dyDescent="0.2">
      <c r="A39" s="620">
        <f>A35+1</f>
        <v>21</v>
      </c>
      <c r="B39" s="620"/>
      <c r="C39" s="620" t="str">
        <f>'8.0 Final rate analysis'!A722</f>
        <v>20.8 B ii (r)</v>
      </c>
      <c r="D39" s="630" t="s">
        <v>1684</v>
      </c>
      <c r="E39" s="622" t="s">
        <v>1610</v>
      </c>
      <c r="F39" s="623">
        <f>'8.0 Final rate analysis'!G736</f>
        <v>19688.42673333333</v>
      </c>
      <c r="G39" s="624"/>
      <c r="H39" s="631"/>
      <c r="I39" s="632"/>
    </row>
    <row r="40" spans="1:9" ht="25.5" x14ac:dyDescent="0.2">
      <c r="A40" s="620">
        <f>A39+1</f>
        <v>22</v>
      </c>
      <c r="B40" s="620" t="str">
        <f>'8.0 Final rate analysis'!A803</f>
        <v>Spec .cl.No: 2014</v>
      </c>
      <c r="C40" s="620">
        <f>'8.0 Final rate analysis'!A805</f>
        <v>20.9</v>
      </c>
      <c r="D40" s="637" t="s">
        <v>1564</v>
      </c>
      <c r="E40" s="622" t="s">
        <v>259</v>
      </c>
      <c r="F40" s="623">
        <f>'8.0 Final rate analysis'!G810</f>
        <v>122138.8435</v>
      </c>
      <c r="G40" s="624"/>
      <c r="H40" s="631"/>
      <c r="I40" s="632"/>
    </row>
    <row r="41" spans="1:9" ht="38.25" x14ac:dyDescent="0.2">
      <c r="A41" s="620"/>
      <c r="B41" s="620" t="str">
        <f>'8.0 Final rate analysis'!A846</f>
        <v>Spec .cl.No:1804,1805</v>
      </c>
      <c r="C41" s="620"/>
      <c r="D41" s="708" t="s">
        <v>1583</v>
      </c>
      <c r="E41" s="622"/>
      <c r="F41" s="623"/>
      <c r="G41" s="624"/>
      <c r="H41" s="703"/>
      <c r="I41" s="691"/>
    </row>
    <row r="42" spans="1:9" ht="15.75" x14ac:dyDescent="0.2">
      <c r="A42" s="620">
        <f>A40+1</f>
        <v>23</v>
      </c>
      <c r="B42" s="620"/>
      <c r="C42" s="620" t="str">
        <f>'8.0 Final rate analysis'!A849</f>
        <v>18.7(b)</v>
      </c>
      <c r="D42" s="628" t="s">
        <v>1701</v>
      </c>
      <c r="E42" s="622" t="s">
        <v>1612</v>
      </c>
      <c r="F42" s="623">
        <f>'8.0 Final rate analysis'!G856</f>
        <v>989.04216666666673</v>
      </c>
      <c r="G42" s="624"/>
      <c r="H42" s="631"/>
      <c r="I42" s="632"/>
    </row>
    <row r="43" spans="1:9" ht="38.25" x14ac:dyDescent="0.2">
      <c r="A43" s="620">
        <f>A42+1</f>
        <v>24</v>
      </c>
      <c r="B43" s="620" t="str">
        <f>'8.0 Final rate analysis'!A860</f>
        <v>Spec .cl.No:1803</v>
      </c>
      <c r="C43" s="603"/>
      <c r="D43" s="628" t="s">
        <v>1633</v>
      </c>
      <c r="E43" s="1277" t="s">
        <v>1612</v>
      </c>
      <c r="F43" s="623"/>
      <c r="G43" s="624"/>
      <c r="H43" s="631"/>
      <c r="I43" s="648"/>
    </row>
    <row r="44" spans="1:9" x14ac:dyDescent="0.2">
      <c r="A44" s="620">
        <f>A43+1</f>
        <v>25</v>
      </c>
      <c r="B44" s="620"/>
      <c r="C44" s="620" t="str">
        <f>'8.0 Final rate analysis'!A863</f>
        <v>18.11(b) ii.</v>
      </c>
      <c r="D44" s="672" t="s">
        <v>1643</v>
      </c>
      <c r="E44" s="1278"/>
      <c r="F44" s="623">
        <f>'8.0 Final rate analysis'!G871</f>
        <v>4982.215666666666</v>
      </c>
      <c r="G44" s="624"/>
      <c r="H44" s="631"/>
      <c r="I44" s="648"/>
    </row>
    <row r="45" spans="1:9" s="614" customFormat="1" ht="38.25" x14ac:dyDescent="0.2">
      <c r="A45" s="620">
        <f>A44+1</f>
        <v>26</v>
      </c>
      <c r="B45" s="620" t="str">
        <f>'8.0 Final rate analysis'!A888</f>
        <v>Spec .cl.No:1902</v>
      </c>
      <c r="C45" s="620">
        <f>'8.0 Final rate analysis'!A877</f>
        <v>19.399999999999999</v>
      </c>
      <c r="D45" s="629" t="s">
        <v>1734</v>
      </c>
      <c r="E45" s="622" t="s">
        <v>223</v>
      </c>
      <c r="F45" s="623">
        <f>'8.0 Final rate analysis'!G884</f>
        <v>48597.16</v>
      </c>
      <c r="G45" s="633"/>
    </row>
    <row r="46" spans="1:9" s="614" customFormat="1" ht="38.25" x14ac:dyDescent="0.2">
      <c r="A46" s="620">
        <f t="shared" ref="A46:A47" si="5">A45+1</f>
        <v>27</v>
      </c>
      <c r="B46" s="620" t="str">
        <f>'8.0 Final rate analysis'!A901</f>
        <v>Spec .cl.No:1901</v>
      </c>
      <c r="C46" s="1156">
        <f>'8.0 Final rate analysis'!A904</f>
        <v>19.100000000000001</v>
      </c>
      <c r="D46" s="629" t="str">
        <f>'8.0 Final rate analysis'!B900</f>
        <v>Providing and laying of a strip seal expansion joint catering to maximum horizontal movement upto 70 mm, complete as per approved Drawings and Technical specifications.</v>
      </c>
      <c r="E46" s="622" t="s">
        <v>274</v>
      </c>
      <c r="F46" s="623">
        <f>TRUNC('8.0 Final rate analysis'!G911,2)</f>
        <v>19427.66</v>
      </c>
      <c r="G46" s="633"/>
    </row>
    <row r="47" spans="1:9" s="1039" customFormat="1" ht="63.75" x14ac:dyDescent="0.2">
      <c r="A47" s="620">
        <f t="shared" si="5"/>
        <v>28</v>
      </c>
      <c r="B47" s="1036" t="str">
        <f>'8.0 Final rate analysis'!A1050</f>
        <v>Spec .cl.No: 3105</v>
      </c>
      <c r="C47" s="1036">
        <f>'8.0 Final rate analysis'!A1052</f>
        <v>31.7</v>
      </c>
      <c r="D47" s="1075" t="str">
        <f>'8.0 Final rate analysis'!B1049</f>
        <v>Tubular Steel Railing on Precast RCC Posts, 1.2 m High Above Ground Level Providing, fencing and erecting 50 mm dia painted steel pipe railing in 3 rows on precast M 20 grade RCC vertical posts 1.8 metres high (1.2 m above GL) with 3 holes 50 mm dia for pipe, fixed 2 metres center to, complete as per Drawing and Technical Specifications.</v>
      </c>
      <c r="E47" s="1038" t="s">
        <v>274</v>
      </c>
      <c r="F47" s="623">
        <f>'8.0 Final rate analysis'!G1066</f>
        <v>3764.7193868318259</v>
      </c>
      <c r="G47" s="633"/>
    </row>
    <row r="48" spans="1:9" s="1039" customFormat="1" ht="38.25" x14ac:dyDescent="0.2">
      <c r="A48" s="1036">
        <f>A47+1</f>
        <v>29</v>
      </c>
      <c r="B48" s="1036" t="str">
        <f>'8.0 Final rate analysis'!A1073</f>
        <v>SS 1501</v>
      </c>
      <c r="C48" s="1036">
        <f>'8.0 Final rate analysis'!A1074</f>
        <v>15.4</v>
      </c>
      <c r="D48" s="1075" t="str">
        <f>'8.0 Final rate analysis'!B1070</f>
        <v>Providing and Painting two coats after filling the surface with synthetic enamel paint in all shades on concrete / plaster surfaces as per Drawing and Technical specifications. (1501)</v>
      </c>
      <c r="E48" s="1038" t="s">
        <v>1612</v>
      </c>
      <c r="F48" s="623">
        <f>'8.0 Final rate analysis'!G1082</f>
        <v>925.67000000000007</v>
      </c>
      <c r="G48" s="633"/>
    </row>
    <row r="49" spans="1:9" x14ac:dyDescent="0.2">
      <c r="A49" s="620"/>
      <c r="B49" s="620"/>
      <c r="C49" s="620"/>
      <c r="D49" s="625" t="s">
        <v>1666</v>
      </c>
      <c r="E49" s="622"/>
      <c r="F49" s="623"/>
      <c r="G49" s="624"/>
      <c r="H49" s="1274" t="s">
        <v>1019</v>
      </c>
      <c r="I49" s="1275"/>
    </row>
    <row r="50" spans="1:9" ht="105" x14ac:dyDescent="0.2">
      <c r="A50" s="700">
        <f>A48+1</f>
        <v>30</v>
      </c>
      <c r="B50" s="701" t="str">
        <f>'8.0 Final rate analysis'!A917</f>
        <v>Spec .cl.No: 2401</v>
      </c>
      <c r="C50" s="700" t="str">
        <f>'8.0 Final rate analysis'!A919</f>
        <v>24.1-A(i)</v>
      </c>
      <c r="D50" s="702" t="str">
        <f>'8.0 Final rate analysis'!B916</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3x1x1 ( 16 sqm), as per Drawing and Technical Specifications (SS 2401).</v>
      </c>
      <c r="E50" s="622" t="s">
        <v>1613</v>
      </c>
      <c r="F50" s="1033">
        <f>'8.0 Final rate analysis'!G928</f>
        <v>5889.2809115533337</v>
      </c>
      <c r="G50" s="700"/>
      <c r="H50" s="1276" t="s">
        <v>1019</v>
      </c>
      <c r="I50" s="1275"/>
    </row>
    <row r="51" spans="1:9" ht="105" x14ac:dyDescent="0.2">
      <c r="A51" s="700">
        <f>+A50+1</f>
        <v>31</v>
      </c>
      <c r="B51" s="701" t="str">
        <f>'8.0 Final rate analysis'!A932</f>
        <v>Spec .cl.No: 2401</v>
      </c>
      <c r="C51" s="700" t="str">
        <f>'8.0 Final rate analysis'!A934</f>
        <v>24.1-A(ii)</v>
      </c>
      <c r="D51" s="702" t="str">
        <f>'8.0 Final rate analysis'!B931</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2x1x1 ( 11 sqm), as per Drawing and Technical Specifications (SS 2401).</v>
      </c>
      <c r="E51" s="622" t="s">
        <v>1613</v>
      </c>
      <c r="F51" s="1033">
        <f>'8.0 Final rate analysis'!G943</f>
        <v>5960.1064667483333</v>
      </c>
      <c r="G51" s="700"/>
    </row>
    <row r="52" spans="1:9" ht="105" x14ac:dyDescent="0.2">
      <c r="A52" s="700">
        <f t="shared" ref="A52" si="6">+A51+1</f>
        <v>32</v>
      </c>
      <c r="B52" s="701" t="str">
        <f>'8.0 Final rate analysis'!A946</f>
        <v>Spec .cl.No: 2401</v>
      </c>
      <c r="C52" s="700" t="str">
        <f>'8.0 Final rate analysis'!A948</f>
        <v>24.1-A(iv)</v>
      </c>
      <c r="D52" s="702" t="str">
        <f>'8.0 Final rate analysis'!B945</f>
        <v>Providing and laying Gabion structure for retaining earth with diaphgram including rolling, cutting weaving, placing, laying side and dipahgrams with binding wire and filling boulders all complete. Mesh wire 10swg(0.0615kg/m), selvadge wire 8 swg (0.1057kg/m), binding wire 12swg (0.0409kg/m) Hexagonal mesh Type 100mmx120mm: Box 1x1x1(6 Sq.m), as per Drawing and Technical Specifications (SS 2401).</v>
      </c>
      <c r="E52" s="622" t="s">
        <v>1613</v>
      </c>
      <c r="F52" s="1033">
        <f>'8.0 Final rate analysis'!G957</f>
        <v>6312.1105852566679</v>
      </c>
      <c r="G52" s="700"/>
    </row>
    <row r="53" spans="1:9" ht="45" x14ac:dyDescent="0.2">
      <c r="A53" s="700">
        <f>A52+1</f>
        <v>33</v>
      </c>
      <c r="B53" s="701" t="str">
        <f>'8.0 Final rate analysis'!A961</f>
        <v>Spec .cl.No: 2600,2607</v>
      </c>
      <c r="C53" s="700" t="str">
        <f>'8.0 Final rate analysis'!A963</f>
        <v>26.5 A</v>
      </c>
      <c r="D53" s="702" t="str">
        <f>'8.0 Final rate analysis'!B960</f>
        <v>Providing and laying Stone Masonry work in cement mortar 1:4 in structure complete as per Drawing and Technical Specifications (Random Rubble Masonry)</v>
      </c>
      <c r="E53" s="622" t="s">
        <v>1613</v>
      </c>
      <c r="F53" s="1033">
        <f>'8.0 Final rate analysis'!G972</f>
        <v>11887.7875785</v>
      </c>
      <c r="G53" s="700"/>
    </row>
    <row r="54" spans="1:9" ht="60" x14ac:dyDescent="0.2">
      <c r="A54" s="700">
        <f>A53+1</f>
        <v>34</v>
      </c>
      <c r="B54" s="701" t="str">
        <f>'8.0 Final rate analysis'!A1021</f>
        <v>SS 1201)</v>
      </c>
      <c r="C54" s="700" t="str">
        <f>'8.0 Final rate analysis'!A1022</f>
        <v>12.1 (A)</v>
      </c>
      <c r="D54" s="702" t="str">
        <f>'8.0 Final rate analysis'!B1018</f>
        <v>Providing and laying granular sub-base on prepared surface, mixing at OMC and compacting to achieve the desired density (by Machine), complete per Drawing and Technical Specification (SS 1201).</v>
      </c>
      <c r="E54" s="622" t="s">
        <v>1613</v>
      </c>
      <c r="F54" s="1033">
        <f>'8.0 Final rate analysis'!G1030</f>
        <v>2905.6669666666667</v>
      </c>
      <c r="G54" s="700"/>
    </row>
    <row r="55" spans="1:9" x14ac:dyDescent="0.2">
      <c r="C55" s="603"/>
      <c r="D55" s="614"/>
    </row>
    <row r="56" spans="1:9" x14ac:dyDescent="0.2">
      <c r="C56" s="603"/>
      <c r="D56" s="614"/>
    </row>
    <row r="57" spans="1:9" x14ac:dyDescent="0.2">
      <c r="C57" s="603"/>
      <c r="D57" s="614"/>
    </row>
    <row r="58" spans="1:9" x14ac:dyDescent="0.2">
      <c r="C58" s="603"/>
      <c r="D58" s="614"/>
    </row>
    <row r="59" spans="1:9" x14ac:dyDescent="0.2">
      <c r="C59" s="603"/>
      <c r="D59" s="614"/>
    </row>
    <row r="60" spans="1:9" x14ac:dyDescent="0.2">
      <c r="C60" s="603"/>
      <c r="D60" s="614"/>
    </row>
    <row r="61" spans="1:9" x14ac:dyDescent="0.2">
      <c r="C61" s="603"/>
      <c r="D61" s="614"/>
    </row>
    <row r="62" spans="1:9" x14ac:dyDescent="0.2">
      <c r="C62" s="603"/>
      <c r="D62" s="614"/>
    </row>
    <row r="63" spans="1:9" x14ac:dyDescent="0.2">
      <c r="C63" s="603"/>
      <c r="D63" s="614"/>
    </row>
    <row r="64" spans="1:9" x14ac:dyDescent="0.2">
      <c r="C64" s="603"/>
      <c r="D64" s="614"/>
    </row>
    <row r="65" spans="3:4" x14ac:dyDescent="0.2">
      <c r="C65" s="603"/>
      <c r="D65" s="614"/>
    </row>
    <row r="66" spans="3:4" x14ac:dyDescent="0.2">
      <c r="C66" s="603"/>
      <c r="D66" s="614"/>
    </row>
    <row r="67" spans="3:4" x14ac:dyDescent="0.2">
      <c r="C67" s="603"/>
      <c r="D67" s="614"/>
    </row>
    <row r="68" spans="3:4" x14ac:dyDescent="0.2">
      <c r="C68" s="603"/>
      <c r="D68" s="614"/>
    </row>
    <row r="69" spans="3:4" x14ac:dyDescent="0.2">
      <c r="C69" s="603"/>
      <c r="D69" s="614"/>
    </row>
    <row r="70" spans="3:4" x14ac:dyDescent="0.2">
      <c r="C70" s="603"/>
      <c r="D70" s="614"/>
    </row>
    <row r="71" spans="3:4" x14ac:dyDescent="0.2">
      <c r="C71" s="603"/>
      <c r="D71" s="614"/>
    </row>
    <row r="72" spans="3:4" x14ac:dyDescent="0.2">
      <c r="C72" s="603"/>
      <c r="D72" s="614"/>
    </row>
    <row r="73" spans="3:4" x14ac:dyDescent="0.2">
      <c r="C73" s="603"/>
      <c r="D73" s="614"/>
    </row>
    <row r="74" spans="3:4" x14ac:dyDescent="0.2">
      <c r="C74" s="603"/>
      <c r="D74" s="614"/>
    </row>
    <row r="75" spans="3:4" x14ac:dyDescent="0.2">
      <c r="C75" s="603"/>
      <c r="D75" s="614"/>
    </row>
    <row r="76" spans="3:4" x14ac:dyDescent="0.2">
      <c r="C76" s="603"/>
      <c r="D76" s="614"/>
    </row>
    <row r="77" spans="3:4" x14ac:dyDescent="0.2">
      <c r="C77" s="603"/>
      <c r="D77" s="614"/>
    </row>
    <row r="78" spans="3:4" x14ac:dyDescent="0.2">
      <c r="C78" s="603"/>
      <c r="D78" s="614"/>
    </row>
    <row r="79" spans="3:4" x14ac:dyDescent="0.2">
      <c r="C79" s="603"/>
      <c r="D79" s="614"/>
    </row>
    <row r="80" spans="3:4" x14ac:dyDescent="0.2">
      <c r="C80" s="603"/>
      <c r="D80" s="614"/>
    </row>
    <row r="81" spans="3:4" x14ac:dyDescent="0.2">
      <c r="C81" s="603"/>
      <c r="D81" s="614"/>
    </row>
    <row r="82" spans="3:4" x14ac:dyDescent="0.2">
      <c r="C82" s="603"/>
      <c r="D82" s="614"/>
    </row>
    <row r="83" spans="3:4" x14ac:dyDescent="0.2">
      <c r="C83" s="603"/>
      <c r="D83" s="614"/>
    </row>
    <row r="84" spans="3:4" x14ac:dyDescent="0.2">
      <c r="C84" s="603"/>
      <c r="D84" s="614"/>
    </row>
    <row r="85" spans="3:4" x14ac:dyDescent="0.2">
      <c r="C85" s="603"/>
      <c r="D85" s="614"/>
    </row>
    <row r="86" spans="3:4" x14ac:dyDescent="0.2">
      <c r="C86" s="603"/>
      <c r="D86" s="614"/>
    </row>
    <row r="87" spans="3:4" x14ac:dyDescent="0.2">
      <c r="C87" s="603"/>
      <c r="D87" s="614"/>
    </row>
    <row r="88" spans="3:4" x14ac:dyDescent="0.2">
      <c r="C88" s="603"/>
      <c r="D88" s="614"/>
    </row>
    <row r="89" spans="3:4" x14ac:dyDescent="0.2">
      <c r="C89" s="603"/>
      <c r="D89" s="614"/>
    </row>
    <row r="90" spans="3:4" x14ac:dyDescent="0.2">
      <c r="C90" s="603"/>
      <c r="D90" s="614"/>
    </row>
    <row r="91" spans="3:4" x14ac:dyDescent="0.2">
      <c r="C91" s="603"/>
      <c r="D91" s="614"/>
    </row>
    <row r="92" spans="3:4" x14ac:dyDescent="0.2">
      <c r="C92" s="603"/>
      <c r="D92" s="614"/>
    </row>
    <row r="93" spans="3:4" x14ac:dyDescent="0.2">
      <c r="C93" s="603"/>
      <c r="D93" s="614"/>
    </row>
    <row r="94" spans="3:4" x14ac:dyDescent="0.2">
      <c r="C94" s="603"/>
      <c r="D94" s="614"/>
    </row>
    <row r="95" spans="3:4" x14ac:dyDescent="0.2">
      <c r="C95" s="603"/>
      <c r="D95" s="614"/>
    </row>
    <row r="96" spans="3:4" x14ac:dyDescent="0.2">
      <c r="C96" s="603"/>
      <c r="D96" s="614"/>
    </row>
    <row r="97" spans="3:4" x14ac:dyDescent="0.2">
      <c r="C97" s="603"/>
      <c r="D97" s="614"/>
    </row>
    <row r="98" spans="3:4" x14ac:dyDescent="0.2">
      <c r="C98" s="603"/>
      <c r="D98" s="614"/>
    </row>
    <row r="99" spans="3:4" x14ac:dyDescent="0.2">
      <c r="C99" s="603"/>
      <c r="D99" s="614"/>
    </row>
    <row r="100" spans="3:4" x14ac:dyDescent="0.2">
      <c r="C100" s="603"/>
      <c r="D100" s="614"/>
    </row>
    <row r="101" spans="3:4" x14ac:dyDescent="0.2">
      <c r="C101" s="603"/>
      <c r="D101" s="614"/>
    </row>
    <row r="102" spans="3:4" x14ac:dyDescent="0.2">
      <c r="C102" s="603"/>
      <c r="D102" s="614"/>
    </row>
    <row r="103" spans="3:4" x14ac:dyDescent="0.2">
      <c r="C103" s="603"/>
      <c r="D103" s="614"/>
    </row>
    <row r="104" spans="3:4" x14ac:dyDescent="0.2">
      <c r="C104" s="603"/>
      <c r="D104" s="614"/>
    </row>
    <row r="105" spans="3:4" x14ac:dyDescent="0.2">
      <c r="C105" s="603"/>
      <c r="D105" s="614"/>
    </row>
    <row r="106" spans="3:4" x14ac:dyDescent="0.2">
      <c r="C106" s="603"/>
      <c r="D106" s="614"/>
    </row>
    <row r="107" spans="3:4" x14ac:dyDescent="0.2">
      <c r="C107" s="603"/>
      <c r="D107" s="614"/>
    </row>
    <row r="108" spans="3:4" x14ac:dyDescent="0.2">
      <c r="C108" s="603"/>
      <c r="D108" s="614"/>
    </row>
    <row r="109" spans="3:4" x14ac:dyDescent="0.2">
      <c r="C109" s="603"/>
      <c r="D109" s="614"/>
    </row>
    <row r="110" spans="3:4" x14ac:dyDescent="0.2">
      <c r="C110" s="603"/>
      <c r="D110" s="614"/>
    </row>
    <row r="111" spans="3:4" x14ac:dyDescent="0.2">
      <c r="C111" s="603"/>
      <c r="D111" s="614"/>
    </row>
    <row r="112" spans="3:4" x14ac:dyDescent="0.2">
      <c r="C112" s="603"/>
      <c r="D112" s="614"/>
    </row>
    <row r="113" spans="3:4" x14ac:dyDescent="0.2">
      <c r="C113" s="603"/>
      <c r="D113" s="614"/>
    </row>
    <row r="114" spans="3:4" x14ac:dyDescent="0.2">
      <c r="C114" s="603"/>
      <c r="D114" s="614"/>
    </row>
  </sheetData>
  <mergeCells count="15">
    <mergeCell ref="B11:C11"/>
    <mergeCell ref="H49:I49"/>
    <mergeCell ref="H50:I50"/>
    <mergeCell ref="E43:E44"/>
    <mergeCell ref="A12:G12"/>
    <mergeCell ref="H11:I11"/>
    <mergeCell ref="H24:I24"/>
    <mergeCell ref="H37:I37"/>
    <mergeCell ref="A1:G1"/>
    <mergeCell ref="A2:G2"/>
    <mergeCell ref="A3:G3"/>
    <mergeCell ref="A5:G5"/>
    <mergeCell ref="A7:G7"/>
    <mergeCell ref="A4:G4"/>
    <mergeCell ref="A6:G6"/>
  </mergeCells>
  <phoneticPr fontId="5" type="noConversion"/>
  <pageMargins left="0.48" right="0.19" top="0.46" bottom="0.66" header="0.3" footer="0.3"/>
  <pageSetup paperSize="9" scale="80" fitToHeight="3" orientation="portrait" r:id="rId1"/>
  <headerFooter>
    <oddFooter>&amp;L__________________________Prepared By&amp;C__________________________Checked By&amp;R________________________Approved By</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R72"/>
  <sheetViews>
    <sheetView topLeftCell="D2" workbookViewId="0">
      <selection activeCell="I11" sqref="I11"/>
    </sheetView>
  </sheetViews>
  <sheetFormatPr defaultColWidth="9.140625" defaultRowHeight="12.75" x14ac:dyDescent="0.2"/>
  <cols>
    <col min="1" max="1" width="3.42578125" style="194" customWidth="1"/>
    <col min="2" max="2" width="4.42578125" style="194" customWidth="1"/>
    <col min="3" max="3" width="28" style="197" customWidth="1"/>
    <col min="4" max="4" width="5.85546875" style="195" customWidth="1"/>
    <col min="5" max="5" width="8.140625" style="196" customWidth="1"/>
    <col min="6" max="6" width="11" style="196" customWidth="1"/>
    <col min="7" max="7" width="8.7109375" style="196" customWidth="1"/>
    <col min="8" max="8" width="8.28515625" style="194" customWidth="1"/>
    <col min="9" max="9" width="15" style="194" customWidth="1"/>
    <col min="10" max="10" width="9.140625" style="194" customWidth="1"/>
    <col min="11" max="11" width="4.5703125" style="194" customWidth="1"/>
    <col min="12" max="12" width="33.42578125" style="194" customWidth="1"/>
    <col min="13" max="13" width="6.5703125" style="194" customWidth="1"/>
    <col min="14" max="16384" width="9.140625" style="194"/>
  </cols>
  <sheetData>
    <row r="1" spans="2:18" hidden="1" x14ac:dyDescent="0.2"/>
    <row r="3" spans="2:18" s="193" customFormat="1" ht="15" x14ac:dyDescent="0.2">
      <c r="C3" s="1284" t="s">
        <v>361</v>
      </c>
      <c r="D3" s="1284"/>
      <c r="E3" s="1284"/>
      <c r="F3" s="1284"/>
      <c r="G3" s="1284"/>
      <c r="L3" s="1284" t="s">
        <v>362</v>
      </c>
      <c r="M3" s="1284"/>
      <c r="N3" s="1284"/>
      <c r="O3" s="1284"/>
      <c r="P3" s="1284"/>
    </row>
    <row r="4" spans="2:18" x14ac:dyDescent="0.2">
      <c r="C4" s="476"/>
      <c r="L4" s="477"/>
    </row>
    <row r="5" spans="2:18" s="193" customFormat="1" ht="15" x14ac:dyDescent="0.2">
      <c r="C5" s="1285" t="s">
        <v>363</v>
      </c>
      <c r="D5" s="1285" t="s">
        <v>0</v>
      </c>
      <c r="E5" s="1285" t="s">
        <v>364</v>
      </c>
      <c r="F5" s="1285"/>
      <c r="G5" s="1285"/>
      <c r="L5" s="1285" t="s">
        <v>363</v>
      </c>
      <c r="M5" s="1285" t="s">
        <v>0</v>
      </c>
      <c r="N5" s="1285" t="s">
        <v>364</v>
      </c>
      <c r="O5" s="1285"/>
      <c r="P5" s="1285"/>
    </row>
    <row r="6" spans="2:18" s="197" customFormat="1" x14ac:dyDescent="0.2">
      <c r="B6" s="192">
        <v>1</v>
      </c>
      <c r="C6" s="1285"/>
      <c r="D6" s="1285"/>
      <c r="E6" s="198">
        <v>15</v>
      </c>
      <c r="F6" s="198">
        <v>20</v>
      </c>
      <c r="G6" s="198">
        <v>25</v>
      </c>
      <c r="K6" s="192">
        <v>1</v>
      </c>
      <c r="L6" s="1285"/>
      <c r="M6" s="1285"/>
      <c r="N6" s="198">
        <v>30</v>
      </c>
      <c r="O6" s="198">
        <v>35</v>
      </c>
      <c r="P6" s="198">
        <v>40</v>
      </c>
      <c r="R6" s="198">
        <f>Le</f>
        <v>20</v>
      </c>
    </row>
    <row r="7" spans="2:18" s="199" customFormat="1" ht="15" x14ac:dyDescent="0.2">
      <c r="B7" s="199">
        <f>B6+1</f>
        <v>2</v>
      </c>
      <c r="C7" s="200" t="s">
        <v>365</v>
      </c>
      <c r="D7" s="201" t="s">
        <v>287</v>
      </c>
      <c r="E7" s="202">
        <v>2</v>
      </c>
      <c r="F7" s="202">
        <v>2</v>
      </c>
      <c r="G7" s="202">
        <v>2</v>
      </c>
      <c r="K7" s="199">
        <f>K6+1</f>
        <v>2</v>
      </c>
      <c r="L7" s="200" t="s">
        <v>365</v>
      </c>
      <c r="M7" s="201" t="s">
        <v>287</v>
      </c>
      <c r="N7" s="202">
        <v>2</v>
      </c>
      <c r="O7" s="202">
        <v>2</v>
      </c>
      <c r="P7" s="202">
        <v>2</v>
      </c>
      <c r="R7" s="202">
        <v>2</v>
      </c>
    </row>
    <row r="8" spans="2:18" s="192" customFormat="1" ht="14.25" x14ac:dyDescent="0.2">
      <c r="B8" s="199">
        <f t="shared" ref="B8:B63" si="0">B7+1</f>
        <v>3</v>
      </c>
      <c r="C8" s="203" t="s">
        <v>196</v>
      </c>
      <c r="D8" s="204" t="s">
        <v>42</v>
      </c>
      <c r="E8" s="205">
        <f>E6+2*0.6</f>
        <v>16.2</v>
      </c>
      <c r="F8" s="205">
        <f>F6+2*0.6</f>
        <v>21.2</v>
      </c>
      <c r="G8" s="205">
        <f>G6+2*0.6</f>
        <v>26.2</v>
      </c>
      <c r="K8" s="199">
        <f t="shared" ref="K8:K72" si="1">K7+1</f>
        <v>3</v>
      </c>
      <c r="L8" s="203" t="s">
        <v>196</v>
      </c>
      <c r="M8" s="204" t="s">
        <v>42</v>
      </c>
      <c r="N8" s="205">
        <f>N6+2*0.6</f>
        <v>31.2</v>
      </c>
      <c r="O8" s="205">
        <f>O6+2*0.6</f>
        <v>36.200000000000003</v>
      </c>
      <c r="P8" s="205">
        <f>P6+2*0.6</f>
        <v>41.2</v>
      </c>
      <c r="R8" s="205">
        <f>R6+2*0.6</f>
        <v>21.2</v>
      </c>
    </row>
    <row r="9" spans="2:18" ht="14.25" x14ac:dyDescent="0.2">
      <c r="B9" s="199">
        <f t="shared" si="0"/>
        <v>4</v>
      </c>
      <c r="C9" s="203" t="s">
        <v>366</v>
      </c>
      <c r="D9" s="204" t="s">
        <v>42</v>
      </c>
      <c r="E9" s="206">
        <v>1.5</v>
      </c>
      <c r="F9" s="206">
        <v>2</v>
      </c>
      <c r="G9" s="206">
        <v>2.5</v>
      </c>
      <c r="K9" s="199">
        <f t="shared" si="1"/>
        <v>4</v>
      </c>
      <c r="L9" s="203" t="s">
        <v>366</v>
      </c>
      <c r="M9" s="204" t="s">
        <v>42</v>
      </c>
      <c r="N9" s="206">
        <v>2.4</v>
      </c>
      <c r="O9" s="206">
        <v>2.8</v>
      </c>
      <c r="P9" s="206">
        <v>3</v>
      </c>
      <c r="R9" s="206">
        <v>2.4</v>
      </c>
    </row>
    <row r="10" spans="2:18" ht="14.25" x14ac:dyDescent="0.2">
      <c r="B10" s="199">
        <f t="shared" si="0"/>
        <v>5</v>
      </c>
      <c r="C10" s="203" t="s">
        <v>367</v>
      </c>
      <c r="D10" s="204" t="s">
        <v>42</v>
      </c>
      <c r="E10" s="206">
        <v>0.7</v>
      </c>
      <c r="F10" s="206">
        <v>0.7</v>
      </c>
      <c r="G10" s="206">
        <v>0.7</v>
      </c>
      <c r="K10" s="199">
        <f t="shared" si="1"/>
        <v>5</v>
      </c>
      <c r="L10" s="203" t="s">
        <v>367</v>
      </c>
      <c r="M10" s="204" t="s">
        <v>42</v>
      </c>
      <c r="N10" s="206">
        <v>0.75</v>
      </c>
      <c r="O10" s="206">
        <v>0.75</v>
      </c>
      <c r="P10" s="206">
        <v>0.75</v>
      </c>
      <c r="R10" s="206">
        <v>0.75</v>
      </c>
    </row>
    <row r="11" spans="2:18" ht="25.5" x14ac:dyDescent="0.2">
      <c r="B11" s="199">
        <f t="shared" si="0"/>
        <v>6</v>
      </c>
      <c r="C11" s="203" t="s">
        <v>368</v>
      </c>
      <c r="D11" s="204" t="s">
        <v>42</v>
      </c>
      <c r="E11" s="206">
        <v>4.3</v>
      </c>
      <c r="F11" s="206">
        <v>4.3</v>
      </c>
      <c r="G11" s="206">
        <v>4.3</v>
      </c>
      <c r="K11" s="199">
        <f t="shared" si="1"/>
        <v>6</v>
      </c>
      <c r="L11" s="203" t="s">
        <v>368</v>
      </c>
      <c r="M11" s="204" t="s">
        <v>42</v>
      </c>
      <c r="N11" s="206">
        <v>4.25</v>
      </c>
      <c r="O11" s="206">
        <v>4.25</v>
      </c>
      <c r="P11" s="206">
        <v>4.25</v>
      </c>
      <c r="R11" s="206">
        <v>4.25</v>
      </c>
    </row>
    <row r="12" spans="2:18" s="207" customFormat="1" ht="27" x14ac:dyDescent="0.2">
      <c r="B12" s="199">
        <f t="shared" si="0"/>
        <v>7</v>
      </c>
      <c r="C12" s="208" t="s">
        <v>418</v>
      </c>
      <c r="D12" s="209" t="s">
        <v>42</v>
      </c>
      <c r="E12" s="210">
        <f>E8-2*E21-2*E19</f>
        <v>10.199999999999999</v>
      </c>
      <c r="F12" s="210">
        <f>F8-2*F21-2*F19</f>
        <v>15.2</v>
      </c>
      <c r="G12" s="210">
        <f>G8-2*G21-2*G19</f>
        <v>20.2</v>
      </c>
      <c r="K12" s="199">
        <f t="shared" si="1"/>
        <v>7</v>
      </c>
      <c r="L12" s="208" t="s">
        <v>412</v>
      </c>
      <c r="M12" s="209" t="s">
        <v>42</v>
      </c>
      <c r="N12" s="292">
        <f>7.5*2</f>
        <v>15</v>
      </c>
      <c r="O12" s="292">
        <f>2*8.75</f>
        <v>17.5</v>
      </c>
      <c r="P12" s="210">
        <f>10*2</f>
        <v>20</v>
      </c>
      <c r="R12" s="292">
        <f>7.5*2</f>
        <v>15</v>
      </c>
    </row>
    <row r="13" spans="2:18" s="207" customFormat="1" ht="14.25" x14ac:dyDescent="0.2">
      <c r="B13" s="199">
        <f t="shared" si="0"/>
        <v>8</v>
      </c>
      <c r="C13" s="208" t="s">
        <v>415</v>
      </c>
      <c r="D13" s="209" t="s">
        <v>42</v>
      </c>
      <c r="E13" s="292">
        <v>0.32500000000000001</v>
      </c>
      <c r="F13" s="292">
        <v>0.32500000000000001</v>
      </c>
      <c r="G13" s="210">
        <v>0.32500000000000001</v>
      </c>
      <c r="K13" s="199">
        <f t="shared" si="1"/>
        <v>8</v>
      </c>
      <c r="L13" s="208" t="s">
        <v>414</v>
      </c>
      <c r="M13" s="209" t="s">
        <v>42</v>
      </c>
      <c r="N13" s="292">
        <v>0.3</v>
      </c>
      <c r="O13" s="292">
        <v>0.3</v>
      </c>
      <c r="P13" s="210">
        <v>0.3</v>
      </c>
      <c r="R13" s="292">
        <v>0.3</v>
      </c>
    </row>
    <row r="14" spans="2:18" ht="14.25" x14ac:dyDescent="0.2">
      <c r="B14" s="199">
        <f t="shared" si="0"/>
        <v>9</v>
      </c>
      <c r="C14" s="203" t="s">
        <v>369</v>
      </c>
      <c r="D14" s="204" t="s">
        <v>42</v>
      </c>
      <c r="E14" s="206">
        <v>0.25</v>
      </c>
      <c r="F14" s="206">
        <v>0.25</v>
      </c>
      <c r="G14" s="206">
        <v>0.25</v>
      </c>
      <c r="K14" s="199">
        <f t="shared" si="1"/>
        <v>9</v>
      </c>
      <c r="L14" s="203" t="s">
        <v>369</v>
      </c>
      <c r="M14" s="204" t="s">
        <v>42</v>
      </c>
      <c r="N14" s="206">
        <v>0.3</v>
      </c>
      <c r="O14" s="206">
        <v>0.3</v>
      </c>
      <c r="P14" s="206">
        <v>0.3</v>
      </c>
      <c r="R14" s="206">
        <v>0.3</v>
      </c>
    </row>
    <row r="15" spans="2:18" ht="14.25" x14ac:dyDescent="0.2">
      <c r="B15" s="199">
        <f t="shared" si="0"/>
        <v>10</v>
      </c>
      <c r="C15" s="203" t="s">
        <v>370</v>
      </c>
      <c r="D15" s="204" t="s">
        <v>42</v>
      </c>
      <c r="E15" s="206">
        <v>0.24</v>
      </c>
      <c r="F15" s="206">
        <v>0.24</v>
      </c>
      <c r="G15" s="206">
        <v>0.24</v>
      </c>
      <c r="K15" s="199">
        <f t="shared" si="1"/>
        <v>10</v>
      </c>
      <c r="L15" s="203" t="s">
        <v>370</v>
      </c>
      <c r="M15" s="204" t="s">
        <v>42</v>
      </c>
      <c r="N15" s="206">
        <f>SQRT(POWER(0.225,2)+POWER(0.3,2))</f>
        <v>0.375</v>
      </c>
      <c r="O15" s="206">
        <f>SQRT(POWER(0.225,2)+POWER(0.3,2))</f>
        <v>0.375</v>
      </c>
      <c r="P15" s="206">
        <f>SQRT(POWER(0.225,2)+POWER(0.3,2))</f>
        <v>0.375</v>
      </c>
      <c r="R15" s="206">
        <f>SQRT(POWER(0.225,2)+POWER(0.3,2))</f>
        <v>0.375</v>
      </c>
    </row>
    <row r="16" spans="2:18" ht="25.5" x14ac:dyDescent="0.2">
      <c r="B16" s="199">
        <f t="shared" si="0"/>
        <v>11</v>
      </c>
      <c r="C16" s="203" t="s">
        <v>371</v>
      </c>
      <c r="D16" s="204" t="s">
        <v>372</v>
      </c>
      <c r="E16" s="206">
        <f>E9*1000-(300+150)-(250+150)</f>
        <v>650</v>
      </c>
      <c r="F16" s="206">
        <f>F9*1000-(300+150)-(250+150)</f>
        <v>1150</v>
      </c>
      <c r="G16" s="206">
        <f>G9*1000-(300+150)-(250+150)</f>
        <v>1650</v>
      </c>
      <c r="K16" s="199">
        <f t="shared" si="1"/>
        <v>11</v>
      </c>
      <c r="L16" s="203" t="s">
        <v>371</v>
      </c>
      <c r="M16" s="204" t="s">
        <v>372</v>
      </c>
      <c r="N16" s="206">
        <f>N9*1000-(300+150)-(300+300)</f>
        <v>1350</v>
      </c>
      <c r="O16" s="206">
        <f>O9*1000-(300+150)-(300+300)</f>
        <v>1750</v>
      </c>
      <c r="P16" s="206">
        <f>P9*1000-(300+150)-(300+300)</f>
        <v>1950</v>
      </c>
      <c r="R16" s="206">
        <f>R9*1000-(300+150)-(300+300)</f>
        <v>1350</v>
      </c>
    </row>
    <row r="17" spans="2:18" ht="14.25" x14ac:dyDescent="0.2">
      <c r="B17" s="199">
        <f t="shared" si="0"/>
        <v>12</v>
      </c>
      <c r="C17" s="208" t="s">
        <v>373</v>
      </c>
      <c r="D17" s="204"/>
      <c r="E17" s="206"/>
      <c r="F17" s="206"/>
      <c r="G17" s="206"/>
      <c r="K17" s="199">
        <f t="shared" si="1"/>
        <v>12</v>
      </c>
      <c r="L17" s="208" t="s">
        <v>413</v>
      </c>
      <c r="M17" s="209" t="s">
        <v>42</v>
      </c>
      <c r="N17" s="216">
        <f>7.5-1.2-0.9</f>
        <v>5.3999999999999995</v>
      </c>
      <c r="O17" s="216">
        <f>8.75-1.5-0.9</f>
        <v>6.35</v>
      </c>
      <c r="P17" s="206">
        <v>7.45</v>
      </c>
      <c r="R17" s="216">
        <f>7.5-1.2-0.9</f>
        <v>5.3999999999999995</v>
      </c>
    </row>
    <row r="18" spans="2:18" ht="14.25" x14ac:dyDescent="0.2">
      <c r="B18" s="199">
        <f t="shared" si="0"/>
        <v>13</v>
      </c>
      <c r="C18" s="208"/>
      <c r="D18" s="204"/>
      <c r="E18" s="206"/>
      <c r="F18" s="206"/>
      <c r="G18" s="206"/>
      <c r="K18" s="199">
        <f t="shared" si="1"/>
        <v>13</v>
      </c>
      <c r="L18" s="208" t="s">
        <v>415</v>
      </c>
      <c r="M18" s="209" t="s">
        <v>42</v>
      </c>
      <c r="N18" s="216">
        <v>0.45</v>
      </c>
      <c r="O18" s="216">
        <v>0.45</v>
      </c>
      <c r="P18" s="206">
        <v>0.45</v>
      </c>
      <c r="R18" s="216">
        <v>0.45</v>
      </c>
    </row>
    <row r="19" spans="2:18" ht="14.25" x14ac:dyDescent="0.2">
      <c r="B19" s="199">
        <f t="shared" si="0"/>
        <v>14</v>
      </c>
      <c r="C19" s="203" t="s">
        <v>196</v>
      </c>
      <c r="D19" s="204" t="s">
        <v>42</v>
      </c>
      <c r="E19" s="206">
        <v>1</v>
      </c>
      <c r="F19" s="206">
        <v>1</v>
      </c>
      <c r="G19" s="206">
        <v>1</v>
      </c>
      <c r="K19" s="199">
        <f t="shared" si="1"/>
        <v>14</v>
      </c>
      <c r="L19" s="203" t="s">
        <v>369</v>
      </c>
      <c r="M19" s="204" t="s">
        <v>42</v>
      </c>
      <c r="N19" s="206">
        <v>0.3</v>
      </c>
      <c r="O19" s="206">
        <v>0.3</v>
      </c>
      <c r="P19" s="206">
        <v>0.3</v>
      </c>
      <c r="R19" s="206">
        <v>0.3</v>
      </c>
    </row>
    <row r="20" spans="2:18" s="207" customFormat="1" ht="14.25" x14ac:dyDescent="0.2">
      <c r="B20" s="199">
        <f t="shared" si="0"/>
        <v>15</v>
      </c>
      <c r="C20" s="208" t="s">
        <v>419</v>
      </c>
      <c r="D20" s="209"/>
      <c r="E20" s="210"/>
      <c r="F20" s="210"/>
      <c r="G20" s="210"/>
      <c r="K20" s="199">
        <f t="shared" si="1"/>
        <v>15</v>
      </c>
      <c r="L20" s="203" t="s">
        <v>370</v>
      </c>
      <c r="M20" s="204" t="s">
        <v>42</v>
      </c>
      <c r="N20" s="206">
        <f>SQRT(POWER(0.15,2)+POWER(0.2,2))</f>
        <v>0.25</v>
      </c>
      <c r="O20" s="206">
        <f>SQRT(POWER(0.15,2)+POWER(0.2,2))</f>
        <v>0.25</v>
      </c>
      <c r="P20" s="206">
        <f>SQRT(POWER(0.15,2)+POWER(0.2,2))</f>
        <v>0.25</v>
      </c>
      <c r="R20" s="206">
        <f>SQRT(POWER(0.15,2)+POWER(0.2,2))</f>
        <v>0.25</v>
      </c>
    </row>
    <row r="21" spans="2:18" ht="25.5" x14ac:dyDescent="0.2">
      <c r="B21" s="199">
        <f t="shared" si="0"/>
        <v>16</v>
      </c>
      <c r="C21" s="203" t="s">
        <v>196</v>
      </c>
      <c r="D21" s="204" t="s">
        <v>42</v>
      </c>
      <c r="E21" s="206">
        <v>2</v>
      </c>
      <c r="F21" s="206">
        <v>2</v>
      </c>
      <c r="G21" s="206">
        <v>2</v>
      </c>
      <c r="K21" s="199">
        <f t="shared" si="1"/>
        <v>16</v>
      </c>
      <c r="L21" s="203" t="s">
        <v>371</v>
      </c>
      <c r="M21" s="204" t="s">
        <v>372</v>
      </c>
      <c r="N21" s="206">
        <f>N9*1000-(300+150)-(200+300)</f>
        <v>1450</v>
      </c>
      <c r="O21" s="206">
        <f>O9*1000-(300+150)-(200+300)</f>
        <v>1850</v>
      </c>
      <c r="P21" s="206">
        <f>P9*1000-(300+150)-(200+300)</f>
        <v>2050</v>
      </c>
      <c r="R21" s="206">
        <f>R9*1000-(300+150)-(200+300)</f>
        <v>1450</v>
      </c>
    </row>
    <row r="22" spans="2:18" ht="14.25" x14ac:dyDescent="0.2">
      <c r="B22" s="199">
        <f t="shared" si="0"/>
        <v>17</v>
      </c>
      <c r="C22" s="203" t="s">
        <v>375</v>
      </c>
      <c r="D22" s="204" t="s">
        <v>42</v>
      </c>
      <c r="E22" s="206">
        <f>(E9-0.3)</f>
        <v>1.2</v>
      </c>
      <c r="F22" s="206">
        <f>(F9-0.3)</f>
        <v>1.7</v>
      </c>
      <c r="G22" s="206">
        <f>(G9-0.3)</f>
        <v>2.2000000000000002</v>
      </c>
      <c r="K22" s="199">
        <f t="shared" si="1"/>
        <v>17</v>
      </c>
      <c r="L22" s="208" t="s">
        <v>373</v>
      </c>
      <c r="M22" s="204"/>
      <c r="N22" s="206"/>
      <c r="O22" s="206"/>
      <c r="P22" s="206"/>
      <c r="R22" s="206"/>
    </row>
    <row r="23" spans="2:18" ht="14.25" x14ac:dyDescent="0.2">
      <c r="B23" s="199">
        <f t="shared" si="0"/>
        <v>18</v>
      </c>
      <c r="C23" s="203"/>
      <c r="D23" s="211"/>
      <c r="E23" s="206"/>
      <c r="F23" s="206"/>
      <c r="G23" s="206"/>
      <c r="K23" s="199">
        <f t="shared" si="1"/>
        <v>18</v>
      </c>
      <c r="L23" s="203" t="s">
        <v>196</v>
      </c>
      <c r="M23" s="204" t="s">
        <v>42</v>
      </c>
      <c r="N23" s="206">
        <v>0.9</v>
      </c>
      <c r="O23" s="206">
        <v>0.9</v>
      </c>
      <c r="P23" s="206">
        <v>0.9</v>
      </c>
      <c r="R23" s="206">
        <v>0.9</v>
      </c>
    </row>
    <row r="24" spans="2:18" s="199" customFormat="1" ht="15" x14ac:dyDescent="0.2">
      <c r="B24" s="199">
        <f t="shared" si="0"/>
        <v>19</v>
      </c>
      <c r="C24" s="200" t="s">
        <v>205</v>
      </c>
      <c r="D24" s="201"/>
      <c r="E24" s="202"/>
      <c r="F24" s="202"/>
      <c r="G24" s="202"/>
      <c r="K24" s="199">
        <f t="shared" si="1"/>
        <v>19</v>
      </c>
      <c r="L24" s="208" t="s">
        <v>374</v>
      </c>
      <c r="M24" s="209"/>
      <c r="N24" s="210"/>
      <c r="O24" s="210"/>
      <c r="P24" s="210"/>
      <c r="R24" s="210"/>
    </row>
    <row r="25" spans="2:18" ht="14.25" x14ac:dyDescent="0.2">
      <c r="B25" s="199">
        <f t="shared" si="0"/>
        <v>20</v>
      </c>
      <c r="C25" s="203" t="s">
        <v>287</v>
      </c>
      <c r="D25" s="211"/>
      <c r="E25" s="206">
        <v>3</v>
      </c>
      <c r="F25" s="206">
        <v>3</v>
      </c>
      <c r="G25" s="206">
        <v>3</v>
      </c>
      <c r="K25" s="199">
        <f t="shared" si="1"/>
        <v>20</v>
      </c>
      <c r="L25" s="203" t="s">
        <v>196</v>
      </c>
      <c r="M25" s="204" t="s">
        <v>42</v>
      </c>
      <c r="N25" s="216">
        <f>0.6+1.2</f>
        <v>1.7999999999999998</v>
      </c>
      <c r="O25" s="216">
        <f>0.6+1.5</f>
        <v>2.1</v>
      </c>
      <c r="P25" s="216">
        <v>2.25</v>
      </c>
      <c r="R25" s="216">
        <f>0.6+1.2</f>
        <v>1.7999999999999998</v>
      </c>
    </row>
    <row r="26" spans="2:18" ht="14.25" x14ac:dyDescent="0.2">
      <c r="B26" s="199">
        <f t="shared" si="0"/>
        <v>21</v>
      </c>
      <c r="C26" s="203" t="s">
        <v>367</v>
      </c>
      <c r="D26" s="204" t="s">
        <v>42</v>
      </c>
      <c r="E26" s="206">
        <v>0.32500000000000001</v>
      </c>
      <c r="F26" s="206">
        <v>0.32500000000000001</v>
      </c>
      <c r="G26" s="206">
        <v>0.32500000000000001</v>
      </c>
      <c r="K26" s="199">
        <f t="shared" si="1"/>
        <v>21</v>
      </c>
      <c r="L26" s="203" t="s">
        <v>375</v>
      </c>
      <c r="M26" s="204" t="s">
        <v>42</v>
      </c>
      <c r="N26" s="206">
        <f>(N9-0.3)</f>
        <v>2.1</v>
      </c>
      <c r="O26" s="206">
        <f>(O9-0.3)</f>
        <v>2.5</v>
      </c>
      <c r="P26" s="206">
        <f>(P9-0.3)</f>
        <v>2.7</v>
      </c>
      <c r="R26" s="206">
        <f>(R9-0.3)</f>
        <v>2.1</v>
      </c>
    </row>
    <row r="27" spans="2:18" ht="14.25" x14ac:dyDescent="0.2">
      <c r="B27" s="199">
        <f t="shared" si="0"/>
        <v>22</v>
      </c>
      <c r="C27" s="203" t="s">
        <v>380</v>
      </c>
      <c r="D27" s="204" t="s">
        <v>42</v>
      </c>
      <c r="E27" s="216">
        <f>1.5-0.3-0.25</f>
        <v>0.95</v>
      </c>
      <c r="F27" s="216">
        <v>1.45</v>
      </c>
      <c r="G27" s="206">
        <v>1.95</v>
      </c>
      <c r="K27" s="199">
        <f t="shared" si="1"/>
        <v>22</v>
      </c>
      <c r="L27" s="203"/>
      <c r="M27" s="204"/>
      <c r="N27" s="206"/>
      <c r="O27" s="206"/>
      <c r="P27" s="206"/>
      <c r="R27" s="206"/>
    </row>
    <row r="28" spans="2:18" ht="14.25" x14ac:dyDescent="0.2">
      <c r="B28" s="199">
        <f t="shared" si="0"/>
        <v>23</v>
      </c>
      <c r="C28" s="203" t="s">
        <v>376</v>
      </c>
      <c r="D28" s="204" t="s">
        <v>42</v>
      </c>
      <c r="E28" s="206">
        <v>2.85</v>
      </c>
      <c r="F28" s="206">
        <v>3.07</v>
      </c>
      <c r="G28" s="206">
        <v>3.35</v>
      </c>
      <c r="K28" s="199">
        <f t="shared" si="1"/>
        <v>23</v>
      </c>
      <c r="L28" s="203"/>
      <c r="M28" s="211"/>
      <c r="N28" s="206"/>
      <c r="O28" s="206"/>
      <c r="P28" s="206"/>
      <c r="R28" s="206"/>
    </row>
    <row r="29" spans="2:18" ht="25.5" x14ac:dyDescent="0.2">
      <c r="B29" s="199">
        <f t="shared" si="0"/>
        <v>24</v>
      </c>
      <c r="C29" s="203" t="s">
        <v>377</v>
      </c>
      <c r="D29" s="204" t="s">
        <v>217</v>
      </c>
      <c r="E29" s="206">
        <v>1.42</v>
      </c>
      <c r="F29" s="206">
        <v>2.177</v>
      </c>
      <c r="G29" s="206">
        <v>2.9329999999999998</v>
      </c>
      <c r="K29" s="199">
        <f t="shared" si="1"/>
        <v>24</v>
      </c>
      <c r="L29" s="200" t="s">
        <v>205</v>
      </c>
      <c r="M29" s="201"/>
      <c r="N29" s="202"/>
      <c r="O29" s="202"/>
      <c r="P29" s="202"/>
      <c r="R29" s="202"/>
    </row>
    <row r="30" spans="2:18" ht="14.25" x14ac:dyDescent="0.2">
      <c r="B30" s="199">
        <f t="shared" si="0"/>
        <v>25</v>
      </c>
      <c r="C30" s="203" t="s">
        <v>378</v>
      </c>
      <c r="D30" s="204" t="s">
        <v>42</v>
      </c>
      <c r="E30" s="206">
        <v>3.75</v>
      </c>
      <c r="F30" s="206">
        <v>5</v>
      </c>
      <c r="G30" s="206">
        <v>6.25</v>
      </c>
      <c r="K30" s="199">
        <f t="shared" si="1"/>
        <v>25</v>
      </c>
      <c r="L30" s="203" t="s">
        <v>287</v>
      </c>
      <c r="M30" s="211"/>
      <c r="N30" s="206">
        <v>3</v>
      </c>
      <c r="O30" s="206">
        <v>3</v>
      </c>
      <c r="P30" s="206">
        <v>3</v>
      </c>
      <c r="R30" s="206">
        <v>3</v>
      </c>
    </row>
    <row r="31" spans="2:18" ht="14.25" x14ac:dyDescent="0.2">
      <c r="B31" s="199">
        <f t="shared" si="0"/>
        <v>26</v>
      </c>
      <c r="C31" s="203" t="s">
        <v>379</v>
      </c>
      <c r="D31" s="204" t="s">
        <v>42</v>
      </c>
      <c r="E31" s="206">
        <f>E30-0.325</f>
        <v>3.4249999999999998</v>
      </c>
      <c r="F31" s="206">
        <f>F30-0.325</f>
        <v>4.6749999999999998</v>
      </c>
      <c r="G31" s="206">
        <f>G30-0.325</f>
        <v>5.9249999999999998</v>
      </c>
      <c r="K31" s="199">
        <f t="shared" si="1"/>
        <v>26</v>
      </c>
      <c r="L31" s="203" t="s">
        <v>367</v>
      </c>
      <c r="M31" s="204" t="s">
        <v>42</v>
      </c>
      <c r="N31" s="206">
        <v>0.3</v>
      </c>
      <c r="O31" s="206">
        <v>0.3</v>
      </c>
      <c r="P31" s="206">
        <v>0.3</v>
      </c>
      <c r="R31" s="206">
        <v>0.3</v>
      </c>
    </row>
    <row r="32" spans="2:18" ht="14.25" x14ac:dyDescent="0.2">
      <c r="B32" s="199">
        <f t="shared" si="0"/>
        <v>27</v>
      </c>
      <c r="C32" s="203"/>
      <c r="D32" s="211"/>
      <c r="E32" s="206"/>
      <c r="F32" s="206"/>
      <c r="G32" s="206"/>
      <c r="K32" s="199">
        <f t="shared" si="1"/>
        <v>27</v>
      </c>
      <c r="L32" s="203" t="s">
        <v>380</v>
      </c>
      <c r="M32" s="204" t="s">
        <v>42</v>
      </c>
      <c r="N32" s="206">
        <f>N26-N19</f>
        <v>1.8</v>
      </c>
      <c r="O32" s="212">
        <f>O26-O19</f>
        <v>2.2000000000000002</v>
      </c>
      <c r="P32" s="206">
        <f>P26-P19</f>
        <v>2.4000000000000004</v>
      </c>
      <c r="R32" s="206">
        <f>R26-R19</f>
        <v>1.8</v>
      </c>
    </row>
    <row r="33" spans="2:18" s="199" customFormat="1" ht="15" x14ac:dyDescent="0.2">
      <c r="B33" s="199">
        <f t="shared" si="0"/>
        <v>28</v>
      </c>
      <c r="C33" s="200" t="s">
        <v>381</v>
      </c>
      <c r="D33" s="201"/>
      <c r="E33" s="202"/>
      <c r="F33" s="202"/>
      <c r="G33" s="202"/>
      <c r="K33" s="199">
        <f t="shared" si="1"/>
        <v>28</v>
      </c>
      <c r="L33" s="203" t="s">
        <v>376</v>
      </c>
      <c r="M33" s="204" t="s">
        <v>42</v>
      </c>
      <c r="N33" s="206">
        <v>3.24</v>
      </c>
      <c r="O33" s="206">
        <v>3.49</v>
      </c>
      <c r="P33" s="206">
        <v>3.625</v>
      </c>
      <c r="R33" s="206">
        <v>3.24</v>
      </c>
    </row>
    <row r="34" spans="2:18" ht="14.25" x14ac:dyDescent="0.2">
      <c r="B34" s="199">
        <f t="shared" si="0"/>
        <v>29</v>
      </c>
      <c r="C34" s="203" t="s">
        <v>287</v>
      </c>
      <c r="D34" s="211"/>
      <c r="E34" s="206">
        <v>2</v>
      </c>
      <c r="F34" s="206">
        <v>2</v>
      </c>
      <c r="G34" s="206">
        <v>2</v>
      </c>
      <c r="K34" s="199">
        <f t="shared" si="1"/>
        <v>29</v>
      </c>
      <c r="L34" s="203" t="s">
        <v>377</v>
      </c>
      <c r="M34" s="204" t="s">
        <v>217</v>
      </c>
      <c r="N34" s="206">
        <v>2.734</v>
      </c>
      <c r="O34" s="206">
        <v>3.35</v>
      </c>
      <c r="P34" s="206">
        <v>3.657</v>
      </c>
      <c r="R34" s="206">
        <v>2.734</v>
      </c>
    </row>
    <row r="35" spans="2:18" ht="25.5" x14ac:dyDescent="0.2">
      <c r="B35" s="199">
        <f t="shared" si="0"/>
        <v>30</v>
      </c>
      <c r="C35" s="203" t="s">
        <v>368</v>
      </c>
      <c r="D35" s="204" t="s">
        <v>42</v>
      </c>
      <c r="E35" s="206">
        <v>4.3</v>
      </c>
      <c r="F35" s="206">
        <v>4.3</v>
      </c>
      <c r="G35" s="206">
        <v>4.3</v>
      </c>
      <c r="K35" s="199">
        <f t="shared" si="1"/>
        <v>30</v>
      </c>
      <c r="L35" s="203" t="s">
        <v>378</v>
      </c>
      <c r="M35" s="204" t="s">
        <v>42</v>
      </c>
      <c r="N35" s="206">
        <v>7.5</v>
      </c>
      <c r="O35" s="206">
        <v>8.75</v>
      </c>
      <c r="P35" s="206">
        <v>10</v>
      </c>
      <c r="R35" s="206">
        <v>7.5</v>
      </c>
    </row>
    <row r="36" spans="2:18" ht="14.25" x14ac:dyDescent="0.2">
      <c r="B36" s="199">
        <f t="shared" si="0"/>
        <v>31</v>
      </c>
      <c r="C36" s="203" t="s">
        <v>367</v>
      </c>
      <c r="D36" s="204" t="s">
        <v>42</v>
      </c>
      <c r="E36" s="206">
        <v>0.4</v>
      </c>
      <c r="F36" s="206">
        <v>0.4</v>
      </c>
      <c r="G36" s="206">
        <v>0.4</v>
      </c>
      <c r="K36" s="199">
        <f t="shared" si="1"/>
        <v>31</v>
      </c>
      <c r="L36" s="203" t="s">
        <v>379</v>
      </c>
      <c r="M36" s="204" t="s">
        <v>42</v>
      </c>
      <c r="N36" s="206">
        <f>N35-N31</f>
        <v>7.2</v>
      </c>
      <c r="O36" s="206">
        <f>O35-O31</f>
        <v>8.4499999999999993</v>
      </c>
      <c r="P36" s="206">
        <f>P35-P31</f>
        <v>9.6999999999999993</v>
      </c>
      <c r="R36" s="206">
        <f>R35-R31</f>
        <v>7.2</v>
      </c>
    </row>
    <row r="37" spans="2:18" ht="14.25" x14ac:dyDescent="0.2">
      <c r="B37" s="199">
        <f t="shared" si="0"/>
        <v>32</v>
      </c>
      <c r="C37" s="203" t="s">
        <v>376</v>
      </c>
      <c r="D37" s="204" t="s">
        <v>42</v>
      </c>
      <c r="E37" s="206">
        <v>2.5739999999999998</v>
      </c>
      <c r="F37" s="206">
        <v>2.8149999999999999</v>
      </c>
      <c r="G37" s="206">
        <v>3.1190000000000002</v>
      </c>
      <c r="K37" s="199">
        <f t="shared" si="1"/>
        <v>32</v>
      </c>
      <c r="L37" s="203"/>
      <c r="M37" s="211"/>
      <c r="N37" s="206"/>
      <c r="O37" s="206"/>
      <c r="P37" s="206"/>
      <c r="R37" s="206"/>
    </row>
    <row r="38" spans="2:18" ht="25.5" x14ac:dyDescent="0.2">
      <c r="B38" s="199">
        <f t="shared" si="0"/>
        <v>33</v>
      </c>
      <c r="C38" s="203" t="s">
        <v>377</v>
      </c>
      <c r="D38" s="204" t="s">
        <v>217</v>
      </c>
      <c r="E38" s="206">
        <v>1.405</v>
      </c>
      <c r="F38" s="206">
        <v>2.1419999999999999</v>
      </c>
      <c r="G38" s="206">
        <v>2.88</v>
      </c>
      <c r="K38" s="199">
        <f t="shared" si="1"/>
        <v>33</v>
      </c>
      <c r="L38" s="200" t="s">
        <v>381</v>
      </c>
      <c r="M38" s="201"/>
      <c r="N38" s="202"/>
      <c r="O38" s="202"/>
      <c r="P38" s="202"/>
      <c r="R38" s="202"/>
    </row>
    <row r="39" spans="2:18" ht="25.5" x14ac:dyDescent="0.2">
      <c r="B39" s="199">
        <f t="shared" si="0"/>
        <v>34</v>
      </c>
      <c r="C39" s="203" t="s">
        <v>382</v>
      </c>
      <c r="D39" s="204" t="s">
        <v>42</v>
      </c>
      <c r="E39" s="206">
        <v>3.75</v>
      </c>
      <c r="F39" s="206">
        <v>5</v>
      </c>
      <c r="G39" s="206">
        <v>6.25</v>
      </c>
      <c r="K39" s="199">
        <f t="shared" si="1"/>
        <v>34</v>
      </c>
      <c r="L39" s="203" t="s">
        <v>287</v>
      </c>
      <c r="M39" s="211"/>
      <c r="N39" s="206">
        <v>2</v>
      </c>
      <c r="O39" s="206">
        <v>2</v>
      </c>
      <c r="P39" s="206">
        <v>2</v>
      </c>
      <c r="R39" s="206">
        <v>2</v>
      </c>
    </row>
    <row r="40" spans="2:18" ht="25.5" x14ac:dyDescent="0.2">
      <c r="B40" s="199">
        <f t="shared" si="0"/>
        <v>35</v>
      </c>
      <c r="C40" s="203" t="s">
        <v>383</v>
      </c>
      <c r="D40" s="204" t="s">
        <v>42</v>
      </c>
      <c r="E40" s="206">
        <f>E39-0.325</f>
        <v>3.4249999999999998</v>
      </c>
      <c r="F40" s="206">
        <f>F39-0.325</f>
        <v>4.6749999999999998</v>
      </c>
      <c r="G40" s="206">
        <f>G39-0.325</f>
        <v>5.9249999999999998</v>
      </c>
      <c r="K40" s="199">
        <f t="shared" si="1"/>
        <v>35</v>
      </c>
      <c r="L40" s="203" t="s">
        <v>368</v>
      </c>
      <c r="M40" s="204" t="s">
        <v>42</v>
      </c>
      <c r="N40" s="206">
        <v>4.25</v>
      </c>
      <c r="O40" s="206">
        <v>4.25</v>
      </c>
      <c r="P40" s="206">
        <v>4.25</v>
      </c>
      <c r="R40" s="206">
        <v>4.25</v>
      </c>
    </row>
    <row r="41" spans="2:18" ht="14.25" x14ac:dyDescent="0.2">
      <c r="B41" s="199">
        <f t="shared" si="0"/>
        <v>36</v>
      </c>
      <c r="C41" s="203"/>
      <c r="D41" s="211"/>
      <c r="E41" s="206"/>
      <c r="F41" s="206"/>
      <c r="G41" s="206"/>
      <c r="K41" s="199">
        <f t="shared" si="1"/>
        <v>36</v>
      </c>
      <c r="L41" s="203" t="s">
        <v>367</v>
      </c>
      <c r="M41" s="204" t="s">
        <v>42</v>
      </c>
      <c r="N41" s="206">
        <v>0.4</v>
      </c>
      <c r="O41" s="206">
        <v>0.4</v>
      </c>
      <c r="P41" s="206">
        <v>0.4</v>
      </c>
      <c r="R41" s="206">
        <v>0.4</v>
      </c>
    </row>
    <row r="42" spans="2:18" s="199" customFormat="1" ht="15" x14ac:dyDescent="0.2">
      <c r="B42" s="199">
        <f t="shared" si="0"/>
        <v>37</v>
      </c>
      <c r="C42" s="200" t="s">
        <v>384</v>
      </c>
      <c r="D42" s="201"/>
      <c r="E42" s="202"/>
      <c r="F42" s="202"/>
      <c r="G42" s="202"/>
      <c r="K42" s="199">
        <f t="shared" si="1"/>
        <v>37</v>
      </c>
      <c r="L42" s="203" t="s">
        <v>376</v>
      </c>
      <c r="M42" s="204" t="s">
        <v>42</v>
      </c>
      <c r="N42" s="206">
        <v>3.0339999999999998</v>
      </c>
      <c r="O42" s="206">
        <v>3.306</v>
      </c>
      <c r="P42" s="206">
        <v>3.4510000000000001</v>
      </c>
      <c r="R42" s="206">
        <v>3.0339999999999998</v>
      </c>
    </row>
    <row r="43" spans="2:18" s="192" customFormat="1" ht="14.25" x14ac:dyDescent="0.2">
      <c r="B43" s="199">
        <f t="shared" si="0"/>
        <v>38</v>
      </c>
      <c r="C43" s="203" t="s">
        <v>385</v>
      </c>
      <c r="D43" s="204" t="s">
        <v>42</v>
      </c>
      <c r="E43" s="205">
        <v>11</v>
      </c>
      <c r="F43" s="205">
        <v>11</v>
      </c>
      <c r="G43" s="205">
        <v>11</v>
      </c>
      <c r="K43" s="199">
        <f t="shared" si="1"/>
        <v>38</v>
      </c>
      <c r="L43" s="203" t="s">
        <v>377</v>
      </c>
      <c r="M43" s="204" t="s">
        <v>217</v>
      </c>
      <c r="N43" s="206">
        <v>2.7090000000000001</v>
      </c>
      <c r="O43" s="206">
        <v>3.294</v>
      </c>
      <c r="P43" s="206">
        <v>3.5870000000000002</v>
      </c>
      <c r="R43" s="206">
        <v>2.7090000000000001</v>
      </c>
    </row>
    <row r="44" spans="2:18" s="192" customFormat="1" ht="25.5" x14ac:dyDescent="0.2">
      <c r="B44" s="199">
        <f t="shared" si="0"/>
        <v>39</v>
      </c>
      <c r="C44" s="203" t="s">
        <v>386</v>
      </c>
      <c r="D44" s="204" t="s">
        <v>42</v>
      </c>
      <c r="E44" s="206">
        <v>0.2</v>
      </c>
      <c r="F44" s="206">
        <v>0.2</v>
      </c>
      <c r="G44" s="206">
        <v>0.2</v>
      </c>
      <c r="K44" s="199">
        <f t="shared" si="1"/>
        <v>39</v>
      </c>
      <c r="L44" s="203" t="s">
        <v>382</v>
      </c>
      <c r="M44" s="204" t="s">
        <v>42</v>
      </c>
      <c r="N44" s="206">
        <f>N35</f>
        <v>7.5</v>
      </c>
      <c r="O44" s="206">
        <f>O35</f>
        <v>8.75</v>
      </c>
      <c r="P44" s="206">
        <f>P35</f>
        <v>10</v>
      </c>
      <c r="R44" s="206">
        <f>R35</f>
        <v>7.5</v>
      </c>
    </row>
    <row r="45" spans="2:18" s="192" customFormat="1" ht="25.5" x14ac:dyDescent="0.2">
      <c r="B45" s="199">
        <f t="shared" si="0"/>
        <v>40</v>
      </c>
      <c r="C45" s="203" t="s">
        <v>387</v>
      </c>
      <c r="D45" s="204" t="s">
        <v>42</v>
      </c>
      <c r="E45" s="206">
        <v>0.3</v>
      </c>
      <c r="F45" s="206">
        <v>0.3</v>
      </c>
      <c r="G45" s="206">
        <v>0.3</v>
      </c>
      <c r="K45" s="199">
        <f t="shared" si="1"/>
        <v>40</v>
      </c>
      <c r="L45" s="203" t="s">
        <v>383</v>
      </c>
      <c r="M45" s="204" t="s">
        <v>42</v>
      </c>
      <c r="N45" s="206">
        <f>N44-N41/2-N31/2</f>
        <v>7.1499999999999995</v>
      </c>
      <c r="O45" s="206">
        <f>O44-O41/2-O31/2</f>
        <v>8.4</v>
      </c>
      <c r="P45" s="206">
        <f>P44-P41/2-P31/2</f>
        <v>9.65</v>
      </c>
      <c r="R45" s="206">
        <f>R44-R41/2-R31/2</f>
        <v>7.1499999999999995</v>
      </c>
    </row>
    <row r="46" spans="2:18" ht="25.5" x14ac:dyDescent="0.2">
      <c r="B46" s="199">
        <f t="shared" si="0"/>
        <v>41</v>
      </c>
      <c r="C46" s="203" t="s">
        <v>388</v>
      </c>
      <c r="D46" s="204" t="s">
        <v>42</v>
      </c>
      <c r="E46" s="206">
        <v>4.7450000000000001</v>
      </c>
      <c r="F46" s="206">
        <v>4.7450000000000001</v>
      </c>
      <c r="G46" s="206">
        <v>4.7450000000000001</v>
      </c>
      <c r="K46" s="199">
        <f t="shared" si="1"/>
        <v>41</v>
      </c>
      <c r="L46" s="203"/>
      <c r="M46" s="211"/>
      <c r="N46" s="206"/>
      <c r="O46" s="206"/>
      <c r="P46" s="206"/>
      <c r="R46" s="206"/>
    </row>
    <row r="47" spans="2:18" ht="25.5" x14ac:dyDescent="0.2">
      <c r="B47" s="199">
        <f t="shared" si="0"/>
        <v>42</v>
      </c>
      <c r="C47" s="203" t="s">
        <v>389</v>
      </c>
      <c r="D47" s="204" t="s">
        <v>42</v>
      </c>
      <c r="E47" s="206">
        <v>2.9049999999999998</v>
      </c>
      <c r="F47" s="206">
        <v>2.9049999999999998</v>
      </c>
      <c r="G47" s="206">
        <v>2.9049999999999998</v>
      </c>
      <c r="K47" s="199">
        <f t="shared" si="1"/>
        <v>42</v>
      </c>
      <c r="L47" s="200" t="s">
        <v>384</v>
      </c>
      <c r="M47" s="201"/>
      <c r="N47" s="202"/>
      <c r="O47" s="202"/>
      <c r="P47" s="202"/>
      <c r="R47" s="202"/>
    </row>
    <row r="48" spans="2:18" ht="25.5" x14ac:dyDescent="0.2">
      <c r="B48" s="199">
        <f t="shared" si="0"/>
        <v>43</v>
      </c>
      <c r="C48" s="203" t="s">
        <v>390</v>
      </c>
      <c r="D48" s="204" t="s">
        <v>42</v>
      </c>
      <c r="E48" s="206">
        <v>0.4</v>
      </c>
      <c r="F48" s="206">
        <v>0.4</v>
      </c>
      <c r="G48" s="206">
        <v>0.4</v>
      </c>
      <c r="K48" s="199">
        <f t="shared" si="1"/>
        <v>43</v>
      </c>
      <c r="L48" s="203" t="s">
        <v>385</v>
      </c>
      <c r="M48" s="204" t="s">
        <v>42</v>
      </c>
      <c r="N48" s="205">
        <v>11</v>
      </c>
      <c r="O48" s="205">
        <v>11</v>
      </c>
      <c r="P48" s="205">
        <v>11</v>
      </c>
      <c r="R48" s="205">
        <v>11</v>
      </c>
    </row>
    <row r="49" spans="2:18" ht="14.25" x14ac:dyDescent="0.2">
      <c r="B49" s="199">
        <f t="shared" si="0"/>
        <v>44</v>
      </c>
      <c r="C49" s="203" t="s">
        <v>391</v>
      </c>
      <c r="D49" s="204"/>
      <c r="E49" s="206">
        <v>9</v>
      </c>
      <c r="F49" s="206">
        <v>13</v>
      </c>
      <c r="G49" s="206">
        <v>14</v>
      </c>
      <c r="K49" s="199">
        <f t="shared" si="1"/>
        <v>44</v>
      </c>
      <c r="L49" s="203" t="s">
        <v>386</v>
      </c>
      <c r="M49" s="204" t="s">
        <v>42</v>
      </c>
      <c r="N49" s="206">
        <v>0.2</v>
      </c>
      <c r="O49" s="206">
        <v>0.2</v>
      </c>
      <c r="P49" s="206">
        <v>0.2</v>
      </c>
      <c r="R49" s="206">
        <v>0.2</v>
      </c>
    </row>
    <row r="50" spans="2:18" ht="25.5" x14ac:dyDescent="0.2">
      <c r="B50" s="199">
        <f t="shared" si="0"/>
        <v>45</v>
      </c>
      <c r="C50" s="203" t="s">
        <v>392</v>
      </c>
      <c r="D50" s="204"/>
      <c r="E50" s="213">
        <f>ROUNDUP(E8/E51,0)</f>
        <v>5</v>
      </c>
      <c r="F50" s="213">
        <f>ROUNDUP(F8/F51,0)</f>
        <v>7</v>
      </c>
      <c r="G50" s="213">
        <f>ROUNDUP(G8/G51,0)</f>
        <v>8</v>
      </c>
      <c r="K50" s="199">
        <f t="shared" si="1"/>
        <v>45</v>
      </c>
      <c r="L50" s="203" t="s">
        <v>387</v>
      </c>
      <c r="M50" s="204" t="s">
        <v>42</v>
      </c>
      <c r="N50" s="206">
        <v>0.3</v>
      </c>
      <c r="O50" s="206">
        <v>0.3</v>
      </c>
      <c r="P50" s="206">
        <v>0.3</v>
      </c>
      <c r="R50" s="206">
        <v>0.3</v>
      </c>
    </row>
    <row r="51" spans="2:18" ht="25.5" x14ac:dyDescent="0.2">
      <c r="B51" s="199">
        <f t="shared" si="0"/>
        <v>46</v>
      </c>
      <c r="C51" s="203" t="s">
        <v>393</v>
      </c>
      <c r="D51" s="204" t="s">
        <v>42</v>
      </c>
      <c r="E51" s="206">
        <v>4</v>
      </c>
      <c r="F51" s="206">
        <v>3.53</v>
      </c>
      <c r="G51" s="206">
        <v>3.74</v>
      </c>
      <c r="K51" s="199">
        <f t="shared" si="1"/>
        <v>46</v>
      </c>
      <c r="L51" s="203" t="s">
        <v>388</v>
      </c>
      <c r="M51" s="204" t="s">
        <v>42</v>
      </c>
      <c r="N51" s="206">
        <v>4.79</v>
      </c>
      <c r="O51" s="206">
        <v>4.79</v>
      </c>
      <c r="P51" s="206">
        <v>4.79</v>
      </c>
      <c r="R51" s="206">
        <v>4.79</v>
      </c>
    </row>
    <row r="52" spans="2:18" ht="25.5" x14ac:dyDescent="0.2">
      <c r="B52" s="199">
        <f t="shared" si="0"/>
        <v>47</v>
      </c>
      <c r="C52" s="203" t="s">
        <v>394</v>
      </c>
      <c r="D52" s="204" t="s">
        <v>42</v>
      </c>
      <c r="E52" s="206">
        <v>1.294</v>
      </c>
      <c r="F52" s="206">
        <v>1.294</v>
      </c>
      <c r="G52" s="206">
        <v>1.294</v>
      </c>
      <c r="K52" s="199">
        <f t="shared" si="1"/>
        <v>47</v>
      </c>
      <c r="L52" s="203" t="s">
        <v>389</v>
      </c>
      <c r="M52" s="204" t="s">
        <v>42</v>
      </c>
      <c r="N52" s="206">
        <v>2.9180000000000001</v>
      </c>
      <c r="O52" s="206">
        <v>2.9180000000000001</v>
      </c>
      <c r="P52" s="206">
        <v>2.9180000000000001</v>
      </c>
      <c r="R52" s="206">
        <v>2.9180000000000001</v>
      </c>
    </row>
    <row r="53" spans="2:18" ht="14.25" x14ac:dyDescent="0.2">
      <c r="B53" s="199">
        <f t="shared" si="0"/>
        <v>48</v>
      </c>
      <c r="C53" s="203"/>
      <c r="D53" s="214"/>
      <c r="E53" s="206"/>
      <c r="F53" s="206"/>
      <c r="G53" s="206"/>
      <c r="K53" s="199">
        <f t="shared" si="1"/>
        <v>48</v>
      </c>
      <c r="L53" s="203" t="s">
        <v>390</v>
      </c>
      <c r="M53" s="204" t="s">
        <v>42</v>
      </c>
      <c r="N53" s="206">
        <v>0.4</v>
      </c>
      <c r="O53" s="206">
        <v>0.4</v>
      </c>
      <c r="P53" s="206">
        <v>0.4</v>
      </c>
      <c r="R53" s="206">
        <v>0.4</v>
      </c>
    </row>
    <row r="54" spans="2:18" s="199" customFormat="1" ht="15" x14ac:dyDescent="0.2">
      <c r="B54" s="199">
        <f t="shared" si="0"/>
        <v>49</v>
      </c>
      <c r="C54" s="200" t="s">
        <v>395</v>
      </c>
      <c r="D54" s="215"/>
      <c r="E54" s="202"/>
      <c r="F54" s="202"/>
      <c r="G54" s="202"/>
      <c r="K54" s="199">
        <f t="shared" si="1"/>
        <v>49</v>
      </c>
      <c r="L54" s="203" t="s">
        <v>391</v>
      </c>
      <c r="M54" s="204"/>
      <c r="N54" s="206">
        <v>18</v>
      </c>
      <c r="O54" s="206">
        <v>22</v>
      </c>
      <c r="P54" s="206">
        <v>26</v>
      </c>
      <c r="R54" s="206">
        <v>18</v>
      </c>
    </row>
    <row r="55" spans="2:18" ht="25.5" x14ac:dyDescent="0.2">
      <c r="B55" s="199">
        <f t="shared" si="0"/>
        <v>50</v>
      </c>
      <c r="C55" s="203" t="s">
        <v>396</v>
      </c>
      <c r="D55" s="204" t="s">
        <v>197</v>
      </c>
      <c r="E55" s="206">
        <v>83</v>
      </c>
      <c r="F55" s="206">
        <v>119</v>
      </c>
      <c r="G55" s="206">
        <v>159</v>
      </c>
      <c r="K55" s="199">
        <f t="shared" si="1"/>
        <v>50</v>
      </c>
      <c r="L55" s="203" t="s">
        <v>392</v>
      </c>
      <c r="M55" s="204"/>
      <c r="N55" s="213">
        <f>ROUNDUP(N8/N56,0)</f>
        <v>8</v>
      </c>
      <c r="O55" s="213">
        <f>ROUNDUP(O8/O56,0)</f>
        <v>10</v>
      </c>
      <c r="P55" s="213">
        <f>ROUNDUP(P8/P56,0)</f>
        <v>11</v>
      </c>
      <c r="R55" s="213">
        <f>ROUNDUP(R8/R56,0)</f>
        <v>6</v>
      </c>
    </row>
    <row r="56" spans="2:18" ht="38.25" x14ac:dyDescent="0.2">
      <c r="B56" s="199">
        <f t="shared" si="0"/>
        <v>51</v>
      </c>
      <c r="C56" s="203" t="s">
        <v>397</v>
      </c>
      <c r="D56" s="204" t="s">
        <v>197</v>
      </c>
      <c r="E56" s="206">
        <v>14</v>
      </c>
      <c r="F56" s="206">
        <v>18</v>
      </c>
      <c r="G56" s="206">
        <v>22</v>
      </c>
      <c r="K56" s="199">
        <f t="shared" si="1"/>
        <v>51</v>
      </c>
      <c r="L56" s="203" t="s">
        <v>393</v>
      </c>
      <c r="M56" s="204" t="s">
        <v>42</v>
      </c>
      <c r="N56" s="206">
        <v>4</v>
      </c>
      <c r="O56" s="206">
        <v>4</v>
      </c>
      <c r="P56" s="206">
        <v>4</v>
      </c>
      <c r="R56" s="206">
        <v>4</v>
      </c>
    </row>
    <row r="57" spans="2:18" ht="38.25" x14ac:dyDescent="0.2">
      <c r="B57" s="199">
        <f t="shared" si="0"/>
        <v>52</v>
      </c>
      <c r="C57" s="203" t="s">
        <v>398</v>
      </c>
      <c r="D57" s="204" t="s">
        <v>399</v>
      </c>
      <c r="E57" s="206">
        <v>18.3</v>
      </c>
      <c r="F57" s="206">
        <v>25</v>
      </c>
      <c r="G57" s="206">
        <v>32.1</v>
      </c>
      <c r="K57" s="199">
        <f t="shared" si="1"/>
        <v>52</v>
      </c>
      <c r="L57" s="203" t="s">
        <v>394</v>
      </c>
      <c r="M57" s="204" t="s">
        <v>42</v>
      </c>
      <c r="N57" s="206">
        <v>1.294</v>
      </c>
      <c r="O57" s="206">
        <v>1.294</v>
      </c>
      <c r="P57" s="206">
        <v>1.294</v>
      </c>
      <c r="R57" s="206">
        <v>1.294</v>
      </c>
    </row>
    <row r="58" spans="2:18" ht="14.25" x14ac:dyDescent="0.2">
      <c r="B58" s="199">
        <f t="shared" si="0"/>
        <v>53</v>
      </c>
      <c r="C58" s="203" t="s">
        <v>400</v>
      </c>
      <c r="D58" s="211"/>
      <c r="E58" s="205" t="s">
        <v>272</v>
      </c>
      <c r="F58" s="205" t="s">
        <v>272</v>
      </c>
      <c r="G58" s="205" t="s">
        <v>272</v>
      </c>
      <c r="K58" s="199">
        <f t="shared" si="1"/>
        <v>53</v>
      </c>
      <c r="L58" s="97"/>
      <c r="M58" s="214"/>
      <c r="N58" s="206"/>
      <c r="O58" s="206"/>
      <c r="P58" s="206"/>
      <c r="R58" s="206"/>
    </row>
    <row r="59" spans="2:18" ht="15" x14ac:dyDescent="0.2">
      <c r="B59" s="199">
        <f t="shared" si="0"/>
        <v>54</v>
      </c>
      <c r="C59" s="203" t="s">
        <v>401</v>
      </c>
      <c r="D59" s="204" t="s">
        <v>287</v>
      </c>
      <c r="E59" s="206">
        <v>4</v>
      </c>
      <c r="F59" s="206">
        <v>4</v>
      </c>
      <c r="G59" s="206">
        <v>4</v>
      </c>
      <c r="K59" s="199">
        <f t="shared" si="1"/>
        <v>54</v>
      </c>
      <c r="L59" s="200" t="s">
        <v>395</v>
      </c>
      <c r="M59" s="215"/>
      <c r="N59" s="202"/>
      <c r="O59" s="202"/>
      <c r="P59" s="202"/>
      <c r="R59" s="202"/>
    </row>
    <row r="60" spans="2:18" ht="25.5" x14ac:dyDescent="0.2">
      <c r="B60" s="199">
        <f t="shared" si="0"/>
        <v>55</v>
      </c>
      <c r="C60" s="203" t="s">
        <v>402</v>
      </c>
      <c r="D60" s="204" t="s">
        <v>217</v>
      </c>
      <c r="E60" s="206">
        <v>122</v>
      </c>
      <c r="F60" s="206">
        <v>159</v>
      </c>
      <c r="G60" s="206">
        <v>197</v>
      </c>
      <c r="K60" s="199">
        <f t="shared" si="1"/>
        <v>55</v>
      </c>
      <c r="L60" s="203" t="s">
        <v>403</v>
      </c>
      <c r="M60" s="204" t="s">
        <v>197</v>
      </c>
      <c r="N60" s="206">
        <v>185.38</v>
      </c>
      <c r="O60" s="206">
        <v>229</v>
      </c>
      <c r="P60" s="206">
        <v>267.73</v>
      </c>
      <c r="R60" s="206">
        <v>185.38</v>
      </c>
    </row>
    <row r="61" spans="2:18" ht="38.25" x14ac:dyDescent="0.2">
      <c r="B61" s="199">
        <f t="shared" si="0"/>
        <v>56</v>
      </c>
      <c r="C61" s="203" t="s">
        <v>404</v>
      </c>
      <c r="D61" s="204" t="s">
        <v>42</v>
      </c>
      <c r="E61" s="206">
        <v>98</v>
      </c>
      <c r="F61" s="206">
        <v>128</v>
      </c>
      <c r="G61" s="206">
        <v>158</v>
      </c>
      <c r="K61" s="199">
        <f t="shared" si="1"/>
        <v>56</v>
      </c>
      <c r="L61" s="203" t="s">
        <v>397</v>
      </c>
      <c r="M61" s="204" t="s">
        <v>197</v>
      </c>
      <c r="N61" s="206">
        <v>25.57</v>
      </c>
      <c r="O61" s="206">
        <v>30</v>
      </c>
      <c r="P61" s="206">
        <v>34.299999999999997</v>
      </c>
      <c r="R61" s="206">
        <v>25.57</v>
      </c>
    </row>
    <row r="62" spans="2:18" ht="38.25" x14ac:dyDescent="0.2">
      <c r="B62" s="199">
        <f t="shared" si="0"/>
        <v>57</v>
      </c>
      <c r="C62" s="203" t="s">
        <v>405</v>
      </c>
      <c r="D62" s="204" t="s">
        <v>287</v>
      </c>
      <c r="E62" s="206">
        <v>8</v>
      </c>
      <c r="F62" s="206">
        <v>8</v>
      </c>
      <c r="G62" s="206">
        <v>8</v>
      </c>
      <c r="K62" s="199">
        <f t="shared" si="1"/>
        <v>57</v>
      </c>
      <c r="L62" s="203" t="s">
        <v>406</v>
      </c>
      <c r="M62" s="204" t="s">
        <v>399</v>
      </c>
      <c r="N62" s="206">
        <v>28.7</v>
      </c>
      <c r="O62" s="206">
        <v>35</v>
      </c>
      <c r="P62" s="206">
        <v>38.82</v>
      </c>
      <c r="R62" s="206">
        <v>28.7</v>
      </c>
    </row>
    <row r="63" spans="2:18" ht="14.25" x14ac:dyDescent="0.2">
      <c r="B63" s="199">
        <f t="shared" si="0"/>
        <v>58</v>
      </c>
      <c r="C63" s="203" t="s">
        <v>416</v>
      </c>
      <c r="D63" s="204" t="s">
        <v>287</v>
      </c>
      <c r="E63" s="216">
        <v>9</v>
      </c>
      <c r="F63" s="216">
        <v>13</v>
      </c>
      <c r="G63" s="206">
        <v>14</v>
      </c>
      <c r="K63" s="199">
        <f t="shared" si="1"/>
        <v>58</v>
      </c>
      <c r="L63" s="97" t="s">
        <v>407</v>
      </c>
      <c r="M63" s="204" t="s">
        <v>399</v>
      </c>
      <c r="N63" s="206">
        <v>5.01</v>
      </c>
      <c r="O63" s="206">
        <v>6.9</v>
      </c>
      <c r="P63" s="206">
        <v>9.1</v>
      </c>
      <c r="R63" s="206">
        <v>5.01</v>
      </c>
    </row>
    <row r="64" spans="2:18" ht="25.5" x14ac:dyDescent="0.2">
      <c r="B64" s="199"/>
      <c r="K64" s="199">
        <f t="shared" si="1"/>
        <v>59</v>
      </c>
      <c r="L64" s="203" t="s">
        <v>408</v>
      </c>
      <c r="M64" s="204" t="s">
        <v>42</v>
      </c>
      <c r="N64" s="206">
        <v>372.33</v>
      </c>
      <c r="O64" s="206">
        <v>509</v>
      </c>
      <c r="P64" s="206">
        <v>675</v>
      </c>
      <c r="R64" s="206">
        <v>372.33</v>
      </c>
    </row>
    <row r="65" spans="2:18" ht="25.5" x14ac:dyDescent="0.2">
      <c r="B65" s="199"/>
      <c r="K65" s="199">
        <f t="shared" si="1"/>
        <v>60</v>
      </c>
      <c r="L65" s="203" t="s">
        <v>409</v>
      </c>
      <c r="M65" s="204" t="s">
        <v>410</v>
      </c>
      <c r="N65" s="206">
        <v>24</v>
      </c>
      <c r="O65" s="206">
        <v>28</v>
      </c>
      <c r="P65" s="206">
        <v>32</v>
      </c>
      <c r="R65" s="206">
        <v>24</v>
      </c>
    </row>
    <row r="66" spans="2:18" ht="14.25" x14ac:dyDescent="0.2">
      <c r="K66" s="199">
        <f t="shared" si="1"/>
        <v>61</v>
      </c>
      <c r="L66" s="203" t="s">
        <v>400</v>
      </c>
      <c r="M66" s="211"/>
      <c r="N66" s="205" t="s">
        <v>272</v>
      </c>
      <c r="O66" s="205" t="s">
        <v>272</v>
      </c>
      <c r="P66" s="205" t="s">
        <v>272</v>
      </c>
      <c r="R66" s="205" t="s">
        <v>272</v>
      </c>
    </row>
    <row r="67" spans="2:18" ht="14.25" x14ac:dyDescent="0.2">
      <c r="K67" s="199">
        <f t="shared" si="1"/>
        <v>62</v>
      </c>
      <c r="L67" s="203" t="s">
        <v>401</v>
      </c>
      <c r="M67" s="204" t="s">
        <v>287</v>
      </c>
      <c r="N67" s="206">
        <v>2</v>
      </c>
      <c r="O67" s="206">
        <v>2</v>
      </c>
      <c r="P67" s="206">
        <v>2</v>
      </c>
      <c r="R67" s="206">
        <v>2</v>
      </c>
    </row>
    <row r="68" spans="2:18" ht="14.25" x14ac:dyDescent="0.2">
      <c r="K68" s="199">
        <f t="shared" si="1"/>
        <v>63</v>
      </c>
      <c r="L68" s="203" t="s">
        <v>411</v>
      </c>
      <c r="M68" s="204" t="s">
        <v>287</v>
      </c>
      <c r="N68" s="206">
        <v>2</v>
      </c>
      <c r="O68" s="206">
        <v>2</v>
      </c>
      <c r="P68" s="206">
        <v>2</v>
      </c>
      <c r="R68" s="206">
        <v>2</v>
      </c>
    </row>
    <row r="69" spans="2:18" ht="14.25" x14ac:dyDescent="0.2">
      <c r="K69" s="199">
        <f t="shared" si="1"/>
        <v>64</v>
      </c>
      <c r="L69" s="203" t="s">
        <v>402</v>
      </c>
      <c r="M69" s="204" t="s">
        <v>217</v>
      </c>
      <c r="N69" s="206">
        <v>226.56</v>
      </c>
      <c r="O69" s="206">
        <v>278</v>
      </c>
      <c r="P69" s="206">
        <v>316</v>
      </c>
      <c r="R69" s="206">
        <v>226.56</v>
      </c>
    </row>
    <row r="70" spans="2:18" ht="14.25" x14ac:dyDescent="0.2">
      <c r="K70" s="199">
        <f t="shared" si="1"/>
        <v>65</v>
      </c>
      <c r="L70" s="203" t="s">
        <v>404</v>
      </c>
      <c r="M70" s="204" t="s">
        <v>42</v>
      </c>
      <c r="N70" s="206">
        <v>191.7</v>
      </c>
      <c r="O70" s="206">
        <v>223</v>
      </c>
      <c r="P70" s="206">
        <v>253</v>
      </c>
      <c r="R70" s="206">
        <v>191.7</v>
      </c>
    </row>
    <row r="71" spans="2:18" ht="25.5" x14ac:dyDescent="0.2">
      <c r="K71" s="199">
        <f t="shared" si="1"/>
        <v>66</v>
      </c>
      <c r="L71" s="203" t="s">
        <v>405</v>
      </c>
      <c r="M71" s="204" t="s">
        <v>287</v>
      </c>
      <c r="N71" s="206">
        <v>16</v>
      </c>
      <c r="O71" s="206">
        <v>16</v>
      </c>
      <c r="P71" s="206">
        <v>16</v>
      </c>
      <c r="R71" s="206">
        <v>16</v>
      </c>
    </row>
    <row r="72" spans="2:18" ht="14.25" x14ac:dyDescent="0.2">
      <c r="K72" s="199">
        <f t="shared" si="1"/>
        <v>67</v>
      </c>
      <c r="L72" s="203" t="s">
        <v>416</v>
      </c>
      <c r="M72" s="217" t="s">
        <v>287</v>
      </c>
      <c r="N72" s="293">
        <v>18</v>
      </c>
      <c r="O72" s="293">
        <v>22</v>
      </c>
      <c r="P72" s="214">
        <v>26</v>
      </c>
      <c r="R72" s="293">
        <v>18</v>
      </c>
    </row>
  </sheetData>
  <mergeCells count="8">
    <mergeCell ref="C3:G3"/>
    <mergeCell ref="L3:P3"/>
    <mergeCell ref="N5:P5"/>
    <mergeCell ref="C5:C6"/>
    <mergeCell ref="D5:D6"/>
    <mergeCell ref="E5:G5"/>
    <mergeCell ref="L5:L6"/>
    <mergeCell ref="M5:M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J127"/>
  <sheetViews>
    <sheetView tabSelected="1" view="pageBreakPreview" topLeftCell="A2" zoomScaleNormal="100" zoomScaleSheetLayoutView="100" workbookViewId="0">
      <selection activeCell="K34" sqref="K34"/>
    </sheetView>
  </sheetViews>
  <sheetFormatPr defaultColWidth="10.5703125" defaultRowHeight="12.75" x14ac:dyDescent="0.2"/>
  <cols>
    <col min="1" max="1" width="4.140625" style="482" bestFit="1" customWidth="1"/>
    <col min="2" max="2" width="23.5703125" style="479" customWidth="1"/>
    <col min="3" max="3" width="5.140625" style="479" bestFit="1" customWidth="1"/>
    <col min="4" max="4" width="11.5703125" style="514" bestFit="1" customWidth="1"/>
    <col min="5" max="5" width="5.42578125" style="479" customWidth="1"/>
    <col min="6" max="6" width="3.7109375" style="479" bestFit="1" customWidth="1"/>
    <col min="7" max="7" width="22.140625" style="479" customWidth="1"/>
    <col min="8" max="8" width="5.140625" style="479" bestFit="1" customWidth="1"/>
    <col min="9" max="9" width="11.5703125" style="510" bestFit="1" customWidth="1"/>
    <col min="10" max="244" width="9.140625" style="479" customWidth="1"/>
    <col min="245" max="245" width="7.5703125" style="479" customWidth="1"/>
    <col min="246" max="246" width="31.140625" style="479" bestFit="1" customWidth="1"/>
    <col min="247" max="247" width="5.5703125" style="479" customWidth="1"/>
    <col min="248" max="16384" width="10.5703125" style="479"/>
  </cols>
  <sheetData>
    <row r="1" spans="1:10" ht="13.15" hidden="1" customHeight="1" x14ac:dyDescent="0.2">
      <c r="A1" s="1286" t="str">
        <f>'0.Data Sheet'!C18</f>
        <v>Government Of Nepal</v>
      </c>
      <c r="B1" s="1286"/>
      <c r="C1" s="1286"/>
      <c r="D1" s="1286"/>
      <c r="E1" s="1286"/>
      <c r="F1" s="1286"/>
      <c r="G1" s="1286"/>
      <c r="H1" s="1286"/>
      <c r="I1" s="1286"/>
      <c r="J1" s="478"/>
    </row>
    <row r="2" spans="1:10" ht="13.15" customHeight="1" x14ac:dyDescent="0.2">
      <c r="A2" s="1286" t="str">
        <f>'0.Data Sheet'!C19</f>
        <v xml:space="preserve">Ministry of Federal Affairs and General Administration
</v>
      </c>
      <c r="B2" s="1286"/>
      <c r="C2" s="1286"/>
      <c r="D2" s="1286"/>
      <c r="E2" s="1286"/>
      <c r="F2" s="1286"/>
      <c r="G2" s="1286"/>
      <c r="H2" s="1286"/>
      <c r="I2" s="1286"/>
      <c r="J2" s="478"/>
    </row>
    <row r="3" spans="1:10" ht="15.6" customHeight="1" x14ac:dyDescent="0.25">
      <c r="A3" s="1287" t="str">
        <f>'0.Data Sheet'!C20</f>
        <v>Department Of Local Infrastructure (DOLI)</v>
      </c>
      <c r="B3" s="1287"/>
      <c r="C3" s="1287"/>
      <c r="D3" s="1287"/>
      <c r="E3" s="1287"/>
      <c r="F3" s="1287"/>
      <c r="G3" s="1287"/>
      <c r="H3" s="1287"/>
      <c r="I3" s="1287"/>
      <c r="J3" s="480"/>
    </row>
    <row r="4" spans="1:10" ht="17.45" customHeight="1" x14ac:dyDescent="0.25">
      <c r="A4" s="1288" t="str">
        <f>'0.Data Sheet'!C21</f>
        <v>Local Bridge Section</v>
      </c>
      <c r="B4" s="1288"/>
      <c r="C4" s="1288"/>
      <c r="D4" s="1288"/>
      <c r="E4" s="1288"/>
      <c r="F4" s="1288"/>
      <c r="G4" s="1288"/>
      <c r="H4" s="1288"/>
      <c r="I4" s="1288"/>
      <c r="J4" s="481"/>
    </row>
    <row r="5" spans="1:10" ht="13.15" customHeight="1" x14ac:dyDescent="0.2">
      <c r="A5" s="1286" t="str">
        <f>'0.Data Sheet'!C22</f>
        <v>Pulchowk, Lalitpur</v>
      </c>
      <c r="B5" s="1286"/>
      <c r="C5" s="1286"/>
      <c r="D5" s="1286"/>
      <c r="E5" s="1286"/>
      <c r="F5" s="1286"/>
      <c r="G5" s="1286"/>
      <c r="H5" s="1286"/>
      <c r="I5" s="1286"/>
      <c r="J5" s="478"/>
    </row>
    <row r="6" spans="1:10" s="90" customFormat="1" ht="15" customHeight="1" x14ac:dyDescent="0.2">
      <c r="A6" s="1289" t="s">
        <v>1473</v>
      </c>
      <c r="B6" s="1289"/>
      <c r="C6" s="1289"/>
      <c r="D6" s="1289"/>
      <c r="E6" s="1289"/>
      <c r="F6" s="1289"/>
      <c r="G6" s="1289"/>
      <c r="H6" s="1289"/>
      <c r="I6" s="1289"/>
    </row>
    <row r="7" spans="1:10" x14ac:dyDescent="0.2">
      <c r="A7" s="1302"/>
      <c r="B7" s="1302"/>
      <c r="C7" s="1302"/>
      <c r="D7" s="1302"/>
      <c r="E7" s="1302"/>
      <c r="F7" s="1302"/>
      <c r="G7" s="1302"/>
      <c r="H7" s="1302"/>
      <c r="I7" s="1302"/>
      <c r="J7" s="482"/>
    </row>
    <row r="8" spans="1:10" ht="13.9" customHeight="1" thickBot="1" x14ac:dyDescent="0.25">
      <c r="A8" s="1306" t="str">
        <f>'3.0Quantity'!A9:D9</f>
        <v>Name of Bridge: Lambu Khola Motorable Bridge</v>
      </c>
      <c r="B8" s="1306"/>
      <c r="C8" s="1306"/>
      <c r="D8" s="1306"/>
      <c r="E8" s="952"/>
      <c r="F8" s="952"/>
      <c r="G8" s="952"/>
      <c r="H8" s="1310" t="str">
        <f>'2.0Abstract of Cost'!H9</f>
        <v>Span=20 x 1m</v>
      </c>
      <c r="I8" s="1311"/>
    </row>
    <row r="9" spans="1:10" ht="13.15" customHeight="1" x14ac:dyDescent="0.2">
      <c r="A9" s="1293" t="s">
        <v>1069</v>
      </c>
      <c r="B9" s="1294"/>
      <c r="C9" s="1294"/>
      <c r="D9" s="1295"/>
      <c r="E9" s="952"/>
      <c r="F9" s="1290" t="s">
        <v>1067</v>
      </c>
      <c r="G9" s="1291"/>
      <c r="H9" s="1291"/>
      <c r="I9" s="1292"/>
    </row>
    <row r="10" spans="1:10" ht="13.15" customHeight="1" x14ac:dyDescent="0.2">
      <c r="A10" s="483" t="s">
        <v>56</v>
      </c>
      <c r="B10" s="484" t="s">
        <v>18</v>
      </c>
      <c r="C10" s="485" t="s">
        <v>0</v>
      </c>
      <c r="D10" s="512" t="s">
        <v>1</v>
      </c>
      <c r="E10" s="952"/>
      <c r="F10" s="493" t="s">
        <v>56</v>
      </c>
      <c r="G10" s="486" t="s">
        <v>18</v>
      </c>
      <c r="H10" s="487" t="s">
        <v>0</v>
      </c>
      <c r="I10" s="512" t="s">
        <v>57</v>
      </c>
    </row>
    <row r="11" spans="1:10" x14ac:dyDescent="0.2">
      <c r="A11" s="953">
        <v>1</v>
      </c>
      <c r="B11" s="954" t="s">
        <v>331</v>
      </c>
      <c r="C11" s="955" t="s">
        <v>46</v>
      </c>
      <c r="D11" s="956">
        <v>1575</v>
      </c>
      <c r="E11" s="952"/>
      <c r="F11" s="490">
        <v>1</v>
      </c>
      <c r="G11" s="954" t="s">
        <v>61</v>
      </c>
      <c r="H11" s="955" t="s">
        <v>60</v>
      </c>
      <c r="I11" s="957">
        <v>2200</v>
      </c>
    </row>
    <row r="12" spans="1:10" x14ac:dyDescent="0.2">
      <c r="A12" s="953">
        <v>2</v>
      </c>
      <c r="B12" s="954" t="s">
        <v>332</v>
      </c>
      <c r="C12" s="955" t="s">
        <v>46</v>
      </c>
      <c r="D12" s="956">
        <v>900</v>
      </c>
      <c r="E12" s="952"/>
      <c r="F12" s="490">
        <v>2</v>
      </c>
      <c r="G12" s="958" t="s">
        <v>62</v>
      </c>
      <c r="H12" s="955" t="s">
        <v>60</v>
      </c>
      <c r="I12" s="957">
        <v>1500</v>
      </c>
    </row>
    <row r="13" spans="1:10" x14ac:dyDescent="0.2">
      <c r="A13" s="953">
        <v>3</v>
      </c>
      <c r="B13" s="954" t="s">
        <v>32</v>
      </c>
      <c r="C13" s="955" t="s">
        <v>46</v>
      </c>
      <c r="D13" s="956">
        <v>1070</v>
      </c>
      <c r="E13" s="952"/>
      <c r="F13" s="490">
        <v>3</v>
      </c>
      <c r="G13" s="1307" t="s">
        <v>63</v>
      </c>
      <c r="H13" s="1308"/>
      <c r="I13" s="1309"/>
    </row>
    <row r="14" spans="1:10" x14ac:dyDescent="0.2">
      <c r="A14" s="953">
        <v>4</v>
      </c>
      <c r="B14" s="954" t="s">
        <v>21</v>
      </c>
      <c r="C14" s="955" t="s">
        <v>46</v>
      </c>
      <c r="D14" s="956">
        <v>770</v>
      </c>
      <c r="E14" s="952"/>
      <c r="F14" s="953" t="s">
        <v>64</v>
      </c>
      <c r="G14" s="959" t="s">
        <v>65</v>
      </c>
      <c r="H14" s="955" t="s">
        <v>60</v>
      </c>
      <c r="I14" s="957">
        <v>2000</v>
      </c>
    </row>
    <row r="15" spans="1:10" ht="13.5" thickBot="1" x14ac:dyDescent="0.25">
      <c r="A15" s="960">
        <v>5</v>
      </c>
      <c r="B15" s="961" t="s">
        <v>90</v>
      </c>
      <c r="C15" s="962" t="s">
        <v>46</v>
      </c>
      <c r="D15" s="963">
        <f>(D13+D14)/2</f>
        <v>920</v>
      </c>
      <c r="E15" s="952"/>
      <c r="F15" s="953" t="s">
        <v>66</v>
      </c>
      <c r="G15" s="959" t="s">
        <v>67</v>
      </c>
      <c r="H15" s="955" t="s">
        <v>60</v>
      </c>
      <c r="I15" s="957">
        <v>2100</v>
      </c>
    </row>
    <row r="16" spans="1:10" ht="13.5" thickBot="1" x14ac:dyDescent="0.25">
      <c r="A16" s="964"/>
      <c r="B16" s="952"/>
      <c r="C16" s="952"/>
      <c r="D16" s="965"/>
      <c r="E16" s="952"/>
      <c r="F16" s="953" t="s">
        <v>68</v>
      </c>
      <c r="G16" s="959" t="s">
        <v>69</v>
      </c>
      <c r="H16" s="955" t="s">
        <v>60</v>
      </c>
      <c r="I16" s="957">
        <v>2100</v>
      </c>
    </row>
    <row r="17" spans="1:9" ht="13.15" customHeight="1" x14ac:dyDescent="0.2">
      <c r="A17" s="1303" t="s">
        <v>1066</v>
      </c>
      <c r="B17" s="1304"/>
      <c r="C17" s="1304"/>
      <c r="D17" s="1305"/>
      <c r="E17" s="952"/>
      <c r="F17" s="953">
        <f>F13+1</f>
        <v>4</v>
      </c>
      <c r="G17" s="958" t="s">
        <v>85</v>
      </c>
      <c r="H17" s="955" t="s">
        <v>60</v>
      </c>
      <c r="I17" s="957">
        <v>1700</v>
      </c>
    </row>
    <row r="18" spans="1:9" ht="13.15" customHeight="1" x14ac:dyDescent="0.2">
      <c r="A18" s="493" t="s">
        <v>56</v>
      </c>
      <c r="B18" s="486" t="s">
        <v>18</v>
      </c>
      <c r="C18" s="487" t="s">
        <v>0</v>
      </c>
      <c r="D18" s="512" t="s">
        <v>57</v>
      </c>
      <c r="E18" s="952"/>
      <c r="F18" s="490">
        <v>5</v>
      </c>
      <c r="G18" s="954" t="s">
        <v>1125</v>
      </c>
      <c r="H18" s="955" t="s">
        <v>60</v>
      </c>
      <c r="I18" s="479">
        <f>2700*3.28^3</f>
        <v>95276.390399999975</v>
      </c>
    </row>
    <row r="19" spans="1:9" x14ac:dyDescent="0.2">
      <c r="A19" s="490">
        <v>1</v>
      </c>
      <c r="B19" s="958" t="s">
        <v>1718</v>
      </c>
      <c r="C19" s="951" t="s">
        <v>1050</v>
      </c>
      <c r="D19" s="966">
        <v>830</v>
      </c>
      <c r="E19" s="952"/>
      <c r="F19" s="953">
        <v>6</v>
      </c>
      <c r="G19" s="954" t="s">
        <v>35</v>
      </c>
      <c r="H19" s="955" t="s">
        <v>72</v>
      </c>
      <c r="I19" s="957">
        <v>0.12</v>
      </c>
    </row>
    <row r="20" spans="1:9" ht="13.5" thickBot="1" x14ac:dyDescent="0.25">
      <c r="A20" s="490">
        <v>3</v>
      </c>
      <c r="B20" s="958" t="s">
        <v>11</v>
      </c>
      <c r="C20" s="955" t="s">
        <v>73</v>
      </c>
      <c r="D20" s="957">
        <v>486</v>
      </c>
      <c r="E20" s="967"/>
      <c r="F20" s="953">
        <v>7</v>
      </c>
      <c r="G20" s="968" t="s">
        <v>1628</v>
      </c>
      <c r="H20" s="968" t="s">
        <v>60</v>
      </c>
      <c r="I20" s="969">
        <v>565</v>
      </c>
    </row>
    <row r="21" spans="1:9" ht="13.5" thickBot="1" x14ac:dyDescent="0.25">
      <c r="A21" s="490">
        <v>4</v>
      </c>
      <c r="B21" s="954" t="s">
        <v>74</v>
      </c>
      <c r="C21" s="955" t="s">
        <v>73</v>
      </c>
      <c r="D21" s="957">
        <v>312.89999999999998</v>
      </c>
      <c r="E21" s="967"/>
      <c r="F21" s="952"/>
      <c r="G21" s="952"/>
      <c r="H21" s="952"/>
      <c r="I21" s="970"/>
    </row>
    <row r="22" spans="1:9" ht="13.9" customHeight="1" thickBot="1" x14ac:dyDescent="0.25">
      <c r="A22" s="490">
        <v>6</v>
      </c>
      <c r="B22" s="954" t="s">
        <v>1467</v>
      </c>
      <c r="C22" s="955" t="s">
        <v>190</v>
      </c>
      <c r="D22" s="957">
        <v>83</v>
      </c>
      <c r="E22" s="967"/>
      <c r="F22" s="1299" t="s">
        <v>1073</v>
      </c>
      <c r="G22" s="1300"/>
      <c r="H22" s="1300"/>
      <c r="I22" s="1301"/>
    </row>
    <row r="23" spans="1:9" ht="13.9" customHeight="1" x14ac:dyDescent="0.2">
      <c r="A23" s="490">
        <f>A22+1</f>
        <v>7</v>
      </c>
      <c r="B23" s="958" t="s">
        <v>34</v>
      </c>
      <c r="C23" s="955" t="s">
        <v>190</v>
      </c>
      <c r="D23" s="957">
        <v>95</v>
      </c>
      <c r="E23" s="967"/>
      <c r="F23" s="495" t="s">
        <v>56</v>
      </c>
      <c r="G23" s="496" t="s">
        <v>18</v>
      </c>
      <c r="H23" s="950" t="s">
        <v>0</v>
      </c>
      <c r="I23" s="511" t="s">
        <v>57</v>
      </c>
    </row>
    <row r="24" spans="1:9" x14ac:dyDescent="0.2">
      <c r="A24" s="490">
        <f>A23+1</f>
        <v>8</v>
      </c>
      <c r="B24" s="954" t="s">
        <v>258</v>
      </c>
      <c r="C24" s="955" t="s">
        <v>96</v>
      </c>
      <c r="D24" s="957">
        <v>531</v>
      </c>
      <c r="E24" s="967"/>
      <c r="F24" s="953">
        <v>1</v>
      </c>
      <c r="G24" s="954" t="s">
        <v>188</v>
      </c>
      <c r="H24" s="955" t="s">
        <v>190</v>
      </c>
      <c r="I24" s="957">
        <v>110</v>
      </c>
    </row>
    <row r="25" spans="1:9" x14ac:dyDescent="0.2">
      <c r="A25" s="490">
        <f>A24+1</f>
        <v>9</v>
      </c>
      <c r="B25" s="954" t="s">
        <v>191</v>
      </c>
      <c r="C25" s="955" t="s">
        <v>6</v>
      </c>
      <c r="D25" s="957">
        <v>380</v>
      </c>
      <c r="E25" s="967"/>
      <c r="F25" s="953">
        <v>2</v>
      </c>
      <c r="G25" s="954" t="s">
        <v>1116</v>
      </c>
      <c r="H25" s="955" t="s">
        <v>190</v>
      </c>
      <c r="I25" s="957">
        <v>27</v>
      </c>
    </row>
    <row r="26" spans="1:9" x14ac:dyDescent="0.2">
      <c r="A26" s="490">
        <f t="shared" ref="A26:A30" si="0">A25+1</f>
        <v>10</v>
      </c>
      <c r="B26" s="954" t="s">
        <v>77</v>
      </c>
      <c r="C26" s="955" t="s">
        <v>76</v>
      </c>
      <c r="D26" s="957">
        <v>1727</v>
      </c>
      <c r="E26" s="967"/>
      <c r="F26" s="953">
        <v>3</v>
      </c>
      <c r="G26" s="954" t="s">
        <v>239</v>
      </c>
      <c r="H26" s="955" t="s">
        <v>6</v>
      </c>
      <c r="I26" s="957">
        <v>350</v>
      </c>
    </row>
    <row r="27" spans="1:9" s="494" customFormat="1" x14ac:dyDescent="0.2">
      <c r="A27" s="490">
        <f t="shared" si="0"/>
        <v>11</v>
      </c>
      <c r="B27" s="352" t="s">
        <v>78</v>
      </c>
      <c r="C27" s="951" t="s">
        <v>3</v>
      </c>
      <c r="D27" s="957">
        <v>770</v>
      </c>
      <c r="E27" s="967"/>
      <c r="F27" s="953">
        <v>4</v>
      </c>
      <c r="G27" s="954" t="s">
        <v>79</v>
      </c>
      <c r="H27" s="955" t="s">
        <v>76</v>
      </c>
      <c r="I27" s="957">
        <v>180</v>
      </c>
    </row>
    <row r="28" spans="1:9" ht="25.5" x14ac:dyDescent="0.2">
      <c r="A28" s="490">
        <f t="shared" si="0"/>
        <v>12</v>
      </c>
      <c r="B28" s="954" t="s">
        <v>192</v>
      </c>
      <c r="C28" s="955" t="s">
        <v>190</v>
      </c>
      <c r="D28" s="957">
        <v>105</v>
      </c>
      <c r="E28" s="967"/>
      <c r="F28" s="953">
        <v>5</v>
      </c>
      <c r="G28" s="954" t="s">
        <v>1766</v>
      </c>
      <c r="H28" s="955" t="s">
        <v>96</v>
      </c>
      <c r="I28" s="957">
        <v>16000</v>
      </c>
    </row>
    <row r="29" spans="1:9" x14ac:dyDescent="0.2">
      <c r="A29" s="490">
        <f t="shared" si="0"/>
        <v>13</v>
      </c>
      <c r="B29" s="954" t="s">
        <v>75</v>
      </c>
      <c r="C29" s="955" t="s">
        <v>190</v>
      </c>
      <c r="D29" s="957">
        <v>112</v>
      </c>
      <c r="E29" s="967"/>
      <c r="F29" s="953">
        <v>6</v>
      </c>
      <c r="G29" s="954" t="s">
        <v>1648</v>
      </c>
      <c r="H29" s="955" t="s">
        <v>1021</v>
      </c>
      <c r="I29" s="957">
        <v>40000</v>
      </c>
    </row>
    <row r="30" spans="1:9" ht="26.25" thickBot="1" x14ac:dyDescent="0.25">
      <c r="A30" s="490">
        <f t="shared" si="0"/>
        <v>14</v>
      </c>
      <c r="B30" s="971" t="s">
        <v>1126</v>
      </c>
      <c r="C30" s="951" t="s">
        <v>76</v>
      </c>
      <c r="D30" s="957">
        <f>49*3.28^2</f>
        <v>527.16159999999991</v>
      </c>
      <c r="E30" s="967"/>
      <c r="F30" s="500">
        <v>7</v>
      </c>
      <c r="G30" s="961" t="s">
        <v>1614</v>
      </c>
      <c r="H30" s="962" t="s">
        <v>190</v>
      </c>
      <c r="I30" s="972">
        <v>315</v>
      </c>
    </row>
    <row r="31" spans="1:9" ht="12.75" customHeight="1" thickBot="1" x14ac:dyDescent="0.25">
      <c r="A31" s="490">
        <f>A30+1</f>
        <v>15</v>
      </c>
      <c r="B31" s="954" t="s">
        <v>241</v>
      </c>
      <c r="C31" s="951" t="s">
        <v>3</v>
      </c>
      <c r="D31" s="957">
        <v>508</v>
      </c>
      <c r="E31" s="967"/>
      <c r="F31" s="952"/>
      <c r="G31" s="952"/>
      <c r="H31" s="952"/>
      <c r="I31" s="970"/>
    </row>
    <row r="32" spans="1:9" s="494" customFormat="1" ht="13.15" customHeight="1" x14ac:dyDescent="0.2">
      <c r="A32" s="953">
        <f>A31+1</f>
        <v>16</v>
      </c>
      <c r="B32" s="958" t="s">
        <v>222</v>
      </c>
      <c r="C32" s="955" t="s">
        <v>8</v>
      </c>
      <c r="D32" s="957">
        <v>50</v>
      </c>
      <c r="E32" s="967"/>
      <c r="F32" s="1290" t="s">
        <v>1127</v>
      </c>
      <c r="G32" s="1291"/>
      <c r="H32" s="1291"/>
      <c r="I32" s="1292"/>
    </row>
    <row r="33" spans="1:9" ht="13.15" customHeight="1" thickBot="1" x14ac:dyDescent="0.25">
      <c r="A33" s="953">
        <f>A32+1</f>
        <v>17</v>
      </c>
      <c r="B33" s="973" t="s">
        <v>1097</v>
      </c>
      <c r="C33" s="962" t="s">
        <v>190</v>
      </c>
      <c r="D33" s="972">
        <v>103</v>
      </c>
      <c r="E33" s="967"/>
      <c r="F33" s="493" t="s">
        <v>56</v>
      </c>
      <c r="G33" s="486" t="s">
        <v>1070</v>
      </c>
      <c r="H33" s="487" t="s">
        <v>0</v>
      </c>
      <c r="I33" s="512" t="s">
        <v>57</v>
      </c>
    </row>
    <row r="34" spans="1:9" ht="13.5" thickBot="1" x14ac:dyDescent="0.25">
      <c r="A34" s="952"/>
      <c r="B34" s="952"/>
      <c r="C34" s="952"/>
      <c r="D34" s="970"/>
      <c r="E34" s="967"/>
      <c r="F34" s="974">
        <v>1</v>
      </c>
      <c r="G34" s="975" t="s">
        <v>80</v>
      </c>
      <c r="H34" s="976" t="s">
        <v>23</v>
      </c>
      <c r="I34" s="977">
        <v>250</v>
      </c>
    </row>
    <row r="35" spans="1:9" s="494" customFormat="1" ht="39.6" customHeight="1" x14ac:dyDescent="0.2">
      <c r="A35" s="1296" t="s">
        <v>1068</v>
      </c>
      <c r="B35" s="1297"/>
      <c r="C35" s="1297"/>
      <c r="D35" s="1298"/>
      <c r="E35" s="967"/>
      <c r="F35" s="974">
        <f>F34+1</f>
        <v>2</v>
      </c>
      <c r="G35" s="975" t="s">
        <v>1115</v>
      </c>
      <c r="H35" s="976" t="s">
        <v>23</v>
      </c>
      <c r="I35" s="977">
        <v>2500</v>
      </c>
    </row>
    <row r="36" spans="1:9" s="494" customFormat="1" ht="39.6" customHeight="1" x14ac:dyDescent="0.2">
      <c r="A36" s="493" t="s">
        <v>56</v>
      </c>
      <c r="B36" s="486" t="s">
        <v>18</v>
      </c>
      <c r="C36" s="487" t="s">
        <v>0</v>
      </c>
      <c r="D36" s="512" t="s">
        <v>57</v>
      </c>
      <c r="E36" s="967"/>
      <c r="F36" s="974">
        <f>F35+1</f>
        <v>3</v>
      </c>
      <c r="G36" s="975" t="s">
        <v>97</v>
      </c>
      <c r="H36" s="976" t="s">
        <v>23</v>
      </c>
      <c r="I36" s="977">
        <v>5775</v>
      </c>
    </row>
    <row r="37" spans="1:9" x14ac:dyDescent="0.2">
      <c r="A37" s="978">
        <v>1</v>
      </c>
      <c r="B37" s="959" t="s">
        <v>336</v>
      </c>
      <c r="C37" s="979" t="s">
        <v>26</v>
      </c>
      <c r="D37" s="957">
        <v>148820</v>
      </c>
      <c r="E37" s="967"/>
      <c r="F37" s="974">
        <f t="shared" ref="F37:F51" si="1">F36+1</f>
        <v>4</v>
      </c>
      <c r="G37" s="975" t="s">
        <v>92</v>
      </c>
      <c r="H37" s="976" t="s">
        <v>23</v>
      </c>
      <c r="I37" s="977">
        <v>3500</v>
      </c>
    </row>
    <row r="38" spans="1:9" x14ac:dyDescent="0.2">
      <c r="A38" s="978">
        <v>2</v>
      </c>
      <c r="B38" s="959" t="s">
        <v>333</v>
      </c>
      <c r="C38" s="979" t="s">
        <v>3</v>
      </c>
      <c r="D38" s="957">
        <v>360</v>
      </c>
      <c r="E38" s="967"/>
      <c r="F38" s="974">
        <f t="shared" si="1"/>
        <v>5</v>
      </c>
      <c r="G38" s="975" t="s">
        <v>81</v>
      </c>
      <c r="H38" s="976" t="s">
        <v>23</v>
      </c>
      <c r="I38" s="977">
        <v>1000</v>
      </c>
    </row>
    <row r="39" spans="1:9" ht="13.5" thickBot="1" x14ac:dyDescent="0.25">
      <c r="A39" s="980">
        <v>3</v>
      </c>
      <c r="B39" s="981" t="s">
        <v>335</v>
      </c>
      <c r="C39" s="982" t="s">
        <v>223</v>
      </c>
      <c r="D39" s="972">
        <v>9950</v>
      </c>
      <c r="E39" s="967"/>
      <c r="F39" s="974">
        <f t="shared" si="1"/>
        <v>6</v>
      </c>
      <c r="G39" s="983" t="s">
        <v>82</v>
      </c>
      <c r="H39" s="976" t="s">
        <v>23</v>
      </c>
      <c r="I39" s="977">
        <v>50</v>
      </c>
    </row>
    <row r="40" spans="1:9" ht="13.5" thickBot="1" x14ac:dyDescent="0.25">
      <c r="A40" s="952"/>
      <c r="B40" s="952"/>
      <c r="C40" s="952"/>
      <c r="D40" s="970"/>
      <c r="E40" s="967"/>
      <c r="F40" s="974">
        <f t="shared" si="1"/>
        <v>7</v>
      </c>
      <c r="G40" s="975" t="s">
        <v>52</v>
      </c>
      <c r="H40" s="976" t="s">
        <v>23</v>
      </c>
      <c r="I40" s="977">
        <v>1600</v>
      </c>
    </row>
    <row r="41" spans="1:9" s="494" customFormat="1" ht="13.15" customHeight="1" x14ac:dyDescent="0.2">
      <c r="A41" s="1296" t="s">
        <v>1072</v>
      </c>
      <c r="B41" s="1297"/>
      <c r="C41" s="1297"/>
      <c r="D41" s="1298"/>
      <c r="E41" s="967"/>
      <c r="F41" s="974">
        <f t="shared" si="1"/>
        <v>8</v>
      </c>
      <c r="G41" s="975" t="s">
        <v>95</v>
      </c>
      <c r="H41" s="976" t="s">
        <v>23</v>
      </c>
      <c r="I41" s="977">
        <v>260</v>
      </c>
    </row>
    <row r="42" spans="1:9" s="494" customFormat="1" ht="13.15" customHeight="1" x14ac:dyDescent="0.2">
      <c r="A42" s="493" t="s">
        <v>56</v>
      </c>
      <c r="B42" s="486" t="s">
        <v>18</v>
      </c>
      <c r="C42" s="487" t="s">
        <v>0</v>
      </c>
      <c r="D42" s="512" t="s">
        <v>57</v>
      </c>
      <c r="E42" s="967"/>
      <c r="F42" s="974">
        <f t="shared" si="1"/>
        <v>9</v>
      </c>
      <c r="G42" s="975" t="s">
        <v>22</v>
      </c>
      <c r="H42" s="976" t="s">
        <v>23</v>
      </c>
      <c r="I42" s="977">
        <v>450</v>
      </c>
    </row>
    <row r="43" spans="1:9" x14ac:dyDescent="0.2">
      <c r="A43" s="490">
        <v>1</v>
      </c>
      <c r="B43" s="352" t="s">
        <v>43</v>
      </c>
      <c r="C43" s="951" t="s">
        <v>70</v>
      </c>
      <c r="D43" s="957">
        <v>160</v>
      </c>
      <c r="E43" s="967"/>
      <c r="F43" s="974">
        <f t="shared" si="1"/>
        <v>10</v>
      </c>
      <c r="G43" s="983" t="s">
        <v>83</v>
      </c>
      <c r="H43" s="976" t="s">
        <v>23</v>
      </c>
      <c r="I43" s="977">
        <v>550</v>
      </c>
    </row>
    <row r="44" spans="1:9" x14ac:dyDescent="0.2">
      <c r="A44" s="490">
        <v>2</v>
      </c>
      <c r="B44" s="352" t="s">
        <v>47</v>
      </c>
      <c r="C44" s="951" t="s">
        <v>70</v>
      </c>
      <c r="D44" s="957">
        <v>170</v>
      </c>
      <c r="E44" s="967"/>
      <c r="F44" s="974">
        <f t="shared" si="1"/>
        <v>11</v>
      </c>
      <c r="G44" s="983" t="s">
        <v>54</v>
      </c>
      <c r="H44" s="976" t="s">
        <v>23</v>
      </c>
      <c r="I44" s="977">
        <v>1000</v>
      </c>
    </row>
    <row r="45" spans="1:9" ht="13.5" thickBot="1" x14ac:dyDescent="0.25">
      <c r="A45" s="500">
        <v>3</v>
      </c>
      <c r="B45" s="501" t="s">
        <v>71</v>
      </c>
      <c r="C45" s="502" t="s">
        <v>70</v>
      </c>
      <c r="D45" s="972">
        <v>160</v>
      </c>
      <c r="E45" s="967"/>
      <c r="F45" s="974">
        <f t="shared" si="1"/>
        <v>12</v>
      </c>
      <c r="G45" s="975" t="s">
        <v>84</v>
      </c>
      <c r="H45" s="976" t="s">
        <v>23</v>
      </c>
      <c r="I45" s="977">
        <v>800</v>
      </c>
    </row>
    <row r="46" spans="1:9" x14ac:dyDescent="0.2">
      <c r="A46" s="984"/>
      <c r="B46" s="985"/>
      <c r="C46" s="986"/>
      <c r="D46" s="987"/>
      <c r="E46" s="967"/>
      <c r="F46" s="974">
        <f t="shared" si="1"/>
        <v>13</v>
      </c>
      <c r="G46" s="975" t="s">
        <v>253</v>
      </c>
      <c r="H46" s="976" t="s">
        <v>23</v>
      </c>
      <c r="I46" s="977">
        <v>500</v>
      </c>
    </row>
    <row r="47" spans="1:9" x14ac:dyDescent="0.2">
      <c r="A47" s="984"/>
      <c r="B47" s="985"/>
      <c r="C47" s="986"/>
      <c r="D47" s="987"/>
      <c r="E47" s="967"/>
      <c r="F47" s="974">
        <f t="shared" si="1"/>
        <v>14</v>
      </c>
      <c r="G47" s="975" t="s">
        <v>334</v>
      </c>
      <c r="H47" s="976" t="s">
        <v>23</v>
      </c>
      <c r="I47" s="988">
        <v>1200</v>
      </c>
    </row>
    <row r="48" spans="1:9" x14ac:dyDescent="0.2">
      <c r="A48" s="984"/>
      <c r="B48" s="985"/>
      <c r="C48" s="986"/>
      <c r="D48" s="987"/>
      <c r="E48" s="967"/>
      <c r="F48" s="974">
        <f t="shared" si="1"/>
        <v>15</v>
      </c>
      <c r="G48" s="975" t="s">
        <v>1591</v>
      </c>
      <c r="H48" s="976" t="s">
        <v>23</v>
      </c>
      <c r="I48" s="988">
        <v>2000</v>
      </c>
    </row>
    <row r="49" spans="1:9" x14ac:dyDescent="0.2">
      <c r="A49" s="984"/>
      <c r="B49" s="985"/>
      <c r="C49" s="986"/>
      <c r="D49" s="987"/>
      <c r="E49" s="967"/>
      <c r="F49" s="974">
        <f t="shared" si="1"/>
        <v>16</v>
      </c>
      <c r="G49" s="975" t="s">
        <v>1592</v>
      </c>
      <c r="H49" s="976" t="s">
        <v>23</v>
      </c>
      <c r="I49" s="988">
        <v>2500</v>
      </c>
    </row>
    <row r="50" spans="1:9" x14ac:dyDescent="0.2">
      <c r="A50" s="984"/>
      <c r="B50" s="985"/>
      <c r="C50" s="986"/>
      <c r="D50" s="987"/>
      <c r="E50" s="967"/>
      <c r="F50" s="974">
        <f t="shared" si="1"/>
        <v>17</v>
      </c>
      <c r="G50" s="975" t="s">
        <v>1602</v>
      </c>
      <c r="H50" s="976" t="s">
        <v>23</v>
      </c>
      <c r="I50" s="988">
        <v>300</v>
      </c>
    </row>
    <row r="51" spans="1:9" x14ac:dyDescent="0.2">
      <c r="A51" s="984"/>
      <c r="B51" s="985"/>
      <c r="C51" s="986"/>
      <c r="D51" s="987"/>
      <c r="E51" s="967"/>
      <c r="F51" s="974">
        <f t="shared" si="1"/>
        <v>18</v>
      </c>
      <c r="G51" s="958" t="s">
        <v>1604</v>
      </c>
      <c r="H51" s="976" t="s">
        <v>23</v>
      </c>
      <c r="I51" s="988">
        <v>2200</v>
      </c>
    </row>
    <row r="52" spans="1:9" ht="13.5" thickBot="1" x14ac:dyDescent="0.25">
      <c r="A52" s="984"/>
      <c r="B52" s="985"/>
      <c r="C52" s="986"/>
      <c r="D52" s="987"/>
      <c r="E52" s="967"/>
      <c r="F52" s="989">
        <v>19</v>
      </c>
      <c r="G52" s="990" t="s">
        <v>1621</v>
      </c>
      <c r="H52" s="991" t="s">
        <v>23</v>
      </c>
      <c r="I52" s="992">
        <v>331</v>
      </c>
    </row>
    <row r="53" spans="1:9" x14ac:dyDescent="0.2">
      <c r="A53" s="984"/>
      <c r="B53" s="985"/>
      <c r="C53" s="986"/>
      <c r="D53" s="987"/>
      <c r="E53" s="967"/>
      <c r="F53" s="993"/>
      <c r="G53" s="994"/>
      <c r="H53" s="995"/>
      <c r="I53" s="996"/>
    </row>
    <row r="54" spans="1:9" x14ac:dyDescent="0.2">
      <c r="A54" s="984"/>
      <c r="B54" s="985"/>
      <c r="C54" s="986"/>
      <c r="D54" s="987"/>
      <c r="E54" s="967"/>
      <c r="F54" s="993"/>
      <c r="G54" s="994"/>
      <c r="H54" s="995"/>
      <c r="I54" s="996"/>
    </row>
    <row r="55" spans="1:9" x14ac:dyDescent="0.2">
      <c r="A55" s="479"/>
      <c r="D55" s="510"/>
      <c r="E55" s="494"/>
      <c r="F55" s="503"/>
      <c r="G55" s="504"/>
      <c r="H55" s="505"/>
      <c r="I55" s="513"/>
    </row>
    <row r="56" spans="1:9" x14ac:dyDescent="0.2">
      <c r="A56" s="479"/>
      <c r="D56" s="510"/>
      <c r="E56" s="494"/>
      <c r="F56" s="503"/>
      <c r="G56" s="504"/>
      <c r="H56" s="505"/>
      <c r="I56" s="513"/>
    </row>
    <row r="57" spans="1:9" x14ac:dyDescent="0.2">
      <c r="A57" s="479"/>
      <c r="D57" s="510"/>
      <c r="E57" s="494"/>
      <c r="F57" s="503"/>
      <c r="G57" s="504"/>
      <c r="H57" s="505"/>
      <c r="I57" s="513"/>
    </row>
    <row r="58" spans="1:9" x14ac:dyDescent="0.2">
      <c r="A58" s="479"/>
      <c r="D58" s="510"/>
      <c r="E58" s="494"/>
      <c r="F58" s="503"/>
      <c r="G58" s="504"/>
      <c r="H58" s="505"/>
      <c r="I58" s="513"/>
    </row>
    <row r="59" spans="1:9" x14ac:dyDescent="0.2">
      <c r="A59" s="479"/>
      <c r="D59" s="510"/>
      <c r="F59" s="503"/>
      <c r="G59" s="504"/>
      <c r="H59" s="505"/>
      <c r="I59" s="513"/>
    </row>
    <row r="60" spans="1:9" x14ac:dyDescent="0.2">
      <c r="A60" s="479"/>
      <c r="D60" s="510"/>
      <c r="F60" s="503"/>
      <c r="G60" s="504"/>
      <c r="H60" s="505"/>
      <c r="I60" s="513"/>
    </row>
    <row r="61" spans="1:9" x14ac:dyDescent="0.2">
      <c r="A61" s="479"/>
      <c r="D61" s="510"/>
      <c r="F61" s="503"/>
      <c r="G61" s="504"/>
      <c r="H61" s="505"/>
      <c r="I61" s="513"/>
    </row>
    <row r="62" spans="1:9" x14ac:dyDescent="0.2">
      <c r="A62" s="479"/>
      <c r="D62" s="510"/>
      <c r="E62" s="494"/>
    </row>
    <row r="63" spans="1:9" x14ac:dyDescent="0.2">
      <c r="A63" s="479"/>
      <c r="D63" s="510"/>
      <c r="E63" s="494"/>
    </row>
    <row r="64" spans="1:9" x14ac:dyDescent="0.2">
      <c r="A64" s="479"/>
      <c r="D64" s="510"/>
      <c r="E64" s="494"/>
    </row>
    <row r="65" spans="1:9" x14ac:dyDescent="0.2">
      <c r="A65" s="479"/>
      <c r="D65" s="510"/>
      <c r="E65" s="494"/>
    </row>
    <row r="66" spans="1:9" x14ac:dyDescent="0.2">
      <c r="A66" s="479"/>
      <c r="D66" s="510"/>
      <c r="E66" s="494"/>
    </row>
    <row r="67" spans="1:9" x14ac:dyDescent="0.2">
      <c r="A67" s="479"/>
      <c r="D67" s="510"/>
      <c r="E67" s="494"/>
    </row>
    <row r="68" spans="1:9" x14ac:dyDescent="0.2">
      <c r="A68" s="479"/>
      <c r="D68" s="510"/>
      <c r="E68" s="494"/>
    </row>
    <row r="69" spans="1:9" x14ac:dyDescent="0.2">
      <c r="A69" s="479"/>
      <c r="D69" s="510"/>
      <c r="E69" s="494"/>
    </row>
    <row r="70" spans="1:9" x14ac:dyDescent="0.2">
      <c r="A70" s="479"/>
      <c r="D70" s="510"/>
      <c r="E70" s="494"/>
    </row>
    <row r="71" spans="1:9" x14ac:dyDescent="0.2">
      <c r="A71" s="479"/>
      <c r="D71" s="510"/>
      <c r="E71" s="494"/>
    </row>
    <row r="72" spans="1:9" x14ac:dyDescent="0.2">
      <c r="A72" s="479"/>
      <c r="D72" s="510"/>
      <c r="E72" s="494"/>
    </row>
    <row r="73" spans="1:9" s="489" customFormat="1" x14ac:dyDescent="0.2">
      <c r="D73" s="515"/>
      <c r="E73" s="506"/>
      <c r="F73" s="479"/>
      <c r="G73" s="479"/>
      <c r="H73" s="479"/>
      <c r="I73" s="510"/>
    </row>
    <row r="74" spans="1:9" x14ac:dyDescent="0.2">
      <c r="A74" s="479"/>
      <c r="D74" s="510"/>
      <c r="E74" s="494"/>
    </row>
    <row r="75" spans="1:9" x14ac:dyDescent="0.2">
      <c r="A75" s="479"/>
      <c r="D75" s="510"/>
      <c r="E75" s="494"/>
    </row>
    <row r="76" spans="1:9" x14ac:dyDescent="0.2">
      <c r="A76" s="479"/>
      <c r="D76" s="510"/>
      <c r="E76" s="494"/>
    </row>
    <row r="77" spans="1:9" x14ac:dyDescent="0.2">
      <c r="A77" s="479"/>
      <c r="D77" s="510"/>
      <c r="E77" s="494"/>
    </row>
    <row r="78" spans="1:9" x14ac:dyDescent="0.2">
      <c r="A78" s="479"/>
      <c r="D78" s="510"/>
      <c r="E78" s="494"/>
    </row>
    <row r="79" spans="1:9" x14ac:dyDescent="0.2">
      <c r="A79" s="479"/>
      <c r="D79" s="510"/>
      <c r="E79" s="494"/>
    </row>
    <row r="80" spans="1:9" x14ac:dyDescent="0.2">
      <c r="A80" s="507"/>
      <c r="B80" s="508"/>
      <c r="C80" s="509"/>
      <c r="D80" s="516"/>
      <c r="E80" s="494"/>
    </row>
    <row r="81" spans="5:5" x14ac:dyDescent="0.2">
      <c r="E81" s="494"/>
    </row>
    <row r="82" spans="5:5" x14ac:dyDescent="0.2">
      <c r="E82" s="494"/>
    </row>
    <row r="83" spans="5:5" x14ac:dyDescent="0.2">
      <c r="E83" s="494"/>
    </row>
    <row r="84" spans="5:5" x14ac:dyDescent="0.2">
      <c r="E84" s="494"/>
    </row>
    <row r="85" spans="5:5" x14ac:dyDescent="0.2">
      <c r="E85" s="494"/>
    </row>
    <row r="86" spans="5:5" x14ac:dyDescent="0.2">
      <c r="E86" s="494"/>
    </row>
    <row r="102" spans="6:8" x14ac:dyDescent="0.2">
      <c r="F102" s="91"/>
      <c r="G102" s="91"/>
      <c r="H102" s="91"/>
    </row>
    <row r="120" spans="1:9" x14ac:dyDescent="0.2">
      <c r="A120" s="91"/>
      <c r="B120" s="91"/>
      <c r="C120" s="91"/>
      <c r="D120" s="510"/>
    </row>
    <row r="127" spans="1:9" s="91" customFormat="1" x14ac:dyDescent="0.2">
      <c r="A127" s="482"/>
      <c r="B127" s="479"/>
      <c r="C127" s="479"/>
      <c r="D127" s="514"/>
      <c r="F127" s="479"/>
      <c r="G127" s="479"/>
      <c r="H127" s="479"/>
      <c r="I127" s="510"/>
    </row>
  </sheetData>
  <mergeCells count="17">
    <mergeCell ref="A6:I6"/>
    <mergeCell ref="F9:I9"/>
    <mergeCell ref="A9:D9"/>
    <mergeCell ref="A41:D41"/>
    <mergeCell ref="F32:I32"/>
    <mergeCell ref="F22:I22"/>
    <mergeCell ref="A35:D35"/>
    <mergeCell ref="A7:I7"/>
    <mergeCell ref="A17:D17"/>
    <mergeCell ref="A8:D8"/>
    <mergeCell ref="G13:I13"/>
    <mergeCell ref="H8:I8"/>
    <mergeCell ref="A1:I1"/>
    <mergeCell ref="A2:I2"/>
    <mergeCell ref="A3:I3"/>
    <mergeCell ref="A4:I4"/>
    <mergeCell ref="A5:I5"/>
  </mergeCells>
  <pageMargins left="0.7" right="0.36" top="0.43" bottom="0.77" header="0.3" footer="0.3"/>
  <pageSetup paperSize="9" orientation="portrait" r:id="rId1"/>
  <headerFooter>
    <oddFooter>&amp;L__________________________Prepared By&amp;C__________________________Checked By&amp;R________________________Approved By</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S129"/>
  <sheetViews>
    <sheetView view="pageBreakPreview" topLeftCell="A2" zoomScale="90" zoomScaleSheetLayoutView="90" zoomScalePageLayoutView="40" workbookViewId="0">
      <selection activeCell="E16" sqref="E16:G16"/>
    </sheetView>
  </sheetViews>
  <sheetFormatPr defaultColWidth="9.140625" defaultRowHeight="12.75" x14ac:dyDescent="0.2"/>
  <cols>
    <col min="1" max="1" width="12.42578125" style="85" customWidth="1"/>
    <col min="2" max="5" width="9.140625" style="85"/>
    <col min="6" max="6" width="4.42578125" style="85" bestFit="1" customWidth="1"/>
    <col min="7" max="7" width="9.140625" style="85"/>
    <col min="8" max="8" width="10" style="85" customWidth="1"/>
    <col min="9" max="10" width="9.140625" style="85"/>
    <col min="11" max="11" width="14.5703125" style="85" customWidth="1"/>
    <col min="12" max="14" width="9.140625" style="85"/>
    <col min="15" max="15" width="9.140625" style="84"/>
    <col min="16" max="16384" width="9.140625" style="85"/>
  </cols>
  <sheetData>
    <row r="1" spans="1:19" hidden="1" x14ac:dyDescent="0.2">
      <c r="A1" s="1202" t="str">
        <f>'0.Data Sheet'!C18</f>
        <v>Government Of Nepal</v>
      </c>
      <c r="B1" s="1202"/>
      <c r="C1" s="1202"/>
      <c r="D1" s="1202"/>
      <c r="E1" s="1202"/>
      <c r="F1" s="1202"/>
      <c r="G1" s="1202"/>
      <c r="H1" s="1202"/>
      <c r="I1" s="1202"/>
      <c r="J1" s="1202"/>
      <c r="K1" s="1202"/>
      <c r="L1" s="1202"/>
      <c r="M1" s="1202"/>
      <c r="N1" s="1202"/>
      <c r="O1" s="1202"/>
      <c r="P1" s="1202"/>
      <c r="Q1" s="1202"/>
      <c r="R1" s="1202"/>
      <c r="S1" s="1202"/>
    </row>
    <row r="2" spans="1:19" x14ac:dyDescent="0.2">
      <c r="A2" s="1202" t="str">
        <f>'0.Data Sheet'!C19</f>
        <v xml:space="preserve">Ministry of Federal Affairs and General Administration
</v>
      </c>
      <c r="B2" s="1202"/>
      <c r="C2" s="1202"/>
      <c r="D2" s="1202"/>
      <c r="E2" s="1202"/>
      <c r="F2" s="1202"/>
      <c r="G2" s="1202"/>
      <c r="H2" s="1202"/>
      <c r="I2" s="1202"/>
      <c r="J2" s="1202"/>
      <c r="K2" s="1202"/>
      <c r="L2" s="1202"/>
      <c r="M2" s="1202"/>
      <c r="N2" s="1202"/>
      <c r="O2" s="1202"/>
      <c r="P2" s="1202"/>
      <c r="Q2" s="1202"/>
      <c r="R2" s="1202"/>
      <c r="S2" s="1202"/>
    </row>
    <row r="3" spans="1:19" ht="18" x14ac:dyDescent="0.25">
      <c r="A3" s="1209" t="str">
        <f>'0.Data Sheet'!C20</f>
        <v>Department Of Local Infrastructure (DOLI)</v>
      </c>
      <c r="B3" s="1209"/>
      <c r="C3" s="1209"/>
      <c r="D3" s="1209"/>
      <c r="E3" s="1209"/>
      <c r="F3" s="1209"/>
      <c r="G3" s="1209"/>
      <c r="H3" s="1209"/>
      <c r="I3" s="1209"/>
      <c r="J3" s="1209"/>
      <c r="K3" s="1209"/>
      <c r="L3" s="1209"/>
      <c r="M3" s="1209"/>
      <c r="N3" s="1209"/>
      <c r="O3" s="1209"/>
      <c r="P3" s="1209"/>
      <c r="Q3" s="1209"/>
      <c r="R3" s="1209"/>
      <c r="S3" s="1209"/>
    </row>
    <row r="4" spans="1:19" ht="15.75" x14ac:dyDescent="0.25">
      <c r="A4" s="1210" t="str">
        <f>'0.Data Sheet'!C21</f>
        <v>Local Bridge Section</v>
      </c>
      <c r="B4" s="1210"/>
      <c r="C4" s="1210"/>
      <c r="D4" s="1210"/>
      <c r="E4" s="1210"/>
      <c r="F4" s="1210"/>
      <c r="G4" s="1210"/>
      <c r="H4" s="1210"/>
      <c r="I4" s="1210"/>
      <c r="J4" s="1210"/>
      <c r="K4" s="1210"/>
      <c r="L4" s="1210"/>
      <c r="M4" s="1210"/>
      <c r="N4" s="1210"/>
      <c r="O4" s="1210"/>
      <c r="P4" s="1210"/>
      <c r="Q4" s="1210"/>
      <c r="R4" s="1210"/>
      <c r="S4" s="1210"/>
    </row>
    <row r="5" spans="1:19" x14ac:dyDescent="0.2">
      <c r="A5" s="1202" t="str">
        <f>'0.Data Sheet'!C22</f>
        <v>Pulchowk, Lalitpur</v>
      </c>
      <c r="B5" s="1202"/>
      <c r="C5" s="1202"/>
      <c r="D5" s="1202"/>
      <c r="E5" s="1202"/>
      <c r="F5" s="1202"/>
      <c r="G5" s="1202"/>
      <c r="H5" s="1202"/>
      <c r="I5" s="1202"/>
      <c r="J5" s="1202"/>
      <c r="K5" s="1202"/>
      <c r="L5" s="1202"/>
      <c r="M5" s="1202"/>
      <c r="N5" s="1202"/>
      <c r="O5" s="1202"/>
      <c r="P5" s="1202"/>
      <c r="Q5" s="1202"/>
      <c r="R5" s="1202"/>
      <c r="S5" s="1202"/>
    </row>
    <row r="6" spans="1:19" x14ac:dyDescent="0.2">
      <c r="A6" s="1346"/>
      <c r="B6" s="1346"/>
      <c r="C6" s="1346"/>
      <c r="D6" s="1346"/>
      <c r="E6" s="1346"/>
      <c r="F6" s="1346"/>
      <c r="G6" s="1346"/>
      <c r="H6" s="1346"/>
      <c r="I6" s="1346"/>
      <c r="J6" s="1346"/>
      <c r="K6" s="1346"/>
      <c r="L6" s="1346"/>
      <c r="M6" s="1346"/>
      <c r="N6" s="1346"/>
      <c r="O6" s="1346"/>
      <c r="P6" s="1346"/>
      <c r="Q6" s="1346"/>
      <c r="R6" s="1346"/>
      <c r="S6" s="1346"/>
    </row>
    <row r="7" spans="1:19" ht="15.75" x14ac:dyDescent="0.25">
      <c r="A7" s="1347" t="s">
        <v>206</v>
      </c>
      <c r="B7" s="1347"/>
      <c r="C7" s="1347"/>
      <c r="D7" s="1347"/>
      <c r="E7" s="1347"/>
      <c r="F7" s="1347"/>
      <c r="G7" s="1347"/>
      <c r="H7" s="1347"/>
      <c r="I7" s="1347"/>
      <c r="J7" s="1347"/>
      <c r="K7" s="1347"/>
      <c r="L7" s="1347"/>
      <c r="M7" s="1347"/>
      <c r="N7" s="1347"/>
      <c r="O7" s="1347"/>
      <c r="P7" s="1347"/>
      <c r="Q7" s="1347"/>
      <c r="R7" s="1347"/>
      <c r="S7" s="1347"/>
    </row>
    <row r="8" spans="1:19" ht="18" x14ac:dyDescent="0.25">
      <c r="A8" s="1348"/>
      <c r="B8" s="1348"/>
      <c r="C8" s="1348"/>
      <c r="D8" s="1348"/>
      <c r="E8" s="1348"/>
      <c r="F8" s="1348"/>
      <c r="G8" s="1348"/>
      <c r="H8" s="1348"/>
      <c r="I8" s="1348"/>
      <c r="J8" s="1348"/>
      <c r="K8" s="1348"/>
      <c r="L8" s="1348"/>
      <c r="M8" s="1348"/>
      <c r="N8" s="1348"/>
      <c r="O8" s="1348"/>
      <c r="P8" s="1348"/>
      <c r="Q8" s="1348"/>
      <c r="R8" s="1348"/>
      <c r="S8" s="1348"/>
    </row>
    <row r="9" spans="1:19" x14ac:dyDescent="0.2">
      <c r="A9" s="1349" t="str">
        <f>'7.0 Rates+ Transport'!A7</f>
        <v>Name of Bridge: Lambu Khola Motorable Bridge</v>
      </c>
      <c r="B9" s="1349"/>
      <c r="C9" s="1349"/>
      <c r="D9" s="1349"/>
      <c r="E9" s="1349"/>
      <c r="F9" s="517"/>
      <c r="G9" s="517"/>
      <c r="H9" s="517"/>
      <c r="I9" s="517"/>
      <c r="J9" s="517"/>
      <c r="K9" s="517"/>
      <c r="L9" s="517"/>
      <c r="M9" s="517"/>
      <c r="N9" s="517"/>
      <c r="O9" s="517"/>
      <c r="P9" s="517"/>
      <c r="Q9" s="1350" t="str">
        <f>'4.0Summary of Rates'!F9</f>
        <v>Span=20 x 1m</v>
      </c>
      <c r="R9" s="1351"/>
      <c r="S9" s="1351"/>
    </row>
    <row r="10" spans="1:19" s="357" customFormat="1" ht="12.75" customHeight="1" x14ac:dyDescent="0.2">
      <c r="A10" s="1337" t="s">
        <v>1022</v>
      </c>
      <c r="B10" s="1337"/>
      <c r="C10" s="1337"/>
      <c r="D10" s="1337"/>
      <c r="E10" s="1337"/>
      <c r="F10" s="1337"/>
      <c r="G10" s="1337"/>
      <c r="H10" s="1337"/>
      <c r="I10" s="1337"/>
      <c r="J10" s="1337"/>
      <c r="K10" s="1337"/>
      <c r="L10" s="1337"/>
      <c r="M10" s="1337"/>
      <c r="N10" s="1337"/>
      <c r="O10" s="1337"/>
      <c r="P10" s="1337"/>
      <c r="Q10" s="1337"/>
      <c r="R10" s="1337"/>
      <c r="S10" s="1337"/>
    </row>
    <row r="11" spans="1:19" s="357" customFormat="1" x14ac:dyDescent="0.2">
      <c r="A11" s="364"/>
      <c r="B11" s="364"/>
      <c r="C11" s="364"/>
      <c r="D11" s="364"/>
      <c r="E11" s="364"/>
      <c r="F11" s="364"/>
      <c r="G11" s="364"/>
      <c r="H11" s="364"/>
      <c r="I11" s="364"/>
      <c r="J11" s="364"/>
      <c r="K11" s="364"/>
      <c r="L11" s="364"/>
      <c r="M11" s="364"/>
      <c r="N11" s="364"/>
      <c r="O11" s="393"/>
      <c r="P11" s="364"/>
      <c r="Q11" s="364"/>
      <c r="R11" s="364"/>
      <c r="S11" s="364"/>
    </row>
    <row r="12" spans="1:19" s="357" customFormat="1" x14ac:dyDescent="0.2">
      <c r="A12" s="1344" t="s">
        <v>1023</v>
      </c>
      <c r="B12" s="1345"/>
      <c r="C12" s="1338" t="s">
        <v>1024</v>
      </c>
      <c r="D12" s="1339"/>
      <c r="E12" s="1339"/>
      <c r="F12" s="1339"/>
      <c r="G12" s="1339"/>
      <c r="H12" s="1339"/>
      <c r="I12" s="1339"/>
      <c r="J12" s="1339"/>
      <c r="K12" s="1339"/>
      <c r="L12" s="1339"/>
      <c r="M12" s="1339"/>
      <c r="N12" s="1339"/>
      <c r="O12" s="1339"/>
      <c r="P12" s="1339"/>
      <c r="Q12" s="1339"/>
      <c r="R12" s="1339"/>
      <c r="S12" s="1339"/>
    </row>
    <row r="13" spans="1:19" s="357" customFormat="1" ht="12.75" customHeight="1" x14ac:dyDescent="0.2">
      <c r="A13" s="1344" t="s">
        <v>1035</v>
      </c>
      <c r="B13" s="1345"/>
      <c r="C13" s="1340" t="s">
        <v>1025</v>
      </c>
      <c r="D13" s="1341"/>
      <c r="E13" s="1341"/>
      <c r="F13" s="1341"/>
      <c r="G13" s="1341"/>
      <c r="H13" s="1341"/>
      <c r="I13" s="1341"/>
      <c r="J13" s="1341"/>
      <c r="K13" s="1341"/>
      <c r="L13" s="1341"/>
      <c r="M13" s="1341"/>
      <c r="N13" s="1341"/>
      <c r="O13" s="1341"/>
      <c r="P13" s="1341"/>
      <c r="Q13" s="1341"/>
      <c r="R13" s="1341"/>
      <c r="S13" s="1341"/>
    </row>
    <row r="14" spans="1:19" s="357" customFormat="1" x14ac:dyDescent="0.2">
      <c r="A14" s="358"/>
      <c r="B14" s="359"/>
      <c r="C14" s="1342"/>
      <c r="D14" s="1343"/>
      <c r="E14" s="1343"/>
      <c r="F14" s="1343"/>
      <c r="G14" s="1343"/>
      <c r="H14" s="1343"/>
      <c r="I14" s="1343"/>
      <c r="J14" s="1343"/>
      <c r="K14" s="1343"/>
      <c r="L14" s="1343"/>
      <c r="M14" s="1343"/>
      <c r="N14" s="1343"/>
      <c r="O14" s="1343"/>
      <c r="P14" s="1343"/>
      <c r="Q14" s="1343"/>
      <c r="R14" s="1343"/>
      <c r="S14" s="1343"/>
    </row>
    <row r="15" spans="1:19" s="385" customFormat="1" ht="38.25" x14ac:dyDescent="0.2">
      <c r="A15" s="1352" t="s">
        <v>200</v>
      </c>
      <c r="B15" s="1353"/>
      <c r="C15" s="1354"/>
      <c r="D15" s="367" t="s">
        <v>0</v>
      </c>
      <c r="E15" s="1352" t="s">
        <v>1026</v>
      </c>
      <c r="F15" s="1353"/>
      <c r="G15" s="1354"/>
      <c r="H15" s="369" t="s">
        <v>1041</v>
      </c>
      <c r="I15" s="370" t="s">
        <v>1036</v>
      </c>
      <c r="J15" s="372" t="s">
        <v>1039</v>
      </c>
      <c r="K15" s="373" t="s">
        <v>1038</v>
      </c>
      <c r="L15" s="375" t="s">
        <v>1040</v>
      </c>
      <c r="M15" s="376" t="s">
        <v>1037</v>
      </c>
      <c r="N15" s="1358" t="s">
        <v>1042</v>
      </c>
      <c r="O15" s="1359"/>
      <c r="P15" s="1352" t="s">
        <v>1027</v>
      </c>
      <c r="Q15" s="1354"/>
      <c r="R15" s="1360" t="s">
        <v>87</v>
      </c>
      <c r="S15" s="1361"/>
    </row>
    <row r="16" spans="1:19" s="387" customFormat="1" ht="33.75" customHeight="1" x14ac:dyDescent="0.2">
      <c r="A16" s="1355" t="s">
        <v>1045</v>
      </c>
      <c r="B16" s="1356"/>
      <c r="C16" s="1357"/>
      <c r="D16" s="386" t="s">
        <v>1028</v>
      </c>
      <c r="E16" s="1327" t="s">
        <v>1054</v>
      </c>
      <c r="F16" s="1328"/>
      <c r="G16" s="1329"/>
      <c r="H16" s="371">
        <f>'6 Transportation Haulage'!B12</f>
        <v>0</v>
      </c>
      <c r="I16" s="382">
        <v>45</v>
      </c>
      <c r="J16" s="374">
        <f>'6 Transportation Haulage'!C12</f>
        <v>0</v>
      </c>
      <c r="K16" s="383">
        <v>25</v>
      </c>
      <c r="L16" s="377">
        <f>'6 Transportation Haulage'!D12</f>
        <v>0.1</v>
      </c>
      <c r="M16" s="384">
        <v>15</v>
      </c>
      <c r="N16" s="1330">
        <f t="shared" ref="N16:N27" si="0">L16+J16+H16</f>
        <v>0.1</v>
      </c>
      <c r="O16" s="1331"/>
      <c r="P16" s="1332">
        <f t="shared" ref="P16:P27" si="1">(2*(IFERROR((H16/I16),0)+IFERROR((J16/K16),0)+IFERROR((L16/M16),0)))</f>
        <v>1.3333333333333334E-2</v>
      </c>
      <c r="Q16" s="1333"/>
      <c r="R16" s="1332"/>
      <c r="S16" s="1333"/>
    </row>
    <row r="17" spans="1:19" s="387" customFormat="1" ht="15.75" customHeight="1" x14ac:dyDescent="0.2">
      <c r="A17" s="1355" t="s">
        <v>1029</v>
      </c>
      <c r="B17" s="1356"/>
      <c r="C17" s="1357"/>
      <c r="D17" s="386" t="s">
        <v>1028</v>
      </c>
      <c r="E17" s="1327" t="s">
        <v>1054</v>
      </c>
      <c r="F17" s="1328"/>
      <c r="G17" s="1329"/>
      <c r="H17" s="371">
        <f>'6 Transportation Haulage'!B13</f>
        <v>0</v>
      </c>
      <c r="I17" s="382">
        <f>I16</f>
        <v>45</v>
      </c>
      <c r="J17" s="388">
        <f>+'6 Transportation Haulage'!C13</f>
        <v>0</v>
      </c>
      <c r="K17" s="383">
        <f>K16</f>
        <v>25</v>
      </c>
      <c r="L17" s="389">
        <f>'6 Transportation Haulage'!D13</f>
        <v>2</v>
      </c>
      <c r="M17" s="384">
        <f>M16</f>
        <v>15</v>
      </c>
      <c r="N17" s="1330">
        <f t="shared" si="0"/>
        <v>2</v>
      </c>
      <c r="O17" s="1331"/>
      <c r="P17" s="1332">
        <f t="shared" si="1"/>
        <v>0.26666666666666666</v>
      </c>
      <c r="Q17" s="1333"/>
      <c r="R17" s="1334"/>
      <c r="S17" s="1335"/>
    </row>
    <row r="18" spans="1:19" s="387" customFormat="1" ht="15.75" x14ac:dyDescent="0.2">
      <c r="A18" s="1355" t="s">
        <v>86</v>
      </c>
      <c r="B18" s="1356"/>
      <c r="C18" s="1357"/>
      <c r="D18" s="386" t="s">
        <v>1028</v>
      </c>
      <c r="E18" s="1327" t="s">
        <v>1054</v>
      </c>
      <c r="F18" s="1328"/>
      <c r="G18" s="1329"/>
      <c r="H18" s="371">
        <f>H17</f>
        <v>0</v>
      </c>
      <c r="I18" s="382">
        <f t="shared" ref="I18:I27" si="2">I17</f>
        <v>45</v>
      </c>
      <c r="J18" s="388">
        <f>J17</f>
        <v>0</v>
      </c>
      <c r="K18" s="383">
        <f t="shared" ref="J18:K27" si="3">K17</f>
        <v>25</v>
      </c>
      <c r="L18" s="389">
        <f>L17</f>
        <v>2</v>
      </c>
      <c r="M18" s="384">
        <f t="shared" ref="M18:M23" si="4">M17</f>
        <v>15</v>
      </c>
      <c r="N18" s="1330">
        <f t="shared" si="0"/>
        <v>2</v>
      </c>
      <c r="O18" s="1331"/>
      <c r="P18" s="1332">
        <f t="shared" si="1"/>
        <v>0.26666666666666666</v>
      </c>
      <c r="Q18" s="1333"/>
      <c r="R18" s="1334"/>
      <c r="S18" s="1335"/>
    </row>
    <row r="19" spans="1:19" s="387" customFormat="1" ht="15.75" customHeight="1" x14ac:dyDescent="0.2">
      <c r="A19" s="1324" t="s">
        <v>1030</v>
      </c>
      <c r="B19" s="1325"/>
      <c r="C19" s="1326"/>
      <c r="D19" s="386" t="s">
        <v>1028</v>
      </c>
      <c r="E19" s="1327" t="s">
        <v>1054</v>
      </c>
      <c r="F19" s="1328"/>
      <c r="G19" s="1329"/>
      <c r="H19" s="371">
        <f>'6 Transportation Haulage'!B14</f>
        <v>0</v>
      </c>
      <c r="I19" s="382">
        <f t="shared" si="2"/>
        <v>45</v>
      </c>
      <c r="J19" s="388">
        <f>+'6 Transportation Haulage'!C14</f>
        <v>0</v>
      </c>
      <c r="K19" s="383">
        <f t="shared" si="3"/>
        <v>25</v>
      </c>
      <c r="L19" s="389">
        <f>+'6 Transportation Haulage'!D14</f>
        <v>3</v>
      </c>
      <c r="M19" s="384">
        <f t="shared" si="4"/>
        <v>15</v>
      </c>
      <c r="N19" s="1330">
        <f t="shared" si="0"/>
        <v>3</v>
      </c>
      <c r="O19" s="1331"/>
      <c r="P19" s="1332">
        <f t="shared" si="1"/>
        <v>0.4</v>
      </c>
      <c r="Q19" s="1333"/>
      <c r="R19" s="1334"/>
      <c r="S19" s="1335"/>
    </row>
    <row r="20" spans="1:19" s="387" customFormat="1" ht="15.75" customHeight="1" x14ac:dyDescent="0.2">
      <c r="A20" s="1324" t="s">
        <v>1031</v>
      </c>
      <c r="B20" s="1325"/>
      <c r="C20" s="1326"/>
      <c r="D20" s="386" t="s">
        <v>1028</v>
      </c>
      <c r="E20" s="1327" t="s">
        <v>1054</v>
      </c>
      <c r="F20" s="1328"/>
      <c r="G20" s="1329"/>
      <c r="H20" s="371">
        <f>H18</f>
        <v>0</v>
      </c>
      <c r="I20" s="382">
        <f t="shared" si="2"/>
        <v>45</v>
      </c>
      <c r="J20" s="388">
        <f>+'6 Transportation Haulage'!C15</f>
        <v>0</v>
      </c>
      <c r="K20" s="383">
        <f t="shared" si="3"/>
        <v>25</v>
      </c>
      <c r="L20" s="389">
        <f>L17</f>
        <v>2</v>
      </c>
      <c r="M20" s="384">
        <f t="shared" si="4"/>
        <v>15</v>
      </c>
      <c r="N20" s="1330">
        <f t="shared" si="0"/>
        <v>2</v>
      </c>
      <c r="O20" s="1331"/>
      <c r="P20" s="1332">
        <f t="shared" si="1"/>
        <v>0.26666666666666666</v>
      </c>
      <c r="Q20" s="1333"/>
      <c r="R20" s="1334"/>
      <c r="S20" s="1335"/>
    </row>
    <row r="21" spans="1:19" s="387" customFormat="1" x14ac:dyDescent="0.2">
      <c r="A21" s="1324" t="s">
        <v>9</v>
      </c>
      <c r="B21" s="1325"/>
      <c r="C21" s="1326"/>
      <c r="D21" s="386" t="s">
        <v>221</v>
      </c>
      <c r="E21" s="1327" t="s">
        <v>1054</v>
      </c>
      <c r="F21" s="1328"/>
      <c r="G21" s="1329"/>
      <c r="H21" s="371">
        <f>'6 Transportation Haulage'!B15</f>
        <v>0</v>
      </c>
      <c r="I21" s="382">
        <f t="shared" si="2"/>
        <v>45</v>
      </c>
      <c r="J21" s="388">
        <f>+'6 Transportation Haulage'!C16</f>
        <v>1</v>
      </c>
      <c r="K21" s="383">
        <f t="shared" si="3"/>
        <v>25</v>
      </c>
      <c r="L21" s="389">
        <f>'6 Transportation Haulage'!D15</f>
        <v>4</v>
      </c>
      <c r="M21" s="384">
        <f t="shared" si="4"/>
        <v>15</v>
      </c>
      <c r="N21" s="1330">
        <f t="shared" si="0"/>
        <v>5</v>
      </c>
      <c r="O21" s="1331"/>
      <c r="P21" s="1332">
        <f t="shared" si="1"/>
        <v>0.61333333333333329</v>
      </c>
      <c r="Q21" s="1333"/>
      <c r="R21" s="1334"/>
      <c r="S21" s="1335"/>
    </row>
    <row r="22" spans="1:19" s="387" customFormat="1" ht="26.25" customHeight="1" x14ac:dyDescent="0.2">
      <c r="A22" s="1324" t="s">
        <v>1051</v>
      </c>
      <c r="B22" s="1325"/>
      <c r="C22" s="1326"/>
      <c r="D22" s="386" t="s">
        <v>221</v>
      </c>
      <c r="E22" s="1327" t="s">
        <v>1054</v>
      </c>
      <c r="F22" s="1328"/>
      <c r="G22" s="1329"/>
      <c r="H22" s="371">
        <f>'6 Transportation Haulage'!B16</f>
        <v>0</v>
      </c>
      <c r="I22" s="382">
        <f t="shared" si="2"/>
        <v>45</v>
      </c>
      <c r="J22" s="388">
        <f>+'6 Transportation Haulage'!C17</f>
        <v>1</v>
      </c>
      <c r="K22" s="383">
        <f t="shared" si="3"/>
        <v>25</v>
      </c>
      <c r="L22" s="389">
        <f>'6 Transportation Haulage'!D16</f>
        <v>4</v>
      </c>
      <c r="M22" s="384">
        <f t="shared" si="4"/>
        <v>15</v>
      </c>
      <c r="N22" s="1330">
        <f t="shared" si="0"/>
        <v>5</v>
      </c>
      <c r="O22" s="1331"/>
      <c r="P22" s="1332">
        <f t="shared" si="1"/>
        <v>0.61333333333333329</v>
      </c>
      <c r="Q22" s="1333"/>
      <c r="R22" s="1334"/>
      <c r="S22" s="1335"/>
    </row>
    <row r="23" spans="1:19" s="387" customFormat="1" x14ac:dyDescent="0.2">
      <c r="A23" s="1324" t="s">
        <v>188</v>
      </c>
      <c r="B23" s="1325"/>
      <c r="C23" s="1326"/>
      <c r="D23" s="386" t="s">
        <v>1033</v>
      </c>
      <c r="E23" s="1327" t="s">
        <v>1054</v>
      </c>
      <c r="F23" s="1328"/>
      <c r="G23" s="1329"/>
      <c r="H23" s="371">
        <f>'6 Transportation Haulage'!B17</f>
        <v>0</v>
      </c>
      <c r="I23" s="382">
        <f t="shared" si="2"/>
        <v>45</v>
      </c>
      <c r="J23" s="388">
        <f>+'6 Transportation Haulage'!C18</f>
        <v>1</v>
      </c>
      <c r="K23" s="383">
        <f t="shared" si="3"/>
        <v>25</v>
      </c>
      <c r="L23" s="389">
        <f>'6 Transportation Haulage'!D17</f>
        <v>4</v>
      </c>
      <c r="M23" s="384">
        <f t="shared" si="4"/>
        <v>15</v>
      </c>
      <c r="N23" s="1330">
        <f t="shared" si="0"/>
        <v>5</v>
      </c>
      <c r="O23" s="1331"/>
      <c r="P23" s="1332">
        <f t="shared" si="1"/>
        <v>0.61333333333333329</v>
      </c>
      <c r="Q23" s="1333"/>
      <c r="R23" s="1334"/>
      <c r="S23" s="1335"/>
    </row>
    <row r="24" spans="1:19" s="390" customFormat="1" ht="12.75" customHeight="1" x14ac:dyDescent="0.2">
      <c r="A24" s="1324" t="s">
        <v>1032</v>
      </c>
      <c r="B24" s="1325"/>
      <c r="C24" s="1326"/>
      <c r="D24" s="386" t="s">
        <v>42</v>
      </c>
      <c r="E24" s="1327" t="s">
        <v>1054</v>
      </c>
      <c r="F24" s="1328"/>
      <c r="G24" s="1329"/>
      <c r="H24" s="371">
        <f>'6 Transportation Haulage'!B18</f>
        <v>0</v>
      </c>
      <c r="I24" s="382">
        <f t="shared" si="2"/>
        <v>45</v>
      </c>
      <c r="J24" s="388">
        <f>+'6 Transportation Haulage'!C19</f>
        <v>0</v>
      </c>
      <c r="K24" s="383">
        <f t="shared" ref="K24:K27" si="5">K23</f>
        <v>25</v>
      </c>
      <c r="L24" s="389">
        <f>'6 Transportation Haulage'!D18</f>
        <v>4</v>
      </c>
      <c r="M24" s="384">
        <f t="shared" ref="M24:M27" si="6">M23</f>
        <v>15</v>
      </c>
      <c r="N24" s="1330">
        <f t="shared" si="0"/>
        <v>4</v>
      </c>
      <c r="O24" s="1331"/>
      <c r="P24" s="1332">
        <f t="shared" si="1"/>
        <v>0.53333333333333333</v>
      </c>
      <c r="Q24" s="1333"/>
      <c r="R24" s="1334"/>
      <c r="S24" s="1335"/>
    </row>
    <row r="25" spans="1:19" s="390" customFormat="1" x14ac:dyDescent="0.2">
      <c r="A25" s="1324" t="s">
        <v>35</v>
      </c>
      <c r="B25" s="1325"/>
      <c r="C25" s="1326"/>
      <c r="D25" s="391" t="s">
        <v>1033</v>
      </c>
      <c r="E25" s="1327" t="s">
        <v>1054</v>
      </c>
      <c r="F25" s="1328"/>
      <c r="G25" s="1329"/>
      <c r="H25" s="371">
        <f>'0.Data Sheet'!B55</f>
        <v>0</v>
      </c>
      <c r="I25" s="382">
        <f t="shared" si="2"/>
        <v>45</v>
      </c>
      <c r="J25" s="388">
        <f>+'6 Transportation Haulage'!C20</f>
        <v>0</v>
      </c>
      <c r="K25" s="383">
        <f t="shared" si="5"/>
        <v>25</v>
      </c>
      <c r="L25" s="389">
        <f>'6 Transportation Haulage'!D19</f>
        <v>0.1</v>
      </c>
      <c r="M25" s="384">
        <f t="shared" si="6"/>
        <v>15</v>
      </c>
      <c r="N25" s="1330">
        <f t="shared" si="0"/>
        <v>0.1</v>
      </c>
      <c r="O25" s="1331"/>
      <c r="P25" s="1332">
        <f t="shared" si="1"/>
        <v>1.3333333333333334E-2</v>
      </c>
      <c r="Q25" s="1333"/>
      <c r="R25" s="1334"/>
      <c r="S25" s="1335"/>
    </row>
    <row r="26" spans="1:19" s="390" customFormat="1" ht="12.75" customHeight="1" x14ac:dyDescent="0.2">
      <c r="A26" s="1324" t="s">
        <v>1034</v>
      </c>
      <c r="B26" s="1325"/>
      <c r="C26" s="1326"/>
      <c r="D26" s="386" t="s">
        <v>221</v>
      </c>
      <c r="E26" s="1327" t="s">
        <v>1054</v>
      </c>
      <c r="F26" s="1328"/>
      <c r="G26" s="1329"/>
      <c r="H26" s="371">
        <f>H22</f>
        <v>0</v>
      </c>
      <c r="I26" s="382">
        <f t="shared" si="2"/>
        <v>45</v>
      </c>
      <c r="J26" s="388">
        <f>J22</f>
        <v>1</v>
      </c>
      <c r="K26" s="383">
        <f t="shared" si="5"/>
        <v>25</v>
      </c>
      <c r="L26" s="389">
        <f>L22</f>
        <v>4</v>
      </c>
      <c r="M26" s="384">
        <f t="shared" si="6"/>
        <v>15</v>
      </c>
      <c r="N26" s="1330">
        <f>L26+J26+H26</f>
        <v>5</v>
      </c>
      <c r="O26" s="1331"/>
      <c r="P26" s="1332">
        <f>(2*(IFERROR((H26/I26),0)+IFERROR((J26/K26),0)+IFERROR((L26/M26),0)))</f>
        <v>0.61333333333333329</v>
      </c>
      <c r="Q26" s="1333"/>
      <c r="R26" s="1334"/>
      <c r="S26" s="1335"/>
    </row>
    <row r="27" spans="1:19" s="390" customFormat="1" x14ac:dyDescent="0.2">
      <c r="A27" s="1324" t="s">
        <v>1057</v>
      </c>
      <c r="B27" s="1325"/>
      <c r="C27" s="1326"/>
      <c r="D27" s="386" t="s">
        <v>221</v>
      </c>
      <c r="E27" s="1327" t="s">
        <v>1056</v>
      </c>
      <c r="F27" s="1328"/>
      <c r="G27" s="1329"/>
      <c r="H27" s="371">
        <f>H22</f>
        <v>0</v>
      </c>
      <c r="I27" s="382">
        <f t="shared" si="2"/>
        <v>45</v>
      </c>
      <c r="J27" s="388">
        <f t="shared" si="3"/>
        <v>1</v>
      </c>
      <c r="K27" s="383">
        <f t="shared" si="5"/>
        <v>25</v>
      </c>
      <c r="L27" s="389">
        <f>L22</f>
        <v>4</v>
      </c>
      <c r="M27" s="384">
        <f t="shared" si="6"/>
        <v>15</v>
      </c>
      <c r="N27" s="1330">
        <f t="shared" si="0"/>
        <v>5</v>
      </c>
      <c r="O27" s="1331"/>
      <c r="P27" s="1332">
        <f t="shared" si="1"/>
        <v>0.61333333333333329</v>
      </c>
      <c r="Q27" s="1333"/>
      <c r="R27" s="1334"/>
      <c r="S27" s="1335"/>
    </row>
    <row r="28" spans="1:19" s="357" customFormat="1" x14ac:dyDescent="0.2">
      <c r="A28" s="361"/>
      <c r="B28" s="362"/>
      <c r="C28" s="378"/>
      <c r="D28" s="378"/>
      <c r="E28" s="378"/>
      <c r="F28" s="378"/>
      <c r="G28" s="378"/>
      <c r="H28" s="378"/>
      <c r="I28" s="378"/>
      <c r="J28" s="378"/>
      <c r="K28" s="378"/>
      <c r="L28" s="378"/>
      <c r="M28" s="378"/>
      <c r="N28" s="378"/>
      <c r="O28" s="378"/>
      <c r="P28" s="363"/>
      <c r="Q28" s="363"/>
      <c r="R28" s="363"/>
      <c r="S28" s="361"/>
    </row>
    <row r="29" spans="1:19" x14ac:dyDescent="0.2">
      <c r="A29" s="131" t="s">
        <v>207</v>
      </c>
      <c r="B29" s="132"/>
      <c r="C29" s="133"/>
      <c r="D29" s="133"/>
      <c r="E29" s="133"/>
      <c r="F29" s="133"/>
      <c r="G29" s="133"/>
      <c r="H29" s="133"/>
      <c r="I29" s="133"/>
      <c r="J29" s="133"/>
      <c r="K29" s="133"/>
      <c r="L29" s="133"/>
      <c r="M29" s="133"/>
      <c r="N29" s="133"/>
      <c r="O29" s="134"/>
      <c r="P29" s="134"/>
      <c r="Q29" s="133"/>
      <c r="R29" s="133"/>
      <c r="S29" s="133"/>
    </row>
    <row r="30" spans="1:19" x14ac:dyDescent="0.2">
      <c r="A30" s="132"/>
      <c r="B30" s="132"/>
      <c r="C30" s="133"/>
      <c r="D30" s="133"/>
      <c r="E30" s="133"/>
      <c r="F30" s="133"/>
      <c r="G30" s="133"/>
      <c r="H30" s="133"/>
      <c r="I30" s="133"/>
      <c r="J30" s="133"/>
      <c r="K30" s="133"/>
      <c r="L30" s="133"/>
      <c r="M30" s="133"/>
      <c r="N30" s="133"/>
      <c r="O30" s="1336"/>
      <c r="P30" s="1336"/>
      <c r="Q30" s="132"/>
      <c r="R30" s="133"/>
      <c r="S30" s="133"/>
    </row>
    <row r="31" spans="1:19" x14ac:dyDescent="0.2">
      <c r="A31" s="135"/>
      <c r="B31" s="132"/>
      <c r="C31" s="133"/>
      <c r="D31" s="133"/>
      <c r="E31" s="133"/>
      <c r="F31" s="133"/>
      <c r="G31" s="133"/>
      <c r="H31" s="133"/>
      <c r="I31" s="133"/>
      <c r="J31" s="133"/>
      <c r="K31" s="133"/>
      <c r="L31" s="133"/>
      <c r="M31" s="133"/>
      <c r="N31" s="133"/>
      <c r="O31" s="134"/>
      <c r="P31" s="134"/>
      <c r="Q31" s="133"/>
      <c r="R31" s="133"/>
      <c r="S31" s="133"/>
    </row>
    <row r="32" spans="1:19" x14ac:dyDescent="0.2">
      <c r="A32" s="132" t="s">
        <v>1043</v>
      </c>
      <c r="B32" s="133"/>
      <c r="C32" s="133"/>
      <c r="D32" s="133"/>
      <c r="E32" s="133"/>
      <c r="F32" s="133"/>
      <c r="G32" s="133"/>
      <c r="H32" s="133"/>
      <c r="I32" s="133"/>
      <c r="J32" s="136"/>
      <c r="K32" s="294"/>
      <c r="L32" s="134"/>
      <c r="M32" s="137"/>
      <c r="N32" s="134"/>
      <c r="O32" s="294"/>
      <c r="P32" s="134"/>
      <c r="Q32" s="134"/>
      <c r="R32" s="138" t="s">
        <v>208</v>
      </c>
      <c r="S32" s="139"/>
    </row>
    <row r="33" spans="1:19" ht="13.5" thickBot="1" x14ac:dyDescent="0.25">
      <c r="A33" s="132"/>
      <c r="B33" s="133"/>
      <c r="C33" s="133"/>
      <c r="D33" s="133"/>
      <c r="E33" s="133"/>
      <c r="F33" s="133"/>
      <c r="G33" s="133"/>
      <c r="H33" s="133"/>
      <c r="I33" s="133"/>
      <c r="J33" s="136"/>
      <c r="K33" s="294"/>
      <c r="L33" s="134"/>
      <c r="M33" s="137"/>
      <c r="N33" s="134"/>
      <c r="O33" s="294"/>
      <c r="P33" s="134"/>
      <c r="Q33" s="134"/>
      <c r="R33" s="138"/>
      <c r="S33" s="139"/>
    </row>
    <row r="34" spans="1:19" x14ac:dyDescent="0.2">
      <c r="A34" s="1312" t="s">
        <v>37</v>
      </c>
      <c r="B34" s="1314" t="s">
        <v>209</v>
      </c>
      <c r="C34" s="1315"/>
      <c r="D34" s="1315"/>
      <c r="E34" s="1316"/>
      <c r="F34" s="1314" t="s">
        <v>210</v>
      </c>
      <c r="G34" s="1315"/>
      <c r="H34" s="1315"/>
      <c r="I34" s="1316"/>
      <c r="J34" s="1317" t="s">
        <v>43</v>
      </c>
      <c r="K34" s="1318"/>
      <c r="L34" s="1318"/>
      <c r="M34" s="1319"/>
      <c r="N34" s="1317" t="s">
        <v>22</v>
      </c>
      <c r="O34" s="1318"/>
      <c r="P34" s="1318"/>
      <c r="Q34" s="1319"/>
      <c r="R34" s="1320" t="s">
        <v>211</v>
      </c>
      <c r="S34" s="1322" t="s">
        <v>212</v>
      </c>
    </row>
    <row r="35" spans="1:19" ht="13.5" thickBot="1" x14ac:dyDescent="0.25">
      <c r="A35" s="1313"/>
      <c r="B35" s="140" t="s">
        <v>201</v>
      </c>
      <c r="C35" s="140" t="s">
        <v>5</v>
      </c>
      <c r="D35" s="140" t="s">
        <v>1</v>
      </c>
      <c r="E35" s="140" t="s">
        <v>2</v>
      </c>
      <c r="F35" s="140" t="s">
        <v>201</v>
      </c>
      <c r="G35" s="140" t="s">
        <v>5</v>
      </c>
      <c r="H35" s="140" t="s">
        <v>1</v>
      </c>
      <c r="I35" s="140" t="s">
        <v>2</v>
      </c>
      <c r="J35" s="141" t="s">
        <v>201</v>
      </c>
      <c r="K35" s="141" t="s">
        <v>5</v>
      </c>
      <c r="L35" s="141" t="s">
        <v>1</v>
      </c>
      <c r="M35" s="141" t="s">
        <v>2</v>
      </c>
      <c r="N35" s="141" t="s">
        <v>201</v>
      </c>
      <c r="O35" s="141" t="s">
        <v>5</v>
      </c>
      <c r="P35" s="141" t="s">
        <v>1</v>
      </c>
      <c r="Q35" s="141" t="s">
        <v>2</v>
      </c>
      <c r="R35" s="1321"/>
      <c r="S35" s="1323"/>
    </row>
    <row r="36" spans="1:19" ht="13.5" thickBot="1" x14ac:dyDescent="0.25">
      <c r="A36" s="191">
        <f>N16</f>
        <v>0.1</v>
      </c>
      <c r="B36" s="142" t="s">
        <v>46</v>
      </c>
      <c r="C36" s="142">
        <v>0.4</v>
      </c>
      <c r="D36" s="142">
        <f>ur</f>
        <v>770</v>
      </c>
      <c r="E36" s="142">
        <f>D36*C36</f>
        <v>308</v>
      </c>
      <c r="F36" s="142" t="s">
        <v>46</v>
      </c>
      <c r="G36" s="142"/>
      <c r="H36" s="142"/>
      <c r="I36" s="142"/>
      <c r="J36" s="143" t="s">
        <v>72</v>
      </c>
      <c r="K36" s="144">
        <f>N16*0.05</f>
        <v>5.000000000000001E-3</v>
      </c>
      <c r="L36" s="144">
        <f>diesel</f>
        <v>160</v>
      </c>
      <c r="M36" s="144">
        <f>K36*L36</f>
        <v>0.80000000000000016</v>
      </c>
      <c r="N36" s="144" t="s">
        <v>28</v>
      </c>
      <c r="O36" s="144">
        <f>0.15*(P16+0.75)</f>
        <v>0.11449999999999999</v>
      </c>
      <c r="P36" s="144">
        <f>truck</f>
        <v>450</v>
      </c>
      <c r="Q36" s="144">
        <f>O36*P36</f>
        <v>51.524999999999999</v>
      </c>
      <c r="R36" s="145">
        <f>E36+M36+Q36+I36</f>
        <v>360.32499999999999</v>
      </c>
      <c r="S36" s="146"/>
    </row>
    <row r="37" spans="1:19" x14ac:dyDescent="0.2">
      <c r="A37" s="94"/>
      <c r="B37" s="148"/>
      <c r="C37" s="148"/>
      <c r="D37" s="148"/>
      <c r="E37" s="148"/>
      <c r="F37" s="148"/>
      <c r="G37" s="148"/>
      <c r="H37" s="148"/>
      <c r="I37" s="148"/>
      <c r="J37" s="149"/>
      <c r="K37" s="150"/>
      <c r="L37" s="150"/>
      <c r="M37" s="150"/>
      <c r="N37" s="150"/>
      <c r="O37" s="150"/>
      <c r="P37" s="150"/>
      <c r="Q37" s="150"/>
      <c r="R37" s="151"/>
      <c r="S37" s="151"/>
    </row>
    <row r="38" spans="1:19" s="365" customFormat="1" x14ac:dyDescent="0.2">
      <c r="A38" s="132" t="s">
        <v>1044</v>
      </c>
      <c r="B38" s="133"/>
      <c r="C38" s="133"/>
      <c r="D38" s="133"/>
      <c r="E38" s="133"/>
      <c r="F38" s="133"/>
      <c r="G38" s="133"/>
      <c r="H38" s="133"/>
      <c r="I38" s="133"/>
      <c r="J38" s="136"/>
      <c r="K38" s="294"/>
      <c r="L38" s="134"/>
      <c r="M38" s="137"/>
      <c r="N38" s="134"/>
      <c r="O38" s="294"/>
      <c r="P38" s="134"/>
      <c r="Q38" s="134"/>
      <c r="R38" s="138" t="s">
        <v>208</v>
      </c>
      <c r="S38" s="139"/>
    </row>
    <row r="39" spans="1:19" s="365" customFormat="1" ht="13.5" thickBot="1" x14ac:dyDescent="0.25">
      <c r="A39" s="132"/>
      <c r="B39" s="133"/>
      <c r="C39" s="133"/>
      <c r="D39" s="133"/>
      <c r="E39" s="133"/>
      <c r="F39" s="133"/>
      <c r="G39" s="133"/>
      <c r="H39" s="133"/>
      <c r="I39" s="133"/>
      <c r="J39" s="136"/>
      <c r="K39" s="294"/>
      <c r="L39" s="134"/>
      <c r="M39" s="137"/>
      <c r="N39" s="134"/>
      <c r="O39" s="294"/>
      <c r="P39" s="134"/>
      <c r="Q39" s="134"/>
      <c r="R39" s="138"/>
      <c r="S39" s="139"/>
    </row>
    <row r="40" spans="1:19" s="365" customFormat="1" x14ac:dyDescent="0.2">
      <c r="A40" s="1312" t="s">
        <v>37</v>
      </c>
      <c r="B40" s="1314" t="s">
        <v>209</v>
      </c>
      <c r="C40" s="1315"/>
      <c r="D40" s="1315"/>
      <c r="E40" s="1316"/>
      <c r="F40" s="1314" t="s">
        <v>210</v>
      </c>
      <c r="G40" s="1315"/>
      <c r="H40" s="1315"/>
      <c r="I40" s="1316"/>
      <c r="J40" s="1317" t="s">
        <v>43</v>
      </c>
      <c r="K40" s="1318"/>
      <c r="L40" s="1318"/>
      <c r="M40" s="1319"/>
      <c r="N40" s="1317" t="s">
        <v>22</v>
      </c>
      <c r="O40" s="1318"/>
      <c r="P40" s="1318"/>
      <c r="Q40" s="1319"/>
      <c r="R40" s="1320" t="s">
        <v>211</v>
      </c>
      <c r="S40" s="1322" t="s">
        <v>212</v>
      </c>
    </row>
    <row r="41" spans="1:19" s="365" customFormat="1" ht="13.5" thickBot="1" x14ac:dyDescent="0.25">
      <c r="A41" s="1313"/>
      <c r="B41" s="140" t="s">
        <v>201</v>
      </c>
      <c r="C41" s="140" t="s">
        <v>5</v>
      </c>
      <c r="D41" s="140" t="s">
        <v>1</v>
      </c>
      <c r="E41" s="140" t="s">
        <v>2</v>
      </c>
      <c r="F41" s="140" t="s">
        <v>201</v>
      </c>
      <c r="G41" s="140" t="s">
        <v>5</v>
      </c>
      <c r="H41" s="140" t="s">
        <v>1</v>
      </c>
      <c r="I41" s="140" t="s">
        <v>2</v>
      </c>
      <c r="J41" s="141" t="s">
        <v>201</v>
      </c>
      <c r="K41" s="141" t="s">
        <v>5</v>
      </c>
      <c r="L41" s="141" t="s">
        <v>1</v>
      </c>
      <c r="M41" s="141" t="s">
        <v>2</v>
      </c>
      <c r="N41" s="141" t="s">
        <v>201</v>
      </c>
      <c r="O41" s="141" t="s">
        <v>5</v>
      </c>
      <c r="P41" s="141" t="s">
        <v>1</v>
      </c>
      <c r="Q41" s="141" t="s">
        <v>2</v>
      </c>
      <c r="R41" s="1321"/>
      <c r="S41" s="1323"/>
    </row>
    <row r="42" spans="1:19" s="365" customFormat="1" ht="13.5" thickBot="1" x14ac:dyDescent="0.25">
      <c r="A42" s="191">
        <f>N22</f>
        <v>5</v>
      </c>
      <c r="B42" s="142" t="s">
        <v>46</v>
      </c>
      <c r="C42" s="142">
        <v>0.4</v>
      </c>
      <c r="D42" s="142">
        <f>ur</f>
        <v>770</v>
      </c>
      <c r="E42" s="142">
        <f>D42*C42</f>
        <v>308</v>
      </c>
      <c r="F42" s="142" t="s">
        <v>46</v>
      </c>
      <c r="G42" s="142"/>
      <c r="H42" s="142"/>
      <c r="I42" s="142"/>
      <c r="J42" s="143" t="s">
        <v>72</v>
      </c>
      <c r="K42" s="144">
        <f>N16*0.06</f>
        <v>6.0000000000000001E-3</v>
      </c>
      <c r="L42" s="144">
        <f>diesel</f>
        <v>160</v>
      </c>
      <c r="M42" s="144">
        <f>K42*L42</f>
        <v>0.96</v>
      </c>
      <c r="N42" s="144" t="s">
        <v>28</v>
      </c>
      <c r="O42" s="144">
        <f>0.18*(P16+0.75)</f>
        <v>0.13739999999999999</v>
      </c>
      <c r="P42" s="144">
        <f>truck</f>
        <v>450</v>
      </c>
      <c r="Q42" s="144">
        <f>O42*P42</f>
        <v>61.83</v>
      </c>
      <c r="R42" s="145">
        <f>E42+M42+Q42+I42</f>
        <v>370.78999999999996</v>
      </c>
      <c r="S42" s="146"/>
    </row>
    <row r="43" spans="1:19" s="365" customFormat="1" x14ac:dyDescent="0.2">
      <c r="A43" s="366"/>
      <c r="B43" s="148"/>
      <c r="C43" s="148"/>
      <c r="D43" s="148"/>
      <c r="E43" s="148"/>
      <c r="F43" s="148"/>
      <c r="G43" s="148"/>
      <c r="H43" s="148"/>
      <c r="I43" s="148"/>
      <c r="J43" s="149"/>
      <c r="K43" s="150"/>
      <c r="L43" s="150"/>
      <c r="M43" s="150"/>
      <c r="N43" s="150"/>
      <c r="O43" s="150"/>
      <c r="P43" s="150"/>
      <c r="Q43" s="150"/>
      <c r="R43" s="151"/>
      <c r="S43" s="151"/>
    </row>
    <row r="44" spans="1:19" x14ac:dyDescent="0.2">
      <c r="A44" s="132" t="s">
        <v>1046</v>
      </c>
      <c r="B44" s="133"/>
      <c r="C44" s="133"/>
      <c r="D44" s="133"/>
      <c r="E44" s="133"/>
      <c r="F44" s="133"/>
      <c r="G44" s="133"/>
      <c r="H44" s="133"/>
      <c r="I44" s="133"/>
      <c r="J44" s="136"/>
      <c r="K44" s="134"/>
      <c r="L44" s="134"/>
      <c r="M44" s="137"/>
      <c r="N44" s="134"/>
      <c r="O44" s="134"/>
      <c r="P44" s="134"/>
      <c r="Q44" s="134"/>
      <c r="R44" s="138" t="s">
        <v>208</v>
      </c>
      <c r="S44" s="139"/>
    </row>
    <row r="45" spans="1:19" ht="13.5" thickBot="1" x14ac:dyDescent="0.25">
      <c r="A45" s="132"/>
      <c r="B45" s="133"/>
      <c r="C45" s="133"/>
      <c r="D45" s="133"/>
      <c r="E45" s="133"/>
      <c r="F45" s="133"/>
      <c r="G45" s="133"/>
      <c r="H45" s="133"/>
      <c r="I45" s="133"/>
      <c r="J45" s="136"/>
      <c r="K45" s="294"/>
      <c r="L45" s="134"/>
      <c r="M45" s="137"/>
      <c r="N45" s="134"/>
      <c r="O45" s="134"/>
      <c r="P45" s="134"/>
      <c r="Q45" s="134"/>
      <c r="R45" s="138"/>
      <c r="S45" s="139"/>
    </row>
    <row r="46" spans="1:19" x14ac:dyDescent="0.2">
      <c r="A46" s="1312" t="s">
        <v>37</v>
      </c>
      <c r="B46" s="1314" t="s">
        <v>209</v>
      </c>
      <c r="C46" s="1315"/>
      <c r="D46" s="1315"/>
      <c r="E46" s="1316"/>
      <c r="F46" s="1314" t="s">
        <v>210</v>
      </c>
      <c r="G46" s="1315"/>
      <c r="H46" s="1315"/>
      <c r="I46" s="1316"/>
      <c r="J46" s="1317" t="s">
        <v>43</v>
      </c>
      <c r="K46" s="1318"/>
      <c r="L46" s="1318"/>
      <c r="M46" s="1319"/>
      <c r="N46" s="1317" t="s">
        <v>22</v>
      </c>
      <c r="O46" s="1318"/>
      <c r="P46" s="1318"/>
      <c r="Q46" s="1319"/>
      <c r="R46" s="1320" t="s">
        <v>211</v>
      </c>
      <c r="S46" s="1322" t="s">
        <v>212</v>
      </c>
    </row>
    <row r="47" spans="1:19" ht="13.5" thickBot="1" x14ac:dyDescent="0.25">
      <c r="A47" s="1313"/>
      <c r="B47" s="140" t="s">
        <v>201</v>
      </c>
      <c r="C47" s="140" t="s">
        <v>5</v>
      </c>
      <c r="D47" s="140" t="s">
        <v>1</v>
      </c>
      <c r="E47" s="140" t="s">
        <v>2</v>
      </c>
      <c r="F47" s="140" t="s">
        <v>201</v>
      </c>
      <c r="G47" s="140" t="s">
        <v>5</v>
      </c>
      <c r="H47" s="140" t="s">
        <v>1</v>
      </c>
      <c r="I47" s="140" t="s">
        <v>2</v>
      </c>
      <c r="J47" s="141" t="s">
        <v>201</v>
      </c>
      <c r="K47" s="141" t="s">
        <v>5</v>
      </c>
      <c r="L47" s="141" t="s">
        <v>1</v>
      </c>
      <c r="M47" s="141" t="s">
        <v>2</v>
      </c>
      <c r="N47" s="141" t="s">
        <v>201</v>
      </c>
      <c r="O47" s="141" t="s">
        <v>5</v>
      </c>
      <c r="P47" s="141" t="s">
        <v>1</v>
      </c>
      <c r="Q47" s="141" t="s">
        <v>2</v>
      </c>
      <c r="R47" s="1321"/>
      <c r="S47" s="1323"/>
    </row>
    <row r="48" spans="1:19" ht="13.5" thickBot="1" x14ac:dyDescent="0.25">
      <c r="A48" s="191">
        <f>N17</f>
        <v>2</v>
      </c>
      <c r="B48" s="142" t="s">
        <v>46</v>
      </c>
      <c r="C48" s="142">
        <v>0.3</v>
      </c>
      <c r="D48" s="142">
        <f>ur</f>
        <v>770</v>
      </c>
      <c r="E48" s="142">
        <f>D48*C48</f>
        <v>231</v>
      </c>
      <c r="F48" s="142"/>
      <c r="G48" s="142"/>
      <c r="H48" s="142"/>
      <c r="I48" s="142"/>
      <c r="J48" s="143" t="s">
        <v>72</v>
      </c>
      <c r="K48" s="144">
        <f>N17*0.04</f>
        <v>0.08</v>
      </c>
      <c r="L48" s="144">
        <f>diesel</f>
        <v>160</v>
      </c>
      <c r="M48" s="144">
        <f>K48*L48</f>
        <v>12.8</v>
      </c>
      <c r="N48" s="144" t="s">
        <v>28</v>
      </c>
      <c r="O48" s="144">
        <f>0.13*(P17+0.75)</f>
        <v>0.13216666666666665</v>
      </c>
      <c r="P48" s="144">
        <f>truck</f>
        <v>450</v>
      </c>
      <c r="Q48" s="144">
        <f>O48*P48</f>
        <v>59.474999999999994</v>
      </c>
      <c r="R48" s="145">
        <f>E48+M48+Q48+I48</f>
        <v>303.27499999999998</v>
      </c>
      <c r="S48" s="146"/>
    </row>
    <row r="49" spans="1:19" x14ac:dyDescent="0.2">
      <c r="A49" s="147"/>
      <c r="B49" s="148"/>
      <c r="C49" s="148"/>
      <c r="D49" s="148"/>
      <c r="E49" s="148"/>
      <c r="F49" s="148"/>
      <c r="G49" s="148"/>
      <c r="H49" s="148"/>
      <c r="I49" s="148"/>
      <c r="J49" s="149"/>
      <c r="K49" s="150"/>
      <c r="L49" s="150"/>
      <c r="M49" s="150"/>
      <c r="N49" s="150"/>
      <c r="O49" s="150"/>
      <c r="P49" s="150"/>
      <c r="Q49" s="150"/>
      <c r="R49" s="151"/>
      <c r="S49" s="151"/>
    </row>
    <row r="50" spans="1:19" x14ac:dyDescent="0.2">
      <c r="A50" s="132" t="s">
        <v>1047</v>
      </c>
      <c r="B50" s="133"/>
      <c r="C50" s="133"/>
      <c r="D50" s="133"/>
      <c r="E50" s="133"/>
      <c r="F50" s="133"/>
      <c r="G50" s="133"/>
      <c r="H50" s="133"/>
      <c r="I50" s="133"/>
      <c r="J50" s="136"/>
      <c r="K50" s="134"/>
      <c r="L50" s="134"/>
      <c r="M50" s="137"/>
      <c r="N50" s="134"/>
      <c r="O50" s="134"/>
      <c r="P50" s="134"/>
      <c r="Q50" s="134"/>
      <c r="R50" s="138" t="s">
        <v>208</v>
      </c>
      <c r="S50" s="133"/>
    </row>
    <row r="51" spans="1:19" ht="13.5" thickBot="1" x14ac:dyDescent="0.25">
      <c r="A51" s="132"/>
      <c r="B51" s="133"/>
      <c r="C51" s="133"/>
      <c r="D51" s="133"/>
      <c r="E51" s="133"/>
      <c r="F51" s="133"/>
      <c r="G51" s="133"/>
      <c r="H51" s="133"/>
      <c r="I51" s="133"/>
      <c r="J51" s="136"/>
      <c r="K51" s="134"/>
      <c r="L51" s="134"/>
      <c r="M51" s="137"/>
      <c r="N51" s="134"/>
      <c r="O51" s="134"/>
      <c r="P51" s="134"/>
      <c r="Q51" s="134"/>
      <c r="R51" s="138"/>
      <c r="S51" s="133"/>
    </row>
    <row r="52" spans="1:19" x14ac:dyDescent="0.2">
      <c r="A52" s="1312" t="s">
        <v>37</v>
      </c>
      <c r="B52" s="1314" t="s">
        <v>209</v>
      </c>
      <c r="C52" s="1315"/>
      <c r="D52" s="1315"/>
      <c r="E52" s="1316"/>
      <c r="F52" s="1314" t="s">
        <v>210</v>
      </c>
      <c r="G52" s="1315"/>
      <c r="H52" s="1315"/>
      <c r="I52" s="1316"/>
      <c r="J52" s="1317" t="s">
        <v>43</v>
      </c>
      <c r="K52" s="1318"/>
      <c r="L52" s="1318"/>
      <c r="M52" s="1319"/>
      <c r="N52" s="1317" t="s">
        <v>22</v>
      </c>
      <c r="O52" s="1318"/>
      <c r="P52" s="1318"/>
      <c r="Q52" s="1319"/>
      <c r="R52" s="1320" t="s">
        <v>211</v>
      </c>
      <c r="S52" s="1322" t="s">
        <v>212</v>
      </c>
    </row>
    <row r="53" spans="1:19" ht="13.5" thickBot="1" x14ac:dyDescent="0.25">
      <c r="A53" s="1313"/>
      <c r="B53" s="140" t="s">
        <v>201</v>
      </c>
      <c r="C53" s="140" t="s">
        <v>5</v>
      </c>
      <c r="D53" s="140" t="s">
        <v>1</v>
      </c>
      <c r="E53" s="140" t="s">
        <v>2</v>
      </c>
      <c r="F53" s="140" t="s">
        <v>201</v>
      </c>
      <c r="G53" s="140" t="s">
        <v>5</v>
      </c>
      <c r="H53" s="140" t="s">
        <v>1</v>
      </c>
      <c r="I53" s="140" t="s">
        <v>2</v>
      </c>
      <c r="J53" s="141" t="s">
        <v>201</v>
      </c>
      <c r="K53" s="141" t="s">
        <v>5</v>
      </c>
      <c r="L53" s="141" t="s">
        <v>1</v>
      </c>
      <c r="M53" s="141" t="s">
        <v>2</v>
      </c>
      <c r="N53" s="141" t="s">
        <v>201</v>
      </c>
      <c r="O53" s="141" t="s">
        <v>5</v>
      </c>
      <c r="P53" s="141" t="s">
        <v>1</v>
      </c>
      <c r="Q53" s="141" t="s">
        <v>2</v>
      </c>
      <c r="R53" s="1321"/>
      <c r="S53" s="1323"/>
    </row>
    <row r="54" spans="1:19" ht="13.5" thickBot="1" x14ac:dyDescent="0.25">
      <c r="A54" s="191">
        <f>N18</f>
        <v>2</v>
      </c>
      <c r="B54" s="142" t="s">
        <v>46</v>
      </c>
      <c r="C54" s="142">
        <v>0.5</v>
      </c>
      <c r="D54" s="142">
        <f>D48</f>
        <v>770</v>
      </c>
      <c r="E54" s="142">
        <f>C54*D54</f>
        <v>385</v>
      </c>
      <c r="F54" s="142"/>
      <c r="G54" s="142"/>
      <c r="H54" s="142"/>
      <c r="I54" s="142"/>
      <c r="J54" s="143" t="s">
        <v>72</v>
      </c>
      <c r="K54" s="144">
        <f>N18*0.05</f>
        <v>0.1</v>
      </c>
      <c r="L54" s="144">
        <f>diesel</f>
        <v>160</v>
      </c>
      <c r="M54" s="144">
        <f>L54*K54</f>
        <v>16</v>
      </c>
      <c r="N54" s="144" t="s">
        <v>28</v>
      </c>
      <c r="O54" s="144">
        <f>0.16*(P18+0.75)</f>
        <v>0.16266666666666665</v>
      </c>
      <c r="P54" s="144">
        <f>truck</f>
        <v>450</v>
      </c>
      <c r="Q54" s="144">
        <f>O54*P54</f>
        <v>73.199999999999989</v>
      </c>
      <c r="R54" s="145">
        <f>E54+M54+Q54+I54</f>
        <v>474.2</v>
      </c>
      <c r="S54" s="146"/>
    </row>
    <row r="55" spans="1:19" x14ac:dyDescent="0.2">
      <c r="A55" s="147"/>
      <c r="B55" s="148"/>
      <c r="C55" s="148"/>
      <c r="D55" s="148"/>
      <c r="E55" s="148"/>
      <c r="F55" s="148"/>
      <c r="G55" s="148"/>
      <c r="H55" s="148"/>
      <c r="I55" s="148"/>
      <c r="J55" s="149"/>
      <c r="K55" s="150"/>
      <c r="L55" s="150"/>
      <c r="M55" s="150"/>
      <c r="N55" s="150"/>
      <c r="O55" s="150"/>
      <c r="P55" s="150"/>
      <c r="Q55" s="150"/>
      <c r="R55" s="151"/>
      <c r="S55" s="151"/>
    </row>
    <row r="56" spans="1:19" x14ac:dyDescent="0.2">
      <c r="A56" s="132" t="s">
        <v>1048</v>
      </c>
      <c r="B56" s="133"/>
      <c r="C56" s="133"/>
      <c r="D56" s="133"/>
      <c r="E56" s="133"/>
      <c r="F56" s="133"/>
      <c r="G56" s="133"/>
      <c r="H56" s="133"/>
      <c r="I56" s="133"/>
      <c r="J56" s="136"/>
      <c r="K56" s="134"/>
      <c r="L56" s="134"/>
      <c r="M56" s="137"/>
      <c r="N56" s="134"/>
      <c r="O56" s="134"/>
      <c r="P56" s="134"/>
      <c r="Q56" s="134"/>
      <c r="R56" s="138" t="s">
        <v>208</v>
      </c>
      <c r="S56" s="133"/>
    </row>
    <row r="57" spans="1:19" ht="13.5" thickBot="1" x14ac:dyDescent="0.25">
      <c r="A57" s="132"/>
      <c r="B57" s="133"/>
      <c r="C57" s="133"/>
      <c r="D57" s="133"/>
      <c r="E57" s="133"/>
      <c r="F57" s="133"/>
      <c r="G57" s="133"/>
      <c r="H57" s="133"/>
      <c r="I57" s="133"/>
      <c r="J57" s="136"/>
      <c r="K57" s="134"/>
      <c r="L57" s="134"/>
      <c r="M57" s="137"/>
      <c r="N57" s="134"/>
      <c r="O57" s="134"/>
      <c r="P57" s="134"/>
      <c r="Q57" s="134"/>
      <c r="R57" s="138"/>
      <c r="S57" s="133"/>
    </row>
    <row r="58" spans="1:19" x14ac:dyDescent="0.2">
      <c r="A58" s="1312" t="s">
        <v>37</v>
      </c>
      <c r="B58" s="1314" t="s">
        <v>209</v>
      </c>
      <c r="C58" s="1315"/>
      <c r="D58" s="1315"/>
      <c r="E58" s="1316"/>
      <c r="F58" s="1314" t="s">
        <v>210</v>
      </c>
      <c r="G58" s="1315"/>
      <c r="H58" s="1315"/>
      <c r="I58" s="1316"/>
      <c r="J58" s="1317" t="s">
        <v>43</v>
      </c>
      <c r="K58" s="1318"/>
      <c r="L58" s="1318"/>
      <c r="M58" s="1319"/>
      <c r="N58" s="1317" t="s">
        <v>22</v>
      </c>
      <c r="O58" s="1318"/>
      <c r="P58" s="1318"/>
      <c r="Q58" s="1319"/>
      <c r="R58" s="1320" t="s">
        <v>211</v>
      </c>
      <c r="S58" s="1322" t="s">
        <v>212</v>
      </c>
    </row>
    <row r="59" spans="1:19" ht="13.5" thickBot="1" x14ac:dyDescent="0.25">
      <c r="A59" s="1313"/>
      <c r="B59" s="140" t="s">
        <v>201</v>
      </c>
      <c r="C59" s="140" t="s">
        <v>5</v>
      </c>
      <c r="D59" s="140" t="s">
        <v>1</v>
      </c>
      <c r="E59" s="140" t="s">
        <v>2</v>
      </c>
      <c r="F59" s="140" t="s">
        <v>201</v>
      </c>
      <c r="G59" s="140" t="s">
        <v>5</v>
      </c>
      <c r="H59" s="140" t="s">
        <v>1</v>
      </c>
      <c r="I59" s="140" t="s">
        <v>2</v>
      </c>
      <c r="J59" s="141" t="s">
        <v>201</v>
      </c>
      <c r="K59" s="141" t="s">
        <v>5</v>
      </c>
      <c r="L59" s="141" t="s">
        <v>1</v>
      </c>
      <c r="M59" s="141" t="s">
        <v>2</v>
      </c>
      <c r="N59" s="141" t="s">
        <v>201</v>
      </c>
      <c r="O59" s="141" t="s">
        <v>5</v>
      </c>
      <c r="P59" s="141" t="s">
        <v>1</v>
      </c>
      <c r="Q59" s="141" t="s">
        <v>2</v>
      </c>
      <c r="R59" s="1321"/>
      <c r="S59" s="1323"/>
    </row>
    <row r="60" spans="1:19" ht="13.5" thickBot="1" x14ac:dyDescent="0.25">
      <c r="A60" s="191">
        <f>N20</f>
        <v>2</v>
      </c>
      <c r="B60" s="142" t="s">
        <v>46</v>
      </c>
      <c r="C60" s="142">
        <v>0.5</v>
      </c>
      <c r="D60" s="142">
        <f>D48</f>
        <v>770</v>
      </c>
      <c r="E60" s="142">
        <f>C60*D60</f>
        <v>385</v>
      </c>
      <c r="F60" s="142"/>
      <c r="G60" s="142"/>
      <c r="H60" s="142"/>
      <c r="I60" s="142"/>
      <c r="J60" s="143" t="s">
        <v>72</v>
      </c>
      <c r="K60" s="144">
        <f>0.07*N20</f>
        <v>0.14000000000000001</v>
      </c>
      <c r="L60" s="144">
        <f>L48</f>
        <v>160</v>
      </c>
      <c r="M60" s="144">
        <f>K60*L60</f>
        <v>22.400000000000002</v>
      </c>
      <c r="N60" s="144" t="s">
        <v>28</v>
      </c>
      <c r="O60" s="144">
        <f>0.21*(P19+0.75)</f>
        <v>0.24149999999999996</v>
      </c>
      <c r="P60" s="144">
        <f>truck</f>
        <v>450</v>
      </c>
      <c r="Q60" s="144">
        <f>O60*P60</f>
        <v>108.67499999999998</v>
      </c>
      <c r="R60" s="145">
        <f>E60+M60+Q60+I60</f>
        <v>516.07499999999993</v>
      </c>
      <c r="S60" s="146"/>
    </row>
    <row r="61" spans="1:19" x14ac:dyDescent="0.2">
      <c r="A61" s="147"/>
      <c r="B61" s="148"/>
      <c r="C61" s="148"/>
      <c r="D61" s="148"/>
      <c r="E61" s="148"/>
      <c r="F61" s="148"/>
      <c r="G61" s="148"/>
      <c r="H61" s="148"/>
      <c r="I61" s="148"/>
      <c r="J61" s="149"/>
      <c r="K61" s="150"/>
      <c r="L61" s="150"/>
      <c r="M61" s="150"/>
      <c r="N61" s="150"/>
      <c r="O61" s="150"/>
      <c r="P61" s="150"/>
      <c r="Q61" s="150"/>
      <c r="R61" s="151"/>
      <c r="S61" s="151"/>
    </row>
    <row r="62" spans="1:19" x14ac:dyDescent="0.2">
      <c r="A62" s="152" t="s">
        <v>1049</v>
      </c>
      <c r="B62" s="147"/>
      <c r="C62" s="147"/>
      <c r="D62" s="147"/>
      <c r="E62" s="147"/>
      <c r="F62" s="133"/>
      <c r="G62" s="133"/>
      <c r="H62" s="133"/>
      <c r="I62" s="133"/>
      <c r="J62" s="136"/>
      <c r="K62" s="134"/>
      <c r="L62" s="134"/>
      <c r="M62" s="137"/>
      <c r="N62" s="134"/>
      <c r="O62" s="134"/>
      <c r="P62" s="134"/>
      <c r="Q62" s="134"/>
      <c r="R62" s="138" t="s">
        <v>208</v>
      </c>
      <c r="S62" s="133"/>
    </row>
    <row r="63" spans="1:19" ht="13.5" thickBot="1" x14ac:dyDescent="0.25">
      <c r="A63" s="153"/>
      <c r="B63" s="154"/>
      <c r="C63" s="154"/>
      <c r="D63" s="154"/>
      <c r="E63" s="154"/>
      <c r="F63" s="133"/>
      <c r="G63" s="133"/>
      <c r="H63" s="133"/>
      <c r="I63" s="133"/>
      <c r="J63" s="136"/>
      <c r="K63" s="134"/>
      <c r="L63" s="134"/>
      <c r="M63" s="137"/>
      <c r="N63" s="134"/>
      <c r="O63" s="134"/>
      <c r="P63" s="134"/>
      <c r="Q63" s="134"/>
      <c r="R63" s="138"/>
      <c r="S63" s="133"/>
    </row>
    <row r="64" spans="1:19" x14ac:dyDescent="0.2">
      <c r="A64" s="1312" t="s">
        <v>37</v>
      </c>
      <c r="B64" s="1314" t="s">
        <v>209</v>
      </c>
      <c r="C64" s="1315"/>
      <c r="D64" s="1315"/>
      <c r="E64" s="1316"/>
      <c r="F64" s="1314" t="s">
        <v>210</v>
      </c>
      <c r="G64" s="1315"/>
      <c r="H64" s="1315"/>
      <c r="I64" s="1316"/>
      <c r="J64" s="1317" t="s">
        <v>43</v>
      </c>
      <c r="K64" s="1318"/>
      <c r="L64" s="1318"/>
      <c r="M64" s="1319"/>
      <c r="N64" s="1317" t="s">
        <v>22</v>
      </c>
      <c r="O64" s="1318"/>
      <c r="P64" s="1318"/>
      <c r="Q64" s="1319"/>
      <c r="R64" s="1320" t="s">
        <v>211</v>
      </c>
      <c r="S64" s="1322" t="s">
        <v>212</v>
      </c>
    </row>
    <row r="65" spans="1:19" ht="13.5" thickBot="1" x14ac:dyDescent="0.25">
      <c r="A65" s="1313"/>
      <c r="B65" s="140" t="s">
        <v>201</v>
      </c>
      <c r="C65" s="140" t="s">
        <v>5</v>
      </c>
      <c r="D65" s="140" t="s">
        <v>1</v>
      </c>
      <c r="E65" s="140" t="s">
        <v>2</v>
      </c>
      <c r="F65" s="140" t="s">
        <v>201</v>
      </c>
      <c r="G65" s="140" t="s">
        <v>5</v>
      </c>
      <c r="H65" s="140" t="s">
        <v>1</v>
      </c>
      <c r="I65" s="140" t="s">
        <v>2</v>
      </c>
      <c r="J65" s="141" t="s">
        <v>201</v>
      </c>
      <c r="K65" s="141" t="s">
        <v>5</v>
      </c>
      <c r="L65" s="141" t="s">
        <v>1</v>
      </c>
      <c r="M65" s="141" t="s">
        <v>2</v>
      </c>
      <c r="N65" s="141" t="s">
        <v>201</v>
      </c>
      <c r="O65" s="141" t="s">
        <v>5</v>
      </c>
      <c r="P65" s="141" t="s">
        <v>1</v>
      </c>
      <c r="Q65" s="141" t="s">
        <v>2</v>
      </c>
      <c r="R65" s="1321"/>
      <c r="S65" s="1323"/>
    </row>
    <row r="66" spans="1:19" ht="13.5" thickBot="1" x14ac:dyDescent="0.25">
      <c r="A66" s="191">
        <f>N20</f>
        <v>2</v>
      </c>
      <c r="B66" s="142" t="s">
        <v>46</v>
      </c>
      <c r="C66" s="142">
        <v>0.6</v>
      </c>
      <c r="D66" s="142">
        <f>D48</f>
        <v>770</v>
      </c>
      <c r="E66" s="142">
        <f>C66*D66</f>
        <v>462</v>
      </c>
      <c r="F66" s="142"/>
      <c r="G66" s="142"/>
      <c r="H66" s="142"/>
      <c r="I66" s="142"/>
      <c r="J66" s="143" t="s">
        <v>72</v>
      </c>
      <c r="K66" s="144">
        <f>0.07*N20</f>
        <v>0.14000000000000001</v>
      </c>
      <c r="L66" s="144">
        <f>L48</f>
        <v>160</v>
      </c>
      <c r="M66" s="144">
        <f>K66*L66</f>
        <v>22.400000000000002</v>
      </c>
      <c r="N66" s="144" t="s">
        <v>28</v>
      </c>
      <c r="O66" s="144">
        <f>0.2*(P20+0.75)</f>
        <v>0.20333333333333334</v>
      </c>
      <c r="P66" s="144">
        <f>truck</f>
        <v>450</v>
      </c>
      <c r="Q66" s="144">
        <f>O66*P66</f>
        <v>91.5</v>
      </c>
      <c r="R66" s="145">
        <f>E66+M66+Q66+I66</f>
        <v>575.9</v>
      </c>
      <c r="S66" s="146"/>
    </row>
    <row r="67" spans="1:19" x14ac:dyDescent="0.2">
      <c r="A67" s="147"/>
      <c r="B67" s="148"/>
      <c r="C67" s="148"/>
      <c r="D67" s="148"/>
      <c r="E67" s="148"/>
      <c r="F67" s="148"/>
      <c r="G67" s="148"/>
      <c r="H67" s="148"/>
      <c r="I67" s="148"/>
      <c r="J67" s="149"/>
      <c r="K67" s="150"/>
      <c r="L67" s="150"/>
      <c r="M67" s="150"/>
      <c r="N67" s="150"/>
      <c r="O67" s="150"/>
      <c r="P67" s="150"/>
      <c r="Q67" s="150"/>
      <c r="R67" s="151"/>
      <c r="S67" s="151"/>
    </row>
    <row r="68" spans="1:19" x14ac:dyDescent="0.2">
      <c r="A68" s="132" t="s">
        <v>1052</v>
      </c>
      <c r="B68" s="133"/>
      <c r="C68" s="133"/>
      <c r="D68" s="133"/>
      <c r="E68" s="133"/>
      <c r="F68" s="133"/>
      <c r="G68" s="133"/>
      <c r="H68" s="133"/>
      <c r="I68" s="133"/>
      <c r="J68" s="136"/>
      <c r="K68" s="134"/>
      <c r="L68" s="134"/>
      <c r="M68" s="137"/>
      <c r="N68" s="134"/>
      <c r="O68" s="134"/>
      <c r="P68" s="134"/>
      <c r="Q68" s="134"/>
      <c r="R68" s="133" t="s">
        <v>213</v>
      </c>
      <c r="S68" s="133"/>
    </row>
    <row r="69" spans="1:19" ht="13.5" thickBot="1" x14ac:dyDescent="0.25">
      <c r="A69" s="132"/>
      <c r="B69" s="133"/>
      <c r="C69" s="133"/>
      <c r="D69" s="133"/>
      <c r="E69" s="133"/>
      <c r="F69" s="133"/>
      <c r="G69" s="133"/>
      <c r="H69" s="133"/>
      <c r="I69" s="133"/>
      <c r="J69" s="136"/>
      <c r="K69" s="311"/>
      <c r="L69" s="134"/>
      <c r="M69" s="137"/>
      <c r="N69" s="134"/>
      <c r="O69" s="134"/>
      <c r="P69" s="134"/>
      <c r="Q69" s="134"/>
      <c r="R69" s="133"/>
      <c r="S69" s="133"/>
    </row>
    <row r="70" spans="1:19" x14ac:dyDescent="0.2">
      <c r="A70" s="1312" t="s">
        <v>37</v>
      </c>
      <c r="B70" s="1314" t="s">
        <v>209</v>
      </c>
      <c r="C70" s="1315"/>
      <c r="D70" s="1315"/>
      <c r="E70" s="1316"/>
      <c r="F70" s="1314" t="s">
        <v>210</v>
      </c>
      <c r="G70" s="1315"/>
      <c r="H70" s="1315"/>
      <c r="I70" s="1316"/>
      <c r="J70" s="1317" t="s">
        <v>43</v>
      </c>
      <c r="K70" s="1318"/>
      <c r="L70" s="1318"/>
      <c r="M70" s="1319"/>
      <c r="N70" s="1317" t="s">
        <v>22</v>
      </c>
      <c r="O70" s="1318"/>
      <c r="P70" s="1318"/>
      <c r="Q70" s="1319"/>
      <c r="R70" s="1320" t="s">
        <v>211</v>
      </c>
      <c r="S70" s="1322" t="s">
        <v>212</v>
      </c>
    </row>
    <row r="71" spans="1:19" ht="13.5" thickBot="1" x14ac:dyDescent="0.25">
      <c r="A71" s="1313"/>
      <c r="B71" s="140" t="s">
        <v>201</v>
      </c>
      <c r="C71" s="140" t="s">
        <v>5</v>
      </c>
      <c r="D71" s="140" t="s">
        <v>1</v>
      </c>
      <c r="E71" s="140" t="s">
        <v>2</v>
      </c>
      <c r="F71" s="140" t="s">
        <v>201</v>
      </c>
      <c r="G71" s="140" t="s">
        <v>5</v>
      </c>
      <c r="H71" s="140" t="s">
        <v>1</v>
      </c>
      <c r="I71" s="140" t="s">
        <v>2</v>
      </c>
      <c r="J71" s="141" t="s">
        <v>201</v>
      </c>
      <c r="K71" s="141" t="s">
        <v>5</v>
      </c>
      <c r="L71" s="141" t="s">
        <v>1</v>
      </c>
      <c r="M71" s="141" t="s">
        <v>2</v>
      </c>
      <c r="N71" s="141" t="s">
        <v>201</v>
      </c>
      <c r="O71" s="141" t="s">
        <v>5</v>
      </c>
      <c r="P71" s="141" t="s">
        <v>1</v>
      </c>
      <c r="Q71" s="141" t="s">
        <v>2</v>
      </c>
      <c r="R71" s="1321"/>
      <c r="S71" s="1323"/>
    </row>
    <row r="72" spans="1:19" ht="13.5" thickBot="1" x14ac:dyDescent="0.25">
      <c r="A72" s="191">
        <f>N21</f>
        <v>5</v>
      </c>
      <c r="B72" s="142" t="s">
        <v>46</v>
      </c>
      <c r="C72" s="142">
        <v>0.4</v>
      </c>
      <c r="D72" s="142">
        <f>D48</f>
        <v>770</v>
      </c>
      <c r="E72" s="142">
        <f>C72*D72</f>
        <v>308</v>
      </c>
      <c r="F72" s="142"/>
      <c r="G72" s="142"/>
      <c r="H72" s="142"/>
      <c r="I72" s="142"/>
      <c r="J72" s="143" t="s">
        <v>72</v>
      </c>
      <c r="K72" s="144">
        <f>N21*0.04</f>
        <v>0.2</v>
      </c>
      <c r="L72" s="144">
        <f>L48</f>
        <v>160</v>
      </c>
      <c r="M72" s="144">
        <f>K72*L72</f>
        <v>32</v>
      </c>
      <c r="N72" s="144" t="s">
        <v>28</v>
      </c>
      <c r="O72" s="144">
        <f>0.12*(P21+0.75)</f>
        <v>0.1636</v>
      </c>
      <c r="P72" s="144">
        <f>truck</f>
        <v>450</v>
      </c>
      <c r="Q72" s="144">
        <f>O72*P72</f>
        <v>73.62</v>
      </c>
      <c r="R72" s="145">
        <f>E72+M72+Q72+I72</f>
        <v>413.62</v>
      </c>
      <c r="S72" s="146"/>
    </row>
    <row r="73" spans="1:19" x14ac:dyDescent="0.2">
      <c r="A73" s="133"/>
      <c r="B73" s="133"/>
      <c r="C73" s="133"/>
      <c r="D73" s="133"/>
      <c r="E73" s="133"/>
      <c r="F73" s="133"/>
      <c r="G73" s="133"/>
      <c r="H73" s="133"/>
      <c r="I73" s="133"/>
      <c r="J73" s="134"/>
      <c r="K73" s="134"/>
      <c r="L73" s="134"/>
      <c r="M73" s="134"/>
      <c r="N73" s="134"/>
      <c r="O73" s="134"/>
      <c r="P73" s="134"/>
      <c r="Q73" s="134"/>
      <c r="R73" s="133"/>
      <c r="S73" s="133"/>
    </row>
    <row r="74" spans="1:19" x14ac:dyDescent="0.2">
      <c r="A74" s="132" t="s">
        <v>1053</v>
      </c>
      <c r="B74" s="133"/>
      <c r="C74" s="133"/>
      <c r="D74" s="133"/>
      <c r="E74" s="133"/>
      <c r="F74" s="133"/>
      <c r="G74" s="133"/>
      <c r="H74" s="133"/>
      <c r="I74" s="133"/>
      <c r="J74" s="136"/>
      <c r="K74" s="134"/>
      <c r="L74" s="134"/>
      <c r="M74" s="137"/>
      <c r="N74" s="134"/>
      <c r="O74" s="134"/>
      <c r="P74" s="134"/>
      <c r="Q74" s="134"/>
      <c r="R74" s="133" t="s">
        <v>213</v>
      </c>
      <c r="S74" s="133"/>
    </row>
    <row r="75" spans="1:19" ht="13.5" thickBot="1" x14ac:dyDescent="0.25">
      <c r="A75" s="132"/>
      <c r="B75" s="133"/>
      <c r="C75" s="133"/>
      <c r="D75" s="133"/>
      <c r="E75" s="133"/>
      <c r="F75" s="133"/>
      <c r="G75" s="133"/>
      <c r="H75" s="133"/>
      <c r="I75" s="133"/>
      <c r="J75" s="136"/>
      <c r="K75" s="134"/>
      <c r="L75" s="134"/>
      <c r="M75" s="137"/>
      <c r="N75" s="134"/>
      <c r="O75" s="134"/>
      <c r="P75" s="134"/>
      <c r="Q75" s="134"/>
      <c r="R75" s="133"/>
      <c r="S75" s="133"/>
    </row>
    <row r="76" spans="1:19" x14ac:dyDescent="0.2">
      <c r="A76" s="1312" t="s">
        <v>37</v>
      </c>
      <c r="B76" s="1314" t="s">
        <v>209</v>
      </c>
      <c r="C76" s="1315"/>
      <c r="D76" s="1315"/>
      <c r="E76" s="1316"/>
      <c r="F76" s="1314" t="s">
        <v>210</v>
      </c>
      <c r="G76" s="1315"/>
      <c r="H76" s="1315"/>
      <c r="I76" s="1316"/>
      <c r="J76" s="1317" t="s">
        <v>43</v>
      </c>
      <c r="K76" s="1318"/>
      <c r="L76" s="1318"/>
      <c r="M76" s="1319"/>
      <c r="N76" s="1317" t="s">
        <v>22</v>
      </c>
      <c r="O76" s="1318"/>
      <c r="P76" s="1318"/>
      <c r="Q76" s="1319"/>
      <c r="R76" s="1320" t="s">
        <v>211</v>
      </c>
      <c r="S76" s="1322" t="s">
        <v>212</v>
      </c>
    </row>
    <row r="77" spans="1:19" ht="13.5" thickBot="1" x14ac:dyDescent="0.25">
      <c r="A77" s="1313"/>
      <c r="B77" s="140" t="s">
        <v>201</v>
      </c>
      <c r="C77" s="140" t="s">
        <v>5</v>
      </c>
      <c r="D77" s="140" t="s">
        <v>1</v>
      </c>
      <c r="E77" s="140" t="s">
        <v>2</v>
      </c>
      <c r="F77" s="140" t="s">
        <v>201</v>
      </c>
      <c r="G77" s="140" t="s">
        <v>5</v>
      </c>
      <c r="H77" s="140" t="s">
        <v>1</v>
      </c>
      <c r="I77" s="140" t="s">
        <v>2</v>
      </c>
      <c r="J77" s="141" t="s">
        <v>201</v>
      </c>
      <c r="K77" s="141" t="s">
        <v>5</v>
      </c>
      <c r="L77" s="141" t="s">
        <v>1</v>
      </c>
      <c r="M77" s="141" t="s">
        <v>2</v>
      </c>
      <c r="N77" s="141" t="s">
        <v>201</v>
      </c>
      <c r="O77" s="141" t="s">
        <v>5</v>
      </c>
      <c r="P77" s="141" t="s">
        <v>1</v>
      </c>
      <c r="Q77" s="141" t="s">
        <v>2</v>
      </c>
      <c r="R77" s="1321"/>
      <c r="S77" s="1323"/>
    </row>
    <row r="78" spans="1:19" ht="13.5" thickBot="1" x14ac:dyDescent="0.25">
      <c r="A78" s="191">
        <f>N22</f>
        <v>5</v>
      </c>
      <c r="B78" s="142" t="s">
        <v>46</v>
      </c>
      <c r="C78" s="142">
        <v>0.6</v>
      </c>
      <c r="D78" s="142">
        <f>D48</f>
        <v>770</v>
      </c>
      <c r="E78" s="142">
        <f>C78*D78</f>
        <v>462</v>
      </c>
      <c r="F78" s="142"/>
      <c r="G78" s="142"/>
      <c r="H78" s="142"/>
      <c r="I78" s="142"/>
      <c r="J78" s="143" t="s">
        <v>72</v>
      </c>
      <c r="K78" s="144">
        <f>0.04*N22</f>
        <v>0.2</v>
      </c>
      <c r="L78" s="144">
        <f>L48</f>
        <v>160</v>
      </c>
      <c r="M78" s="144">
        <f>K78*L78</f>
        <v>32</v>
      </c>
      <c r="N78" s="144" t="s">
        <v>28</v>
      </c>
      <c r="O78" s="144">
        <f>0.12*(P22+0.75)</f>
        <v>0.1636</v>
      </c>
      <c r="P78" s="144">
        <f>truck</f>
        <v>450</v>
      </c>
      <c r="Q78" s="144">
        <f>O78*P78</f>
        <v>73.62</v>
      </c>
      <c r="R78" s="145">
        <f>E78+M78+Q78+I78</f>
        <v>567.62</v>
      </c>
      <c r="S78" s="146"/>
    </row>
    <row r="79" spans="1:19" x14ac:dyDescent="0.2">
      <c r="A79" s="366"/>
      <c r="B79" s="148"/>
      <c r="C79" s="148"/>
      <c r="D79" s="148"/>
      <c r="E79" s="148"/>
      <c r="F79" s="148"/>
      <c r="G79" s="148"/>
      <c r="H79" s="148"/>
      <c r="I79" s="148"/>
      <c r="J79" s="149"/>
      <c r="K79" s="150"/>
      <c r="L79" s="150"/>
      <c r="M79" s="150"/>
      <c r="N79" s="150"/>
      <c r="O79" s="150"/>
      <c r="P79" s="150"/>
      <c r="Q79" s="150"/>
      <c r="R79" s="151"/>
      <c r="S79" s="151"/>
    </row>
    <row r="80" spans="1:19" x14ac:dyDescent="0.2">
      <c r="A80" s="366"/>
      <c r="B80" s="148"/>
      <c r="C80" s="148"/>
      <c r="D80" s="148"/>
      <c r="E80" s="148"/>
      <c r="F80" s="148"/>
      <c r="G80" s="148"/>
      <c r="H80" s="148"/>
      <c r="I80" s="148"/>
      <c r="J80" s="149"/>
      <c r="K80" s="150"/>
      <c r="L80" s="150"/>
      <c r="M80" s="150"/>
      <c r="N80" s="150"/>
      <c r="O80" s="150"/>
      <c r="P80" s="150"/>
      <c r="Q80" s="150"/>
      <c r="R80" s="151"/>
      <c r="S80" s="151"/>
    </row>
    <row r="81" spans="1:19" x14ac:dyDescent="0.2">
      <c r="A81" s="132" t="s">
        <v>1055</v>
      </c>
      <c r="B81" s="133"/>
      <c r="C81" s="133"/>
      <c r="D81" s="133"/>
      <c r="E81" s="133"/>
      <c r="F81" s="133"/>
      <c r="G81" s="133"/>
      <c r="H81" s="133"/>
      <c r="I81" s="133"/>
      <c r="J81" s="136"/>
      <c r="K81" s="134"/>
      <c r="L81" s="134"/>
      <c r="M81" s="137"/>
      <c r="N81" s="134"/>
      <c r="O81" s="134"/>
      <c r="P81" s="134"/>
      <c r="Q81" s="134"/>
      <c r="R81" s="133" t="s">
        <v>260</v>
      </c>
      <c r="S81" s="133"/>
    </row>
    <row r="82" spans="1:19" ht="13.5" thickBot="1" x14ac:dyDescent="0.25">
      <c r="A82" s="132"/>
      <c r="B82" s="133"/>
      <c r="C82" s="133"/>
      <c r="D82" s="133"/>
      <c r="E82" s="133"/>
      <c r="F82" s="133"/>
      <c r="G82" s="133"/>
      <c r="H82" s="133"/>
      <c r="I82" s="133"/>
      <c r="J82" s="136"/>
      <c r="K82" s="134"/>
      <c r="L82" s="134"/>
      <c r="M82" s="137"/>
      <c r="N82" s="134"/>
      <c r="O82" s="134"/>
      <c r="P82" s="134"/>
      <c r="Q82" s="134"/>
      <c r="R82" s="133"/>
      <c r="S82" s="133"/>
    </row>
    <row r="83" spans="1:19" x14ac:dyDescent="0.2">
      <c r="A83" s="1312" t="s">
        <v>37</v>
      </c>
      <c r="B83" s="1314" t="s">
        <v>209</v>
      </c>
      <c r="C83" s="1315"/>
      <c r="D83" s="1315"/>
      <c r="E83" s="1316"/>
      <c r="F83" s="1314" t="s">
        <v>210</v>
      </c>
      <c r="G83" s="1315"/>
      <c r="H83" s="1315"/>
      <c r="I83" s="1316"/>
      <c r="J83" s="1317" t="s">
        <v>43</v>
      </c>
      <c r="K83" s="1318"/>
      <c r="L83" s="1318"/>
      <c r="M83" s="1319"/>
      <c r="N83" s="1317" t="s">
        <v>22</v>
      </c>
      <c r="O83" s="1318"/>
      <c r="P83" s="1318"/>
      <c r="Q83" s="1319"/>
      <c r="R83" s="1320" t="s">
        <v>211</v>
      </c>
      <c r="S83" s="1322" t="s">
        <v>212</v>
      </c>
    </row>
    <row r="84" spans="1:19" ht="13.5" thickBot="1" x14ac:dyDescent="0.25">
      <c r="A84" s="1313"/>
      <c r="B84" s="140" t="s">
        <v>201</v>
      </c>
      <c r="C84" s="140" t="s">
        <v>5</v>
      </c>
      <c r="D84" s="140" t="s">
        <v>1</v>
      </c>
      <c r="E84" s="140" t="s">
        <v>2</v>
      </c>
      <c r="F84" s="140" t="s">
        <v>201</v>
      </c>
      <c r="G84" s="140" t="s">
        <v>5</v>
      </c>
      <c r="H84" s="140" t="s">
        <v>1</v>
      </c>
      <c r="I84" s="140" t="s">
        <v>2</v>
      </c>
      <c r="J84" s="141" t="s">
        <v>201</v>
      </c>
      <c r="K84" s="141" t="s">
        <v>5</v>
      </c>
      <c r="L84" s="141" t="s">
        <v>1</v>
      </c>
      <c r="M84" s="141" t="s">
        <v>2</v>
      </c>
      <c r="N84" s="141" t="s">
        <v>201</v>
      </c>
      <c r="O84" s="141" t="s">
        <v>5</v>
      </c>
      <c r="P84" s="141" t="s">
        <v>1</v>
      </c>
      <c r="Q84" s="141" t="s">
        <v>2</v>
      </c>
      <c r="R84" s="1321"/>
      <c r="S84" s="1323"/>
    </row>
    <row r="85" spans="1:19" ht="13.5" thickBot="1" x14ac:dyDescent="0.25">
      <c r="A85" s="191">
        <f>(K82+O82)</f>
        <v>0</v>
      </c>
      <c r="B85" s="142" t="s">
        <v>46</v>
      </c>
      <c r="C85" s="142">
        <v>1</v>
      </c>
      <c r="D85" s="142">
        <f>ur</f>
        <v>770</v>
      </c>
      <c r="E85" s="142">
        <f>C85*D85</f>
        <v>770</v>
      </c>
      <c r="F85" s="142"/>
      <c r="G85" s="145"/>
      <c r="H85" s="142"/>
      <c r="I85" s="142"/>
      <c r="J85" s="142" t="s">
        <v>72</v>
      </c>
      <c r="K85" s="145">
        <f>0.07*N23</f>
        <v>0.35000000000000003</v>
      </c>
      <c r="L85" s="145">
        <f>diesel</f>
        <v>160</v>
      </c>
      <c r="M85" s="145">
        <f>K85*L85</f>
        <v>56.000000000000007</v>
      </c>
      <c r="N85" s="145" t="s">
        <v>28</v>
      </c>
      <c r="O85" s="144">
        <f>0.12*(P23+0.75)</f>
        <v>0.1636</v>
      </c>
      <c r="P85" s="144">
        <f>truck</f>
        <v>450</v>
      </c>
      <c r="Q85" s="145">
        <f>O85*P85</f>
        <v>73.62</v>
      </c>
      <c r="R85" s="145">
        <f>E85+M85+Q85+I85</f>
        <v>899.62</v>
      </c>
      <c r="S85" s="146"/>
    </row>
    <row r="86" spans="1:19" s="365" customFormat="1" x14ac:dyDescent="0.2">
      <c r="A86" s="366"/>
      <c r="B86" s="148"/>
      <c r="C86" s="148"/>
      <c r="D86" s="148"/>
      <c r="E86" s="148"/>
      <c r="F86" s="148"/>
      <c r="G86" s="151"/>
      <c r="H86" s="148"/>
      <c r="I86" s="148"/>
      <c r="J86" s="148"/>
      <c r="K86" s="151"/>
      <c r="L86" s="151"/>
      <c r="M86" s="151"/>
      <c r="N86" s="151"/>
      <c r="O86" s="150"/>
      <c r="P86" s="150"/>
      <c r="Q86" s="151"/>
      <c r="R86" s="151"/>
      <c r="S86" s="151"/>
    </row>
    <row r="87" spans="1:19" s="365" customFormat="1" x14ac:dyDescent="0.2">
      <c r="A87" s="366"/>
      <c r="B87" s="148"/>
      <c r="C87" s="148"/>
      <c r="D87" s="148"/>
      <c r="E87" s="148"/>
      <c r="F87" s="148"/>
      <c r="G87" s="151"/>
      <c r="H87" s="148"/>
      <c r="I87" s="148"/>
      <c r="J87" s="148"/>
      <c r="K87" s="151"/>
      <c r="L87" s="151"/>
      <c r="M87" s="151"/>
      <c r="N87" s="151"/>
      <c r="O87" s="150"/>
      <c r="P87" s="150"/>
      <c r="Q87" s="151"/>
      <c r="R87" s="151"/>
      <c r="S87" s="151"/>
    </row>
    <row r="88" spans="1:19" x14ac:dyDescent="0.2">
      <c r="A88" s="132" t="s">
        <v>1058</v>
      </c>
      <c r="B88" s="133"/>
      <c r="C88" s="133"/>
      <c r="D88" s="133"/>
      <c r="E88" s="133"/>
      <c r="F88" s="133"/>
      <c r="G88" s="133"/>
      <c r="H88" s="133"/>
      <c r="I88" s="133"/>
      <c r="J88" s="136"/>
      <c r="K88" s="134"/>
      <c r="L88" s="134"/>
      <c r="M88" s="137"/>
      <c r="N88" s="134"/>
      <c r="O88" s="134"/>
      <c r="P88" s="134"/>
      <c r="Q88" s="134"/>
      <c r="R88" s="133" t="s">
        <v>213</v>
      </c>
      <c r="S88" s="133"/>
    </row>
    <row r="89" spans="1:19" ht="13.5" thickBot="1" x14ac:dyDescent="0.25">
      <c r="A89" s="132"/>
      <c r="B89" s="133"/>
      <c r="C89" s="133"/>
      <c r="D89" s="133"/>
      <c r="E89" s="133"/>
      <c r="F89" s="133"/>
      <c r="G89" s="133"/>
      <c r="H89" s="133"/>
      <c r="I89" s="133"/>
      <c r="J89" s="136"/>
      <c r="K89" s="134"/>
      <c r="L89" s="134"/>
      <c r="M89" s="137"/>
      <c r="N89" s="134"/>
      <c r="O89" s="134"/>
      <c r="P89" s="134"/>
      <c r="Q89" s="134"/>
      <c r="R89" s="133"/>
      <c r="S89" s="133"/>
    </row>
    <row r="90" spans="1:19" x14ac:dyDescent="0.2">
      <c r="A90" s="1312" t="s">
        <v>37</v>
      </c>
      <c r="B90" s="1314" t="s">
        <v>209</v>
      </c>
      <c r="C90" s="1315"/>
      <c r="D90" s="1315"/>
      <c r="E90" s="1316"/>
      <c r="F90" s="1314" t="s">
        <v>210</v>
      </c>
      <c r="G90" s="1315"/>
      <c r="H90" s="1315"/>
      <c r="I90" s="1316"/>
      <c r="J90" s="1317" t="s">
        <v>43</v>
      </c>
      <c r="K90" s="1318"/>
      <c r="L90" s="1318"/>
      <c r="M90" s="1319"/>
      <c r="N90" s="1317" t="s">
        <v>22</v>
      </c>
      <c r="O90" s="1318"/>
      <c r="P90" s="1318"/>
      <c r="Q90" s="1319"/>
      <c r="R90" s="1320" t="s">
        <v>211</v>
      </c>
      <c r="S90" s="1322" t="s">
        <v>212</v>
      </c>
    </row>
    <row r="91" spans="1:19" ht="13.5" thickBot="1" x14ac:dyDescent="0.25">
      <c r="A91" s="1313"/>
      <c r="B91" s="140" t="s">
        <v>201</v>
      </c>
      <c r="C91" s="140" t="s">
        <v>5</v>
      </c>
      <c r="D91" s="140" t="s">
        <v>1</v>
      </c>
      <c r="E91" s="140" t="s">
        <v>2</v>
      </c>
      <c r="F91" s="140" t="s">
        <v>201</v>
      </c>
      <c r="G91" s="140" t="s">
        <v>5</v>
      </c>
      <c r="H91" s="140" t="s">
        <v>1</v>
      </c>
      <c r="I91" s="140" t="s">
        <v>2</v>
      </c>
      <c r="J91" s="141" t="s">
        <v>201</v>
      </c>
      <c r="K91" s="141" t="s">
        <v>5</v>
      </c>
      <c r="L91" s="141" t="s">
        <v>1</v>
      </c>
      <c r="M91" s="141" t="s">
        <v>2</v>
      </c>
      <c r="N91" s="141" t="s">
        <v>201</v>
      </c>
      <c r="O91" s="141" t="s">
        <v>5</v>
      </c>
      <c r="P91" s="141" t="s">
        <v>1</v>
      </c>
      <c r="Q91" s="141" t="s">
        <v>2</v>
      </c>
      <c r="R91" s="1321"/>
      <c r="S91" s="1323"/>
    </row>
    <row r="92" spans="1:19" ht="13.5" thickBot="1" x14ac:dyDescent="0.25">
      <c r="A92" s="191">
        <f>N24</f>
        <v>4</v>
      </c>
      <c r="B92" s="142" t="s">
        <v>46</v>
      </c>
      <c r="C92" s="142">
        <v>1</v>
      </c>
      <c r="D92" s="142">
        <f>D48</f>
        <v>770</v>
      </c>
      <c r="E92" s="142">
        <f>C92*D92</f>
        <v>770</v>
      </c>
      <c r="F92" s="142"/>
      <c r="G92" s="142"/>
      <c r="H92" s="142"/>
      <c r="I92" s="142"/>
      <c r="J92" s="143" t="s">
        <v>72</v>
      </c>
      <c r="K92" s="144">
        <f>0.04*N22</f>
        <v>0.2</v>
      </c>
      <c r="L92" s="144">
        <f>diesel</f>
        <v>160</v>
      </c>
      <c r="M92" s="144">
        <f>K92*L92</f>
        <v>32</v>
      </c>
      <c r="N92" s="144" t="s">
        <v>28</v>
      </c>
      <c r="O92" s="144">
        <f>0.12*(P22+0.75)</f>
        <v>0.1636</v>
      </c>
      <c r="P92" s="144">
        <f>truck</f>
        <v>450</v>
      </c>
      <c r="Q92" s="144">
        <f>O92*P92</f>
        <v>73.62</v>
      </c>
      <c r="R92" s="145">
        <f>E92+M92+Q92+I92</f>
        <v>875.62</v>
      </c>
      <c r="S92" s="146"/>
    </row>
    <row r="93" spans="1:19" x14ac:dyDescent="0.2">
      <c r="A93" s="147"/>
      <c r="B93" s="148"/>
      <c r="C93" s="148"/>
      <c r="D93" s="148"/>
      <c r="E93" s="148"/>
      <c r="F93" s="148"/>
      <c r="G93" s="148"/>
      <c r="H93" s="148"/>
      <c r="I93" s="148"/>
      <c r="J93" s="149"/>
      <c r="K93" s="150"/>
      <c r="L93" s="150"/>
      <c r="M93" s="150"/>
      <c r="N93" s="150"/>
      <c r="O93" s="150"/>
      <c r="P93" s="150"/>
      <c r="Q93" s="150"/>
      <c r="R93" s="151">
        <f>R92/156</f>
        <v>5.6129487179487176</v>
      </c>
      <c r="S93" s="151"/>
    </row>
    <row r="94" spans="1:19" x14ac:dyDescent="0.2">
      <c r="A94" s="133"/>
      <c r="B94" s="133"/>
      <c r="C94" s="133"/>
      <c r="D94" s="133"/>
      <c r="E94" s="133"/>
      <c r="F94" s="133"/>
      <c r="G94" s="133"/>
      <c r="H94" s="133"/>
      <c r="I94" s="133"/>
      <c r="J94" s="134"/>
      <c r="K94" s="134"/>
      <c r="L94" s="134"/>
      <c r="M94" s="134"/>
      <c r="N94" s="134"/>
      <c r="O94" s="134"/>
      <c r="P94" s="134"/>
      <c r="Q94" s="134"/>
      <c r="R94" s="133"/>
      <c r="S94" s="133"/>
    </row>
    <row r="95" spans="1:19" x14ac:dyDescent="0.2">
      <c r="A95" s="132" t="s">
        <v>1059</v>
      </c>
      <c r="B95" s="133"/>
      <c r="C95" s="133"/>
      <c r="D95" s="133"/>
      <c r="E95" s="133"/>
      <c r="F95" s="133"/>
      <c r="G95" s="133"/>
      <c r="H95" s="133"/>
      <c r="I95" s="133"/>
      <c r="J95" s="136"/>
      <c r="K95" s="134"/>
      <c r="L95" s="134"/>
      <c r="M95" s="137"/>
      <c r="N95" s="134"/>
      <c r="O95" s="134"/>
      <c r="P95" s="134"/>
      <c r="Q95" s="134"/>
      <c r="R95" s="133" t="s">
        <v>214</v>
      </c>
      <c r="S95" s="133"/>
    </row>
    <row r="96" spans="1:19" ht="13.5" thickBot="1" x14ac:dyDescent="0.25">
      <c r="A96" s="132"/>
      <c r="B96" s="133"/>
      <c r="C96" s="133"/>
      <c r="D96" s="133"/>
      <c r="E96" s="133"/>
      <c r="F96" s="133"/>
      <c r="G96" s="133"/>
      <c r="H96" s="133"/>
      <c r="I96" s="133"/>
      <c r="J96" s="136"/>
      <c r="K96" s="134"/>
      <c r="L96" s="134"/>
      <c r="M96" s="137"/>
      <c r="N96" s="134"/>
      <c r="O96" s="134"/>
      <c r="P96" s="134"/>
      <c r="Q96" s="134"/>
      <c r="R96" s="133"/>
      <c r="S96" s="133"/>
    </row>
    <row r="97" spans="1:19" x14ac:dyDescent="0.2">
      <c r="A97" s="1312" t="s">
        <v>37</v>
      </c>
      <c r="B97" s="1314" t="s">
        <v>209</v>
      </c>
      <c r="C97" s="1315"/>
      <c r="D97" s="1315"/>
      <c r="E97" s="1316"/>
      <c r="F97" s="1314" t="s">
        <v>210</v>
      </c>
      <c r="G97" s="1315"/>
      <c r="H97" s="1315"/>
      <c r="I97" s="1316"/>
      <c r="J97" s="1317" t="s">
        <v>43</v>
      </c>
      <c r="K97" s="1318"/>
      <c r="L97" s="1318"/>
      <c r="M97" s="1319"/>
      <c r="N97" s="1317" t="s">
        <v>22</v>
      </c>
      <c r="O97" s="1318"/>
      <c r="P97" s="1318"/>
      <c r="Q97" s="1319"/>
      <c r="R97" s="1320" t="s">
        <v>211</v>
      </c>
      <c r="S97" s="1322" t="s">
        <v>212</v>
      </c>
    </row>
    <row r="98" spans="1:19" ht="13.5" thickBot="1" x14ac:dyDescent="0.25">
      <c r="A98" s="1313"/>
      <c r="B98" s="140" t="s">
        <v>201</v>
      </c>
      <c r="C98" s="140" t="s">
        <v>5</v>
      </c>
      <c r="D98" s="140" t="s">
        <v>1</v>
      </c>
      <c r="E98" s="140" t="s">
        <v>2</v>
      </c>
      <c r="F98" s="140" t="s">
        <v>201</v>
      </c>
      <c r="G98" s="140" t="s">
        <v>5</v>
      </c>
      <c r="H98" s="140" t="s">
        <v>1</v>
      </c>
      <c r="I98" s="140" t="s">
        <v>2</v>
      </c>
      <c r="J98" s="141" t="s">
        <v>201</v>
      </c>
      <c r="K98" s="141" t="s">
        <v>5</v>
      </c>
      <c r="L98" s="141" t="s">
        <v>1</v>
      </c>
      <c r="M98" s="141" t="s">
        <v>2</v>
      </c>
      <c r="N98" s="141" t="s">
        <v>201</v>
      </c>
      <c r="O98" s="141" t="s">
        <v>5</v>
      </c>
      <c r="P98" s="141" t="s">
        <v>1</v>
      </c>
      <c r="Q98" s="141" t="s">
        <v>2</v>
      </c>
      <c r="R98" s="1321"/>
      <c r="S98" s="1323"/>
    </row>
    <row r="99" spans="1:19" ht="13.5" thickBot="1" x14ac:dyDescent="0.25">
      <c r="A99" s="191">
        <f>N27</f>
        <v>5</v>
      </c>
      <c r="B99" s="142" t="s">
        <v>46</v>
      </c>
      <c r="C99" s="142">
        <v>0.3</v>
      </c>
      <c r="D99" s="142">
        <f>D48</f>
        <v>770</v>
      </c>
      <c r="E99" s="142">
        <f>C99*D99</f>
        <v>231</v>
      </c>
      <c r="F99" s="142"/>
      <c r="G99" s="142"/>
      <c r="H99" s="142"/>
      <c r="I99" s="142"/>
      <c r="J99" s="143" t="s">
        <v>72</v>
      </c>
      <c r="K99" s="144">
        <f>0.04*N27</f>
        <v>0.2</v>
      </c>
      <c r="L99" s="144">
        <f>diesel</f>
        <v>160</v>
      </c>
      <c r="M99" s="144">
        <f>K99*L99</f>
        <v>32</v>
      </c>
      <c r="N99" s="144" t="s">
        <v>28</v>
      </c>
      <c r="O99" s="144">
        <f>0.11*(P27+0.75)</f>
        <v>0.14996666666666666</v>
      </c>
      <c r="P99" s="144">
        <f>truck</f>
        <v>450</v>
      </c>
      <c r="Q99" s="144">
        <f>O99*P99</f>
        <v>67.484999999999999</v>
      </c>
      <c r="R99" s="145">
        <f>E99+M99+Q99+I99</f>
        <v>330.48500000000001</v>
      </c>
      <c r="S99" s="146"/>
    </row>
    <row r="100" spans="1:19" x14ac:dyDescent="0.2">
      <c r="A100" s="147"/>
      <c r="B100" s="148"/>
      <c r="C100" s="148"/>
      <c r="D100" s="148"/>
      <c r="E100" s="148"/>
      <c r="F100" s="148"/>
      <c r="G100" s="151"/>
      <c r="H100" s="148"/>
      <c r="I100" s="148"/>
      <c r="J100" s="149"/>
      <c r="K100" s="150"/>
      <c r="L100" s="150"/>
      <c r="M100" s="150"/>
      <c r="N100" s="150"/>
      <c r="O100" s="150"/>
      <c r="P100" s="150"/>
      <c r="Q100" s="150"/>
      <c r="R100" s="151"/>
      <c r="S100" s="151"/>
    </row>
    <row r="101" spans="1:19" s="365" customFormat="1" x14ac:dyDescent="0.2">
      <c r="A101" s="132" t="s">
        <v>1062</v>
      </c>
      <c r="B101" s="133"/>
      <c r="C101" s="133"/>
      <c r="D101" s="133"/>
      <c r="E101" s="133"/>
      <c r="F101" s="133"/>
      <c r="G101" s="133"/>
      <c r="H101" s="133"/>
      <c r="I101" s="133"/>
      <c r="J101" s="136"/>
      <c r="K101" s="134"/>
      <c r="L101" s="134"/>
      <c r="M101" s="137"/>
      <c r="N101" s="134"/>
      <c r="O101" s="134"/>
      <c r="P101" s="134"/>
      <c r="Q101" s="134"/>
      <c r="R101" s="133" t="s">
        <v>214</v>
      </c>
      <c r="S101" s="133"/>
    </row>
    <row r="102" spans="1:19" s="365" customFormat="1" ht="13.5" thickBot="1" x14ac:dyDescent="0.25">
      <c r="A102" s="132"/>
      <c r="B102" s="133"/>
      <c r="C102" s="133"/>
      <c r="D102" s="133"/>
      <c r="E102" s="133"/>
      <c r="F102" s="133"/>
      <c r="G102" s="133"/>
      <c r="H102" s="133"/>
      <c r="I102" s="133"/>
      <c r="J102" s="136"/>
      <c r="K102" s="134"/>
      <c r="L102" s="134"/>
      <c r="M102" s="137"/>
      <c r="N102" s="134"/>
      <c r="O102" s="134"/>
      <c r="P102" s="134"/>
      <c r="Q102" s="134"/>
      <c r="R102" s="133"/>
      <c r="S102" s="133"/>
    </row>
    <row r="103" spans="1:19" s="365" customFormat="1" x14ac:dyDescent="0.2">
      <c r="A103" s="1312" t="s">
        <v>37</v>
      </c>
      <c r="B103" s="1314" t="s">
        <v>209</v>
      </c>
      <c r="C103" s="1315"/>
      <c r="D103" s="1315"/>
      <c r="E103" s="1316"/>
      <c r="F103" s="1314" t="s">
        <v>210</v>
      </c>
      <c r="G103" s="1315"/>
      <c r="H103" s="1315"/>
      <c r="I103" s="1316"/>
      <c r="J103" s="1317" t="s">
        <v>43</v>
      </c>
      <c r="K103" s="1318"/>
      <c r="L103" s="1318"/>
      <c r="M103" s="1319"/>
      <c r="N103" s="1317" t="s">
        <v>22</v>
      </c>
      <c r="O103" s="1318"/>
      <c r="P103" s="1318"/>
      <c r="Q103" s="1319"/>
      <c r="R103" s="1320" t="s">
        <v>211</v>
      </c>
      <c r="S103" s="1322" t="s">
        <v>212</v>
      </c>
    </row>
    <row r="104" spans="1:19" s="365" customFormat="1" ht="13.5" thickBot="1" x14ac:dyDescent="0.25">
      <c r="A104" s="1313"/>
      <c r="B104" s="140" t="s">
        <v>201</v>
      </c>
      <c r="C104" s="140" t="s">
        <v>5</v>
      </c>
      <c r="D104" s="140" t="s">
        <v>1</v>
      </c>
      <c r="E104" s="140" t="s">
        <v>2</v>
      </c>
      <c r="F104" s="140" t="s">
        <v>201</v>
      </c>
      <c r="G104" s="140" t="s">
        <v>5</v>
      </c>
      <c r="H104" s="140" t="s">
        <v>1</v>
      </c>
      <c r="I104" s="140" t="s">
        <v>2</v>
      </c>
      <c r="J104" s="141" t="s">
        <v>201</v>
      </c>
      <c r="K104" s="141" t="s">
        <v>5</v>
      </c>
      <c r="L104" s="141" t="s">
        <v>1</v>
      </c>
      <c r="M104" s="141" t="s">
        <v>2</v>
      </c>
      <c r="N104" s="141" t="s">
        <v>201</v>
      </c>
      <c r="O104" s="141" t="s">
        <v>5</v>
      </c>
      <c r="P104" s="141" t="s">
        <v>1</v>
      </c>
      <c r="Q104" s="141" t="s">
        <v>2</v>
      </c>
      <c r="R104" s="1321"/>
      <c r="S104" s="1323"/>
    </row>
    <row r="105" spans="1:19" s="365" customFormat="1" ht="13.5" thickBot="1" x14ac:dyDescent="0.25">
      <c r="A105" s="191">
        <f>N26</f>
        <v>5</v>
      </c>
      <c r="B105" s="142" t="s">
        <v>46</v>
      </c>
      <c r="C105" s="142">
        <v>0.5</v>
      </c>
      <c r="D105" s="142">
        <f>D54</f>
        <v>770</v>
      </c>
      <c r="E105" s="142">
        <f>C105*D105</f>
        <v>385</v>
      </c>
      <c r="F105" s="142"/>
      <c r="G105" s="142"/>
      <c r="H105" s="142"/>
      <c r="I105" s="142"/>
      <c r="J105" s="143" t="s">
        <v>72</v>
      </c>
      <c r="K105" s="144">
        <f>0.05*N26</f>
        <v>0.25</v>
      </c>
      <c r="L105" s="392">
        <f>diesel</f>
        <v>160</v>
      </c>
      <c r="M105" s="144">
        <f>K105*L105</f>
        <v>40</v>
      </c>
      <c r="N105" s="144" t="s">
        <v>28</v>
      </c>
      <c r="O105" s="144">
        <f>0.11*(P26+1.25)</f>
        <v>0.20496666666666666</v>
      </c>
      <c r="P105" s="144">
        <f>truck</f>
        <v>450</v>
      </c>
      <c r="Q105" s="144">
        <f>O105*P105</f>
        <v>92.234999999999999</v>
      </c>
      <c r="R105" s="145">
        <f>E105+M105+Q105+I105</f>
        <v>517.23500000000001</v>
      </c>
      <c r="S105" s="146"/>
    </row>
    <row r="106" spans="1:19" s="365" customFormat="1" x14ac:dyDescent="0.2">
      <c r="A106" s="366"/>
      <c r="B106" s="148"/>
      <c r="C106" s="148"/>
      <c r="D106" s="148"/>
      <c r="E106" s="148"/>
      <c r="F106" s="148"/>
      <c r="G106" s="148"/>
      <c r="H106" s="148"/>
      <c r="I106" s="148"/>
      <c r="J106" s="149"/>
      <c r="K106" s="150"/>
      <c r="L106" s="150"/>
      <c r="M106" s="150"/>
      <c r="N106" s="150"/>
      <c r="O106" s="150"/>
      <c r="P106" s="150"/>
      <c r="Q106" s="150"/>
      <c r="R106" s="151"/>
      <c r="S106" s="151"/>
    </row>
    <row r="107" spans="1:19" x14ac:dyDescent="0.2">
      <c r="A107" s="132" t="s">
        <v>320</v>
      </c>
      <c r="B107" s="133"/>
      <c r="C107" s="133"/>
      <c r="D107" s="133"/>
      <c r="E107" s="133"/>
      <c r="F107" s="133"/>
      <c r="G107" s="133"/>
      <c r="H107" s="133"/>
      <c r="I107" s="133"/>
      <c r="J107" s="136"/>
      <c r="K107" s="134"/>
      <c r="L107" s="134"/>
      <c r="M107" s="137"/>
      <c r="N107" s="134"/>
      <c r="O107" s="134"/>
      <c r="P107" s="134"/>
      <c r="Q107" s="134"/>
      <c r="R107" s="133" t="s">
        <v>215</v>
      </c>
      <c r="S107" s="133"/>
    </row>
    <row r="108" spans="1:19" ht="13.5" thickBot="1" x14ac:dyDescent="0.25">
      <c r="A108" s="132"/>
      <c r="B108" s="133"/>
      <c r="C108" s="133"/>
      <c r="D108" s="133"/>
      <c r="E108" s="133"/>
      <c r="F108" s="133"/>
      <c r="G108" s="133"/>
      <c r="H108" s="133"/>
      <c r="I108" s="133"/>
      <c r="J108" s="136"/>
      <c r="K108" s="134"/>
      <c r="L108" s="134"/>
      <c r="M108" s="137"/>
      <c r="N108" s="134"/>
      <c r="O108" s="134"/>
      <c r="P108" s="134"/>
      <c r="Q108" s="134"/>
      <c r="R108" s="133"/>
      <c r="S108" s="133"/>
    </row>
    <row r="109" spans="1:19" x14ac:dyDescent="0.2">
      <c r="A109" s="1312" t="s">
        <v>37</v>
      </c>
      <c r="B109" s="1314" t="s">
        <v>209</v>
      </c>
      <c r="C109" s="1315"/>
      <c r="D109" s="1315"/>
      <c r="E109" s="1316"/>
      <c r="F109" s="1314" t="s">
        <v>210</v>
      </c>
      <c r="G109" s="1315"/>
      <c r="H109" s="1315"/>
      <c r="I109" s="1316"/>
      <c r="J109" s="1317" t="s">
        <v>43</v>
      </c>
      <c r="K109" s="1318"/>
      <c r="L109" s="1318"/>
      <c r="M109" s="1319"/>
      <c r="N109" s="1317" t="s">
        <v>22</v>
      </c>
      <c r="O109" s="1318"/>
      <c r="P109" s="1318"/>
      <c r="Q109" s="1319"/>
      <c r="R109" s="1320" t="s">
        <v>211</v>
      </c>
      <c r="S109" s="1322" t="s">
        <v>212</v>
      </c>
    </row>
    <row r="110" spans="1:19" ht="13.5" thickBot="1" x14ac:dyDescent="0.25">
      <c r="A110" s="1313"/>
      <c r="B110" s="140" t="s">
        <v>201</v>
      </c>
      <c r="C110" s="140" t="s">
        <v>5</v>
      </c>
      <c r="D110" s="140" t="s">
        <v>1</v>
      </c>
      <c r="E110" s="140" t="s">
        <v>2</v>
      </c>
      <c r="F110" s="140" t="s">
        <v>201</v>
      </c>
      <c r="G110" s="140" t="s">
        <v>5</v>
      </c>
      <c r="H110" s="140" t="s">
        <v>1</v>
      </c>
      <c r="I110" s="140" t="s">
        <v>2</v>
      </c>
      <c r="J110" s="141" t="s">
        <v>201</v>
      </c>
      <c r="K110" s="141" t="s">
        <v>5</v>
      </c>
      <c r="L110" s="141" t="s">
        <v>1</v>
      </c>
      <c r="M110" s="141" t="s">
        <v>2</v>
      </c>
      <c r="N110" s="141" t="s">
        <v>201</v>
      </c>
      <c r="O110" s="141" t="s">
        <v>5</v>
      </c>
      <c r="P110" s="141" t="s">
        <v>1</v>
      </c>
      <c r="Q110" s="141" t="s">
        <v>2</v>
      </c>
      <c r="R110" s="1321"/>
      <c r="S110" s="1323"/>
    </row>
    <row r="111" spans="1:19" ht="13.5" thickBot="1" x14ac:dyDescent="0.25">
      <c r="A111" s="191">
        <f>A117</f>
        <v>4</v>
      </c>
      <c r="B111" s="142" t="s">
        <v>46</v>
      </c>
      <c r="C111" s="142">
        <v>0.4</v>
      </c>
      <c r="D111" s="142">
        <f>D99</f>
        <v>770</v>
      </c>
      <c r="E111" s="142">
        <f>C111*D111</f>
        <v>308</v>
      </c>
      <c r="F111" s="142" t="s">
        <v>46</v>
      </c>
      <c r="G111" s="145">
        <v>0.04</v>
      </c>
      <c r="H111" s="142">
        <f>sr</f>
        <v>1070</v>
      </c>
      <c r="I111" s="142">
        <f>G111*H111</f>
        <v>42.800000000000004</v>
      </c>
      <c r="J111" s="143" t="s">
        <v>72</v>
      </c>
      <c r="K111" s="144">
        <f>0.02*N24</f>
        <v>0.08</v>
      </c>
      <c r="L111" s="144">
        <f>diesel</f>
        <v>160</v>
      </c>
      <c r="M111" s="144">
        <f>K111*L111</f>
        <v>12.8</v>
      </c>
      <c r="N111" s="144" t="s">
        <v>28</v>
      </c>
      <c r="O111" s="144">
        <f>0.06*(P25+1.75)</f>
        <v>0.10580000000000001</v>
      </c>
      <c r="P111" s="144">
        <f>truck</f>
        <v>450</v>
      </c>
      <c r="Q111" s="144">
        <f>O111*P111</f>
        <v>47.61</v>
      </c>
      <c r="R111" s="145">
        <f>E111+M111+Q111+I111</f>
        <v>411.21000000000004</v>
      </c>
      <c r="S111" s="146"/>
    </row>
    <row r="112" spans="1:19" x14ac:dyDescent="0.2">
      <c r="A112" s="147"/>
      <c r="B112" s="148"/>
      <c r="C112" s="148"/>
      <c r="D112" s="148"/>
      <c r="E112" s="148"/>
      <c r="F112" s="148"/>
      <c r="G112" s="148"/>
      <c r="H112" s="148"/>
      <c r="I112" s="148"/>
      <c r="J112" s="149"/>
      <c r="K112" s="150"/>
      <c r="L112" s="150"/>
      <c r="M112" s="150"/>
      <c r="N112" s="150"/>
      <c r="O112" s="150"/>
      <c r="P112" s="150"/>
      <c r="Q112" s="150"/>
      <c r="R112" s="151"/>
      <c r="S112" s="151"/>
    </row>
    <row r="113" spans="1:19" x14ac:dyDescent="0.2">
      <c r="A113" s="132" t="s">
        <v>321</v>
      </c>
      <c r="B113" s="133"/>
      <c r="C113" s="133"/>
      <c r="D113" s="133"/>
      <c r="E113" s="133"/>
      <c r="F113" s="133"/>
      <c r="G113" s="133"/>
      <c r="H113" s="133"/>
      <c r="I113" s="133"/>
      <c r="J113" s="136"/>
      <c r="K113" s="134"/>
      <c r="L113" s="134"/>
      <c r="M113" s="137"/>
      <c r="N113" s="134"/>
      <c r="O113" s="134"/>
      <c r="P113" s="134"/>
      <c r="Q113" s="134"/>
      <c r="R113" s="133" t="s">
        <v>215</v>
      </c>
      <c r="S113" s="133"/>
    </row>
    <row r="114" spans="1:19" ht="13.5" thickBot="1" x14ac:dyDescent="0.25">
      <c r="A114" s="132"/>
      <c r="B114" s="133"/>
      <c r="C114" s="133"/>
      <c r="D114" s="133"/>
      <c r="E114" s="133"/>
      <c r="F114" s="133"/>
      <c r="G114" s="133"/>
      <c r="H114" s="133"/>
      <c r="I114" s="133"/>
      <c r="J114" s="136"/>
      <c r="K114" s="134"/>
      <c r="L114" s="134"/>
      <c r="M114" s="137"/>
      <c r="N114" s="134"/>
      <c r="O114" s="134"/>
      <c r="P114" s="134"/>
      <c r="Q114" s="134"/>
      <c r="R114" s="133"/>
      <c r="S114" s="133"/>
    </row>
    <row r="115" spans="1:19" x14ac:dyDescent="0.2">
      <c r="A115" s="1312" t="s">
        <v>37</v>
      </c>
      <c r="B115" s="1314" t="s">
        <v>209</v>
      </c>
      <c r="C115" s="1315"/>
      <c r="D115" s="1315"/>
      <c r="E115" s="1316"/>
      <c r="F115" s="1314" t="s">
        <v>210</v>
      </c>
      <c r="G115" s="1315"/>
      <c r="H115" s="1315"/>
      <c r="I115" s="1316"/>
      <c r="J115" s="1317" t="s">
        <v>43</v>
      </c>
      <c r="K115" s="1318"/>
      <c r="L115" s="1318"/>
      <c r="M115" s="1319"/>
      <c r="N115" s="1317" t="s">
        <v>22</v>
      </c>
      <c r="O115" s="1318"/>
      <c r="P115" s="1318"/>
      <c r="Q115" s="1319"/>
      <c r="R115" s="1320" t="s">
        <v>211</v>
      </c>
      <c r="S115" s="1322" t="s">
        <v>212</v>
      </c>
    </row>
    <row r="116" spans="1:19" ht="13.5" thickBot="1" x14ac:dyDescent="0.25">
      <c r="A116" s="1313"/>
      <c r="B116" s="140" t="s">
        <v>201</v>
      </c>
      <c r="C116" s="140" t="s">
        <v>5</v>
      </c>
      <c r="D116" s="140" t="s">
        <v>1</v>
      </c>
      <c r="E116" s="140" t="s">
        <v>2</v>
      </c>
      <c r="F116" s="140" t="s">
        <v>201</v>
      </c>
      <c r="G116" s="140" t="s">
        <v>5</v>
      </c>
      <c r="H116" s="140" t="s">
        <v>1</v>
      </c>
      <c r="I116" s="140" t="s">
        <v>2</v>
      </c>
      <c r="J116" s="141" t="s">
        <v>201</v>
      </c>
      <c r="K116" s="141" t="s">
        <v>5</v>
      </c>
      <c r="L116" s="141" t="s">
        <v>1</v>
      </c>
      <c r="M116" s="141" t="s">
        <v>2</v>
      </c>
      <c r="N116" s="141" t="s">
        <v>201</v>
      </c>
      <c r="O116" s="141" t="s">
        <v>5</v>
      </c>
      <c r="P116" s="141" t="s">
        <v>1</v>
      </c>
      <c r="Q116" s="141" t="s">
        <v>2</v>
      </c>
      <c r="R116" s="1321"/>
      <c r="S116" s="1323"/>
    </row>
    <row r="117" spans="1:19" ht="13.5" thickBot="1" x14ac:dyDescent="0.25">
      <c r="A117" s="191">
        <f>A123</f>
        <v>4</v>
      </c>
      <c r="B117" s="142" t="s">
        <v>46</v>
      </c>
      <c r="C117" s="142">
        <v>0.33</v>
      </c>
      <c r="D117" s="142">
        <f>D111</f>
        <v>770</v>
      </c>
      <c r="E117" s="142">
        <f>C117*D117</f>
        <v>254.10000000000002</v>
      </c>
      <c r="F117" s="142" t="s">
        <v>46</v>
      </c>
      <c r="G117" s="145">
        <v>0.03</v>
      </c>
      <c r="H117" s="142">
        <f>sr</f>
        <v>1070</v>
      </c>
      <c r="I117" s="142">
        <f>G117*H117</f>
        <v>32.1</v>
      </c>
      <c r="J117" s="143" t="s">
        <v>72</v>
      </c>
      <c r="K117" s="144">
        <f>0.02*N24</f>
        <v>0.08</v>
      </c>
      <c r="L117" s="144">
        <f>diesel</f>
        <v>160</v>
      </c>
      <c r="M117" s="144">
        <f>K117*L117</f>
        <v>12.8</v>
      </c>
      <c r="N117" s="144" t="s">
        <v>28</v>
      </c>
      <c r="O117" s="144">
        <f>0.055*(P25+1.75)</f>
        <v>9.6983333333333338E-2</v>
      </c>
      <c r="P117" s="144">
        <f>truck</f>
        <v>450</v>
      </c>
      <c r="Q117" s="144">
        <f>O117*P117</f>
        <v>43.642500000000005</v>
      </c>
      <c r="R117" s="145">
        <f>E117+M117+Q117+I117</f>
        <v>342.64250000000004</v>
      </c>
      <c r="S117" s="146"/>
    </row>
    <row r="118" spans="1:19" x14ac:dyDescent="0.2">
      <c r="A118" s="147"/>
      <c r="B118" s="148"/>
      <c r="C118" s="148"/>
      <c r="D118" s="148"/>
      <c r="E118" s="148"/>
      <c r="F118" s="148"/>
      <c r="G118" s="148"/>
      <c r="H118" s="148"/>
      <c r="I118" s="148"/>
      <c r="J118" s="149"/>
      <c r="K118" s="150"/>
      <c r="L118" s="150"/>
      <c r="M118" s="150"/>
      <c r="N118" s="150"/>
      <c r="O118" s="150"/>
      <c r="P118" s="150"/>
      <c r="Q118" s="150"/>
      <c r="R118" s="151"/>
      <c r="S118" s="151"/>
    </row>
    <row r="119" spans="1:19" x14ac:dyDescent="0.2">
      <c r="A119" s="132" t="s">
        <v>322</v>
      </c>
      <c r="B119" s="133"/>
      <c r="C119" s="133"/>
      <c r="D119" s="133"/>
      <c r="E119" s="133"/>
      <c r="F119" s="133"/>
      <c r="G119" s="133"/>
      <c r="H119" s="133"/>
      <c r="I119" s="133"/>
      <c r="J119" s="136"/>
      <c r="K119" s="134"/>
      <c r="L119" s="134"/>
      <c r="M119" s="137"/>
      <c r="N119" s="134"/>
      <c r="O119" s="134"/>
      <c r="P119" s="134"/>
      <c r="Q119" s="134"/>
      <c r="R119" s="133" t="s">
        <v>215</v>
      </c>
      <c r="S119" s="133"/>
    </row>
    <row r="120" spans="1:19" ht="13.5" thickBot="1" x14ac:dyDescent="0.25">
      <c r="A120" s="132"/>
      <c r="B120" s="133"/>
      <c r="C120" s="133"/>
      <c r="D120" s="133"/>
      <c r="E120" s="133"/>
      <c r="F120" s="133"/>
      <c r="G120" s="133"/>
      <c r="H120" s="133"/>
      <c r="I120" s="133"/>
      <c r="J120" s="136"/>
      <c r="K120" s="134"/>
      <c r="L120" s="134"/>
      <c r="M120" s="137"/>
      <c r="N120" s="134"/>
      <c r="O120" s="134"/>
      <c r="P120" s="134"/>
      <c r="Q120" s="134"/>
      <c r="R120" s="133"/>
      <c r="S120" s="133"/>
    </row>
    <row r="121" spans="1:19" x14ac:dyDescent="0.2">
      <c r="A121" s="1312" t="s">
        <v>37</v>
      </c>
      <c r="B121" s="1314" t="s">
        <v>209</v>
      </c>
      <c r="C121" s="1315"/>
      <c r="D121" s="1315"/>
      <c r="E121" s="1316"/>
      <c r="F121" s="1314" t="s">
        <v>210</v>
      </c>
      <c r="G121" s="1315"/>
      <c r="H121" s="1315"/>
      <c r="I121" s="1316"/>
      <c r="J121" s="1317" t="s">
        <v>43</v>
      </c>
      <c r="K121" s="1318"/>
      <c r="L121" s="1318"/>
      <c r="M121" s="1319"/>
      <c r="N121" s="1317" t="s">
        <v>22</v>
      </c>
      <c r="O121" s="1318"/>
      <c r="P121" s="1318"/>
      <c r="Q121" s="1319"/>
      <c r="R121" s="1320" t="s">
        <v>211</v>
      </c>
      <c r="S121" s="1322" t="s">
        <v>212</v>
      </c>
    </row>
    <row r="122" spans="1:19" ht="13.5" thickBot="1" x14ac:dyDescent="0.25">
      <c r="A122" s="1313"/>
      <c r="B122" s="140" t="s">
        <v>201</v>
      </c>
      <c r="C122" s="140" t="s">
        <v>5</v>
      </c>
      <c r="D122" s="140" t="s">
        <v>1</v>
      </c>
      <c r="E122" s="140" t="s">
        <v>2</v>
      </c>
      <c r="F122" s="140" t="s">
        <v>201</v>
      </c>
      <c r="G122" s="140" t="s">
        <v>5</v>
      </c>
      <c r="H122" s="140" t="s">
        <v>1</v>
      </c>
      <c r="I122" s="140" t="s">
        <v>2</v>
      </c>
      <c r="J122" s="141" t="s">
        <v>201</v>
      </c>
      <c r="K122" s="141" t="s">
        <v>5</v>
      </c>
      <c r="L122" s="141" t="s">
        <v>1</v>
      </c>
      <c r="M122" s="141" t="s">
        <v>2</v>
      </c>
      <c r="N122" s="141" t="s">
        <v>201</v>
      </c>
      <c r="O122" s="141" t="s">
        <v>5</v>
      </c>
      <c r="P122" s="141" t="s">
        <v>1</v>
      </c>
      <c r="Q122" s="141" t="s">
        <v>2</v>
      </c>
      <c r="R122" s="1321"/>
      <c r="S122" s="1323"/>
    </row>
    <row r="123" spans="1:19" ht="13.5" thickBot="1" x14ac:dyDescent="0.25">
      <c r="A123" s="191">
        <f>N24</f>
        <v>4</v>
      </c>
      <c r="B123" s="142" t="s">
        <v>46</v>
      </c>
      <c r="C123" s="142">
        <v>0.25</v>
      </c>
      <c r="D123" s="142">
        <f>D117</f>
        <v>770</v>
      </c>
      <c r="E123" s="142">
        <f>C123*D123</f>
        <v>192.5</v>
      </c>
      <c r="F123" s="142" t="s">
        <v>46</v>
      </c>
      <c r="G123" s="145">
        <v>0.02</v>
      </c>
      <c r="H123" s="142">
        <f>sr</f>
        <v>1070</v>
      </c>
      <c r="I123" s="142">
        <f>G123*H123</f>
        <v>21.400000000000002</v>
      </c>
      <c r="J123" s="143" t="s">
        <v>72</v>
      </c>
      <c r="K123" s="144">
        <f>0.02*N24</f>
        <v>0.08</v>
      </c>
      <c r="L123" s="144">
        <f>diesel</f>
        <v>160</v>
      </c>
      <c r="M123" s="144">
        <f>K123*L123</f>
        <v>12.8</v>
      </c>
      <c r="N123" s="144" t="s">
        <v>28</v>
      </c>
      <c r="O123" s="144">
        <f>0.054*(P25+1.75)</f>
        <v>9.5219999999999999E-2</v>
      </c>
      <c r="P123" s="144">
        <f>truck</f>
        <v>450</v>
      </c>
      <c r="Q123" s="144">
        <f>O123*P123</f>
        <v>42.848999999999997</v>
      </c>
      <c r="R123" s="145">
        <f>E123+M123+Q123+I123</f>
        <v>269.54899999999998</v>
      </c>
      <c r="S123" s="146"/>
    </row>
    <row r="124" spans="1:19" s="365" customFormat="1" x14ac:dyDescent="0.2">
      <c r="A124" s="147"/>
      <c r="B124" s="148"/>
      <c r="C124" s="148"/>
      <c r="D124" s="148"/>
      <c r="E124" s="148"/>
      <c r="F124" s="148"/>
      <c r="G124" s="148"/>
      <c r="H124" s="148"/>
      <c r="I124" s="148"/>
      <c r="J124" s="149"/>
      <c r="K124" s="150"/>
      <c r="L124" s="150"/>
      <c r="M124" s="150"/>
      <c r="N124" s="150"/>
      <c r="O124" s="150"/>
      <c r="P124" s="150"/>
      <c r="Q124" s="150"/>
      <c r="R124" s="151"/>
      <c r="S124" s="151"/>
    </row>
    <row r="125" spans="1:19" s="365" customFormat="1" x14ac:dyDescent="0.2">
      <c r="A125" s="132" t="s">
        <v>1063</v>
      </c>
      <c r="B125" s="133"/>
      <c r="C125" s="133"/>
      <c r="D125" s="133"/>
      <c r="E125" s="133"/>
      <c r="F125" s="133"/>
      <c r="G125" s="133"/>
      <c r="H125" s="133"/>
      <c r="I125" s="133"/>
      <c r="J125" s="136"/>
      <c r="K125" s="134"/>
      <c r="L125" s="134"/>
      <c r="M125" s="137"/>
      <c r="N125" s="134"/>
      <c r="O125" s="134"/>
      <c r="P125" s="134"/>
      <c r="Q125" s="134"/>
      <c r="R125" s="133" t="s">
        <v>1064</v>
      </c>
      <c r="S125" s="133"/>
    </row>
    <row r="126" spans="1:19" s="365" customFormat="1" ht="13.5" thickBot="1" x14ac:dyDescent="0.25">
      <c r="A126" s="132"/>
      <c r="B126" s="133"/>
      <c r="C126" s="133"/>
      <c r="D126" s="133"/>
      <c r="E126" s="133"/>
      <c r="F126" s="133"/>
      <c r="G126" s="133"/>
      <c r="H126" s="133"/>
      <c r="I126" s="133"/>
      <c r="J126" s="136"/>
      <c r="K126" s="134"/>
      <c r="L126" s="134"/>
      <c r="M126" s="137"/>
      <c r="N126" s="134"/>
      <c r="O126" s="134"/>
      <c r="P126" s="134"/>
      <c r="Q126" s="134"/>
      <c r="R126" s="133"/>
      <c r="S126" s="133"/>
    </row>
    <row r="127" spans="1:19" s="365" customFormat="1" x14ac:dyDescent="0.2">
      <c r="A127" s="1312" t="s">
        <v>37</v>
      </c>
      <c r="B127" s="1314" t="s">
        <v>209</v>
      </c>
      <c r="C127" s="1315"/>
      <c r="D127" s="1315"/>
      <c r="E127" s="1316"/>
      <c r="F127" s="1314" t="s">
        <v>210</v>
      </c>
      <c r="G127" s="1315"/>
      <c r="H127" s="1315"/>
      <c r="I127" s="1316"/>
      <c r="J127" s="1317" t="s">
        <v>43</v>
      </c>
      <c r="K127" s="1318"/>
      <c r="L127" s="1318"/>
      <c r="M127" s="1319"/>
      <c r="N127" s="1317" t="s">
        <v>22</v>
      </c>
      <c r="O127" s="1318"/>
      <c r="P127" s="1318"/>
      <c r="Q127" s="1319"/>
      <c r="R127" s="1320" t="s">
        <v>211</v>
      </c>
      <c r="S127" s="1322" t="s">
        <v>212</v>
      </c>
    </row>
    <row r="128" spans="1:19" s="365" customFormat="1" ht="13.5" thickBot="1" x14ac:dyDescent="0.25">
      <c r="A128" s="1313"/>
      <c r="B128" s="140" t="s">
        <v>201</v>
      </c>
      <c r="C128" s="140" t="s">
        <v>5</v>
      </c>
      <c r="D128" s="140" t="s">
        <v>1</v>
      </c>
      <c r="E128" s="140" t="s">
        <v>2</v>
      </c>
      <c r="F128" s="140" t="s">
        <v>201</v>
      </c>
      <c r="G128" s="140" t="s">
        <v>5</v>
      </c>
      <c r="H128" s="140" t="s">
        <v>1</v>
      </c>
      <c r="I128" s="140" t="s">
        <v>2</v>
      </c>
      <c r="J128" s="141" t="s">
        <v>201</v>
      </c>
      <c r="K128" s="141" t="s">
        <v>5</v>
      </c>
      <c r="L128" s="141" t="s">
        <v>1</v>
      </c>
      <c r="M128" s="141" t="s">
        <v>2</v>
      </c>
      <c r="N128" s="141" t="s">
        <v>201</v>
      </c>
      <c r="O128" s="141" t="s">
        <v>5</v>
      </c>
      <c r="P128" s="141" t="s">
        <v>1</v>
      </c>
      <c r="Q128" s="141" t="s">
        <v>2</v>
      </c>
      <c r="R128" s="1321"/>
      <c r="S128" s="1323"/>
    </row>
    <row r="129" spans="1:19" s="365" customFormat="1" ht="13.5" thickBot="1" x14ac:dyDescent="0.25">
      <c r="A129" s="191">
        <f>N25</f>
        <v>0.1</v>
      </c>
      <c r="B129" s="142" t="s">
        <v>46</v>
      </c>
      <c r="C129" s="142">
        <v>0.1</v>
      </c>
      <c r="D129" s="142">
        <f>D123</f>
        <v>770</v>
      </c>
      <c r="E129" s="142">
        <f>C129*D129</f>
        <v>77</v>
      </c>
      <c r="F129" s="142" t="s">
        <v>46</v>
      </c>
      <c r="G129" s="145">
        <v>0.01</v>
      </c>
      <c r="H129" s="142">
        <f>sr</f>
        <v>1070</v>
      </c>
      <c r="I129" s="142">
        <f>G129*H129</f>
        <v>10.700000000000001</v>
      </c>
      <c r="J129" s="143" t="s">
        <v>72</v>
      </c>
      <c r="K129" s="144">
        <f>0.04*N25</f>
        <v>4.0000000000000001E-3</v>
      </c>
      <c r="L129" s="144">
        <f>diesel</f>
        <v>160</v>
      </c>
      <c r="M129" s="144">
        <f>K129*L129</f>
        <v>0.64</v>
      </c>
      <c r="N129" s="144" t="s">
        <v>28</v>
      </c>
      <c r="O129" s="144">
        <f>0.12*(P25+0.75)</f>
        <v>9.1599999999999987E-2</v>
      </c>
      <c r="P129" s="144">
        <f>truck</f>
        <v>450</v>
      </c>
      <c r="Q129" s="144">
        <f>O129*P129</f>
        <v>41.219999999999992</v>
      </c>
      <c r="R129" s="145">
        <f>E129+M129+Q129+I129</f>
        <v>129.55999999999997</v>
      </c>
      <c r="S129" s="146"/>
    </row>
  </sheetData>
  <mergeCells count="193">
    <mergeCell ref="R15:S15"/>
    <mergeCell ref="E22:G22"/>
    <mergeCell ref="E21:G21"/>
    <mergeCell ref="E20:G20"/>
    <mergeCell ref="E19:G19"/>
    <mergeCell ref="E18:G18"/>
    <mergeCell ref="E17:G17"/>
    <mergeCell ref="E16:G16"/>
    <mergeCell ref="E15:G15"/>
    <mergeCell ref="R26:S26"/>
    <mergeCell ref="N15:O15"/>
    <mergeCell ref="N16:O16"/>
    <mergeCell ref="N17:O17"/>
    <mergeCell ref="N18:O18"/>
    <mergeCell ref="N19:O19"/>
    <mergeCell ref="N20:O20"/>
    <mergeCell ref="N21:O21"/>
    <mergeCell ref="N22:O22"/>
    <mergeCell ref="N24:O24"/>
    <mergeCell ref="N25:O25"/>
    <mergeCell ref="N26:O26"/>
    <mergeCell ref="R16:S16"/>
    <mergeCell ref="R17:S17"/>
    <mergeCell ref="R18:S18"/>
    <mergeCell ref="R19:S19"/>
    <mergeCell ref="R20:S20"/>
    <mergeCell ref="R21:S21"/>
    <mergeCell ref="R22:S22"/>
    <mergeCell ref="R24:S24"/>
    <mergeCell ref="R25:S25"/>
    <mergeCell ref="P26:Q26"/>
    <mergeCell ref="R23:S23"/>
    <mergeCell ref="P15:Q15"/>
    <mergeCell ref="A15:C15"/>
    <mergeCell ref="A16:C16"/>
    <mergeCell ref="A17:C17"/>
    <mergeCell ref="A18:C18"/>
    <mergeCell ref="A19:C19"/>
    <mergeCell ref="A20:C20"/>
    <mergeCell ref="A21:C21"/>
    <mergeCell ref="A22:C22"/>
    <mergeCell ref="A24:C24"/>
    <mergeCell ref="A25:C25"/>
    <mergeCell ref="A26:C26"/>
    <mergeCell ref="E26:G26"/>
    <mergeCell ref="E25:G25"/>
    <mergeCell ref="E24:G24"/>
    <mergeCell ref="P16:Q16"/>
    <mergeCell ref="P17:Q17"/>
    <mergeCell ref="P18:Q18"/>
    <mergeCell ref="P19:Q19"/>
    <mergeCell ref="P20:Q20"/>
    <mergeCell ref="P21:Q21"/>
    <mergeCell ref="P22:Q22"/>
    <mergeCell ref="P24:Q24"/>
    <mergeCell ref="P25:Q25"/>
    <mergeCell ref="A23:C23"/>
    <mergeCell ref="E23:G23"/>
    <mergeCell ref="N23:O23"/>
    <mergeCell ref="P23:Q23"/>
    <mergeCell ref="A10:S10"/>
    <mergeCell ref="C12:S12"/>
    <mergeCell ref="C13:S14"/>
    <mergeCell ref="A13:B13"/>
    <mergeCell ref="A12:B12"/>
    <mergeCell ref="A1:S1"/>
    <mergeCell ref="A2:S2"/>
    <mergeCell ref="A3:S3"/>
    <mergeCell ref="A4:S4"/>
    <mergeCell ref="A5:S5"/>
    <mergeCell ref="A6:S6"/>
    <mergeCell ref="A7:S7"/>
    <mergeCell ref="A8:S8"/>
    <mergeCell ref="A9:E9"/>
    <mergeCell ref="Q9:S9"/>
    <mergeCell ref="F121:I121"/>
    <mergeCell ref="J121:M121"/>
    <mergeCell ref="N121:Q121"/>
    <mergeCell ref="R121:R122"/>
    <mergeCell ref="S109:S110"/>
    <mergeCell ref="A121:A122"/>
    <mergeCell ref="B121:E121"/>
    <mergeCell ref="A115:A116"/>
    <mergeCell ref="B115:E115"/>
    <mergeCell ref="F115:I115"/>
    <mergeCell ref="J115:M115"/>
    <mergeCell ref="A97:A98"/>
    <mergeCell ref="B97:E97"/>
    <mergeCell ref="F97:I97"/>
    <mergeCell ref="J97:M97"/>
    <mergeCell ref="N97:Q97"/>
    <mergeCell ref="R97:R98"/>
    <mergeCell ref="S97:S98"/>
    <mergeCell ref="A90:A91"/>
    <mergeCell ref="B90:E90"/>
    <mergeCell ref="S76:S77"/>
    <mergeCell ref="A70:A71"/>
    <mergeCell ref="B70:E70"/>
    <mergeCell ref="F70:I70"/>
    <mergeCell ref="J70:M70"/>
    <mergeCell ref="N70:Q70"/>
    <mergeCell ref="R70:R71"/>
    <mergeCell ref="F90:I90"/>
    <mergeCell ref="J90:M90"/>
    <mergeCell ref="N90:Q90"/>
    <mergeCell ref="R90:R91"/>
    <mergeCell ref="S70:S71"/>
    <mergeCell ref="A76:A77"/>
    <mergeCell ref="B76:E76"/>
    <mergeCell ref="F76:I76"/>
    <mergeCell ref="J76:M76"/>
    <mergeCell ref="N76:Q76"/>
    <mergeCell ref="S90:S91"/>
    <mergeCell ref="S83:S84"/>
    <mergeCell ref="A83:A84"/>
    <mergeCell ref="B83:E83"/>
    <mergeCell ref="F83:I83"/>
    <mergeCell ref="J83:M83"/>
    <mergeCell ref="N83:Q83"/>
    <mergeCell ref="S64:S65"/>
    <mergeCell ref="A64:A65"/>
    <mergeCell ref="B64:E64"/>
    <mergeCell ref="A52:A53"/>
    <mergeCell ref="B52:E52"/>
    <mergeCell ref="F52:I52"/>
    <mergeCell ref="J52:M52"/>
    <mergeCell ref="N52:Q52"/>
    <mergeCell ref="R52:R53"/>
    <mergeCell ref="F64:I64"/>
    <mergeCell ref="J64:M64"/>
    <mergeCell ref="N64:Q64"/>
    <mergeCell ref="R64:R65"/>
    <mergeCell ref="R83:R84"/>
    <mergeCell ref="A46:A47"/>
    <mergeCell ref="B46:E46"/>
    <mergeCell ref="F46:I46"/>
    <mergeCell ref="J46:M46"/>
    <mergeCell ref="N46:Q46"/>
    <mergeCell ref="R46:R47"/>
    <mergeCell ref="A58:A59"/>
    <mergeCell ref="B58:E58"/>
    <mergeCell ref="F58:I58"/>
    <mergeCell ref="J58:M58"/>
    <mergeCell ref="N58:Q58"/>
    <mergeCell ref="R76:R77"/>
    <mergeCell ref="A27:C27"/>
    <mergeCell ref="E27:G27"/>
    <mergeCell ref="N27:O27"/>
    <mergeCell ref="P27:Q27"/>
    <mergeCell ref="R27:S27"/>
    <mergeCell ref="S46:S47"/>
    <mergeCell ref="A34:A35"/>
    <mergeCell ref="R58:R59"/>
    <mergeCell ref="S58:S59"/>
    <mergeCell ref="S52:S53"/>
    <mergeCell ref="A40:A41"/>
    <mergeCell ref="B40:E40"/>
    <mergeCell ref="F40:I40"/>
    <mergeCell ref="J40:M40"/>
    <mergeCell ref="N40:Q40"/>
    <mergeCell ref="R40:R41"/>
    <mergeCell ref="S40:S41"/>
    <mergeCell ref="O30:P30"/>
    <mergeCell ref="B34:E34"/>
    <mergeCell ref="F34:I34"/>
    <mergeCell ref="J34:M34"/>
    <mergeCell ref="N34:Q34"/>
    <mergeCell ref="R34:R35"/>
    <mergeCell ref="S34:S35"/>
    <mergeCell ref="A103:A104"/>
    <mergeCell ref="B103:E103"/>
    <mergeCell ref="F103:I103"/>
    <mergeCell ref="J103:M103"/>
    <mergeCell ref="N103:Q103"/>
    <mergeCell ref="R103:R104"/>
    <mergeCell ref="S103:S104"/>
    <mergeCell ref="A127:A128"/>
    <mergeCell ref="B127:E127"/>
    <mergeCell ref="F127:I127"/>
    <mergeCell ref="J127:M127"/>
    <mergeCell ref="N127:Q127"/>
    <mergeCell ref="R127:R128"/>
    <mergeCell ref="S127:S128"/>
    <mergeCell ref="R115:R116"/>
    <mergeCell ref="S115:S116"/>
    <mergeCell ref="A109:A110"/>
    <mergeCell ref="B109:E109"/>
    <mergeCell ref="F109:I109"/>
    <mergeCell ref="J109:M109"/>
    <mergeCell ref="N109:Q109"/>
    <mergeCell ref="N115:Q115"/>
    <mergeCell ref="S121:S122"/>
    <mergeCell ref="R109:R110"/>
  </mergeCells>
  <pageMargins left="0.35" right="0.25" top="0.38" bottom="0.46" header="0.3" footer="0.11"/>
  <pageSetup paperSize="9" scale="80" orientation="landscape" r:id="rId1"/>
  <headerFooter>
    <oddFooter>&amp;L__________________________Prepared By&amp;C__________________________Checked By&amp;R________________________Approved By</oddFooter>
  </headerFooter>
  <rowBreaks count="1" manualBreakCount="1">
    <brk id="43" max="18"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21"/>
  <sheetViews>
    <sheetView topLeftCell="A2" workbookViewId="0">
      <selection activeCell="B13" sqref="B13"/>
    </sheetView>
  </sheetViews>
  <sheetFormatPr defaultRowHeight="12.75" x14ac:dyDescent="0.2"/>
  <cols>
    <col min="1" max="1" width="66.140625" customWidth="1"/>
    <col min="2" max="2" width="25" customWidth="1"/>
    <col min="3" max="3" width="20.85546875" customWidth="1"/>
    <col min="4" max="4" width="22.85546875" customWidth="1"/>
  </cols>
  <sheetData>
    <row r="1" spans="1:19" s="156" customFormat="1" hidden="1" x14ac:dyDescent="0.2">
      <c r="A1" s="1202" t="str">
        <f>'0.Data Sheet'!C18</f>
        <v>Government Of Nepal</v>
      </c>
      <c r="B1" s="1202"/>
      <c r="C1" s="1202"/>
      <c r="D1" s="1202"/>
      <c r="E1" s="126"/>
      <c r="F1" s="126"/>
      <c r="G1" s="126"/>
      <c r="H1" s="126"/>
      <c r="I1" s="155"/>
      <c r="J1" s="155"/>
      <c r="K1" s="155"/>
      <c r="L1" s="155"/>
      <c r="M1" s="155"/>
      <c r="N1" s="155"/>
    </row>
    <row r="2" spans="1:19" s="156" customFormat="1" x14ac:dyDescent="0.2">
      <c r="A2" s="1202" t="str">
        <f>'0.Data Sheet'!C19</f>
        <v xml:space="preserve">Ministry of Federal Affairs and General Administration
</v>
      </c>
      <c r="B2" s="1202"/>
      <c r="C2" s="1202"/>
      <c r="D2" s="1202"/>
      <c r="E2" s="126"/>
      <c r="F2" s="126"/>
      <c r="G2" s="126"/>
      <c r="H2" s="126"/>
      <c r="I2" s="155"/>
      <c r="J2" s="155"/>
      <c r="K2" s="155"/>
      <c r="L2" s="155"/>
      <c r="M2" s="155"/>
      <c r="N2" s="155"/>
    </row>
    <row r="3" spans="1:19" s="156" customFormat="1" ht="18" x14ac:dyDescent="0.25">
      <c r="A3" s="1209" t="str">
        <f>'0.Data Sheet'!C20</f>
        <v>Department Of Local Infrastructure (DOLI)</v>
      </c>
      <c r="B3" s="1209"/>
      <c r="C3" s="1209"/>
      <c r="D3" s="1209"/>
      <c r="E3" s="127"/>
      <c r="F3" s="127"/>
      <c r="G3" s="127"/>
      <c r="H3" s="127"/>
      <c r="I3" s="155"/>
      <c r="J3" s="155"/>
      <c r="K3" s="155"/>
      <c r="L3" s="155"/>
      <c r="M3" s="155"/>
      <c r="N3" s="155"/>
    </row>
    <row r="4" spans="1:19" s="156" customFormat="1" ht="18" x14ac:dyDescent="0.25">
      <c r="A4" s="1210" t="str">
        <f>'0.Data Sheet'!C21</f>
        <v>Local Bridge Section</v>
      </c>
      <c r="B4" s="1210"/>
      <c r="C4" s="1210"/>
      <c r="D4" s="1210"/>
      <c r="E4" s="128"/>
      <c r="F4" s="128"/>
      <c r="G4" s="128"/>
      <c r="H4" s="128"/>
      <c r="I4" s="155"/>
      <c r="J4" s="155"/>
      <c r="K4" s="155"/>
      <c r="L4" s="155"/>
      <c r="M4" s="155"/>
      <c r="N4" s="155"/>
    </row>
    <row r="5" spans="1:19" s="156" customFormat="1" x14ac:dyDescent="0.2">
      <c r="A5" s="1202" t="str">
        <f>'0.Data Sheet'!C22</f>
        <v>Pulchowk, Lalitpur</v>
      </c>
      <c r="B5" s="1202"/>
      <c r="C5" s="1202"/>
      <c r="D5" s="1202"/>
      <c r="E5" s="126"/>
      <c r="F5" s="126"/>
      <c r="G5" s="126"/>
      <c r="H5" s="126"/>
      <c r="I5" s="155"/>
      <c r="J5" s="155"/>
      <c r="K5" s="155"/>
      <c r="L5" s="155"/>
      <c r="M5" s="155"/>
      <c r="N5" s="155"/>
    </row>
    <row r="6" spans="1:19" s="156" customFormat="1" ht="20.25" x14ac:dyDescent="0.3">
      <c r="A6" s="1208" t="s">
        <v>1470</v>
      </c>
      <c r="B6" s="1208"/>
      <c r="C6" s="1208"/>
      <c r="D6" s="1208"/>
      <c r="E6" s="518"/>
      <c r="F6" s="518"/>
      <c r="G6" s="518"/>
      <c r="H6" s="518"/>
      <c r="I6" s="155"/>
      <c r="J6" s="155"/>
      <c r="K6" s="155"/>
      <c r="L6" s="155"/>
      <c r="M6" s="155"/>
      <c r="N6" s="155"/>
    </row>
    <row r="7" spans="1:19" s="156" customFormat="1" ht="20.25" x14ac:dyDescent="0.3">
      <c r="A7" s="474"/>
      <c r="B7" s="474"/>
      <c r="C7" s="474"/>
      <c r="D7" s="474"/>
      <c r="E7" s="518"/>
      <c r="F7" s="518"/>
      <c r="G7" s="518"/>
      <c r="H7" s="518"/>
      <c r="I7" s="155"/>
      <c r="J7" s="155"/>
      <c r="K7" s="155"/>
      <c r="L7" s="155"/>
      <c r="M7" s="155"/>
      <c r="N7" s="155"/>
    </row>
    <row r="8" spans="1:19" s="479" customFormat="1" ht="13.5" customHeight="1" x14ac:dyDescent="0.2">
      <c r="A8" s="1306" t="str">
        <f>'2.0Abstract of Cost'!A9</f>
        <v>Name of Bridge: Lambu Khola Motorable Bridge</v>
      </c>
      <c r="B8" s="1306"/>
      <c r="C8" s="519"/>
      <c r="D8" s="522" t="str">
        <f>'4.0Summary of Rates'!F9</f>
        <v>Span=20 x 1m</v>
      </c>
      <c r="E8" s="521"/>
    </row>
    <row r="9" spans="1:19" ht="13.5" thickBot="1" x14ac:dyDescent="0.25"/>
    <row r="10" spans="1:19" s="322" customFormat="1" ht="13.5" customHeight="1" x14ac:dyDescent="0.2">
      <c r="A10" s="1367" t="s">
        <v>1061</v>
      </c>
      <c r="B10" s="1368"/>
      <c r="C10" s="1365" t="str">
        <f>CONCATENATE('6.0 transportation'!A12,"       ",'6.0 transportation'!A13)</f>
        <v>Spec. Clause No. 800       Activity No: 8.04.02</v>
      </c>
      <c r="D10" s="1366"/>
      <c r="H10" s="527"/>
      <c r="I10" s="527"/>
    </row>
    <row r="11" spans="1:19" s="368" customFormat="1" x14ac:dyDescent="0.2">
      <c r="A11" s="528" t="s">
        <v>200</v>
      </c>
      <c r="B11" s="396" t="s">
        <v>1468</v>
      </c>
      <c r="C11" s="520" t="s">
        <v>1039</v>
      </c>
      <c r="D11" s="523" t="s">
        <v>1040</v>
      </c>
      <c r="E11" s="380"/>
      <c r="F11" s="380"/>
      <c r="G11" s="380"/>
      <c r="H11" s="380"/>
      <c r="I11" s="380"/>
      <c r="J11" s="380"/>
      <c r="K11" s="380"/>
      <c r="L11" s="380"/>
      <c r="M11" s="380"/>
      <c r="N11" s="380"/>
      <c r="O11" s="380"/>
      <c r="P11" s="380"/>
      <c r="Q11" s="380"/>
      <c r="R11" s="380"/>
      <c r="S11" s="381"/>
    </row>
    <row r="12" spans="1:19" s="9" customFormat="1" x14ac:dyDescent="0.2">
      <c r="A12" s="529" t="s">
        <v>1045</v>
      </c>
      <c r="B12" s="397">
        <f>+'0.Data Sheet'!B48</f>
        <v>0</v>
      </c>
      <c r="C12" s="397">
        <f>+'0.Data Sheet'!C48</f>
        <v>0</v>
      </c>
      <c r="D12" s="524">
        <f>+'0.Data Sheet'!D48</f>
        <v>0.1</v>
      </c>
      <c r="E12" s="380"/>
      <c r="F12" s="380"/>
      <c r="G12" s="380"/>
      <c r="H12" s="380"/>
      <c r="I12" s="380"/>
      <c r="J12" s="380"/>
      <c r="K12" s="380"/>
      <c r="L12" s="380"/>
      <c r="M12" s="380"/>
      <c r="N12" s="380"/>
      <c r="O12" s="380"/>
      <c r="P12" s="380"/>
      <c r="Q12" s="380"/>
      <c r="R12" s="380"/>
      <c r="S12" s="381"/>
    </row>
    <row r="13" spans="1:19" s="9" customFormat="1" ht="13.5" customHeight="1" x14ac:dyDescent="0.2">
      <c r="A13" s="529" t="s">
        <v>1029</v>
      </c>
      <c r="B13" s="397">
        <f>+'0.Data Sheet'!B49</f>
        <v>0</v>
      </c>
      <c r="C13" s="397">
        <f>+'0.Data Sheet'!C49</f>
        <v>0</v>
      </c>
      <c r="D13" s="524">
        <f>+'0.Data Sheet'!D49</f>
        <v>2</v>
      </c>
      <c r="E13" s="380"/>
      <c r="F13" s="380"/>
      <c r="G13" s="380"/>
      <c r="H13" s="380"/>
      <c r="I13" s="380"/>
      <c r="J13" s="380"/>
      <c r="K13" s="380"/>
      <c r="L13" s="380"/>
      <c r="M13" s="380"/>
      <c r="N13" s="380"/>
      <c r="O13" s="380"/>
      <c r="P13" s="380"/>
      <c r="Q13" s="380"/>
      <c r="R13" s="380"/>
      <c r="S13" s="381"/>
    </row>
    <row r="14" spans="1:19" s="9" customFormat="1" ht="13.5" customHeight="1" x14ac:dyDescent="0.2">
      <c r="A14" s="529" t="s">
        <v>1030</v>
      </c>
      <c r="B14" s="397">
        <f>+'0.Data Sheet'!B50</f>
        <v>0</v>
      </c>
      <c r="C14" s="397">
        <f>+'0.Data Sheet'!C50</f>
        <v>0</v>
      </c>
      <c r="D14" s="524">
        <v>3</v>
      </c>
      <c r="E14" s="380"/>
      <c r="F14" s="380"/>
      <c r="G14" s="380"/>
      <c r="H14" s="380"/>
      <c r="I14" s="380"/>
      <c r="J14" s="380"/>
      <c r="K14" s="380"/>
      <c r="L14" s="380"/>
      <c r="M14" s="380"/>
      <c r="N14" s="380"/>
      <c r="O14" s="380"/>
      <c r="P14" s="380"/>
      <c r="Q14" s="380"/>
      <c r="R14" s="380"/>
      <c r="S14" s="381"/>
    </row>
    <row r="15" spans="1:19" s="9" customFormat="1" ht="13.5" customHeight="1" x14ac:dyDescent="0.2">
      <c r="A15" s="529" t="s">
        <v>9</v>
      </c>
      <c r="B15" s="397">
        <f>+'0.Data Sheet'!B51</f>
        <v>0</v>
      </c>
      <c r="C15" s="397">
        <f>+'0.Data Sheet'!C51</f>
        <v>0</v>
      </c>
      <c r="D15" s="524">
        <v>4</v>
      </c>
      <c r="E15" s="380"/>
      <c r="F15" s="380"/>
      <c r="G15" s="380"/>
      <c r="H15" s="380"/>
      <c r="I15" s="380"/>
      <c r="J15" s="380"/>
      <c r="K15" s="380"/>
      <c r="L15" s="380"/>
      <c r="M15" s="380"/>
      <c r="N15" s="380"/>
      <c r="O15" s="380"/>
      <c r="P15" s="380"/>
      <c r="Q15" s="380"/>
      <c r="R15" s="380"/>
      <c r="S15" s="381"/>
    </row>
    <row r="16" spans="1:19" s="9" customFormat="1" ht="25.5" x14ac:dyDescent="0.2">
      <c r="A16" s="529" t="s">
        <v>1469</v>
      </c>
      <c r="B16" s="397">
        <f>+'0.Data Sheet'!B52</f>
        <v>0</v>
      </c>
      <c r="C16" s="397">
        <f>+'0.Data Sheet'!C52</f>
        <v>1</v>
      </c>
      <c r="D16" s="524">
        <v>4</v>
      </c>
      <c r="E16" s="380"/>
      <c r="F16" s="380"/>
      <c r="G16" s="380"/>
      <c r="H16" s="380"/>
      <c r="I16" s="380"/>
      <c r="J16" s="380"/>
      <c r="K16" s="380"/>
      <c r="L16" s="380"/>
      <c r="M16" s="380"/>
      <c r="N16" s="380"/>
      <c r="O16" s="380"/>
      <c r="P16" s="380"/>
      <c r="Q16" s="380"/>
      <c r="R16" s="380"/>
      <c r="S16" s="381"/>
    </row>
    <row r="17" spans="1:19" s="9" customFormat="1" ht="13.5" customHeight="1" x14ac:dyDescent="0.2">
      <c r="A17" s="529" t="s">
        <v>188</v>
      </c>
      <c r="B17" s="397">
        <f>+'0.Data Sheet'!B53</f>
        <v>0</v>
      </c>
      <c r="C17" s="397">
        <f>+'0.Data Sheet'!C53</f>
        <v>1</v>
      </c>
      <c r="D17" s="524">
        <v>4</v>
      </c>
      <c r="E17" s="380"/>
      <c r="F17" s="380"/>
      <c r="G17" s="380"/>
      <c r="H17" s="380"/>
      <c r="I17" s="380"/>
      <c r="J17" s="380"/>
      <c r="K17" s="380"/>
      <c r="L17" s="380"/>
      <c r="M17" s="380"/>
      <c r="N17" s="380"/>
      <c r="O17" s="380"/>
      <c r="P17" s="380"/>
      <c r="Q17" s="380"/>
      <c r="R17" s="380"/>
      <c r="S17" s="381"/>
    </row>
    <row r="18" spans="1:19" s="360" customFormat="1" ht="13.5" customHeight="1" x14ac:dyDescent="0.2">
      <c r="A18" s="529" t="s">
        <v>1471</v>
      </c>
      <c r="B18" s="397">
        <f>+'0.Data Sheet'!B54</f>
        <v>0</v>
      </c>
      <c r="C18" s="397">
        <f>+'0.Data Sheet'!C54</f>
        <v>1</v>
      </c>
      <c r="D18" s="524">
        <v>4</v>
      </c>
      <c r="E18" s="380"/>
      <c r="F18" s="380"/>
      <c r="G18" s="380"/>
      <c r="H18" s="380"/>
      <c r="I18" s="380"/>
      <c r="J18" s="380"/>
      <c r="K18" s="380"/>
      <c r="L18" s="380"/>
      <c r="M18" s="380"/>
      <c r="N18" s="380"/>
      <c r="O18" s="380"/>
      <c r="P18" s="380"/>
      <c r="Q18" s="380"/>
      <c r="R18" s="380"/>
      <c r="S18" s="381"/>
    </row>
    <row r="19" spans="1:19" s="360" customFormat="1" ht="13.5" customHeight="1" thickBot="1" x14ac:dyDescent="0.25">
      <c r="A19" s="530" t="s">
        <v>35</v>
      </c>
      <c r="B19" s="525">
        <f>+'0.Data Sheet'!B55</f>
        <v>0</v>
      </c>
      <c r="C19" s="525">
        <f>+'0.Data Sheet'!C55</f>
        <v>0</v>
      </c>
      <c r="D19" s="526">
        <f>+'0.Data Sheet'!D55</f>
        <v>0.1</v>
      </c>
      <c r="E19" s="380"/>
      <c r="F19" s="380"/>
      <c r="G19" s="380"/>
      <c r="H19" s="380"/>
      <c r="I19" s="380"/>
      <c r="J19" s="380"/>
      <c r="K19" s="380"/>
      <c r="L19" s="380"/>
      <c r="M19" s="380"/>
      <c r="N19" s="380"/>
      <c r="O19" s="380"/>
      <c r="P19" s="380"/>
      <c r="Q19" s="380"/>
      <c r="R19" s="380"/>
      <c r="S19" s="381"/>
    </row>
    <row r="20" spans="1:19" ht="13.5" thickBot="1" x14ac:dyDescent="0.25"/>
    <row r="21" spans="1:19" ht="13.5" thickBot="1" x14ac:dyDescent="0.25">
      <c r="A21" s="1362" t="s">
        <v>1472</v>
      </c>
      <c r="B21" s="1363"/>
      <c r="C21" s="1363"/>
      <c r="D21" s="1364"/>
    </row>
  </sheetData>
  <mergeCells count="10">
    <mergeCell ref="A21:D21"/>
    <mergeCell ref="A1:D1"/>
    <mergeCell ref="A2:D2"/>
    <mergeCell ref="A3:D3"/>
    <mergeCell ref="C10:D10"/>
    <mergeCell ref="A10:B10"/>
    <mergeCell ref="A4:D4"/>
    <mergeCell ref="A5:D5"/>
    <mergeCell ref="A6:D6"/>
    <mergeCell ref="A8:B8"/>
  </mergeCells>
  <pageMargins left="0.45" right="0.37" top="0.75" bottom="0.75" header="0.3" footer="0.3"/>
  <pageSetup paperSize="9" orientation="landscape" r:id="rId1"/>
  <headerFooter>
    <oddFooter>&amp;L__________________________Prepared By&amp;C__________________________Checked By&amp;R________________________Approved By</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96"/>
  <sheetViews>
    <sheetView view="pageBreakPreview" topLeftCell="A56" zoomScaleNormal="110" zoomScaleSheetLayoutView="100" workbookViewId="0">
      <selection activeCell="D60" sqref="D60:E60"/>
    </sheetView>
  </sheetViews>
  <sheetFormatPr defaultColWidth="10.5703125" defaultRowHeight="12.75" x14ac:dyDescent="0.2"/>
  <cols>
    <col min="1" max="1" width="9.5703125" style="535" bestFit="1" customWidth="1"/>
    <col min="2" max="2" width="21.7109375" style="91" customWidth="1"/>
    <col min="3" max="3" width="5.140625" style="91" bestFit="1" customWidth="1"/>
    <col min="4" max="4" width="7.5703125" style="536" bestFit="1" customWidth="1"/>
    <col min="5" max="5" width="1.28515625" style="537" customWidth="1"/>
    <col min="6" max="6" width="10" style="538" bestFit="1" customWidth="1"/>
    <col min="7" max="7" width="25.28515625" style="538" customWidth="1"/>
    <col min="8" max="8" width="8.42578125" style="91" bestFit="1" customWidth="1"/>
    <col min="9" max="9" width="11" style="568" customWidth="1"/>
    <col min="10" max="244" width="9.140625" style="91" customWidth="1"/>
    <col min="245" max="245" width="7.5703125" style="91" customWidth="1"/>
    <col min="246" max="246" width="31.140625" style="91" bestFit="1" customWidth="1"/>
    <col min="247" max="247" width="5.5703125" style="91" customWidth="1"/>
    <col min="248" max="16384" width="10.5703125" style="91"/>
  </cols>
  <sheetData>
    <row r="1" spans="1:10" hidden="1" x14ac:dyDescent="0.2">
      <c r="A1" s="1286" t="str">
        <f>'0.Data Sheet'!C18</f>
        <v>Government Of Nepal</v>
      </c>
      <c r="B1" s="1286"/>
      <c r="C1" s="1286"/>
      <c r="D1" s="1286"/>
      <c r="E1" s="1286"/>
      <c r="F1" s="1286"/>
      <c r="G1" s="1286"/>
      <c r="H1" s="1286"/>
    </row>
    <row r="2" spans="1:10" x14ac:dyDescent="0.2">
      <c r="A2" s="1286" t="str">
        <f>'0.Data Sheet'!C19</f>
        <v xml:space="preserve">Ministry of Federal Affairs and General Administration
</v>
      </c>
      <c r="B2" s="1286"/>
      <c r="C2" s="1286"/>
      <c r="D2" s="1286"/>
      <c r="E2" s="1286"/>
      <c r="F2" s="1286"/>
      <c r="G2" s="1286"/>
      <c r="H2" s="1286"/>
    </row>
    <row r="3" spans="1:10" ht="18" x14ac:dyDescent="0.25">
      <c r="A3" s="1287" t="str">
        <f>'0.Data Sheet'!C20</f>
        <v>Department Of Local Infrastructure (DOLI)</v>
      </c>
      <c r="B3" s="1287"/>
      <c r="C3" s="1287"/>
      <c r="D3" s="1287"/>
      <c r="E3" s="1287"/>
      <c r="F3" s="1287"/>
      <c r="G3" s="1287"/>
      <c r="H3" s="1287"/>
    </row>
    <row r="4" spans="1:10" ht="15.75" x14ac:dyDescent="0.25">
      <c r="A4" s="1288" t="str">
        <f>'0.Data Sheet'!C21</f>
        <v>Local Bridge Section</v>
      </c>
      <c r="B4" s="1288"/>
      <c r="C4" s="1288"/>
      <c r="D4" s="1288"/>
      <c r="E4" s="1288"/>
      <c r="F4" s="1288"/>
      <c r="G4" s="1288"/>
      <c r="H4" s="1288"/>
    </row>
    <row r="5" spans="1:10" x14ac:dyDescent="0.2">
      <c r="A5" s="1286" t="str">
        <f>'0.Data Sheet'!C22</f>
        <v>Pulchowk, Lalitpur</v>
      </c>
      <c r="B5" s="1286"/>
      <c r="C5" s="1286"/>
      <c r="D5" s="1286"/>
      <c r="E5" s="1286"/>
      <c r="F5" s="1286"/>
      <c r="G5" s="1286"/>
      <c r="H5" s="1286"/>
    </row>
    <row r="7" spans="1:10" x14ac:dyDescent="0.2">
      <c r="A7" s="1374" t="str">
        <f>'2.0Abstract of Cost'!A9</f>
        <v>Name of Bridge: Lambu Khola Motorable Bridge</v>
      </c>
      <c r="B7" s="1374"/>
      <c r="C7" s="1374"/>
      <c r="D7" s="1374"/>
      <c r="E7" s="539"/>
      <c r="F7" s="1372" t="str">
        <f>'4.0Summary of Rates'!F9</f>
        <v>Span=20 x 1m</v>
      </c>
      <c r="G7" s="1373"/>
      <c r="H7" s="540"/>
    </row>
    <row r="8" spans="1:10" ht="12.75" customHeight="1" thickBot="1" x14ac:dyDescent="0.25">
      <c r="A8" s="541" t="s">
        <v>93</v>
      </c>
      <c r="B8" s="1392" t="str">
        <f>"BASIC LABOUR AND EQUIPMENT RATE FOR "&amp;UPPER('0.Data Sheet'!C24)&amp;" DISTRICT"</f>
        <v>BASIC LABOUR AND EQUIPMENT RATE FOR SINDHUPALCHOWK DISTRICT</v>
      </c>
      <c r="C8" s="1392"/>
      <c r="D8" s="1392"/>
      <c r="E8" s="1392"/>
      <c r="F8" s="1392"/>
      <c r="G8" s="1392"/>
      <c r="H8" s="1392"/>
      <c r="I8" s="1392"/>
    </row>
    <row r="9" spans="1:10" x14ac:dyDescent="0.2">
      <c r="A9" s="542" t="s">
        <v>56</v>
      </c>
      <c r="B9" s="533" t="s">
        <v>18</v>
      </c>
      <c r="C9" s="543" t="s">
        <v>0</v>
      </c>
      <c r="D9" s="534" t="s">
        <v>1</v>
      </c>
      <c r="E9" s="563"/>
      <c r="F9" s="544" t="s">
        <v>56</v>
      </c>
      <c r="G9" s="545" t="s">
        <v>1070</v>
      </c>
      <c r="H9" s="546" t="s">
        <v>0</v>
      </c>
      <c r="I9" s="569" t="s">
        <v>57</v>
      </c>
    </row>
    <row r="10" spans="1:10" s="479" customFormat="1" x14ac:dyDescent="0.2">
      <c r="A10" s="586">
        <v>1</v>
      </c>
      <c r="B10" s="349" t="s">
        <v>331</v>
      </c>
      <c r="C10" s="584" t="s">
        <v>46</v>
      </c>
      <c r="D10" s="587">
        <f>'5.0 District Rate'!D11</f>
        <v>1575</v>
      </c>
      <c r="E10" s="547"/>
      <c r="F10" s="586">
        <v>2</v>
      </c>
      <c r="G10" s="349" t="s">
        <v>332</v>
      </c>
      <c r="H10" s="584" t="s">
        <v>46</v>
      </c>
      <c r="I10" s="591">
        <f>'5.0 District Rate'!D12</f>
        <v>900</v>
      </c>
      <c r="J10" s="547"/>
    </row>
    <row r="11" spans="1:10" s="479" customFormat="1" x14ac:dyDescent="0.2">
      <c r="A11" s="586">
        <v>2</v>
      </c>
      <c r="B11" s="350" t="s">
        <v>32</v>
      </c>
      <c r="C11" s="583" t="s">
        <v>46</v>
      </c>
      <c r="D11" s="587">
        <f>'5.0 District Rate'!D13</f>
        <v>1070</v>
      </c>
      <c r="E11" s="547"/>
      <c r="F11" s="586">
        <v>4</v>
      </c>
      <c r="G11" s="350" t="s">
        <v>21</v>
      </c>
      <c r="H11" s="583" t="s">
        <v>46</v>
      </c>
      <c r="I11" s="591">
        <f>'5.0 District Rate'!D14</f>
        <v>770</v>
      </c>
      <c r="J11" s="547"/>
    </row>
    <row r="12" spans="1:10" s="566" customFormat="1" ht="25.5" x14ac:dyDescent="0.2">
      <c r="A12" s="586">
        <v>3</v>
      </c>
      <c r="B12" s="532" t="s">
        <v>90</v>
      </c>
      <c r="C12" s="564" t="s">
        <v>46</v>
      </c>
      <c r="D12" s="588">
        <f>'5.0 District Rate'!D15</f>
        <v>920</v>
      </c>
      <c r="E12" s="565"/>
      <c r="F12" s="589">
        <f>+A12+1</f>
        <v>4</v>
      </c>
      <c r="G12" s="348" t="s">
        <v>1115</v>
      </c>
      <c r="H12" s="497" t="s">
        <v>23</v>
      </c>
      <c r="I12" s="592">
        <f>'5.0 District Rate'!I35</f>
        <v>2500</v>
      </c>
    </row>
    <row r="13" spans="1:10" x14ac:dyDescent="0.2">
      <c r="A13" s="586">
        <v>4</v>
      </c>
      <c r="B13" s="348" t="s">
        <v>80</v>
      </c>
      <c r="C13" s="497" t="s">
        <v>23</v>
      </c>
      <c r="D13" s="590">
        <f>'5.0 District Rate'!I34</f>
        <v>250</v>
      </c>
      <c r="E13" s="351"/>
      <c r="F13" s="589">
        <f t="shared" ref="F13:F17" si="0">+A13+1</f>
        <v>5</v>
      </c>
      <c r="G13" s="348" t="s">
        <v>97</v>
      </c>
      <c r="H13" s="497" t="s">
        <v>23</v>
      </c>
      <c r="I13" s="593">
        <f>'5.0 District Rate'!I36</f>
        <v>5775</v>
      </c>
    </row>
    <row r="14" spans="1:10" x14ac:dyDescent="0.2">
      <c r="A14" s="586">
        <v>5</v>
      </c>
      <c r="B14" s="348" t="s">
        <v>92</v>
      </c>
      <c r="C14" s="497" t="s">
        <v>23</v>
      </c>
      <c r="D14" s="590">
        <f>'5.0 District Rate'!I37</f>
        <v>3500</v>
      </c>
      <c r="E14" s="351"/>
      <c r="F14" s="589">
        <f t="shared" si="0"/>
        <v>6</v>
      </c>
      <c r="G14" s="348" t="s">
        <v>81</v>
      </c>
      <c r="H14" s="497" t="s">
        <v>23</v>
      </c>
      <c r="I14" s="593">
        <f>'5.0 District Rate'!I38</f>
        <v>1000</v>
      </c>
    </row>
    <row r="15" spans="1:10" x14ac:dyDescent="0.2">
      <c r="A15" s="586">
        <v>6</v>
      </c>
      <c r="B15" s="353" t="s">
        <v>82</v>
      </c>
      <c r="C15" s="497" t="s">
        <v>23</v>
      </c>
      <c r="D15" s="590">
        <f>'5.0 District Rate'!I39</f>
        <v>50</v>
      </c>
      <c r="E15" s="547"/>
      <c r="F15" s="589">
        <f t="shared" si="0"/>
        <v>7</v>
      </c>
      <c r="G15" s="348" t="s">
        <v>52</v>
      </c>
      <c r="H15" s="497" t="s">
        <v>23</v>
      </c>
      <c r="I15" s="593">
        <f>'5.0 District Rate'!I40</f>
        <v>1600</v>
      </c>
    </row>
    <row r="16" spans="1:10" x14ac:dyDescent="0.2">
      <c r="A16" s="586">
        <v>7</v>
      </c>
      <c r="B16" s="348" t="s">
        <v>95</v>
      </c>
      <c r="C16" s="497" t="s">
        <v>23</v>
      </c>
      <c r="D16" s="590">
        <f>'5.0 District Rate'!I41</f>
        <v>260</v>
      </c>
      <c r="E16" s="547"/>
      <c r="F16" s="589">
        <f t="shared" si="0"/>
        <v>8</v>
      </c>
      <c r="G16" s="348" t="s">
        <v>22</v>
      </c>
      <c r="H16" s="497" t="s">
        <v>23</v>
      </c>
      <c r="I16" s="593">
        <f>'5.0 District Rate'!I42</f>
        <v>450</v>
      </c>
    </row>
    <row r="17" spans="1:9" x14ac:dyDescent="0.2">
      <c r="A17" s="586">
        <v>8</v>
      </c>
      <c r="B17" s="353" t="s">
        <v>83</v>
      </c>
      <c r="C17" s="497" t="s">
        <v>23</v>
      </c>
      <c r="D17" s="590">
        <f>'5.0 District Rate'!I43</f>
        <v>550</v>
      </c>
      <c r="E17" s="547"/>
      <c r="F17" s="589">
        <f t="shared" si="0"/>
        <v>9</v>
      </c>
      <c r="G17" s="353" t="s">
        <v>54</v>
      </c>
      <c r="H17" s="497" t="s">
        <v>23</v>
      </c>
      <c r="I17" s="593">
        <f>'5.0 District Rate'!I44</f>
        <v>1000</v>
      </c>
    </row>
    <row r="18" spans="1:9" x14ac:dyDescent="0.2">
      <c r="A18" s="586">
        <v>9</v>
      </c>
      <c r="B18" s="348" t="s">
        <v>84</v>
      </c>
      <c r="C18" s="497" t="s">
        <v>23</v>
      </c>
      <c r="D18" s="590">
        <f>'5.0 District Rate'!I45</f>
        <v>800</v>
      </c>
      <c r="E18" s="547"/>
      <c r="F18" s="589">
        <f>+A18+1</f>
        <v>10</v>
      </c>
      <c r="G18" s="348" t="s">
        <v>253</v>
      </c>
      <c r="H18" s="497" t="s">
        <v>23</v>
      </c>
      <c r="I18" s="593">
        <f>'5.0 District Rate'!I46</f>
        <v>500</v>
      </c>
    </row>
    <row r="19" spans="1:9" x14ac:dyDescent="0.2">
      <c r="A19" s="586">
        <v>10</v>
      </c>
      <c r="B19" s="354" t="s">
        <v>334</v>
      </c>
      <c r="C19" s="497" t="s">
        <v>23</v>
      </c>
      <c r="D19" s="590">
        <f>'5.0 District Rate'!I47</f>
        <v>1200</v>
      </c>
      <c r="E19" s="547"/>
      <c r="F19" s="594">
        <f>+A19+1</f>
        <v>11</v>
      </c>
      <c r="G19" s="355" t="s">
        <v>1493</v>
      </c>
      <c r="H19" s="595" t="s">
        <v>23</v>
      </c>
      <c r="I19" s="596">
        <v>1500</v>
      </c>
    </row>
    <row r="20" spans="1:9" x14ac:dyDescent="0.2">
      <c r="A20" s="586">
        <v>11</v>
      </c>
      <c r="B20" s="354" t="s">
        <v>1592</v>
      </c>
      <c r="C20" s="497" t="s">
        <v>23</v>
      </c>
      <c r="D20" s="590">
        <f>'5.0 District Rate'!I49</f>
        <v>2500</v>
      </c>
      <c r="E20" s="547"/>
      <c r="F20" s="594">
        <v>22</v>
      </c>
      <c r="G20" s="355" t="s">
        <v>1591</v>
      </c>
      <c r="H20" s="595" t="s">
        <v>23</v>
      </c>
      <c r="I20" s="597">
        <f>'5.0 District Rate'!I48</f>
        <v>2000</v>
      </c>
    </row>
    <row r="21" spans="1:9" ht="13.5" thickBot="1" x14ac:dyDescent="0.25">
      <c r="A21" s="638"/>
      <c r="B21" s="581"/>
      <c r="C21" s="582"/>
      <c r="D21" s="556"/>
      <c r="E21" s="547"/>
      <c r="F21" s="639"/>
      <c r="G21" s="351"/>
      <c r="H21" s="595"/>
      <c r="I21" s="640"/>
    </row>
    <row r="22" spans="1:9" ht="13.5" thickBot="1" x14ac:dyDescent="0.25">
      <c r="A22" s="1375" t="s">
        <v>1615</v>
      </c>
      <c r="B22" s="1376"/>
      <c r="C22" s="1376"/>
      <c r="D22" s="1377"/>
      <c r="E22" s="547"/>
      <c r="F22" s="535"/>
      <c r="G22" s="91" t="s">
        <v>1603</v>
      </c>
      <c r="H22" s="595" t="s">
        <v>23</v>
      </c>
      <c r="I22" s="601">
        <f>'5.0 District Rate'!I50</f>
        <v>300</v>
      </c>
    </row>
    <row r="23" spans="1:9" x14ac:dyDescent="0.2">
      <c r="A23" s="542" t="s">
        <v>56</v>
      </c>
      <c r="B23" s="533" t="s">
        <v>18</v>
      </c>
      <c r="C23" s="543" t="s">
        <v>0</v>
      </c>
      <c r="D23" s="534" t="s">
        <v>1</v>
      </c>
      <c r="E23" s="547"/>
      <c r="F23" s="535"/>
      <c r="G23" s="91" t="s">
        <v>1604</v>
      </c>
      <c r="H23" s="595" t="s">
        <v>23</v>
      </c>
      <c r="I23" s="601">
        <f>'5.0 District Rate'!I51</f>
        <v>2200</v>
      </c>
    </row>
    <row r="24" spans="1:9" x14ac:dyDescent="0.2">
      <c r="A24" s="641">
        <v>12</v>
      </c>
      <c r="B24" s="352" t="s">
        <v>43</v>
      </c>
      <c r="C24" s="549" t="s">
        <v>70</v>
      </c>
      <c r="D24" s="642">
        <f>'5.0 District Rate'!D43</f>
        <v>160</v>
      </c>
      <c r="E24" s="645"/>
      <c r="F24" s="645"/>
      <c r="G24" s="538" t="s">
        <v>1621</v>
      </c>
      <c r="H24" s="595" t="s">
        <v>23</v>
      </c>
      <c r="I24" s="601">
        <f>'5.0 District Rate'!I52</f>
        <v>331</v>
      </c>
    </row>
    <row r="25" spans="1:9" x14ac:dyDescent="0.2">
      <c r="A25" s="641">
        <v>13</v>
      </c>
      <c r="B25" s="352" t="s">
        <v>47</v>
      </c>
      <c r="C25" s="549" t="s">
        <v>70</v>
      </c>
      <c r="D25" s="642">
        <f>'5.0 District Rate'!D44</f>
        <v>170</v>
      </c>
      <c r="E25" s="645"/>
      <c r="F25" s="645"/>
      <c r="H25" s="595" t="s">
        <v>23</v>
      </c>
      <c r="I25" s="601"/>
    </row>
    <row r="26" spans="1:9" ht="13.5" thickBot="1" x14ac:dyDescent="0.25">
      <c r="A26" s="643">
        <v>14</v>
      </c>
      <c r="B26" s="501" t="s">
        <v>71</v>
      </c>
      <c r="C26" s="562" t="s">
        <v>70</v>
      </c>
      <c r="D26" s="644">
        <f>'5.0 District Rate'!D45</f>
        <v>160</v>
      </c>
      <c r="E26" s="645"/>
      <c r="F26" s="645"/>
    </row>
    <row r="27" spans="1:9" x14ac:dyDescent="0.2">
      <c r="A27" s="638"/>
      <c r="B27" s="580"/>
      <c r="C27" s="645"/>
      <c r="D27" s="645"/>
      <c r="E27" s="646"/>
      <c r="F27" s="645"/>
    </row>
    <row r="28" spans="1:9" ht="13.5" thickBot="1" x14ac:dyDescent="0.25">
      <c r="A28" s="548" t="s">
        <v>94</v>
      </c>
      <c r="B28" s="1371" t="str">
        <f>"BASIC LABOUR RATE FOR "&amp;UPPER('0.Data Sheet'!C24)&amp;" DISTRICT"</f>
        <v>BASIC LABOUR RATE FOR SINDHUPALCHOWK DISTRICT</v>
      </c>
      <c r="C28" s="1371"/>
      <c r="D28" s="1371"/>
      <c r="E28" s="475"/>
      <c r="F28" s="537"/>
    </row>
    <row r="29" spans="1:9" ht="36" customHeight="1" x14ac:dyDescent="0.2">
      <c r="A29" s="544" t="s">
        <v>56</v>
      </c>
      <c r="B29" s="546" t="s">
        <v>18</v>
      </c>
      <c r="C29" s="546" t="s">
        <v>0</v>
      </c>
      <c r="D29" s="1378" t="s">
        <v>57</v>
      </c>
      <c r="E29" s="1378"/>
      <c r="F29" s="546" t="s">
        <v>55</v>
      </c>
      <c r="G29" s="546" t="s">
        <v>58</v>
      </c>
      <c r="H29" s="1378" t="s">
        <v>59</v>
      </c>
      <c r="I29" s="1393"/>
    </row>
    <row r="30" spans="1:9" s="550" customFormat="1" x14ac:dyDescent="0.2">
      <c r="A30" s="490">
        <v>1</v>
      </c>
      <c r="B30" s="352" t="s">
        <v>9</v>
      </c>
      <c r="C30" s="549" t="s">
        <v>14</v>
      </c>
      <c r="D30" s="1379">
        <f>'5.0 District Rate'!D19*20</f>
        <v>16600</v>
      </c>
      <c r="E30" s="1379"/>
      <c r="F30" s="549">
        <f>'6.0 transportation'!R72</f>
        <v>413.62</v>
      </c>
      <c r="G30" s="549">
        <f>D30+F30</f>
        <v>17013.62</v>
      </c>
      <c r="H30" s="1390"/>
      <c r="I30" s="1391"/>
    </row>
    <row r="31" spans="1:9" x14ac:dyDescent="0.2">
      <c r="A31" s="490">
        <v>2</v>
      </c>
      <c r="B31" s="350" t="s">
        <v>192</v>
      </c>
      <c r="C31" s="498" t="s">
        <v>14</v>
      </c>
      <c r="D31" s="1380">
        <f>'5.0 District Rate'!D28*1000</f>
        <v>105000</v>
      </c>
      <c r="E31" s="1380"/>
      <c r="F31" s="498">
        <f>'6.0 transportation'!R78</f>
        <v>567.62</v>
      </c>
      <c r="G31" s="549">
        <f t="shared" ref="G31:G64" si="1">D31+F31</f>
        <v>105567.62</v>
      </c>
      <c r="H31" s="1388"/>
      <c r="I31" s="1389"/>
    </row>
    <row r="32" spans="1:9" x14ac:dyDescent="0.2">
      <c r="A32" s="490">
        <v>3</v>
      </c>
      <c r="B32" s="350" t="s">
        <v>10</v>
      </c>
      <c r="C32" s="498" t="s">
        <v>60</v>
      </c>
      <c r="D32" s="1380">
        <f>'5.0 District Rate'!I18</f>
        <v>95276.390399999975</v>
      </c>
      <c r="E32" s="1380"/>
      <c r="F32" s="498">
        <f>'6.0 transportation'!R99</f>
        <v>330.48500000000001</v>
      </c>
      <c r="G32" s="549">
        <f t="shared" si="1"/>
        <v>95606.875399999975</v>
      </c>
      <c r="H32" s="1388"/>
      <c r="I32" s="1389"/>
    </row>
    <row r="33" spans="1:9" x14ac:dyDescent="0.2">
      <c r="A33" s="490">
        <v>4</v>
      </c>
      <c r="B33" s="355" t="s">
        <v>34</v>
      </c>
      <c r="C33" s="498" t="s">
        <v>14</v>
      </c>
      <c r="D33" s="1380">
        <f>'5.0 District Rate'!D23*1000</f>
        <v>95000</v>
      </c>
      <c r="E33" s="1380"/>
      <c r="F33" s="498">
        <f>'6.0 transportation'!R72</f>
        <v>413.62</v>
      </c>
      <c r="G33" s="549">
        <f t="shared" si="1"/>
        <v>95413.62</v>
      </c>
      <c r="H33" s="1388"/>
      <c r="I33" s="1389"/>
    </row>
    <row r="34" spans="1:9" x14ac:dyDescent="0.2">
      <c r="A34" s="490">
        <v>6</v>
      </c>
      <c r="B34" s="350" t="s">
        <v>1467</v>
      </c>
      <c r="C34" s="498" t="s">
        <v>14</v>
      </c>
      <c r="D34" s="1380">
        <f>'5.0 District Rate'!D22*1000</f>
        <v>83000</v>
      </c>
      <c r="E34" s="1380"/>
      <c r="F34" s="498">
        <f>'6.0 transportation'!R78</f>
        <v>567.62</v>
      </c>
      <c r="G34" s="549">
        <f t="shared" si="1"/>
        <v>83567.62</v>
      </c>
      <c r="H34" s="1388"/>
      <c r="I34" s="1389"/>
    </row>
    <row r="35" spans="1:9" x14ac:dyDescent="0.2">
      <c r="A35" s="490">
        <v>8</v>
      </c>
      <c r="B35" s="350" t="s">
        <v>61</v>
      </c>
      <c r="C35" s="498" t="s">
        <v>60</v>
      </c>
      <c r="D35" s="1380">
        <f>'5.0 District Rate'!I11</f>
        <v>2200</v>
      </c>
      <c r="E35" s="1380"/>
      <c r="F35" s="498">
        <f>'6.0 transportation'!R48</f>
        <v>303.27499999999998</v>
      </c>
      <c r="G35" s="549">
        <f t="shared" si="1"/>
        <v>2503.2750000000001</v>
      </c>
      <c r="H35" s="1388"/>
      <c r="I35" s="1389"/>
    </row>
    <row r="36" spans="1:9" x14ac:dyDescent="0.2">
      <c r="A36" s="490">
        <v>9</v>
      </c>
      <c r="B36" s="355" t="s">
        <v>62</v>
      </c>
      <c r="C36" s="498" t="s">
        <v>60</v>
      </c>
      <c r="D36" s="1380">
        <f>'5.0 District Rate'!I12</f>
        <v>1500</v>
      </c>
      <c r="E36" s="1380"/>
      <c r="F36" s="498">
        <f>'6.0 transportation'!R66</f>
        <v>575.9</v>
      </c>
      <c r="G36" s="549">
        <f t="shared" si="1"/>
        <v>2075.9</v>
      </c>
      <c r="H36" s="1388"/>
      <c r="I36" s="1389"/>
    </row>
    <row r="37" spans="1:9" x14ac:dyDescent="0.2">
      <c r="A37" s="490">
        <v>10</v>
      </c>
      <c r="B37" s="350" t="s">
        <v>63</v>
      </c>
      <c r="C37" s="498"/>
      <c r="D37" s="1387"/>
      <c r="E37" s="1387"/>
      <c r="F37" s="498"/>
      <c r="G37" s="498"/>
      <c r="H37" s="1388"/>
      <c r="I37" s="1389"/>
    </row>
    <row r="38" spans="1:9" x14ac:dyDescent="0.2">
      <c r="A38" s="488" t="s">
        <v>64</v>
      </c>
      <c r="B38" s="491" t="s">
        <v>65</v>
      </c>
      <c r="C38" s="498" t="s">
        <v>60</v>
      </c>
      <c r="D38" s="1380">
        <f>'5.0 District Rate'!I14</f>
        <v>2000</v>
      </c>
      <c r="E38" s="1380"/>
      <c r="F38" s="498">
        <f>'6.0 transportation'!R54</f>
        <v>474.2</v>
      </c>
      <c r="G38" s="549">
        <f t="shared" si="1"/>
        <v>2474.1999999999998</v>
      </c>
      <c r="H38" s="1388"/>
      <c r="I38" s="1389"/>
    </row>
    <row r="39" spans="1:9" x14ac:dyDescent="0.2">
      <c r="A39" s="488" t="s">
        <v>66</v>
      </c>
      <c r="B39" s="491" t="s">
        <v>67</v>
      </c>
      <c r="C39" s="498" t="s">
        <v>60</v>
      </c>
      <c r="D39" s="1380">
        <f>'5.0 District Rate'!I15</f>
        <v>2100</v>
      </c>
      <c r="E39" s="1380"/>
      <c r="F39" s="498">
        <f>'6.0 transportation'!R54</f>
        <v>474.2</v>
      </c>
      <c r="G39" s="549">
        <f t="shared" si="1"/>
        <v>2574.1999999999998</v>
      </c>
      <c r="H39" s="1388"/>
      <c r="I39" s="1389"/>
    </row>
    <row r="40" spans="1:9" x14ac:dyDescent="0.2">
      <c r="A40" s="488" t="s">
        <v>68</v>
      </c>
      <c r="B40" s="491" t="s">
        <v>69</v>
      </c>
      <c r="C40" s="498" t="s">
        <v>60</v>
      </c>
      <c r="D40" s="1380">
        <f>'5.0 District Rate'!I16</f>
        <v>2100</v>
      </c>
      <c r="E40" s="1380"/>
      <c r="F40" s="498">
        <f>'6.0 transportation'!R54</f>
        <v>474.2</v>
      </c>
      <c r="G40" s="549">
        <f t="shared" si="1"/>
        <v>2574.1999999999998</v>
      </c>
      <c r="H40" s="1388"/>
      <c r="I40" s="1389"/>
    </row>
    <row r="41" spans="1:9" x14ac:dyDescent="0.2">
      <c r="A41" s="488">
        <f>A37+1</f>
        <v>11</v>
      </c>
      <c r="B41" s="355" t="s">
        <v>1116</v>
      </c>
      <c r="C41" s="498" t="s">
        <v>190</v>
      </c>
      <c r="D41" s="1380">
        <f>'5.0 District Rate'!I25</f>
        <v>27</v>
      </c>
      <c r="E41" s="1380"/>
      <c r="F41" s="498"/>
      <c r="G41" s="549">
        <f>D41+F41</f>
        <v>27</v>
      </c>
      <c r="H41" s="1388"/>
      <c r="I41" s="1389"/>
    </row>
    <row r="42" spans="1:9" x14ac:dyDescent="0.2">
      <c r="A42" s="488">
        <f>A41+1</f>
        <v>12</v>
      </c>
      <c r="B42" s="355" t="s">
        <v>85</v>
      </c>
      <c r="C42" s="498" t="s">
        <v>198</v>
      </c>
      <c r="D42" s="1380">
        <f>'5.0 District Rate'!I17</f>
        <v>1700</v>
      </c>
      <c r="E42" s="1380"/>
      <c r="F42" s="498">
        <f>'6.0 transportation'!R54</f>
        <v>474.2</v>
      </c>
      <c r="G42" s="549">
        <f>D42+F42</f>
        <v>2174.1999999999998</v>
      </c>
      <c r="H42" s="1388"/>
      <c r="I42" s="1389"/>
    </row>
    <row r="43" spans="1:9" x14ac:dyDescent="0.2">
      <c r="A43" s="488">
        <f>A42+1</f>
        <v>13</v>
      </c>
      <c r="B43" s="355" t="s">
        <v>1620</v>
      </c>
      <c r="C43" s="498" t="s">
        <v>198</v>
      </c>
      <c r="D43" s="1380">
        <f>'5.0 District Rate'!I20</f>
        <v>565</v>
      </c>
      <c r="E43" s="1380"/>
      <c r="F43" s="498"/>
      <c r="G43" s="549">
        <f>D43+F43</f>
        <v>565</v>
      </c>
      <c r="H43" s="1369"/>
      <c r="I43" s="1370"/>
    </row>
    <row r="44" spans="1:9" s="550" customFormat="1" x14ac:dyDescent="0.2">
      <c r="A44" s="490">
        <f>A25+1</f>
        <v>14</v>
      </c>
      <c r="B44" s="355" t="s">
        <v>1614</v>
      </c>
      <c r="C44" s="498" t="s">
        <v>190</v>
      </c>
      <c r="D44" s="1380">
        <f>'5.0 District Rate'!I30</f>
        <v>315</v>
      </c>
      <c r="E44" s="1380"/>
      <c r="F44" s="498">
        <f>F30/1000</f>
        <v>0.41361999999999999</v>
      </c>
      <c r="G44" s="549">
        <f t="shared" ref="G44" si="2">D44+F44</f>
        <v>315.41361999999998</v>
      </c>
      <c r="H44" s="1388"/>
      <c r="I44" s="1389"/>
    </row>
    <row r="45" spans="1:9" x14ac:dyDescent="0.2">
      <c r="A45" s="490">
        <f>A26+1</f>
        <v>15</v>
      </c>
      <c r="B45" s="355" t="s">
        <v>11</v>
      </c>
      <c r="C45" s="498" t="s">
        <v>73</v>
      </c>
      <c r="D45" s="1380">
        <f>'5.0 District Rate'!D20</f>
        <v>486</v>
      </c>
      <c r="E45" s="1380"/>
      <c r="F45" s="498"/>
      <c r="G45" s="549">
        <f t="shared" si="1"/>
        <v>486</v>
      </c>
      <c r="H45" s="1388"/>
      <c r="I45" s="1389"/>
    </row>
    <row r="46" spans="1:9" x14ac:dyDescent="0.2">
      <c r="A46" s="490">
        <f t="shared" ref="A46:A48" si="3">A45+1</f>
        <v>16</v>
      </c>
      <c r="B46" s="350" t="s">
        <v>74</v>
      </c>
      <c r="C46" s="498" t="s">
        <v>73</v>
      </c>
      <c r="D46" s="1380">
        <f>'5.0 District Rate'!D21</f>
        <v>312.89999999999998</v>
      </c>
      <c r="E46" s="1380"/>
      <c r="F46" s="498"/>
      <c r="G46" s="549">
        <f t="shared" si="1"/>
        <v>312.89999999999998</v>
      </c>
      <c r="H46" s="1388"/>
      <c r="I46" s="1389"/>
    </row>
    <row r="47" spans="1:9" x14ac:dyDescent="0.2">
      <c r="A47" s="490">
        <f>A46+1</f>
        <v>17</v>
      </c>
      <c r="B47" s="350" t="s">
        <v>75</v>
      </c>
      <c r="C47" s="498" t="s">
        <v>14</v>
      </c>
      <c r="D47" s="1380">
        <f>'5.0 District Rate'!D29*1000</f>
        <v>112000</v>
      </c>
      <c r="E47" s="1380"/>
      <c r="F47" s="498">
        <f>F33</f>
        <v>413.62</v>
      </c>
      <c r="G47" s="549">
        <f t="shared" si="1"/>
        <v>112413.62</v>
      </c>
      <c r="H47" s="1388"/>
      <c r="I47" s="1389"/>
    </row>
    <row r="48" spans="1:9" s="550" customFormat="1" x14ac:dyDescent="0.2">
      <c r="A48" s="560">
        <f t="shared" si="3"/>
        <v>18</v>
      </c>
      <c r="B48" s="356" t="s">
        <v>439</v>
      </c>
      <c r="C48" s="549" t="s">
        <v>76</v>
      </c>
      <c r="D48" s="1380">
        <f>'5.0 District Rate'!D30</f>
        <v>527.16159999999991</v>
      </c>
      <c r="E48" s="1380"/>
      <c r="F48" s="549">
        <f>'6.0 transportation'!R99*0.012</f>
        <v>3.9658200000000003</v>
      </c>
      <c r="G48" s="549">
        <f t="shared" si="1"/>
        <v>531.12741999999992</v>
      </c>
      <c r="H48" s="1388"/>
      <c r="I48" s="1389"/>
    </row>
    <row r="49" spans="1:9" x14ac:dyDescent="0.2">
      <c r="A49" s="488">
        <f>A48+1</f>
        <v>19</v>
      </c>
      <c r="B49" s="350" t="s">
        <v>35</v>
      </c>
      <c r="C49" s="498" t="s">
        <v>72</v>
      </c>
      <c r="D49" s="1380">
        <f>'5.0 District Rate'!I19</f>
        <v>0.12</v>
      </c>
      <c r="E49" s="1380"/>
      <c r="F49" s="498">
        <f>'6.0 transportation'!R129/1000</f>
        <v>0.12955999999999998</v>
      </c>
      <c r="G49" s="549">
        <f t="shared" si="1"/>
        <v>0.24955999999999998</v>
      </c>
      <c r="H49" s="1388"/>
      <c r="I49" s="1389"/>
    </row>
    <row r="50" spans="1:9" x14ac:dyDescent="0.2">
      <c r="A50" s="488">
        <f>A49+1</f>
        <v>20</v>
      </c>
      <c r="B50" s="350" t="s">
        <v>188</v>
      </c>
      <c r="C50" s="498" t="s">
        <v>259</v>
      </c>
      <c r="D50" s="1380">
        <f>'5.0 District Rate'!I24*1000</f>
        <v>110000</v>
      </c>
      <c r="E50" s="1380"/>
      <c r="F50" s="498">
        <f>'6.0 transportation'!R85</f>
        <v>899.62</v>
      </c>
      <c r="G50" s="549">
        <f t="shared" si="1"/>
        <v>110899.62</v>
      </c>
      <c r="H50" s="1388"/>
      <c r="I50" s="1389"/>
    </row>
    <row r="51" spans="1:9" x14ac:dyDescent="0.2">
      <c r="A51" s="488">
        <f t="shared" ref="A51:A52" si="4">A50+1</f>
        <v>21</v>
      </c>
      <c r="B51" s="350" t="s">
        <v>77</v>
      </c>
      <c r="C51" s="498" t="s">
        <v>76</v>
      </c>
      <c r="D51" s="1380">
        <f>'5.0 District Rate'!D26</f>
        <v>1727</v>
      </c>
      <c r="E51" s="1380"/>
      <c r="F51" s="498"/>
      <c r="G51" s="549">
        <f t="shared" si="1"/>
        <v>1727</v>
      </c>
      <c r="H51" s="1388"/>
      <c r="I51" s="1389"/>
    </row>
    <row r="52" spans="1:9" s="550" customFormat="1" x14ac:dyDescent="0.2">
      <c r="A52" s="488">
        <f t="shared" si="4"/>
        <v>22</v>
      </c>
      <c r="B52" s="352" t="s">
        <v>78</v>
      </c>
      <c r="C52" s="549" t="s">
        <v>3</v>
      </c>
      <c r="D52" s="1380">
        <f>'5.0 District Rate'!D27</f>
        <v>770</v>
      </c>
      <c r="E52" s="1380"/>
      <c r="F52" s="549"/>
      <c r="G52" s="549">
        <f t="shared" si="1"/>
        <v>770</v>
      </c>
      <c r="H52" s="1390"/>
      <c r="I52" s="1391"/>
    </row>
    <row r="53" spans="1:9" x14ac:dyDescent="0.2">
      <c r="A53" s="488">
        <f>A52+1</f>
        <v>23</v>
      </c>
      <c r="B53" s="350" t="s">
        <v>241</v>
      </c>
      <c r="C53" s="498"/>
      <c r="D53" s="1380"/>
      <c r="E53" s="1380"/>
      <c r="F53" s="498"/>
      <c r="G53" s="498"/>
      <c r="H53" s="1388"/>
      <c r="I53" s="1389"/>
    </row>
    <row r="54" spans="1:9" s="550" customFormat="1" x14ac:dyDescent="0.2">
      <c r="A54" s="490" t="s">
        <v>68</v>
      </c>
      <c r="B54" s="551" t="s">
        <v>240</v>
      </c>
      <c r="C54" s="549" t="s">
        <v>3</v>
      </c>
      <c r="D54" s="1380">
        <f>'5.0 District Rate'!D31</f>
        <v>508</v>
      </c>
      <c r="E54" s="1380"/>
      <c r="F54" s="549">
        <f>'6.0 transportation'!R93</f>
        <v>5.6129487179487176</v>
      </c>
      <c r="G54" s="549">
        <f t="shared" si="1"/>
        <v>513.61294871794871</v>
      </c>
      <c r="H54" s="1390"/>
      <c r="I54" s="1391"/>
    </row>
    <row r="55" spans="1:9" x14ac:dyDescent="0.2">
      <c r="A55" s="488">
        <f>A53+1</f>
        <v>24</v>
      </c>
      <c r="B55" s="350" t="s">
        <v>79</v>
      </c>
      <c r="C55" s="498" t="s">
        <v>76</v>
      </c>
      <c r="D55" s="1380">
        <f>'5.0 District Rate'!I27</f>
        <v>180</v>
      </c>
      <c r="E55" s="1380"/>
      <c r="F55" s="498"/>
      <c r="G55" s="549">
        <f t="shared" si="1"/>
        <v>180</v>
      </c>
      <c r="H55" s="1388"/>
      <c r="I55" s="1389"/>
    </row>
    <row r="56" spans="1:9" x14ac:dyDescent="0.2">
      <c r="A56" s="488">
        <f t="shared" ref="A56:A59" si="5">A55+1</f>
        <v>25</v>
      </c>
      <c r="B56" s="355" t="s">
        <v>222</v>
      </c>
      <c r="C56" s="498" t="s">
        <v>8</v>
      </c>
      <c r="D56" s="1380">
        <f>'5.0 District Rate'!D32</f>
        <v>50</v>
      </c>
      <c r="E56" s="1380"/>
      <c r="F56" s="498"/>
      <c r="G56" s="549">
        <f t="shared" si="1"/>
        <v>50</v>
      </c>
      <c r="H56" s="1388"/>
      <c r="I56" s="1389"/>
    </row>
    <row r="57" spans="1:9" x14ac:dyDescent="0.2">
      <c r="A57" s="488">
        <f>A56+1</f>
        <v>26</v>
      </c>
      <c r="B57" s="350" t="s">
        <v>191</v>
      </c>
      <c r="C57" s="498" t="s">
        <v>6</v>
      </c>
      <c r="D57" s="1380">
        <f>'5.0 District Rate'!D25</f>
        <v>380</v>
      </c>
      <c r="E57" s="1380"/>
      <c r="F57" s="498"/>
      <c r="G57" s="549">
        <f t="shared" si="1"/>
        <v>380</v>
      </c>
      <c r="H57" s="1388"/>
      <c r="I57" s="1389"/>
    </row>
    <row r="58" spans="1:9" x14ac:dyDescent="0.2">
      <c r="A58" s="488">
        <f t="shared" si="5"/>
        <v>27</v>
      </c>
      <c r="B58" s="350" t="s">
        <v>239</v>
      </c>
      <c r="C58" s="498" t="s">
        <v>6</v>
      </c>
      <c r="D58" s="1380">
        <f>'5.0 District Rate'!I26</f>
        <v>350</v>
      </c>
      <c r="E58" s="1380"/>
      <c r="F58" s="498"/>
      <c r="G58" s="549">
        <f t="shared" si="1"/>
        <v>350</v>
      </c>
      <c r="H58" s="1388"/>
      <c r="I58" s="1389"/>
    </row>
    <row r="59" spans="1:9" x14ac:dyDescent="0.2">
      <c r="A59" s="488">
        <f t="shared" si="5"/>
        <v>28</v>
      </c>
      <c r="B59" s="355" t="s">
        <v>1648</v>
      </c>
      <c r="C59" s="498" t="s">
        <v>1021</v>
      </c>
      <c r="D59" s="1380">
        <f>'5.0 District Rate'!I29</f>
        <v>40000</v>
      </c>
      <c r="E59" s="1380"/>
      <c r="F59" s="498"/>
      <c r="G59" s="549">
        <f>F59+D59</f>
        <v>40000</v>
      </c>
      <c r="H59" s="1388"/>
      <c r="I59" s="1389"/>
    </row>
    <row r="60" spans="1:9" x14ac:dyDescent="0.2">
      <c r="A60" s="488" t="s">
        <v>64</v>
      </c>
      <c r="B60" s="491" t="s">
        <v>1060</v>
      </c>
      <c r="C60" s="498" t="s">
        <v>1021</v>
      </c>
      <c r="D60" s="1380">
        <f>'5.0 District Rate'!I29</f>
        <v>40000</v>
      </c>
      <c r="E60" s="1380"/>
      <c r="F60" s="498"/>
      <c r="H60" s="1388"/>
      <c r="I60" s="1389"/>
    </row>
    <row r="61" spans="1:9" x14ac:dyDescent="0.2">
      <c r="A61" s="488">
        <v>30</v>
      </c>
      <c r="B61" s="585" t="s">
        <v>1568</v>
      </c>
      <c r="C61" s="498" t="s">
        <v>6</v>
      </c>
      <c r="D61" s="1385">
        <v>120</v>
      </c>
      <c r="E61" s="1386"/>
      <c r="F61" s="498"/>
      <c r="G61" s="549">
        <v>120</v>
      </c>
      <c r="H61" s="573"/>
      <c r="I61" s="574"/>
    </row>
    <row r="62" spans="1:9" x14ac:dyDescent="0.2">
      <c r="A62" s="488">
        <v>31</v>
      </c>
      <c r="B62" s="350" t="s">
        <v>258</v>
      </c>
      <c r="C62" s="498" t="s">
        <v>96</v>
      </c>
      <c r="D62" s="1381">
        <f>'5.0 District Rate'!D24</f>
        <v>531</v>
      </c>
      <c r="E62" s="1382"/>
      <c r="F62" s="498"/>
      <c r="G62" s="549">
        <f t="shared" si="1"/>
        <v>531</v>
      </c>
      <c r="H62" s="1388"/>
      <c r="I62" s="1389"/>
    </row>
    <row r="63" spans="1:9" ht="25.5" x14ac:dyDescent="0.2">
      <c r="A63" s="488">
        <v>32</v>
      </c>
      <c r="B63" s="532" t="s">
        <v>1071</v>
      </c>
      <c r="C63" s="498" t="s">
        <v>259</v>
      </c>
      <c r="D63" s="1381">
        <f>'5.0 District Rate'!D33*1000</f>
        <v>103000</v>
      </c>
      <c r="E63" s="1382"/>
      <c r="F63" s="498">
        <f>'6.0 transportation'!R78</f>
        <v>567.62</v>
      </c>
      <c r="G63" s="549">
        <f>D63+F63</f>
        <v>103567.62</v>
      </c>
      <c r="H63" s="1388"/>
      <c r="I63" s="1389"/>
    </row>
    <row r="64" spans="1:9" s="479" customFormat="1" x14ac:dyDescent="0.2">
      <c r="A64" s="488">
        <v>33</v>
      </c>
      <c r="B64" s="350" t="s">
        <v>88</v>
      </c>
      <c r="C64" s="498" t="s">
        <v>96</v>
      </c>
      <c r="D64" s="1381">
        <f>'5.0 District Rate'!I28</f>
        <v>16000</v>
      </c>
      <c r="E64" s="1382"/>
      <c r="F64" s="498"/>
      <c r="G64" s="549">
        <f t="shared" si="1"/>
        <v>16000</v>
      </c>
      <c r="H64" s="1388"/>
      <c r="I64" s="1389"/>
    </row>
    <row r="65" spans="1:13" s="479" customFormat="1" x14ac:dyDescent="0.2">
      <c r="A65" s="488">
        <v>34</v>
      </c>
      <c r="B65" s="350" t="s">
        <v>336</v>
      </c>
      <c r="C65" s="491" t="s">
        <v>26</v>
      </c>
      <c r="D65" s="1381">
        <f>'5.0 District Rate'!D37</f>
        <v>148820</v>
      </c>
      <c r="E65" s="1382"/>
      <c r="F65" s="559">
        <f>'6.0 transportation'!R78</f>
        <v>567.62</v>
      </c>
      <c r="G65" s="549">
        <f>F65+D65</f>
        <v>149387.62</v>
      </c>
      <c r="H65" s="1394"/>
      <c r="I65" s="1395"/>
    </row>
    <row r="66" spans="1:13" s="479" customFormat="1" x14ac:dyDescent="0.2">
      <c r="A66" s="488">
        <v>35</v>
      </c>
      <c r="B66" s="350" t="s">
        <v>333</v>
      </c>
      <c r="C66" s="491" t="s">
        <v>3</v>
      </c>
      <c r="D66" s="1381">
        <f>'5.0 District Rate'!D38</f>
        <v>360</v>
      </c>
      <c r="E66" s="1382"/>
      <c r="F66" s="559"/>
      <c r="G66" s="549">
        <f t="shared" ref="G66:G67" si="6">F66+D66</f>
        <v>360</v>
      </c>
      <c r="H66" s="1394"/>
      <c r="I66" s="1395"/>
    </row>
    <row r="67" spans="1:13" s="479" customFormat="1" ht="13.5" thickBot="1" x14ac:dyDescent="0.25">
      <c r="A67" s="488">
        <v>36</v>
      </c>
      <c r="B67" s="492" t="s">
        <v>335</v>
      </c>
      <c r="C67" s="499" t="s">
        <v>223</v>
      </c>
      <c r="D67" s="1383">
        <f>'5.0 District Rate'!D39</f>
        <v>9950</v>
      </c>
      <c r="E67" s="1384"/>
      <c r="F67" s="561"/>
      <c r="G67" s="562">
        <f t="shared" si="6"/>
        <v>9950</v>
      </c>
      <c r="H67" s="1396"/>
      <c r="I67" s="1397"/>
    </row>
    <row r="68" spans="1:13" x14ac:dyDescent="0.2">
      <c r="A68" s="552"/>
      <c r="B68" s="347"/>
      <c r="C68" s="553"/>
      <c r="D68" s="554"/>
      <c r="E68" s="554"/>
      <c r="F68" s="555"/>
      <c r="G68" s="554"/>
      <c r="H68" s="347"/>
    </row>
    <row r="69" spans="1:13" x14ac:dyDescent="0.2">
      <c r="A69" s="91"/>
      <c r="D69" s="91"/>
      <c r="E69" s="351"/>
      <c r="F69" s="537"/>
    </row>
    <row r="70" spans="1:13" ht="12.75" customHeight="1" x14ac:dyDescent="0.2">
      <c r="A70" s="91"/>
      <c r="D70" s="91"/>
      <c r="E70" s="351"/>
      <c r="F70" s="567"/>
    </row>
    <row r="71" spans="1:13" x14ac:dyDescent="0.2">
      <c r="A71" s="91"/>
      <c r="D71" s="91"/>
      <c r="E71" s="351"/>
      <c r="F71" s="556"/>
    </row>
    <row r="72" spans="1:13" x14ac:dyDescent="0.2">
      <c r="A72" s="91"/>
      <c r="D72" s="91"/>
      <c r="E72" s="351"/>
      <c r="F72" s="556"/>
    </row>
    <row r="73" spans="1:13" x14ac:dyDescent="0.2">
      <c r="A73" s="91"/>
      <c r="D73" s="91"/>
      <c r="E73" s="351"/>
      <c r="F73" s="556"/>
    </row>
    <row r="74" spans="1:13" x14ac:dyDescent="0.2">
      <c r="A74" s="91"/>
      <c r="D74" s="91"/>
      <c r="E74" s="351"/>
      <c r="F74" s="556"/>
    </row>
    <row r="75" spans="1:13" x14ac:dyDescent="0.2">
      <c r="A75" s="91"/>
      <c r="D75" s="91"/>
      <c r="E75" s="351"/>
      <c r="F75" s="556"/>
      <c r="G75" s="557"/>
      <c r="H75" s="351"/>
      <c r="I75" s="570"/>
      <c r="J75" s="351"/>
      <c r="K75" s="351"/>
      <c r="L75" s="351"/>
      <c r="M75" s="351"/>
    </row>
    <row r="76" spans="1:13" x14ac:dyDescent="0.2">
      <c r="A76" s="91"/>
      <c r="D76" s="91"/>
      <c r="E76" s="351"/>
      <c r="F76" s="556"/>
      <c r="G76" s="557"/>
      <c r="H76" s="351"/>
      <c r="I76" s="570"/>
      <c r="J76" s="351"/>
      <c r="K76" s="351"/>
      <c r="L76" s="351"/>
      <c r="M76" s="351"/>
    </row>
    <row r="77" spans="1:13" x14ac:dyDescent="0.2">
      <c r="A77" s="91"/>
      <c r="D77" s="91"/>
      <c r="E77" s="351"/>
      <c r="F77" s="556"/>
    </row>
    <row r="78" spans="1:13" x14ac:dyDescent="0.2">
      <c r="A78" s="91"/>
      <c r="D78" s="91"/>
      <c r="E78" s="351"/>
      <c r="F78" s="556"/>
    </row>
    <row r="79" spans="1:13" x14ac:dyDescent="0.2">
      <c r="A79" s="91"/>
      <c r="D79" s="91"/>
      <c r="E79" s="351"/>
      <c r="F79" s="556"/>
    </row>
    <row r="80" spans="1:13" x14ac:dyDescent="0.2">
      <c r="A80" s="91"/>
      <c r="D80" s="91"/>
      <c r="E80" s="351"/>
      <c r="F80" s="556"/>
    </row>
    <row r="81" spans="1:9" x14ac:dyDescent="0.2">
      <c r="A81" s="91"/>
      <c r="D81" s="91"/>
      <c r="E81" s="351"/>
      <c r="F81" s="556"/>
    </row>
    <row r="82" spans="1:9" x14ac:dyDescent="0.2">
      <c r="A82" s="91"/>
      <c r="D82" s="91"/>
      <c r="E82" s="351"/>
      <c r="F82" s="556"/>
    </row>
    <row r="83" spans="1:9" x14ac:dyDescent="0.2">
      <c r="A83" s="91"/>
      <c r="D83" s="91"/>
      <c r="E83" s="351"/>
      <c r="F83" s="556"/>
    </row>
    <row r="84" spans="1:9" x14ac:dyDescent="0.2">
      <c r="A84" s="91"/>
      <c r="D84" s="91"/>
      <c r="E84" s="351"/>
      <c r="F84" s="556"/>
    </row>
    <row r="85" spans="1:9" s="479" customFormat="1" x14ac:dyDescent="0.2">
      <c r="A85" s="535"/>
      <c r="B85" s="91"/>
      <c r="C85" s="91"/>
      <c r="D85" s="536"/>
      <c r="E85" s="537"/>
      <c r="F85" s="558"/>
      <c r="G85" s="558"/>
      <c r="I85" s="571"/>
    </row>
    <row r="96" spans="1:9" x14ac:dyDescent="0.2">
      <c r="H96" s="91" t="s">
        <v>20</v>
      </c>
    </row>
  </sheetData>
  <mergeCells count="87">
    <mergeCell ref="H65:I65"/>
    <mergeCell ref="H66:I66"/>
    <mergeCell ref="H67:I67"/>
    <mergeCell ref="H59:I59"/>
    <mergeCell ref="H60:I60"/>
    <mergeCell ref="H62:I62"/>
    <mergeCell ref="H63:I63"/>
    <mergeCell ref="H64:I64"/>
    <mergeCell ref="H54:I54"/>
    <mergeCell ref="H55:I55"/>
    <mergeCell ref="H56:I56"/>
    <mergeCell ref="H57:I57"/>
    <mergeCell ref="H58:I58"/>
    <mergeCell ref="D58:E58"/>
    <mergeCell ref="B8:I8"/>
    <mergeCell ref="H29:I29"/>
    <mergeCell ref="H30:I30"/>
    <mergeCell ref="H31:I31"/>
    <mergeCell ref="H32:I32"/>
    <mergeCell ref="H33:I33"/>
    <mergeCell ref="H34:I34"/>
    <mergeCell ref="H35:I35"/>
    <mergeCell ref="H36:I36"/>
    <mergeCell ref="H37:I37"/>
    <mergeCell ref="H38:I38"/>
    <mergeCell ref="H39:I39"/>
    <mergeCell ref="H47:I47"/>
    <mergeCell ref="H48:I48"/>
    <mergeCell ref="H49:I49"/>
    <mergeCell ref="H40:I40"/>
    <mergeCell ref="H41:I41"/>
    <mergeCell ref="H42:I42"/>
    <mergeCell ref="D53:E53"/>
    <mergeCell ref="D54:E54"/>
    <mergeCell ref="D45:E45"/>
    <mergeCell ref="D46:E46"/>
    <mergeCell ref="D47:E47"/>
    <mergeCell ref="D44:E44"/>
    <mergeCell ref="H44:I44"/>
    <mergeCell ref="H45:I45"/>
    <mergeCell ref="H46:I46"/>
    <mergeCell ref="H50:I50"/>
    <mergeCell ref="H51:I51"/>
    <mergeCell ref="H52:I52"/>
    <mergeCell ref="H53:I53"/>
    <mergeCell ref="D56:E56"/>
    <mergeCell ref="D57:E57"/>
    <mergeCell ref="D48:E48"/>
    <mergeCell ref="D49:E49"/>
    <mergeCell ref="D50:E50"/>
    <mergeCell ref="D51:E51"/>
    <mergeCell ref="D52:E52"/>
    <mergeCell ref="D40:E40"/>
    <mergeCell ref="D41:E41"/>
    <mergeCell ref="D42:E42"/>
    <mergeCell ref="D43:E43"/>
    <mergeCell ref="D55:E55"/>
    <mergeCell ref="D35:E35"/>
    <mergeCell ref="D36:E36"/>
    <mergeCell ref="D37:E37"/>
    <mergeCell ref="D38:E38"/>
    <mergeCell ref="D39:E39"/>
    <mergeCell ref="D65:E65"/>
    <mergeCell ref="D66:E66"/>
    <mergeCell ref="D67:E67"/>
    <mergeCell ref="D59:E59"/>
    <mergeCell ref="D60:E60"/>
    <mergeCell ref="D62:E62"/>
    <mergeCell ref="D63:E63"/>
    <mergeCell ref="D64:E64"/>
    <mergeCell ref="D61:E61"/>
    <mergeCell ref="H43:I43"/>
    <mergeCell ref="B28:D28"/>
    <mergeCell ref="F7:G7"/>
    <mergeCell ref="A7:D7"/>
    <mergeCell ref="A1:H1"/>
    <mergeCell ref="A2:H2"/>
    <mergeCell ref="A3:H3"/>
    <mergeCell ref="A4:H4"/>
    <mergeCell ref="A5:H5"/>
    <mergeCell ref="A22:D22"/>
    <mergeCell ref="D29:E29"/>
    <mergeCell ref="D30:E30"/>
    <mergeCell ref="D31:E31"/>
    <mergeCell ref="D32:E32"/>
    <mergeCell ref="D33:E33"/>
    <mergeCell ref="D34:E34"/>
  </mergeCells>
  <phoneticPr fontId="13" type="noConversion"/>
  <pageMargins left="0.8" right="0.44" top="0.46" bottom="0.78" header="0.3" footer="0.3"/>
  <pageSetup paperSize="9" scale="78" fitToHeight="0" orientation="portrait" r:id="rId1"/>
  <headerFooter>
    <oddFooter>&amp;L__________________________Prepared By&amp;C__________________________Checked By&amp;R________________________Approved By</oddFooter>
  </headerFooter>
  <rowBreaks count="1" manualBreakCount="1">
    <brk id="70" max="6" man="1"/>
  </rowBreaks>
  <ignoredErrors>
    <ignoredError sqref="F33"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U1082"/>
  <sheetViews>
    <sheetView view="pageBreakPreview" topLeftCell="A891" zoomScale="85" zoomScaleNormal="100" zoomScaleSheetLayoutView="85" workbookViewId="0">
      <selection activeCell="G928" sqref="G928"/>
    </sheetView>
  </sheetViews>
  <sheetFormatPr defaultColWidth="9.140625" defaultRowHeight="12.75" x14ac:dyDescent="0.2"/>
  <cols>
    <col min="1" max="1" width="16.7109375" style="261" customWidth="1"/>
    <col min="2" max="2" width="11.28515625" style="261" customWidth="1"/>
    <col min="3" max="3" width="10.140625" style="261" customWidth="1"/>
    <col min="4" max="4" width="9.85546875" style="261" bestFit="1" customWidth="1"/>
    <col min="5" max="5" width="10.28515625" style="261" bestFit="1" customWidth="1"/>
    <col min="6" max="6" width="11.140625" style="261" customWidth="1"/>
    <col min="7" max="7" width="22.140625" style="261" customWidth="1"/>
    <col min="8" max="8" width="9.140625" style="261" customWidth="1"/>
    <col min="9" max="9" width="11.85546875" style="261" customWidth="1"/>
    <col min="10" max="10" width="12" style="261" customWidth="1"/>
    <col min="11" max="11" width="11.28515625" style="261" customWidth="1"/>
    <col min="12" max="12" width="13" style="261" customWidth="1"/>
    <col min="13" max="13" width="9.140625" style="261" customWidth="1"/>
    <col min="14" max="14" width="8.28515625" style="261" customWidth="1"/>
    <col min="15" max="15" width="9.140625" style="261" customWidth="1"/>
    <col min="16" max="16" width="10.28515625" style="261" customWidth="1"/>
    <col min="17" max="16384" width="9.140625" style="261"/>
  </cols>
  <sheetData>
    <row r="1" spans="1:21" hidden="1" x14ac:dyDescent="0.2">
      <c r="A1" s="1436" t="str">
        <f>'0.Data Sheet'!C18</f>
        <v>Government Of Nepal</v>
      </c>
      <c r="B1" s="1436"/>
      <c r="C1" s="1436"/>
      <c r="D1" s="1436"/>
      <c r="E1" s="1436"/>
      <c r="F1" s="1436"/>
      <c r="G1" s="1436"/>
      <c r="H1" s="1436"/>
      <c r="I1" s="1436"/>
      <c r="J1" s="1436"/>
      <c r="K1" s="1436"/>
      <c r="L1" s="1436"/>
      <c r="M1" s="1436"/>
      <c r="N1" s="1436"/>
      <c r="O1" s="1436"/>
      <c r="P1" s="1436"/>
    </row>
    <row r="2" spans="1:21" x14ac:dyDescent="0.2">
      <c r="A2" s="1436" t="str">
        <f>'0.Data Sheet'!C19</f>
        <v xml:space="preserve">Ministry of Federal Affairs and General Administration
</v>
      </c>
      <c r="B2" s="1436"/>
      <c r="C2" s="1436"/>
      <c r="D2" s="1436"/>
      <c r="E2" s="1436"/>
      <c r="F2" s="1436"/>
      <c r="G2" s="1436"/>
      <c r="H2" s="1436"/>
      <c r="I2" s="1436"/>
      <c r="J2" s="1436"/>
      <c r="K2" s="1436"/>
      <c r="L2" s="1436"/>
      <c r="M2" s="1436"/>
      <c r="N2" s="1436"/>
      <c r="O2" s="1436"/>
      <c r="P2" s="1436"/>
    </row>
    <row r="3" spans="1:21" ht="18" x14ac:dyDescent="0.25">
      <c r="A3" s="1209" t="str">
        <f>'0.Data Sheet'!C20</f>
        <v>Department Of Local Infrastructure (DOLI)</v>
      </c>
      <c r="B3" s="1209"/>
      <c r="C3" s="1209"/>
      <c r="D3" s="1209"/>
      <c r="E3" s="1209"/>
      <c r="F3" s="1209"/>
      <c r="G3" s="1209"/>
      <c r="H3" s="1209"/>
      <c r="I3" s="1209"/>
      <c r="J3" s="1209"/>
      <c r="K3" s="1209"/>
      <c r="L3" s="1209"/>
      <c r="M3" s="1209"/>
      <c r="N3" s="1209"/>
      <c r="O3" s="1209"/>
      <c r="P3" s="1209"/>
    </row>
    <row r="4" spans="1:21" ht="15.75" x14ac:dyDescent="0.25">
      <c r="A4" s="1210" t="str">
        <f>'0.Data Sheet'!C21</f>
        <v>Local Bridge Section</v>
      </c>
      <c r="B4" s="1210"/>
      <c r="C4" s="1210"/>
      <c r="D4" s="1210"/>
      <c r="E4" s="1210"/>
      <c r="F4" s="1210"/>
      <c r="G4" s="1210"/>
      <c r="H4" s="1210"/>
      <c r="I4" s="1210"/>
      <c r="J4" s="1210"/>
      <c r="K4" s="1210"/>
      <c r="L4" s="1210"/>
      <c r="M4" s="1210"/>
      <c r="N4" s="1210"/>
      <c r="O4" s="1210"/>
      <c r="P4" s="1210"/>
    </row>
    <row r="5" spans="1:21" ht="13.5" thickBot="1" x14ac:dyDescent="0.25">
      <c r="A5" s="1436" t="str">
        <f>'0.Data Sheet'!C22</f>
        <v>Pulchowk, Lalitpur</v>
      </c>
      <c r="B5" s="1436"/>
      <c r="C5" s="1436"/>
      <c r="D5" s="1436"/>
      <c r="E5" s="1436"/>
      <c r="F5" s="1436"/>
      <c r="G5" s="1436"/>
      <c r="H5" s="1436"/>
      <c r="I5" s="1436"/>
      <c r="J5" s="1436"/>
      <c r="K5" s="1436"/>
      <c r="L5" s="1436"/>
      <c r="M5" s="1436"/>
      <c r="N5" s="1436"/>
      <c r="O5" s="1436"/>
      <c r="P5" s="1436"/>
    </row>
    <row r="6" spans="1:21" ht="13.5" hidden="1" thickBot="1" x14ac:dyDescent="0.25"/>
    <row r="7" spans="1:21" s="575" customFormat="1" ht="19.5" thickBot="1" x14ac:dyDescent="0.35">
      <c r="A7" s="1439" t="s">
        <v>204</v>
      </c>
      <c r="B7" s="1439"/>
      <c r="C7" s="1439"/>
      <c r="D7" s="1439"/>
      <c r="E7" s="1439"/>
      <c r="F7" s="1439"/>
      <c r="G7" s="1439"/>
      <c r="H7" s="1439"/>
      <c r="I7" s="1439"/>
      <c r="J7" s="1439"/>
      <c r="K7" s="1439"/>
      <c r="L7" s="1439"/>
      <c r="M7" s="1439"/>
      <c r="N7" s="1439"/>
      <c r="O7" s="1439"/>
      <c r="P7" s="1439"/>
      <c r="S7" s="220" t="s">
        <v>49</v>
      </c>
      <c r="T7" s="221">
        <v>13</v>
      </c>
      <c r="U7" s="575" t="s">
        <v>89</v>
      </c>
    </row>
    <row r="8" spans="1:21" x14ac:dyDescent="0.2">
      <c r="A8" s="1437" t="str">
        <f>'2.0Abstract of Cost'!A9</f>
        <v>Name of Bridge: Lambu Khola Motorable Bridge</v>
      </c>
      <c r="B8" s="1437"/>
      <c r="C8" s="1437"/>
      <c r="D8" s="1437"/>
    </row>
    <row r="9" spans="1:21" ht="8.25" customHeight="1" x14ac:dyDescent="0.2">
      <c r="A9" s="1026"/>
      <c r="B9" s="1026"/>
      <c r="C9" s="1026"/>
      <c r="D9" s="1026"/>
    </row>
    <row r="10" spans="1:21" x14ac:dyDescent="0.2">
      <c r="A10" s="575" t="s">
        <v>27</v>
      </c>
      <c r="B10" s="222">
        <v>1</v>
      </c>
      <c r="C10" s="223"/>
      <c r="D10" s="575"/>
      <c r="E10" s="575"/>
      <c r="F10" s="575"/>
      <c r="G10" s="575"/>
      <c r="H10" s="575" t="s">
        <v>20</v>
      </c>
      <c r="I10" s="575"/>
      <c r="J10" s="575"/>
      <c r="K10" s="575"/>
      <c r="L10" s="575"/>
      <c r="M10" s="575"/>
      <c r="N10" s="1020" t="s">
        <v>13</v>
      </c>
      <c r="O10" s="575">
        <v>210</v>
      </c>
      <c r="P10" s="223" t="s">
        <v>38</v>
      </c>
      <c r="S10" s="261">
        <f>ROW()</f>
        <v>10</v>
      </c>
    </row>
    <row r="11" spans="1:21" x14ac:dyDescent="0.2">
      <c r="A11" s="224" t="s">
        <v>12</v>
      </c>
      <c r="B11" s="222" t="s">
        <v>1482</v>
      </c>
      <c r="C11" s="222"/>
      <c r="D11" s="222"/>
      <c r="E11" s="222"/>
      <c r="F11" s="222"/>
      <c r="G11" s="222"/>
      <c r="H11" s="222"/>
      <c r="I11" s="222"/>
      <c r="J11" s="222"/>
      <c r="K11" s="575"/>
      <c r="L11" s="575"/>
      <c r="M11" s="575"/>
      <c r="N11" s="575"/>
      <c r="O11" s="575"/>
      <c r="P11" s="575"/>
    </row>
    <row r="12" spans="1:21" ht="12" customHeight="1" x14ac:dyDescent="0.2">
      <c r="A12" s="224"/>
      <c r="B12" s="222" t="s">
        <v>1483</v>
      </c>
      <c r="C12" s="222"/>
      <c r="D12" s="222"/>
      <c r="E12" s="222" t="s">
        <v>1484</v>
      </c>
      <c r="F12" s="222"/>
      <c r="G12" s="222"/>
      <c r="H12" s="222"/>
      <c r="I12" s="222"/>
      <c r="J12" s="222"/>
      <c r="K12" s="575"/>
      <c r="L12" s="575"/>
      <c r="M12" s="575"/>
      <c r="N12" s="575"/>
      <c r="O12" s="575"/>
      <c r="P12" s="575"/>
    </row>
    <row r="13" spans="1:21" ht="12" customHeight="1" x14ac:dyDescent="0.2">
      <c r="A13" s="225" t="s">
        <v>242</v>
      </c>
      <c r="B13" s="226" t="s">
        <v>15</v>
      </c>
      <c r="C13" s="227"/>
      <c r="D13" s="227"/>
      <c r="E13" s="227"/>
      <c r="F13" s="226"/>
      <c r="G13" s="1412" t="s">
        <v>16</v>
      </c>
      <c r="H13" s="1413"/>
      <c r="I13" s="1413"/>
      <c r="J13" s="1413"/>
      <c r="K13" s="1414"/>
      <c r="L13" s="227" t="s">
        <v>17</v>
      </c>
      <c r="M13" s="227"/>
      <c r="N13" s="227"/>
      <c r="O13" s="227"/>
      <c r="P13" s="227"/>
    </row>
    <row r="14" spans="1:21" x14ac:dyDescent="0.2">
      <c r="A14" s="225" t="s">
        <v>273</v>
      </c>
      <c r="B14" s="228" t="s">
        <v>18</v>
      </c>
      <c r="C14" s="229" t="s">
        <v>0</v>
      </c>
      <c r="D14" s="229" t="s">
        <v>5</v>
      </c>
      <c r="E14" s="229" t="s">
        <v>1</v>
      </c>
      <c r="F14" s="230" t="s">
        <v>2</v>
      </c>
      <c r="G14" s="228" t="s">
        <v>19</v>
      </c>
      <c r="H14" s="229" t="s">
        <v>0</v>
      </c>
      <c r="I14" s="229" t="s">
        <v>5</v>
      </c>
      <c r="J14" s="229" t="s">
        <v>1</v>
      </c>
      <c r="K14" s="230" t="s">
        <v>2</v>
      </c>
      <c r="L14" s="228" t="s">
        <v>19</v>
      </c>
      <c r="M14" s="229" t="s">
        <v>0</v>
      </c>
      <c r="N14" s="229" t="s">
        <v>5</v>
      </c>
      <c r="O14" s="229" t="s">
        <v>1</v>
      </c>
      <c r="P14" s="230" t="s">
        <v>2</v>
      </c>
    </row>
    <row r="15" spans="1:21" x14ac:dyDescent="0.2">
      <c r="A15" s="231" t="s">
        <v>1485</v>
      </c>
      <c r="B15" s="232"/>
      <c r="C15" s="233"/>
      <c r="D15" s="234"/>
      <c r="E15" s="235"/>
      <c r="F15" s="236"/>
      <c r="G15" s="237"/>
      <c r="H15" s="233"/>
      <c r="I15" s="234"/>
      <c r="J15" s="235"/>
      <c r="K15" s="236"/>
      <c r="L15" s="237"/>
      <c r="M15" s="233"/>
      <c r="N15" s="234"/>
      <c r="O15" s="235"/>
      <c r="P15" s="236"/>
    </row>
    <row r="16" spans="1:21" x14ac:dyDescent="0.2">
      <c r="A16" s="238"/>
      <c r="B16" s="1021" t="s">
        <v>202</v>
      </c>
      <c r="C16" s="1022" t="s">
        <v>46</v>
      </c>
      <c r="D16" s="1023">
        <v>1</v>
      </c>
      <c r="E16" s="1024">
        <f>skilled</f>
        <v>1070</v>
      </c>
      <c r="F16" s="1025">
        <f>ROUND(E16*D16,2)</f>
        <v>1070</v>
      </c>
      <c r="G16" s="1035"/>
      <c r="H16" s="1022"/>
      <c r="I16" s="1023"/>
      <c r="J16" s="1024"/>
      <c r="K16" s="1025"/>
      <c r="L16" s="1438" t="s">
        <v>1486</v>
      </c>
      <c r="M16" s="1426" t="s">
        <v>28</v>
      </c>
      <c r="N16" s="1427">
        <v>6</v>
      </c>
      <c r="O16" s="1428">
        <f>excavator</f>
        <v>5775</v>
      </c>
      <c r="P16" s="1424">
        <f>N16*O16</f>
        <v>34650</v>
      </c>
    </row>
    <row r="17" spans="1:16" x14ac:dyDescent="0.2">
      <c r="A17" s="239"/>
      <c r="B17" s="1021"/>
      <c r="C17" s="1022"/>
      <c r="D17" s="1023"/>
      <c r="E17" s="1024"/>
      <c r="F17" s="1025"/>
      <c r="G17" s="1035"/>
      <c r="H17" s="1022"/>
      <c r="I17" s="1023"/>
      <c r="J17" s="1024"/>
      <c r="K17" s="1025"/>
      <c r="L17" s="1438"/>
      <c r="M17" s="1426"/>
      <c r="N17" s="1427"/>
      <c r="O17" s="1428"/>
      <c r="P17" s="1424"/>
    </row>
    <row r="18" spans="1:16" ht="15" x14ac:dyDescent="0.2">
      <c r="A18" s="239"/>
      <c r="B18" s="1021" t="s">
        <v>21</v>
      </c>
      <c r="C18" s="1022" t="s">
        <v>46</v>
      </c>
      <c r="D18" s="1023">
        <v>3</v>
      </c>
      <c r="E18" s="1024">
        <f>unskilled</f>
        <v>770</v>
      </c>
      <c r="F18" s="1025">
        <f>D18*E18</f>
        <v>2310</v>
      </c>
      <c r="G18" s="659" t="s">
        <v>43</v>
      </c>
      <c r="H18" s="660" t="s">
        <v>73</v>
      </c>
      <c r="I18" s="661">
        <f>0.0833*0.9</f>
        <v>7.4969999999999995E-2</v>
      </c>
      <c r="J18" s="662">
        <f>diesel</f>
        <v>160</v>
      </c>
      <c r="K18" s="663">
        <f>J18*I18</f>
        <v>11.995199999999999</v>
      </c>
      <c r="L18" s="1021"/>
      <c r="M18" s="1022"/>
      <c r="N18" s="240"/>
      <c r="O18" s="1024"/>
      <c r="P18" s="1025"/>
    </row>
    <row r="19" spans="1:16" ht="9.75" hidden="1" customHeight="1" x14ac:dyDescent="0.2">
      <c r="A19" s="231"/>
      <c r="B19" s="1021"/>
      <c r="C19" s="1022"/>
      <c r="D19" s="1023"/>
      <c r="E19" s="1024"/>
      <c r="F19" s="1025"/>
      <c r="G19" s="1035"/>
      <c r="H19" s="1022"/>
      <c r="I19" s="1023"/>
      <c r="J19" s="1024"/>
      <c r="K19" s="1025"/>
      <c r="L19" s="1021"/>
      <c r="M19" s="1022"/>
      <c r="N19" s="1023"/>
      <c r="O19" s="1024"/>
      <c r="P19" s="1025"/>
    </row>
    <row r="20" spans="1:16" x14ac:dyDescent="0.2">
      <c r="A20" s="241"/>
      <c r="B20" s="242"/>
      <c r="C20" s="243"/>
      <c r="D20" s="243"/>
      <c r="E20" s="244" t="s">
        <v>39</v>
      </c>
      <c r="F20" s="245">
        <f>SUM(F16:F19)</f>
        <v>3380</v>
      </c>
      <c r="G20" s="242"/>
      <c r="H20" s="243"/>
      <c r="I20" s="243"/>
      <c r="J20" s="244" t="s">
        <v>40</v>
      </c>
      <c r="K20" s="245">
        <f>SUM(K16:K19)</f>
        <v>11.995199999999999</v>
      </c>
      <c r="L20" s="242"/>
      <c r="M20" s="243"/>
      <c r="N20" s="243"/>
      <c r="O20" s="246" t="s">
        <v>41</v>
      </c>
      <c r="P20" s="245">
        <f>SUM(P16:P19)</f>
        <v>34650</v>
      </c>
    </row>
    <row r="21" spans="1:16" ht="15" x14ac:dyDescent="0.25">
      <c r="A21" s="247"/>
      <c r="B21" s="575"/>
      <c r="C21" s="575"/>
      <c r="D21" s="575"/>
      <c r="E21" s="575"/>
      <c r="F21" s="1019" t="s">
        <v>29</v>
      </c>
      <c r="G21" s="1011">
        <f>F20+K20+P20</f>
        <v>38041.995199999998</v>
      </c>
      <c r="H21" s="575"/>
      <c r="I21" s="249"/>
      <c r="J21" s="250"/>
      <c r="K21" s="251"/>
      <c r="L21" s="575"/>
      <c r="M21" s="575"/>
      <c r="N21" s="575"/>
      <c r="O21" s="575"/>
      <c r="P21" s="575"/>
    </row>
    <row r="22" spans="1:16" ht="15" x14ac:dyDescent="0.25">
      <c r="A22" s="247"/>
      <c r="B22" s="575"/>
      <c r="C22" s="575"/>
      <c r="D22" s="1425" t="s">
        <v>1487</v>
      </c>
      <c r="E22" s="1425"/>
      <c r="F22" s="1425"/>
      <c r="G22" s="1011">
        <f>G21*0.075</f>
        <v>2853.1496399999996</v>
      </c>
      <c r="H22" s="575"/>
      <c r="I22" s="249"/>
      <c r="J22" s="250"/>
      <c r="K22" s="251"/>
      <c r="L22" s="575"/>
      <c r="M22" s="575"/>
      <c r="N22" s="575"/>
      <c r="O22" s="575"/>
      <c r="P22" s="575"/>
    </row>
    <row r="23" spans="1:16" x14ac:dyDescent="0.2">
      <c r="A23" s="247"/>
      <c r="B23" s="575"/>
      <c r="C23" s="575"/>
      <c r="D23" s="575"/>
      <c r="E23" s="575"/>
      <c r="F23" s="252" t="s">
        <v>31</v>
      </c>
      <c r="G23" s="248">
        <f>G21*0.15</f>
        <v>5706.2992799999993</v>
      </c>
      <c r="H23" s="575"/>
      <c r="I23" s="249"/>
      <c r="J23" s="250"/>
      <c r="K23" s="251"/>
      <c r="L23" s="575"/>
      <c r="M23" s="575"/>
      <c r="N23" s="575"/>
      <c r="O23" s="575"/>
      <c r="P23" s="575"/>
    </row>
    <row r="24" spans="1:16" x14ac:dyDescent="0.2">
      <c r="A24" s="247"/>
      <c r="B24" s="575"/>
      <c r="C24" s="575"/>
      <c r="D24" s="1423" t="str">
        <f>"Rate of"&amp;O10&amp;P10&amp;":"</f>
        <v>Rate of210m³:</v>
      </c>
      <c r="E24" s="1423"/>
      <c r="F24" s="1423"/>
      <c r="G24" s="248">
        <f>SUM(G21:G23)</f>
        <v>46601.444119999993</v>
      </c>
      <c r="H24" s="575"/>
      <c r="I24" s="249"/>
      <c r="J24" s="250"/>
      <c r="K24" s="251"/>
      <c r="L24" s="575"/>
      <c r="M24" s="575"/>
      <c r="N24" s="575"/>
      <c r="O24" s="575"/>
      <c r="P24" s="575"/>
    </row>
    <row r="25" spans="1:16" ht="15" x14ac:dyDescent="0.2">
      <c r="A25" s="247"/>
      <c r="B25" s="575"/>
      <c r="C25" s="575"/>
      <c r="D25" s="1020"/>
      <c r="E25" s="1423" t="s">
        <v>1488</v>
      </c>
      <c r="F25" s="1423"/>
      <c r="G25" s="248">
        <f>G24/O10</f>
        <v>221.91163866666662</v>
      </c>
      <c r="H25" s="575"/>
      <c r="I25" s="249"/>
      <c r="J25" s="250"/>
      <c r="K25" s="251"/>
      <c r="L25" s="575"/>
      <c r="M25" s="575"/>
      <c r="N25" s="575"/>
      <c r="O25" s="575"/>
      <c r="P25" s="575"/>
    </row>
    <row r="26" spans="1:16" x14ac:dyDescent="0.2">
      <c r="A26" s="253"/>
      <c r="B26" s="249"/>
      <c r="C26" s="249"/>
      <c r="D26" s="249"/>
      <c r="E26" s="575"/>
      <c r="F26" s="254" t="s">
        <v>1</v>
      </c>
      <c r="G26" s="255">
        <f>G25</f>
        <v>221.91163866666662</v>
      </c>
      <c r="H26" s="256" t="s">
        <v>50</v>
      </c>
      <c r="I26" s="249" t="str">
        <f>P10</f>
        <v>m³</v>
      </c>
      <c r="J26" s="250"/>
      <c r="K26" s="251"/>
      <c r="L26" s="575"/>
      <c r="M26" s="575"/>
      <c r="N26" s="575"/>
      <c r="O26" s="575"/>
      <c r="P26" s="575"/>
    </row>
    <row r="28" spans="1:16" x14ac:dyDescent="0.2">
      <c r="A28" s="575" t="s">
        <v>27</v>
      </c>
      <c r="B28" s="222">
        <f>B10+1</f>
        <v>2</v>
      </c>
      <c r="C28" s="223"/>
      <c r="D28" s="575"/>
      <c r="E28" s="575"/>
      <c r="F28" s="575"/>
      <c r="G28" s="575"/>
      <c r="H28" s="575" t="s">
        <v>20</v>
      </c>
      <c r="I28" s="575"/>
      <c r="J28" s="575"/>
      <c r="K28" s="575"/>
      <c r="L28" s="575"/>
      <c r="M28" s="575"/>
      <c r="N28" s="1020" t="s">
        <v>13</v>
      </c>
      <c r="O28" s="575">
        <v>180</v>
      </c>
      <c r="P28" s="223" t="s">
        <v>38</v>
      </c>
    </row>
    <row r="29" spans="1:16" x14ac:dyDescent="0.2">
      <c r="A29" s="224" t="s">
        <v>12</v>
      </c>
      <c r="B29" s="222" t="s">
        <v>1482</v>
      </c>
      <c r="C29" s="222"/>
      <c r="D29" s="222"/>
      <c r="E29" s="222"/>
      <c r="F29" s="222"/>
      <c r="G29" s="222"/>
      <c r="H29" s="222"/>
      <c r="I29" s="222"/>
      <c r="J29" s="222"/>
      <c r="K29" s="575"/>
      <c r="L29" s="575"/>
      <c r="M29" s="575"/>
      <c r="N29" s="575"/>
      <c r="O29" s="575"/>
      <c r="P29" s="575"/>
    </row>
    <row r="30" spans="1:16" x14ac:dyDescent="0.2">
      <c r="A30" s="224"/>
      <c r="B30" s="222" t="s">
        <v>1489</v>
      </c>
      <c r="C30" s="222"/>
      <c r="D30" s="222" t="s">
        <v>1484</v>
      </c>
      <c r="E30" s="222"/>
      <c r="F30" s="222"/>
      <c r="G30" s="222"/>
      <c r="H30" s="222"/>
      <c r="I30" s="222"/>
      <c r="J30" s="222"/>
      <c r="K30" s="575"/>
      <c r="L30" s="575"/>
      <c r="M30" s="575"/>
      <c r="N30" s="575"/>
      <c r="O30" s="575"/>
      <c r="P30" s="575"/>
    </row>
    <row r="31" spans="1:16" x14ac:dyDescent="0.2">
      <c r="A31" s="225" t="s">
        <v>242</v>
      </c>
      <c r="B31" s="226" t="s">
        <v>15</v>
      </c>
      <c r="C31" s="227"/>
      <c r="D31" s="227"/>
      <c r="E31" s="227"/>
      <c r="F31" s="226"/>
      <c r="G31" s="1412" t="s">
        <v>16</v>
      </c>
      <c r="H31" s="1413"/>
      <c r="I31" s="1413"/>
      <c r="J31" s="1413"/>
      <c r="K31" s="1414"/>
      <c r="L31" s="227" t="s">
        <v>17</v>
      </c>
      <c r="M31" s="227"/>
      <c r="N31" s="227"/>
      <c r="O31" s="227"/>
      <c r="P31" s="227"/>
    </row>
    <row r="32" spans="1:16" x14ac:dyDescent="0.2">
      <c r="A32" s="225" t="s">
        <v>273</v>
      </c>
      <c r="B32" s="228" t="s">
        <v>18</v>
      </c>
      <c r="C32" s="229" t="s">
        <v>0</v>
      </c>
      <c r="D32" s="229" t="s">
        <v>5</v>
      </c>
      <c r="E32" s="229" t="s">
        <v>1</v>
      </c>
      <c r="F32" s="230" t="s">
        <v>2</v>
      </c>
      <c r="G32" s="228" t="s">
        <v>19</v>
      </c>
      <c r="H32" s="229" t="s">
        <v>0</v>
      </c>
      <c r="I32" s="229" t="s">
        <v>5</v>
      </c>
      <c r="J32" s="229" t="s">
        <v>1</v>
      </c>
      <c r="K32" s="230" t="s">
        <v>2</v>
      </c>
      <c r="L32" s="228" t="s">
        <v>19</v>
      </c>
      <c r="M32" s="229" t="s">
        <v>0</v>
      </c>
      <c r="N32" s="229" t="s">
        <v>5</v>
      </c>
      <c r="O32" s="229" t="s">
        <v>1</v>
      </c>
      <c r="P32" s="230" t="s">
        <v>2</v>
      </c>
    </row>
    <row r="33" spans="1:17" x14ac:dyDescent="0.2">
      <c r="A33" s="231" t="s">
        <v>1490</v>
      </c>
      <c r="B33" s="232"/>
      <c r="C33" s="233"/>
      <c r="D33" s="234"/>
      <c r="E33" s="235"/>
      <c r="F33" s="236"/>
      <c r="G33" s="237"/>
      <c r="H33" s="233"/>
      <c r="I33" s="234"/>
      <c r="J33" s="235"/>
      <c r="K33" s="236"/>
      <c r="L33" s="237"/>
      <c r="M33" s="233"/>
      <c r="N33" s="234"/>
      <c r="O33" s="235"/>
      <c r="P33" s="236"/>
    </row>
    <row r="34" spans="1:17" x14ac:dyDescent="0.2">
      <c r="A34" s="238"/>
      <c r="B34" s="1021" t="s">
        <v>202</v>
      </c>
      <c r="C34" s="1022" t="s">
        <v>46</v>
      </c>
      <c r="D34" s="1023">
        <v>2</v>
      </c>
      <c r="E34" s="1024">
        <f>skilled</f>
        <v>1070</v>
      </c>
      <c r="F34" s="1025">
        <f>ROUND(E34*D34,2)</f>
        <v>2140</v>
      </c>
      <c r="G34" s="1035"/>
      <c r="H34" s="1022"/>
      <c r="I34" s="1023"/>
      <c r="J34" s="1024"/>
      <c r="K34" s="1025"/>
      <c r="L34" s="1438" t="s">
        <v>1486</v>
      </c>
      <c r="M34" s="1426" t="s">
        <v>28</v>
      </c>
      <c r="N34" s="1427">
        <v>6</v>
      </c>
      <c r="O34" s="1428">
        <f>excavator</f>
        <v>5775</v>
      </c>
      <c r="P34" s="1424">
        <f>N34*O34</f>
        <v>34650</v>
      </c>
    </row>
    <row r="35" spans="1:17" x14ac:dyDescent="0.2">
      <c r="A35" s="239"/>
      <c r="B35" s="1021"/>
      <c r="C35" s="1022"/>
      <c r="D35" s="1023"/>
      <c r="E35" s="1024"/>
      <c r="F35" s="1025"/>
      <c r="G35" s="1035"/>
      <c r="H35" s="1022"/>
      <c r="I35" s="1023"/>
      <c r="J35" s="1024"/>
      <c r="K35" s="1025"/>
      <c r="L35" s="1438"/>
      <c r="M35" s="1426"/>
      <c r="N35" s="1427"/>
      <c r="O35" s="1428"/>
      <c r="P35" s="1424"/>
    </row>
    <row r="36" spans="1:17" ht="15" x14ac:dyDescent="0.2">
      <c r="A36" s="239"/>
      <c r="B36" s="1021" t="s">
        <v>21</v>
      </c>
      <c r="C36" s="1022" t="s">
        <v>46</v>
      </c>
      <c r="D36" s="1023">
        <v>4</v>
      </c>
      <c r="E36" s="1024">
        <f>unskilled</f>
        <v>770</v>
      </c>
      <c r="F36" s="1025">
        <f>D36*E36</f>
        <v>3080</v>
      </c>
      <c r="G36" s="659" t="s">
        <v>43</v>
      </c>
      <c r="H36" s="660" t="s">
        <v>73</v>
      </c>
      <c r="I36" s="661">
        <f>0.0833*0.9</f>
        <v>7.4969999999999995E-2</v>
      </c>
      <c r="J36" s="662">
        <f>diesel</f>
        <v>160</v>
      </c>
      <c r="K36" s="663">
        <f>J36*I36</f>
        <v>11.995199999999999</v>
      </c>
      <c r="L36" s="1021"/>
      <c r="M36" s="1022"/>
      <c r="N36" s="240"/>
      <c r="O36" s="1024"/>
      <c r="P36" s="1025"/>
    </row>
    <row r="37" spans="1:17" x14ac:dyDescent="0.2">
      <c r="A37" s="231"/>
      <c r="B37" s="1021"/>
      <c r="C37" s="1022"/>
      <c r="D37" s="1023"/>
      <c r="E37" s="1024"/>
      <c r="F37" s="1025"/>
      <c r="G37" s="1035"/>
      <c r="H37" s="1022"/>
      <c r="I37" s="1023"/>
      <c r="J37" s="1024"/>
      <c r="K37" s="1025"/>
      <c r="L37" s="1021"/>
      <c r="M37" s="1022"/>
      <c r="N37" s="1023"/>
      <c r="O37" s="1024"/>
      <c r="P37" s="1025"/>
    </row>
    <row r="38" spans="1:17" x14ac:dyDescent="0.2">
      <c r="A38" s="241"/>
      <c r="B38" s="242"/>
      <c r="C38" s="243"/>
      <c r="D38" s="243"/>
      <c r="E38" s="244" t="s">
        <v>39</v>
      </c>
      <c r="F38" s="245">
        <f>SUM(F34:F37)</f>
        <v>5220</v>
      </c>
      <c r="G38" s="242"/>
      <c r="H38" s="243"/>
      <c r="I38" s="243"/>
      <c r="J38" s="244" t="s">
        <v>40</v>
      </c>
      <c r="K38" s="245">
        <f>SUM(K34:K37)</f>
        <v>11.995199999999999</v>
      </c>
      <c r="L38" s="242"/>
      <c r="M38" s="243"/>
      <c r="N38" s="243"/>
      <c r="O38" s="246" t="s">
        <v>41</v>
      </c>
      <c r="P38" s="245">
        <f>SUM(P34:P37)</f>
        <v>34650</v>
      </c>
    </row>
    <row r="39" spans="1:17" ht="15" x14ac:dyDescent="0.25">
      <c r="A39" s="247"/>
      <c r="B39" s="575"/>
      <c r="C39" s="575"/>
      <c r="D39" s="575"/>
      <c r="E39" s="575"/>
      <c r="F39" s="1019" t="s">
        <v>29</v>
      </c>
      <c r="G39" s="1011">
        <f>F38+K38+P38</f>
        <v>39881.995199999998</v>
      </c>
      <c r="H39" s="575"/>
      <c r="I39" s="249"/>
      <c r="J39" s="250"/>
      <c r="K39" s="251"/>
      <c r="L39" s="575"/>
      <c r="M39" s="575"/>
      <c r="N39" s="575"/>
      <c r="O39" s="575"/>
      <c r="P39" s="575"/>
    </row>
    <row r="40" spans="1:17" ht="15" x14ac:dyDescent="0.25">
      <c r="A40" s="247"/>
      <c r="B40" s="575"/>
      <c r="C40" s="575"/>
      <c r="D40" s="1425" t="s">
        <v>1487</v>
      </c>
      <c r="E40" s="1425"/>
      <c r="F40" s="1425"/>
      <c r="G40" s="1011">
        <f>G39*0.075</f>
        <v>2991.1496399999996</v>
      </c>
      <c r="H40" s="575"/>
      <c r="I40" s="249"/>
      <c r="J40" s="250"/>
      <c r="K40" s="251"/>
      <c r="L40" s="575"/>
      <c r="M40" s="575"/>
      <c r="N40" s="575"/>
      <c r="O40" s="575"/>
      <c r="P40" s="575"/>
    </row>
    <row r="41" spans="1:17" x14ac:dyDescent="0.2">
      <c r="A41" s="247"/>
      <c r="B41" s="575"/>
      <c r="C41" s="575"/>
      <c r="D41" s="575"/>
      <c r="E41" s="575"/>
      <c r="F41" s="252" t="s">
        <v>31</v>
      </c>
      <c r="G41" s="248">
        <f>G39*0.15</f>
        <v>5982.2992799999993</v>
      </c>
      <c r="H41" s="575"/>
      <c r="I41" s="249"/>
      <c r="J41" s="250"/>
      <c r="K41" s="251"/>
      <c r="L41" s="575"/>
      <c r="M41" s="575"/>
      <c r="N41" s="575"/>
      <c r="O41" s="575"/>
      <c r="P41" s="575"/>
    </row>
    <row r="42" spans="1:17" x14ac:dyDescent="0.2">
      <c r="A42" s="247"/>
      <c r="B42" s="575"/>
      <c r="C42" s="575"/>
      <c r="D42" s="1423" t="str">
        <f>"Rate of"&amp;O28&amp;P28&amp;":"</f>
        <v>Rate of180m³:</v>
      </c>
      <c r="E42" s="1423"/>
      <c r="F42" s="1423"/>
      <c r="G42" s="248">
        <f>SUM(G39:G41)</f>
        <v>48855.444119999993</v>
      </c>
      <c r="H42" s="575"/>
      <c r="I42" s="249"/>
      <c r="J42" s="250"/>
      <c r="K42" s="251"/>
      <c r="L42" s="575"/>
      <c r="M42" s="575"/>
      <c r="N42" s="575"/>
      <c r="O42" s="575"/>
      <c r="P42" s="575"/>
    </row>
    <row r="43" spans="1:17" ht="15" x14ac:dyDescent="0.2">
      <c r="A43" s="247"/>
      <c r="B43" s="575"/>
      <c r="C43" s="575"/>
      <c r="D43" s="1020"/>
      <c r="E43" s="1423" t="s">
        <v>1488</v>
      </c>
      <c r="F43" s="1423"/>
      <c r="G43" s="248">
        <f>G42/O28</f>
        <v>271.41913399999999</v>
      </c>
      <c r="H43" s="575"/>
      <c r="I43" s="249"/>
      <c r="J43" s="250"/>
      <c r="K43" s="251"/>
      <c r="L43" s="575"/>
      <c r="M43" s="575"/>
      <c r="N43" s="575"/>
      <c r="O43" s="575"/>
      <c r="P43" s="575"/>
    </row>
    <row r="44" spans="1:17" x14ac:dyDescent="0.2">
      <c r="A44" s="253"/>
      <c r="B44" s="249"/>
      <c r="C44" s="249"/>
      <c r="D44" s="249"/>
      <c r="E44" s="575"/>
      <c r="F44" s="254" t="s">
        <v>1</v>
      </c>
      <c r="G44" s="255">
        <f>G43</f>
        <v>271.41913399999999</v>
      </c>
      <c r="H44" s="256" t="s">
        <v>50</v>
      </c>
      <c r="I44" s="249" t="str">
        <f>P28</f>
        <v>m³</v>
      </c>
      <c r="J44" s="250"/>
      <c r="K44" s="251"/>
      <c r="L44" s="575"/>
      <c r="M44" s="575"/>
      <c r="N44" s="575"/>
      <c r="O44" s="575"/>
      <c r="P44" s="575"/>
    </row>
    <row r="45" spans="1:17" x14ac:dyDescent="0.2">
      <c r="A45" s="253"/>
      <c r="B45" s="249"/>
      <c r="C45" s="249"/>
      <c r="D45" s="249"/>
      <c r="E45" s="575"/>
      <c r="F45" s="254"/>
      <c r="G45" s="255"/>
      <c r="H45" s="256"/>
      <c r="I45" s="249"/>
      <c r="J45" s="250"/>
      <c r="K45" s="251"/>
      <c r="L45" s="575"/>
      <c r="M45" s="575"/>
      <c r="N45" s="575"/>
      <c r="O45" s="575"/>
      <c r="P45" s="575"/>
    </row>
    <row r="46" spans="1:17" s="1080" customFormat="1" x14ac:dyDescent="0.2">
      <c r="A46" s="575" t="s">
        <v>27</v>
      </c>
      <c r="B46" s="222">
        <f>B28+1</f>
        <v>3</v>
      </c>
      <c r="C46" s="223"/>
      <c r="D46" s="575"/>
      <c r="E46" s="575"/>
      <c r="F46" s="575"/>
      <c r="G46" s="575"/>
      <c r="H46" s="575" t="s">
        <v>20</v>
      </c>
      <c r="I46" s="575"/>
      <c r="J46" s="575"/>
      <c r="K46" s="575"/>
      <c r="L46" s="575"/>
      <c r="M46" s="575"/>
      <c r="N46" s="1158" t="s">
        <v>13</v>
      </c>
      <c r="O46" s="575">
        <v>90</v>
      </c>
      <c r="P46" s="223" t="s">
        <v>38</v>
      </c>
      <c r="Q46" s="261"/>
    </row>
    <row r="47" spans="1:17" s="1080" customFormat="1" x14ac:dyDescent="0.2">
      <c r="A47" s="224" t="s">
        <v>12</v>
      </c>
      <c r="B47" s="222" t="s">
        <v>1482</v>
      </c>
      <c r="C47" s="222"/>
      <c r="D47" s="222"/>
      <c r="E47" s="222"/>
      <c r="F47" s="222"/>
      <c r="G47" s="222"/>
      <c r="H47" s="222"/>
      <c r="I47" s="222"/>
      <c r="J47" s="222"/>
      <c r="K47" s="575"/>
      <c r="L47" s="575"/>
      <c r="M47" s="575"/>
      <c r="N47" s="575"/>
      <c r="O47" s="575"/>
      <c r="P47" s="575"/>
      <c r="Q47" s="261"/>
    </row>
    <row r="48" spans="1:17" s="1080" customFormat="1" x14ac:dyDescent="0.2">
      <c r="A48" s="224"/>
      <c r="B48" s="222" t="s">
        <v>1768</v>
      </c>
      <c r="C48" s="222"/>
      <c r="D48" s="222"/>
      <c r="E48" s="222"/>
      <c r="F48" s="222"/>
      <c r="G48" s="222"/>
      <c r="H48" s="222"/>
      <c r="I48" s="222"/>
      <c r="J48" s="222"/>
      <c r="K48" s="575"/>
      <c r="L48" s="575"/>
      <c r="M48" s="575"/>
      <c r="N48" s="575"/>
      <c r="O48" s="575"/>
      <c r="P48" s="575"/>
      <c r="Q48" s="261"/>
    </row>
    <row r="49" spans="1:17" s="1080" customFormat="1" x14ac:dyDescent="0.2">
      <c r="A49" s="225" t="s">
        <v>242</v>
      </c>
      <c r="B49" s="226" t="s">
        <v>15</v>
      </c>
      <c r="C49" s="227"/>
      <c r="D49" s="227"/>
      <c r="E49" s="227"/>
      <c r="F49" s="226"/>
      <c r="G49" s="1412" t="s">
        <v>16</v>
      </c>
      <c r="H49" s="1413"/>
      <c r="I49" s="1413"/>
      <c r="J49" s="1413"/>
      <c r="K49" s="1414"/>
      <c r="L49" s="227" t="s">
        <v>17</v>
      </c>
      <c r="M49" s="227"/>
      <c r="N49" s="227"/>
      <c r="O49" s="227"/>
      <c r="P49" s="227"/>
      <c r="Q49" s="261"/>
    </row>
    <row r="50" spans="1:17" s="1080" customFormat="1" x14ac:dyDescent="0.2">
      <c r="A50" s="225" t="s">
        <v>273</v>
      </c>
      <c r="B50" s="228" t="s">
        <v>18</v>
      </c>
      <c r="C50" s="229" t="s">
        <v>0</v>
      </c>
      <c r="D50" s="229" t="s">
        <v>5</v>
      </c>
      <c r="E50" s="229" t="s">
        <v>1</v>
      </c>
      <c r="F50" s="230" t="s">
        <v>2</v>
      </c>
      <c r="G50" s="228" t="s">
        <v>19</v>
      </c>
      <c r="H50" s="229" t="s">
        <v>0</v>
      </c>
      <c r="I50" s="229" t="s">
        <v>5</v>
      </c>
      <c r="J50" s="229" t="s">
        <v>1</v>
      </c>
      <c r="K50" s="230" t="s">
        <v>2</v>
      </c>
      <c r="L50" s="228" t="s">
        <v>19</v>
      </c>
      <c r="M50" s="229" t="s">
        <v>0</v>
      </c>
      <c r="N50" s="229" t="s">
        <v>5</v>
      </c>
      <c r="O50" s="229" t="s">
        <v>1</v>
      </c>
      <c r="P50" s="230" t="s">
        <v>2</v>
      </c>
      <c r="Q50" s="261"/>
    </row>
    <row r="51" spans="1:17" s="1080" customFormat="1" x14ac:dyDescent="0.2">
      <c r="A51" s="231" t="s">
        <v>1769</v>
      </c>
      <c r="B51" s="232"/>
      <c r="C51" s="233"/>
      <c r="D51" s="234"/>
      <c r="E51" s="235"/>
      <c r="F51" s="236"/>
      <c r="G51" s="237"/>
      <c r="H51" s="233"/>
      <c r="I51" s="234"/>
      <c r="J51" s="235"/>
      <c r="K51" s="236"/>
      <c r="L51" s="237"/>
      <c r="M51" s="233"/>
      <c r="N51" s="234"/>
      <c r="O51" s="235"/>
      <c r="P51" s="236"/>
      <c r="Q51" s="261"/>
    </row>
    <row r="52" spans="1:17" s="1080" customFormat="1" x14ac:dyDescent="0.2">
      <c r="A52" s="238"/>
      <c r="B52" s="1159" t="s">
        <v>202</v>
      </c>
      <c r="C52" s="1160" t="s">
        <v>46</v>
      </c>
      <c r="D52" s="1161">
        <v>1</v>
      </c>
      <c r="E52" s="1162">
        <f>skilled</f>
        <v>1070</v>
      </c>
      <c r="F52" s="1163">
        <f>ROUND(E52*D52,2)</f>
        <v>1070</v>
      </c>
      <c r="G52" s="1159"/>
      <c r="H52" s="1160"/>
      <c r="I52" s="1161"/>
      <c r="J52" s="1162"/>
      <c r="K52" s="1163"/>
      <c r="L52" s="1438" t="s">
        <v>1486</v>
      </c>
      <c r="M52" s="1426" t="s">
        <v>28</v>
      </c>
      <c r="N52" s="1427">
        <v>6</v>
      </c>
      <c r="O52" s="1428">
        <f>excavator</f>
        <v>5775</v>
      </c>
      <c r="P52" s="1424">
        <f>N52*O52</f>
        <v>34650</v>
      </c>
      <c r="Q52" s="261"/>
    </row>
    <row r="53" spans="1:17" s="1080" customFormat="1" x14ac:dyDescent="0.2">
      <c r="A53" s="239"/>
      <c r="B53" s="1159"/>
      <c r="C53" s="1160"/>
      <c r="D53" s="1161" t="s">
        <v>20</v>
      </c>
      <c r="E53" s="1162"/>
      <c r="F53" s="1163"/>
      <c r="G53" s="1159"/>
      <c r="H53" s="1160"/>
      <c r="I53" s="1161"/>
      <c r="J53" s="1162"/>
      <c r="K53" s="1163"/>
      <c r="L53" s="1438"/>
      <c r="M53" s="1426"/>
      <c r="N53" s="1427"/>
      <c r="O53" s="1428"/>
      <c r="P53" s="1424"/>
      <c r="Q53" s="261"/>
    </row>
    <row r="54" spans="1:17" s="1080" customFormat="1" ht="15" x14ac:dyDescent="0.2">
      <c r="A54" s="239"/>
      <c r="B54" s="1159" t="s">
        <v>21</v>
      </c>
      <c r="C54" s="1160" t="s">
        <v>46</v>
      </c>
      <c r="D54" s="240">
        <v>3</v>
      </c>
      <c r="E54" s="1162">
        <f>unskilled</f>
        <v>770</v>
      </c>
      <c r="F54" s="1163">
        <f>D54*E54</f>
        <v>2310</v>
      </c>
      <c r="G54" s="1164" t="s">
        <v>43</v>
      </c>
      <c r="H54" s="1165" t="s">
        <v>73</v>
      </c>
      <c r="I54" s="1166">
        <f>0.0833*0.9</f>
        <v>7.4969999999999995E-2</v>
      </c>
      <c r="J54" s="1167">
        <f>diesel</f>
        <v>160</v>
      </c>
      <c r="K54" s="1168">
        <f>J54*I54</f>
        <v>11.995199999999999</v>
      </c>
      <c r="L54" s="1159"/>
      <c r="M54" s="1160"/>
      <c r="N54" s="240"/>
      <c r="O54" s="1162"/>
      <c r="P54" s="1163"/>
      <c r="Q54" s="261"/>
    </row>
    <row r="55" spans="1:17" s="1080" customFormat="1" x14ac:dyDescent="0.2">
      <c r="A55" s="231"/>
      <c r="B55" s="1159"/>
      <c r="C55" s="1160"/>
      <c r="D55" s="1161"/>
      <c r="E55" s="1162"/>
      <c r="F55" s="1163"/>
      <c r="G55" s="1159"/>
      <c r="H55" s="1160"/>
      <c r="I55" s="1161"/>
      <c r="J55" s="1162"/>
      <c r="K55" s="1163"/>
      <c r="L55" s="1159"/>
      <c r="M55" s="1160"/>
      <c r="N55" s="1161"/>
      <c r="O55" s="1162"/>
      <c r="P55" s="1163"/>
      <c r="Q55" s="261"/>
    </row>
    <row r="56" spans="1:17" s="1080" customFormat="1" x14ac:dyDescent="0.2">
      <c r="A56" s="241"/>
      <c r="B56" s="242"/>
      <c r="C56" s="243"/>
      <c r="D56" s="243"/>
      <c r="E56" s="244" t="s">
        <v>39</v>
      </c>
      <c r="F56" s="245">
        <f>SUM(F52:F55)</f>
        <v>3380</v>
      </c>
      <c r="G56" s="242"/>
      <c r="H56" s="243"/>
      <c r="I56" s="243"/>
      <c r="J56" s="244" t="s">
        <v>40</v>
      </c>
      <c r="K56" s="245">
        <f>SUM(K52:K55)</f>
        <v>11.995199999999999</v>
      </c>
      <c r="L56" s="242"/>
      <c r="M56" s="243"/>
      <c r="N56" s="243"/>
      <c r="O56" s="246" t="s">
        <v>41</v>
      </c>
      <c r="P56" s="245">
        <f>SUM(P52:P55)</f>
        <v>34650</v>
      </c>
      <c r="Q56" s="261"/>
    </row>
    <row r="57" spans="1:17" s="1080" customFormat="1" ht="15" x14ac:dyDescent="0.25">
      <c r="A57" s="247"/>
      <c r="B57" s="575"/>
      <c r="C57" s="575"/>
      <c r="D57" s="575"/>
      <c r="E57" s="575"/>
      <c r="F57" s="1169" t="s">
        <v>29</v>
      </c>
      <c r="G57" s="1170">
        <f>F56+K56+P56</f>
        <v>38041.995199999998</v>
      </c>
      <c r="H57" s="575"/>
      <c r="I57" s="249"/>
      <c r="J57" s="250"/>
      <c r="K57" s="251"/>
      <c r="L57" s="575"/>
      <c r="M57" s="575"/>
      <c r="N57" s="575"/>
      <c r="O57" s="575"/>
      <c r="P57" s="575"/>
      <c r="Q57" s="261"/>
    </row>
    <row r="58" spans="1:17" s="1080" customFormat="1" ht="15" x14ac:dyDescent="0.25">
      <c r="A58" s="247"/>
      <c r="B58" s="575"/>
      <c r="C58" s="575"/>
      <c r="D58" s="1443" t="s">
        <v>1770</v>
      </c>
      <c r="E58" s="1443"/>
      <c r="F58" s="1443"/>
      <c r="G58" s="1170">
        <f>G57*0.1</f>
        <v>3804.1995200000001</v>
      </c>
      <c r="H58" s="575"/>
      <c r="I58" s="249"/>
      <c r="J58" s="250"/>
      <c r="K58" s="251"/>
      <c r="L58" s="575"/>
      <c r="M58" s="575"/>
      <c r="N58" s="575"/>
      <c r="O58" s="575"/>
      <c r="P58" s="575"/>
      <c r="Q58" s="261"/>
    </row>
    <row r="59" spans="1:17" s="1080" customFormat="1" x14ac:dyDescent="0.2">
      <c r="A59" s="247"/>
      <c r="B59" s="575"/>
      <c r="C59" s="575"/>
      <c r="D59" s="575"/>
      <c r="E59" s="575"/>
      <c r="F59" s="252" t="s">
        <v>31</v>
      </c>
      <c r="G59" s="248">
        <f>G57*0.15</f>
        <v>5706.2992799999993</v>
      </c>
      <c r="H59" s="575"/>
      <c r="I59" s="249"/>
      <c r="J59" s="250"/>
      <c r="K59" s="251"/>
      <c r="L59" s="575"/>
      <c r="M59" s="575"/>
      <c r="N59" s="575"/>
      <c r="O59" s="575"/>
      <c r="P59" s="575"/>
      <c r="Q59" s="261"/>
    </row>
    <row r="60" spans="1:17" s="1080" customFormat="1" x14ac:dyDescent="0.2">
      <c r="A60" s="247"/>
      <c r="B60" s="575"/>
      <c r="C60" s="575"/>
      <c r="D60" s="1423" t="str">
        <f>"Rate of"&amp;O46&amp;P46&amp;":"</f>
        <v>Rate of90m³:</v>
      </c>
      <c r="E60" s="1423"/>
      <c r="F60" s="1423"/>
      <c r="G60" s="248">
        <f>SUM(G57:G59)</f>
        <v>47552.493999999999</v>
      </c>
      <c r="H60" s="575"/>
      <c r="I60" s="249"/>
      <c r="J60" s="250"/>
      <c r="K60" s="251"/>
      <c r="L60" s="575"/>
      <c r="M60" s="575"/>
      <c r="N60" s="575"/>
      <c r="O60" s="575"/>
      <c r="P60" s="575"/>
      <c r="Q60" s="261"/>
    </row>
    <row r="61" spans="1:17" s="1080" customFormat="1" ht="15" x14ac:dyDescent="0.2">
      <c r="A61" s="247"/>
      <c r="B61" s="575"/>
      <c r="C61" s="575"/>
      <c r="D61" s="1158"/>
      <c r="E61" s="1423" t="s">
        <v>1488</v>
      </c>
      <c r="F61" s="1423"/>
      <c r="G61" s="248">
        <f>G60/O46</f>
        <v>528.36104444444447</v>
      </c>
      <c r="H61" s="575"/>
      <c r="I61" s="249"/>
      <c r="J61" s="250"/>
      <c r="K61" s="251"/>
      <c r="L61" s="575"/>
      <c r="M61" s="575"/>
      <c r="N61" s="575"/>
      <c r="O61" s="575"/>
      <c r="P61" s="575"/>
      <c r="Q61" s="261"/>
    </row>
    <row r="62" spans="1:17" s="1080" customFormat="1" x14ac:dyDescent="0.2">
      <c r="A62" s="253"/>
      <c r="B62" s="249"/>
      <c r="C62" s="249"/>
      <c r="D62" s="249"/>
      <c r="E62" s="575"/>
      <c r="F62" s="254" t="s">
        <v>1</v>
      </c>
      <c r="G62" s="255">
        <f>G61</f>
        <v>528.36104444444447</v>
      </c>
      <c r="H62" s="256" t="s">
        <v>50</v>
      </c>
      <c r="I62" s="249" t="str">
        <f>P46</f>
        <v>m³</v>
      </c>
      <c r="J62" s="250"/>
      <c r="K62" s="251"/>
      <c r="L62" s="575"/>
      <c r="M62" s="575"/>
      <c r="N62" s="575"/>
      <c r="O62" s="575"/>
      <c r="P62" s="575"/>
      <c r="Q62" s="261"/>
    </row>
    <row r="63" spans="1:17" s="1080" customFormat="1" x14ac:dyDescent="0.2">
      <c r="A63" s="253"/>
      <c r="B63" s="249"/>
      <c r="C63" s="249"/>
      <c r="D63" s="249"/>
      <c r="E63" s="575"/>
      <c r="F63" s="254"/>
      <c r="G63" s="255"/>
      <c r="H63" s="256"/>
      <c r="I63" s="249"/>
      <c r="J63" s="250"/>
      <c r="K63" s="251"/>
      <c r="L63" s="575"/>
      <c r="M63" s="575"/>
      <c r="N63" s="575"/>
      <c r="O63" s="575"/>
      <c r="P63" s="575"/>
      <c r="Q63" s="261"/>
    </row>
    <row r="64" spans="1:17" s="652" customFormat="1" x14ac:dyDescent="0.2">
      <c r="A64" s="575" t="s">
        <v>27</v>
      </c>
      <c r="B64" s="223">
        <f>B46+1</f>
        <v>4</v>
      </c>
      <c r="N64" s="1020" t="s">
        <v>13</v>
      </c>
      <c r="O64" s="248">
        <v>5</v>
      </c>
      <c r="P64" s="222" t="s">
        <v>38</v>
      </c>
    </row>
    <row r="65" spans="1:17" s="652" customFormat="1" ht="11.25" x14ac:dyDescent="0.2">
      <c r="A65" s="656" t="s">
        <v>1595</v>
      </c>
      <c r="B65" s="1431" t="s">
        <v>1653</v>
      </c>
      <c r="C65" s="1431"/>
      <c r="D65" s="1431"/>
      <c r="E65" s="1431"/>
      <c r="F65" s="1431"/>
      <c r="G65" s="1431"/>
      <c r="H65" s="1431"/>
      <c r="I65" s="1431"/>
      <c r="J65" s="1431"/>
      <c r="K65" s="1431"/>
      <c r="L65" s="1431"/>
      <c r="M65" s="1431"/>
      <c r="N65" s="649"/>
      <c r="O65" s="649"/>
      <c r="P65" s="649"/>
      <c r="Q65" s="655"/>
    </row>
    <row r="66" spans="1:17" s="652" customFormat="1" ht="13.5" customHeight="1" x14ac:dyDescent="0.2">
      <c r="A66" s="649" t="s">
        <v>0</v>
      </c>
      <c r="B66" s="649" t="s">
        <v>1597</v>
      </c>
      <c r="C66" s="649"/>
      <c r="D66" s="650" t="s">
        <v>1598</v>
      </c>
      <c r="E66" s="651">
        <f>O64</f>
        <v>5</v>
      </c>
      <c r="F66" s="649" t="s">
        <v>1597</v>
      </c>
      <c r="G66" s="657"/>
      <c r="H66" s="658"/>
      <c r="I66" s="658"/>
      <c r="J66" s="658"/>
      <c r="K66" s="658"/>
      <c r="L66" s="658"/>
      <c r="M66" s="658"/>
      <c r="N66" s="658"/>
      <c r="O66" s="658"/>
      <c r="P66" s="658"/>
      <c r="Q66" s="649"/>
    </row>
    <row r="67" spans="1:17" s="652" customFormat="1" ht="12.75" customHeight="1" x14ac:dyDescent="0.2">
      <c r="A67" s="225" t="s">
        <v>1661</v>
      </c>
      <c r="B67" s="226" t="s">
        <v>15</v>
      </c>
      <c r="C67" s="227"/>
      <c r="D67" s="227"/>
      <c r="E67" s="227"/>
      <c r="F67" s="226"/>
      <c r="G67" s="1412" t="s">
        <v>1599</v>
      </c>
      <c r="H67" s="1413"/>
      <c r="I67" s="1413"/>
      <c r="J67" s="1413"/>
      <c r="K67" s="1414"/>
      <c r="L67" s="227" t="s">
        <v>17</v>
      </c>
      <c r="M67" s="227"/>
      <c r="N67" s="227"/>
      <c r="O67" s="227"/>
      <c r="P67" s="227"/>
      <c r="Q67" s="649"/>
    </row>
    <row r="68" spans="1:17" s="652" customFormat="1" ht="12.75" customHeight="1" x14ac:dyDescent="0.2">
      <c r="A68" s="225" t="s">
        <v>273</v>
      </c>
      <c r="B68" s="228" t="s">
        <v>19</v>
      </c>
      <c r="C68" s="229" t="s">
        <v>0</v>
      </c>
      <c r="D68" s="229" t="s">
        <v>1600</v>
      </c>
      <c r="E68" s="229" t="s">
        <v>1</v>
      </c>
      <c r="F68" s="230" t="s">
        <v>2</v>
      </c>
      <c r="G68" s="228" t="s">
        <v>19</v>
      </c>
      <c r="H68" s="229" t="s">
        <v>0</v>
      </c>
      <c r="I68" s="229" t="s">
        <v>1600</v>
      </c>
      <c r="J68" s="229" t="s">
        <v>1</v>
      </c>
      <c r="K68" s="230" t="s">
        <v>2</v>
      </c>
      <c r="L68" s="228" t="s">
        <v>19</v>
      </c>
      <c r="M68" s="229" t="s">
        <v>0</v>
      </c>
      <c r="N68" s="229" t="s">
        <v>1600</v>
      </c>
      <c r="O68" s="229" t="s">
        <v>1</v>
      </c>
      <c r="P68" s="230" t="s">
        <v>2</v>
      </c>
      <c r="Q68" s="649"/>
    </row>
    <row r="69" spans="1:17" s="652" customFormat="1" ht="11.25" customHeight="1" x14ac:dyDescent="0.2">
      <c r="A69" s="258">
        <v>10.8</v>
      </c>
      <c r="B69" s="237" t="s">
        <v>32</v>
      </c>
      <c r="C69" s="233" t="s">
        <v>46</v>
      </c>
      <c r="D69" s="234">
        <v>6</v>
      </c>
      <c r="E69" s="235">
        <f>skilled</f>
        <v>1070</v>
      </c>
      <c r="F69" s="236">
        <f>TRUNC(E69*D69,2)</f>
        <v>6420</v>
      </c>
      <c r="G69" s="237" t="s">
        <v>91</v>
      </c>
      <c r="H69" s="233" t="s">
        <v>277</v>
      </c>
      <c r="I69" s="234">
        <v>6</v>
      </c>
      <c r="J69" s="235">
        <f>stone</f>
        <v>2075.9</v>
      </c>
      <c r="K69" s="236">
        <f>TRUNC(J69*I69,2)</f>
        <v>12455.4</v>
      </c>
      <c r="L69" s="237"/>
      <c r="M69" s="233"/>
      <c r="N69" s="234"/>
      <c r="O69" s="235"/>
      <c r="P69" s="236"/>
      <c r="Q69" s="649"/>
    </row>
    <row r="70" spans="1:17" s="652" customFormat="1" ht="12.75" customHeight="1" x14ac:dyDescent="0.2">
      <c r="A70" s="231"/>
      <c r="B70" s="1021" t="s">
        <v>21</v>
      </c>
      <c r="C70" s="1022" t="s">
        <v>46</v>
      </c>
      <c r="D70" s="1023">
        <v>12</v>
      </c>
      <c r="E70" s="1024">
        <f>unskilled</f>
        <v>770</v>
      </c>
      <c r="F70" s="1025">
        <f>TRUNC(E70*D70,2)</f>
        <v>9240</v>
      </c>
      <c r="G70" s="1035"/>
      <c r="H70" s="1022"/>
      <c r="I70" s="1023"/>
      <c r="J70" s="1024"/>
      <c r="K70" s="1025"/>
      <c r="L70" s="259"/>
      <c r="M70" s="1022"/>
      <c r="N70" s="1023"/>
      <c r="O70" s="1024"/>
      <c r="P70" s="1025"/>
      <c r="Q70" s="649"/>
    </row>
    <row r="71" spans="1:17" s="652" customFormat="1" ht="12.75" customHeight="1" x14ac:dyDescent="0.2">
      <c r="A71" s="260"/>
      <c r="B71" s="1021"/>
      <c r="C71" s="1022"/>
      <c r="D71" s="1023"/>
      <c r="E71" s="1024"/>
      <c r="F71" s="1025"/>
      <c r="G71" s="1035"/>
      <c r="H71" s="1022"/>
      <c r="I71" s="1023"/>
      <c r="J71" s="1024"/>
      <c r="K71" s="1025"/>
      <c r="L71" s="1021"/>
      <c r="M71" s="1022"/>
      <c r="N71" s="1023"/>
      <c r="O71" s="1024"/>
      <c r="P71" s="1025"/>
      <c r="Q71" s="649"/>
    </row>
    <row r="72" spans="1:17" s="652" customFormat="1" ht="12.75" customHeight="1" x14ac:dyDescent="0.2">
      <c r="A72" s="231"/>
      <c r="B72" s="1021"/>
      <c r="C72" s="1022"/>
      <c r="D72" s="1023"/>
      <c r="E72" s="1024"/>
      <c r="F72" s="1025"/>
      <c r="G72" s="1035"/>
      <c r="H72" s="1022"/>
      <c r="I72" s="1023"/>
      <c r="J72" s="1024"/>
      <c r="K72" s="1025"/>
      <c r="L72" s="1021"/>
      <c r="M72" s="1022"/>
      <c r="N72" s="1023"/>
      <c r="O72" s="1024"/>
      <c r="P72" s="1025"/>
      <c r="Q72" s="649"/>
    </row>
    <row r="73" spans="1:17" s="652" customFormat="1" ht="13.5" customHeight="1" x14ac:dyDescent="0.2">
      <c r="A73" s="231"/>
      <c r="B73" s="1021"/>
      <c r="C73" s="1022"/>
      <c r="D73" s="1023"/>
      <c r="E73" s="1024"/>
      <c r="F73" s="1025"/>
      <c r="G73" s="659"/>
      <c r="H73" s="660"/>
      <c r="I73" s="661"/>
      <c r="J73" s="662"/>
      <c r="K73" s="663"/>
      <c r="L73" s="1021"/>
      <c r="M73" s="1022"/>
      <c r="N73" s="1023"/>
      <c r="O73" s="1024"/>
      <c r="P73" s="1025"/>
      <c r="Q73" s="649"/>
    </row>
    <row r="74" spans="1:17" s="652" customFormat="1" ht="13.5" customHeight="1" x14ac:dyDescent="0.2">
      <c r="A74" s="664" t="s">
        <v>194</v>
      </c>
      <c r="B74" s="1429" t="s">
        <v>1622</v>
      </c>
      <c r="C74" s="1430"/>
      <c r="D74" s="1430"/>
      <c r="E74" s="665" t="s">
        <v>1601</v>
      </c>
      <c r="F74" s="665">
        <f>SUM(F69:F73)</f>
        <v>15660</v>
      </c>
      <c r="G74" s="1429" t="s">
        <v>40</v>
      </c>
      <c r="H74" s="1430"/>
      <c r="I74" s="1430"/>
      <c r="J74" s="667" t="s">
        <v>1601</v>
      </c>
      <c r="K74" s="668">
        <f>SUM(K69:K73)</f>
        <v>12455.4</v>
      </c>
      <c r="L74" s="1430" t="s">
        <v>41</v>
      </c>
      <c r="M74" s="1430"/>
      <c r="N74" s="1430"/>
      <c r="O74" s="665" t="s">
        <v>1601</v>
      </c>
      <c r="P74" s="666">
        <f>SUM(P69:P73)</f>
        <v>0</v>
      </c>
      <c r="Q74" s="649"/>
    </row>
    <row r="75" spans="1:17" x14ac:dyDescent="0.2">
      <c r="A75" s="247"/>
      <c r="B75" s="575"/>
      <c r="C75" s="575"/>
      <c r="D75" s="575"/>
      <c r="E75" s="575"/>
      <c r="F75" s="1020" t="s">
        <v>29</v>
      </c>
      <c r="G75" s="248">
        <f>F74+K74+P74</f>
        <v>28115.4</v>
      </c>
      <c r="H75" s="575"/>
      <c r="I75" s="249"/>
      <c r="J75" s="250"/>
      <c r="K75" s="251"/>
      <c r="L75" s="575"/>
      <c r="M75" s="575"/>
      <c r="N75" s="575"/>
      <c r="O75" s="575"/>
      <c r="P75" s="575"/>
    </row>
    <row r="76" spans="1:17" x14ac:dyDescent="0.2">
      <c r="A76" s="247"/>
      <c r="B76" s="575"/>
      <c r="C76" s="575"/>
      <c r="D76" s="575"/>
      <c r="E76" s="575"/>
      <c r="F76" s="252" t="s">
        <v>31</v>
      </c>
      <c r="G76" s="248">
        <f>0.15*G75</f>
        <v>4217.3100000000004</v>
      </c>
      <c r="H76" s="575"/>
      <c r="I76" s="249"/>
      <c r="J76" s="250"/>
      <c r="K76" s="251"/>
      <c r="L76" s="575"/>
      <c r="M76" s="575"/>
      <c r="N76" s="575"/>
      <c r="O76" s="575"/>
      <c r="P76" s="575"/>
    </row>
    <row r="77" spans="1:17" ht="15" x14ac:dyDescent="0.25">
      <c r="A77" s="253"/>
      <c r="B77" s="249"/>
      <c r="C77" s="249"/>
      <c r="D77" s="249"/>
      <c r="E77" s="575"/>
      <c r="F77" s="277" t="str">
        <f>"Rate for "&amp;O64&amp;" m² :"</f>
        <v>Rate for 5 m² :</v>
      </c>
      <c r="G77" s="1012">
        <f>SUM(G75:G76)</f>
        <v>32332.710000000003</v>
      </c>
      <c r="H77" s="256"/>
      <c r="I77" s="249"/>
      <c r="J77" s="250"/>
      <c r="K77" s="251"/>
      <c r="L77" s="575"/>
      <c r="M77" s="575"/>
      <c r="N77" s="575"/>
      <c r="O77" s="575"/>
      <c r="P77" s="575"/>
    </row>
    <row r="78" spans="1:17" x14ac:dyDescent="0.2">
      <c r="A78" s="247"/>
      <c r="B78" s="575"/>
      <c r="C78" s="575"/>
      <c r="D78" s="575"/>
      <c r="E78" s="1027"/>
      <c r="F78" s="277" t="s">
        <v>1494</v>
      </c>
      <c r="G78" s="278">
        <f>G77/O64</f>
        <v>6466.5420000000004</v>
      </c>
      <c r="H78" s="575"/>
      <c r="I78" s="249"/>
      <c r="J78" s="256"/>
      <c r="K78" s="275"/>
      <c r="L78" s="575"/>
      <c r="M78" s="575"/>
      <c r="N78" s="575"/>
      <c r="O78" s="575"/>
      <c r="P78" s="575"/>
    </row>
    <row r="79" spans="1:17" x14ac:dyDescent="0.2">
      <c r="A79" s="253"/>
      <c r="B79" s="249"/>
      <c r="C79" s="249"/>
      <c r="D79" s="249"/>
      <c r="E79" s="249"/>
      <c r="F79" s="254" t="s">
        <v>1</v>
      </c>
      <c r="G79" s="255">
        <f>G78</f>
        <v>6466.5420000000004</v>
      </c>
      <c r="H79" s="249" t="s">
        <v>30</v>
      </c>
      <c r="I79" s="222" t="s">
        <v>38</v>
      </c>
      <c r="J79" s="256"/>
      <c r="K79" s="275"/>
      <c r="L79" s="275"/>
      <c r="M79" s="275"/>
      <c r="N79" s="575"/>
      <c r="O79" s="575"/>
      <c r="P79" s="575"/>
    </row>
    <row r="80" spans="1:17" s="652" customFormat="1" ht="11.25" x14ac:dyDescent="0.2"/>
    <row r="81" spans="1:17" s="652" customFormat="1" x14ac:dyDescent="0.2">
      <c r="A81" s="575" t="s">
        <v>27</v>
      </c>
      <c r="B81" s="223">
        <f>B64+1</f>
        <v>5</v>
      </c>
      <c r="N81" s="1020" t="s">
        <v>13</v>
      </c>
      <c r="O81" s="248">
        <v>10</v>
      </c>
      <c r="P81" s="222" t="s">
        <v>38</v>
      </c>
    </row>
    <row r="82" spans="1:17" s="652" customFormat="1" ht="11.25" x14ac:dyDescent="0.2">
      <c r="A82" s="656" t="s">
        <v>1595</v>
      </c>
      <c r="B82" s="1431" t="s">
        <v>1623</v>
      </c>
      <c r="C82" s="1431"/>
      <c r="D82" s="1431"/>
      <c r="E82" s="1431"/>
      <c r="F82" s="1431"/>
      <c r="G82" s="1431"/>
      <c r="H82" s="1431"/>
      <c r="I82" s="1431"/>
      <c r="J82" s="1431"/>
      <c r="K82" s="1431"/>
      <c r="L82" s="1431"/>
      <c r="M82" s="1431"/>
      <c r="N82" s="649"/>
      <c r="O82" s="649"/>
      <c r="P82" s="649"/>
      <c r="Q82" s="655"/>
    </row>
    <row r="83" spans="1:17" s="652" customFormat="1" ht="13.5" customHeight="1" x14ac:dyDescent="0.2">
      <c r="A83" s="649" t="s">
        <v>0</v>
      </c>
      <c r="B83" s="649" t="s">
        <v>1597</v>
      </c>
      <c r="C83" s="649"/>
      <c r="D83" s="650" t="s">
        <v>1598</v>
      </c>
      <c r="E83" s="651">
        <v>10</v>
      </c>
      <c r="F83" s="649" t="s">
        <v>1597</v>
      </c>
      <c r="G83" s="657"/>
      <c r="H83" s="658"/>
      <c r="I83" s="658"/>
      <c r="J83" s="658"/>
      <c r="K83" s="658"/>
      <c r="L83" s="658"/>
      <c r="M83" s="658"/>
      <c r="N83" s="658"/>
      <c r="O83" s="658"/>
      <c r="P83" s="658"/>
      <c r="Q83" s="649"/>
    </row>
    <row r="84" spans="1:17" s="652" customFormat="1" ht="12.75" customHeight="1" x14ac:dyDescent="0.2">
      <c r="A84" s="225" t="s">
        <v>1594</v>
      </c>
      <c r="B84" s="226" t="s">
        <v>15</v>
      </c>
      <c r="C84" s="227"/>
      <c r="D84" s="227"/>
      <c r="E84" s="227"/>
      <c r="F84" s="226"/>
      <c r="G84" s="1412" t="s">
        <v>1599</v>
      </c>
      <c r="H84" s="1413"/>
      <c r="I84" s="1413"/>
      <c r="J84" s="1413"/>
      <c r="K84" s="1414"/>
      <c r="L84" s="227" t="s">
        <v>17</v>
      </c>
      <c r="M84" s="227"/>
      <c r="N84" s="227"/>
      <c r="O84" s="227"/>
      <c r="P84" s="227"/>
      <c r="Q84" s="649"/>
    </row>
    <row r="85" spans="1:17" s="652" customFormat="1" ht="12.75" customHeight="1" x14ac:dyDescent="0.2">
      <c r="A85" s="225" t="s">
        <v>273</v>
      </c>
      <c r="B85" s="228" t="s">
        <v>19</v>
      </c>
      <c r="C85" s="229" t="s">
        <v>0</v>
      </c>
      <c r="D85" s="229" t="s">
        <v>1600</v>
      </c>
      <c r="E85" s="229" t="s">
        <v>1</v>
      </c>
      <c r="F85" s="230" t="s">
        <v>2</v>
      </c>
      <c r="G85" s="228" t="s">
        <v>19</v>
      </c>
      <c r="H85" s="229" t="s">
        <v>0</v>
      </c>
      <c r="I85" s="229" t="s">
        <v>1600</v>
      </c>
      <c r="J85" s="229" t="s">
        <v>1</v>
      </c>
      <c r="K85" s="230" t="s">
        <v>2</v>
      </c>
      <c r="L85" s="228" t="s">
        <v>19</v>
      </c>
      <c r="M85" s="229" t="s">
        <v>0</v>
      </c>
      <c r="N85" s="229" t="s">
        <v>1600</v>
      </c>
      <c r="O85" s="229" t="s">
        <v>1</v>
      </c>
      <c r="P85" s="230" t="s">
        <v>2</v>
      </c>
      <c r="Q85" s="649"/>
    </row>
    <row r="86" spans="1:17" s="652" customFormat="1" ht="11.25" customHeight="1" x14ac:dyDescent="0.2">
      <c r="A86" s="258" t="s">
        <v>1617</v>
      </c>
      <c r="B86" s="237" t="s">
        <v>32</v>
      </c>
      <c r="C86" s="233" t="s">
        <v>46</v>
      </c>
      <c r="D86" s="234">
        <f>TRUNC(0.2,2)</f>
        <v>0.2</v>
      </c>
      <c r="E86" s="235">
        <f>skilled</f>
        <v>1070</v>
      </c>
      <c r="F86" s="236">
        <f>TRUNC(E86*D86,2)</f>
        <v>214</v>
      </c>
      <c r="G86" s="237" t="s">
        <v>1618</v>
      </c>
      <c r="H86" s="233" t="s">
        <v>277</v>
      </c>
      <c r="I86" s="234">
        <v>11</v>
      </c>
      <c r="J86" s="235">
        <f>filtermat</f>
        <v>2174.1999999999998</v>
      </c>
      <c r="K86" s="236">
        <f>TRUNC(J86*I86,2)</f>
        <v>23916.2</v>
      </c>
      <c r="L86" s="237" t="s">
        <v>1619</v>
      </c>
      <c r="M86" s="233" t="s">
        <v>23</v>
      </c>
      <c r="N86" s="234">
        <v>2.5</v>
      </c>
      <c r="O86" s="235">
        <f>Rammer</f>
        <v>331</v>
      </c>
      <c r="P86" s="236">
        <f>O86*N86</f>
        <v>827.5</v>
      </c>
      <c r="Q86" s="649"/>
    </row>
    <row r="87" spans="1:17" s="652" customFormat="1" ht="12.75" customHeight="1" x14ac:dyDescent="0.2">
      <c r="A87" s="231"/>
      <c r="B87" s="1021" t="s">
        <v>21</v>
      </c>
      <c r="C87" s="1022" t="s">
        <v>46</v>
      </c>
      <c r="D87" s="1023">
        <f>TRUNC(5,2)</f>
        <v>5</v>
      </c>
      <c r="E87" s="1024">
        <f>unskilled</f>
        <v>770</v>
      </c>
      <c r="F87" s="1025">
        <f>TRUNC(E87*D87,2)</f>
        <v>3850</v>
      </c>
      <c r="G87" s="1035"/>
      <c r="H87" s="1022"/>
      <c r="I87" s="1023"/>
      <c r="J87" s="1024"/>
      <c r="K87" s="1025"/>
      <c r="L87" s="259"/>
      <c r="M87" s="1022"/>
      <c r="N87" s="1023"/>
      <c r="O87" s="1024"/>
      <c r="P87" s="1025"/>
      <c r="Q87" s="649"/>
    </row>
    <row r="88" spans="1:17" s="652" customFormat="1" ht="12.75" customHeight="1" x14ac:dyDescent="0.2">
      <c r="A88" s="260"/>
      <c r="B88" s="1021"/>
      <c r="C88" s="1022"/>
      <c r="D88" s="1023"/>
      <c r="E88" s="1024"/>
      <c r="F88" s="1025"/>
      <c r="G88" s="1035" t="s">
        <v>51</v>
      </c>
      <c r="H88" s="1022" t="s">
        <v>1616</v>
      </c>
      <c r="I88" s="1023">
        <f>TRUNC(1,2)</f>
        <v>1</v>
      </c>
      <c r="J88" s="1024">
        <f>water*1000</f>
        <v>249.55999999999997</v>
      </c>
      <c r="K88" s="1025">
        <f>TRUNC(J88*I88,2)</f>
        <v>249.56</v>
      </c>
      <c r="L88" s="1021"/>
      <c r="M88" s="1022"/>
      <c r="N88" s="1023"/>
      <c r="O88" s="1024"/>
      <c r="P88" s="1025"/>
      <c r="Q88" s="649"/>
    </row>
    <row r="89" spans="1:17" s="652" customFormat="1" ht="12.75" customHeight="1" x14ac:dyDescent="0.2">
      <c r="A89" s="231"/>
      <c r="B89" s="1021"/>
      <c r="C89" s="1022"/>
      <c r="D89" s="1023"/>
      <c r="E89" s="1024"/>
      <c r="F89" s="1025"/>
      <c r="G89" s="1035"/>
      <c r="H89" s="1022"/>
      <c r="I89" s="1023"/>
      <c r="J89" s="1024"/>
      <c r="K89" s="1025"/>
      <c r="L89" s="1021"/>
      <c r="M89" s="1022"/>
      <c r="N89" s="1023"/>
      <c r="O89" s="1024"/>
      <c r="P89" s="1025"/>
      <c r="Q89" s="649"/>
    </row>
    <row r="90" spans="1:17" s="652" customFormat="1" ht="13.5" customHeight="1" x14ac:dyDescent="0.2">
      <c r="A90" s="231"/>
      <c r="B90" s="1021"/>
      <c r="C90" s="1022"/>
      <c r="D90" s="1023"/>
      <c r="E90" s="1024"/>
      <c r="F90" s="1025"/>
      <c r="G90" s="659"/>
      <c r="H90" s="660"/>
      <c r="I90" s="661"/>
      <c r="J90" s="662"/>
      <c r="K90" s="663"/>
      <c r="L90" s="1021"/>
      <c r="M90" s="1022"/>
      <c r="N90" s="1023"/>
      <c r="O90" s="1024"/>
      <c r="P90" s="1025"/>
      <c r="Q90" s="649"/>
    </row>
    <row r="91" spans="1:17" s="652" customFormat="1" ht="13.5" customHeight="1" x14ac:dyDescent="0.2">
      <c r="A91" s="664" t="s">
        <v>194</v>
      </c>
      <c r="B91" s="1429" t="s">
        <v>1622</v>
      </c>
      <c r="C91" s="1430"/>
      <c r="D91" s="1430"/>
      <c r="E91" s="665" t="s">
        <v>1601</v>
      </c>
      <c r="F91" s="665">
        <f>SUM(F86:F90)</f>
        <v>4064</v>
      </c>
      <c r="G91" s="1429" t="s">
        <v>40</v>
      </c>
      <c r="H91" s="1430"/>
      <c r="I91" s="1430"/>
      <c r="J91" s="667" t="s">
        <v>1601</v>
      </c>
      <c r="K91" s="668">
        <f>SUM(K86:K90)</f>
        <v>24165.760000000002</v>
      </c>
      <c r="L91" s="1430" t="s">
        <v>41</v>
      </c>
      <c r="M91" s="1430"/>
      <c r="N91" s="1430"/>
      <c r="O91" s="665" t="s">
        <v>1601</v>
      </c>
      <c r="P91" s="666">
        <f>SUM(P86:P90)</f>
        <v>827.5</v>
      </c>
      <c r="Q91" s="649"/>
    </row>
    <row r="92" spans="1:17" x14ac:dyDescent="0.2">
      <c r="A92" s="247"/>
      <c r="B92" s="575"/>
      <c r="C92" s="575"/>
      <c r="D92" s="575"/>
      <c r="E92" s="575"/>
      <c r="F92" s="1020" t="s">
        <v>29</v>
      </c>
      <c r="G92" s="248">
        <f>F91+K91+P91</f>
        <v>29057.260000000002</v>
      </c>
      <c r="H92" s="575"/>
      <c r="I92" s="249"/>
      <c r="J92" s="250"/>
      <c r="K92" s="251"/>
      <c r="L92" s="575"/>
      <c r="M92" s="575"/>
      <c r="N92" s="575"/>
      <c r="O92" s="575"/>
      <c r="P92" s="575"/>
    </row>
    <row r="93" spans="1:17" x14ac:dyDescent="0.2">
      <c r="A93" s="247"/>
      <c r="B93" s="575"/>
      <c r="C93" s="575"/>
      <c r="D93" s="575"/>
      <c r="E93" s="575"/>
      <c r="F93" s="252" t="s">
        <v>31</v>
      </c>
      <c r="G93" s="248">
        <f>0.15*G92</f>
        <v>4358.5889999999999</v>
      </c>
      <c r="H93" s="575"/>
      <c r="I93" s="249"/>
      <c r="J93" s="250"/>
      <c r="K93" s="251"/>
      <c r="L93" s="575"/>
      <c r="M93" s="575"/>
      <c r="N93" s="575"/>
      <c r="O93" s="575"/>
      <c r="P93" s="575"/>
    </row>
    <row r="94" spans="1:17" ht="15" x14ac:dyDescent="0.25">
      <c r="A94" s="253"/>
      <c r="B94" s="249"/>
      <c r="C94" s="249"/>
      <c r="D94" s="249"/>
      <c r="E94" s="575"/>
      <c r="F94" s="277" t="str">
        <f>"Rate for "&amp;O81&amp;" m² :"</f>
        <v>Rate for 10 m² :</v>
      </c>
      <c r="G94" s="1012">
        <f>SUM(G92:G93)</f>
        <v>33415.849000000002</v>
      </c>
      <c r="H94" s="256"/>
      <c r="I94" s="249"/>
      <c r="J94" s="250"/>
      <c r="K94" s="251"/>
      <c r="L94" s="575"/>
      <c r="M94" s="575"/>
      <c r="N94" s="575"/>
      <c r="O94" s="575"/>
      <c r="P94" s="575"/>
    </row>
    <row r="95" spans="1:17" x14ac:dyDescent="0.2">
      <c r="A95" s="247"/>
      <c r="B95" s="575"/>
      <c r="C95" s="575"/>
      <c r="D95" s="575"/>
      <c r="E95" s="1027"/>
      <c r="F95" s="277" t="s">
        <v>1494</v>
      </c>
      <c r="G95" s="278">
        <f>G94/O81</f>
        <v>3341.5849000000003</v>
      </c>
      <c r="H95" s="575"/>
      <c r="I95" s="249"/>
      <c r="J95" s="256"/>
      <c r="K95" s="275"/>
      <c r="L95" s="575"/>
      <c r="M95" s="575"/>
      <c r="N95" s="575"/>
      <c r="O95" s="575"/>
      <c r="P95" s="575"/>
    </row>
    <row r="96" spans="1:17" x14ac:dyDescent="0.2">
      <c r="A96" s="253"/>
      <c r="B96" s="249"/>
      <c r="C96" s="249"/>
      <c r="D96" s="249"/>
      <c r="E96" s="249"/>
      <c r="F96" s="254" t="s">
        <v>1</v>
      </c>
      <c r="G96" s="255">
        <f>G95</f>
        <v>3341.5849000000003</v>
      </c>
      <c r="H96" s="249" t="s">
        <v>30</v>
      </c>
      <c r="I96" s="222" t="s">
        <v>38</v>
      </c>
      <c r="J96" s="256"/>
      <c r="K96" s="275"/>
      <c r="L96" s="275"/>
      <c r="M96" s="275"/>
      <c r="N96" s="575"/>
      <c r="O96" s="575"/>
      <c r="P96" s="575"/>
    </row>
    <row r="97" spans="1:17" s="649" customFormat="1" ht="11.25" x14ac:dyDescent="0.2">
      <c r="G97" s="653"/>
      <c r="H97" s="653"/>
      <c r="I97" s="653"/>
      <c r="J97" s="654"/>
      <c r="K97" s="669"/>
      <c r="L97" s="670"/>
      <c r="M97" s="671"/>
      <c r="N97" s="671"/>
      <c r="O97" s="671"/>
      <c r="P97" s="671"/>
      <c r="Q97" s="671"/>
    </row>
    <row r="98" spans="1:17" s="652" customFormat="1" x14ac:dyDescent="0.2">
      <c r="A98" s="575" t="s">
        <v>27</v>
      </c>
      <c r="B98" s="223">
        <f>B81+1</f>
        <v>6</v>
      </c>
      <c r="N98" s="1020" t="s">
        <v>13</v>
      </c>
      <c r="O98" s="248">
        <v>10</v>
      </c>
      <c r="P98" s="222" t="s">
        <v>38</v>
      </c>
    </row>
    <row r="99" spans="1:17" s="652" customFormat="1" ht="25.5" customHeight="1" x14ac:dyDescent="0.2">
      <c r="A99" s="656" t="s">
        <v>1595</v>
      </c>
      <c r="B99" s="1431" t="s">
        <v>1625</v>
      </c>
      <c r="C99" s="1431"/>
      <c r="D99" s="1431"/>
      <c r="E99" s="1431"/>
      <c r="F99" s="1431"/>
      <c r="G99" s="1431"/>
      <c r="H99" s="1431"/>
      <c r="I99" s="1431"/>
      <c r="J99" s="1431"/>
      <c r="K99" s="1431"/>
      <c r="L99" s="1431"/>
      <c r="M99" s="1431"/>
      <c r="N99" s="649"/>
      <c r="O99" s="649"/>
      <c r="P99" s="649"/>
      <c r="Q99" s="655"/>
    </row>
    <row r="100" spans="1:17" s="652" customFormat="1" ht="13.5" customHeight="1" x14ac:dyDescent="0.2">
      <c r="A100" s="649" t="s">
        <v>0</v>
      </c>
      <c r="B100" s="649" t="s">
        <v>1597</v>
      </c>
      <c r="C100" s="649"/>
      <c r="D100" s="650" t="s">
        <v>1598</v>
      </c>
      <c r="E100" s="651">
        <v>10</v>
      </c>
      <c r="F100" s="649" t="s">
        <v>1597</v>
      </c>
      <c r="G100" s="657"/>
      <c r="H100" s="658"/>
      <c r="I100" s="658"/>
      <c r="J100" s="658"/>
      <c r="K100" s="658"/>
      <c r="L100" s="658"/>
      <c r="M100" s="658"/>
      <c r="N100" s="658"/>
      <c r="O100" s="658"/>
      <c r="P100" s="658"/>
      <c r="Q100" s="649"/>
    </row>
    <row r="101" spans="1:17" s="652" customFormat="1" ht="12.75" customHeight="1" x14ac:dyDescent="0.2">
      <c r="A101" s="225" t="s">
        <v>1594</v>
      </c>
      <c r="B101" s="226" t="s">
        <v>15</v>
      </c>
      <c r="C101" s="227"/>
      <c r="D101" s="227"/>
      <c r="E101" s="227"/>
      <c r="F101" s="226"/>
      <c r="G101" s="1412" t="s">
        <v>1599</v>
      </c>
      <c r="H101" s="1413"/>
      <c r="I101" s="1413"/>
      <c r="J101" s="1413"/>
      <c r="K101" s="1414"/>
      <c r="L101" s="227" t="s">
        <v>17</v>
      </c>
      <c r="M101" s="227"/>
      <c r="N101" s="227"/>
      <c r="O101" s="227"/>
      <c r="P101" s="227"/>
      <c r="Q101" s="649"/>
    </row>
    <row r="102" spans="1:17" s="652" customFormat="1" ht="12.75" customHeight="1" x14ac:dyDescent="0.2">
      <c r="A102" s="225" t="s">
        <v>273</v>
      </c>
      <c r="B102" s="228" t="s">
        <v>19</v>
      </c>
      <c r="C102" s="229" t="s">
        <v>0</v>
      </c>
      <c r="D102" s="229" t="s">
        <v>1600</v>
      </c>
      <c r="E102" s="229" t="s">
        <v>1</v>
      </c>
      <c r="F102" s="230" t="s">
        <v>2</v>
      </c>
      <c r="G102" s="228" t="s">
        <v>19</v>
      </c>
      <c r="H102" s="229" t="s">
        <v>0</v>
      </c>
      <c r="I102" s="229" t="s">
        <v>1600</v>
      </c>
      <c r="J102" s="229" t="s">
        <v>1</v>
      </c>
      <c r="K102" s="230" t="s">
        <v>2</v>
      </c>
      <c r="L102" s="228" t="s">
        <v>19</v>
      </c>
      <c r="M102" s="229" t="s">
        <v>0</v>
      </c>
      <c r="N102" s="229" t="s">
        <v>1600</v>
      </c>
      <c r="O102" s="229" t="s">
        <v>1</v>
      </c>
      <c r="P102" s="230" t="s">
        <v>2</v>
      </c>
      <c r="Q102" s="649"/>
    </row>
    <row r="103" spans="1:17" s="652" customFormat="1" ht="11.25" customHeight="1" x14ac:dyDescent="0.2">
      <c r="A103" s="258" t="s">
        <v>1624</v>
      </c>
      <c r="B103" s="237" t="s">
        <v>32</v>
      </c>
      <c r="C103" s="233" t="s">
        <v>46</v>
      </c>
      <c r="D103" s="234">
        <f>TRUNC(0.2,2)</f>
        <v>0.2</v>
      </c>
      <c r="E103" s="235">
        <f>skilled</f>
        <v>1070</v>
      </c>
      <c r="F103" s="236">
        <f>TRUNC(E103*D103,2)</f>
        <v>214</v>
      </c>
      <c r="G103" s="237" t="s">
        <v>1627</v>
      </c>
      <c r="H103" s="233" t="s">
        <v>277</v>
      </c>
      <c r="I103" s="234">
        <v>12</v>
      </c>
      <c r="J103" s="235">
        <f>granular_soil</f>
        <v>565</v>
      </c>
      <c r="K103" s="236">
        <f>TRUNC(J103*I103,2)</f>
        <v>6780</v>
      </c>
      <c r="L103" s="1434" t="s">
        <v>1626</v>
      </c>
      <c r="M103" s="233"/>
      <c r="N103" s="234"/>
      <c r="O103" s="235"/>
      <c r="P103" s="1432">
        <f>F108*3%</f>
        <v>121.92</v>
      </c>
      <c r="Q103" s="649"/>
    </row>
    <row r="104" spans="1:17" s="652" customFormat="1" ht="12.75" customHeight="1" x14ac:dyDescent="0.2">
      <c r="A104" s="231"/>
      <c r="B104" s="1021" t="s">
        <v>21</v>
      </c>
      <c r="C104" s="1022" t="s">
        <v>46</v>
      </c>
      <c r="D104" s="1023">
        <f>TRUNC(5,2)</f>
        <v>5</v>
      </c>
      <c r="E104" s="1024">
        <f>unskilled</f>
        <v>770</v>
      </c>
      <c r="F104" s="1025">
        <f>TRUNC(E104*D104,2)</f>
        <v>3850</v>
      </c>
      <c r="G104" s="1035"/>
      <c r="H104" s="1022"/>
      <c r="I104" s="1023"/>
      <c r="J104" s="1024"/>
      <c r="K104" s="1025"/>
      <c r="L104" s="1435"/>
      <c r="M104" s="1022"/>
      <c r="N104" s="1023"/>
      <c r="O104" s="1024"/>
      <c r="P104" s="1433"/>
      <c r="Q104" s="649"/>
    </row>
    <row r="105" spans="1:17" s="652" customFormat="1" ht="12.75" customHeight="1" x14ac:dyDescent="0.2">
      <c r="A105" s="260"/>
      <c r="B105" s="1021"/>
      <c r="C105" s="1022"/>
      <c r="D105" s="1023"/>
      <c r="E105" s="1024"/>
      <c r="F105" s="1025"/>
      <c r="G105" s="1035" t="s">
        <v>51</v>
      </c>
      <c r="H105" s="1022" t="s">
        <v>1616</v>
      </c>
      <c r="I105" s="1023">
        <f>TRUNC(1,2)</f>
        <v>1</v>
      </c>
      <c r="J105" s="1024">
        <f>water*1000</f>
        <v>249.55999999999997</v>
      </c>
      <c r="K105" s="1025">
        <f>TRUNC(J105*I105,2)</f>
        <v>249.56</v>
      </c>
      <c r="L105" s="1435"/>
      <c r="M105" s="1022"/>
      <c r="N105" s="1023"/>
      <c r="O105" s="1024"/>
      <c r="P105" s="1433"/>
      <c r="Q105" s="649"/>
    </row>
    <row r="106" spans="1:17" s="652" customFormat="1" ht="12.75" customHeight="1" x14ac:dyDescent="0.2">
      <c r="A106" s="231"/>
      <c r="B106" s="1021"/>
      <c r="C106" s="1022"/>
      <c r="D106" s="1023"/>
      <c r="E106" s="1024"/>
      <c r="F106" s="1025"/>
      <c r="G106" s="1035"/>
      <c r="H106" s="1022"/>
      <c r="I106" s="1023"/>
      <c r="J106" s="1024"/>
      <c r="K106" s="1025"/>
      <c r="L106" s="1435"/>
      <c r="M106" s="1022"/>
      <c r="N106" s="1023"/>
      <c r="O106" s="1024"/>
      <c r="P106" s="1025"/>
      <c r="Q106" s="649"/>
    </row>
    <row r="107" spans="1:17" s="652" customFormat="1" ht="13.5" customHeight="1" x14ac:dyDescent="0.2">
      <c r="A107" s="231"/>
      <c r="B107" s="1021"/>
      <c r="C107" s="1022"/>
      <c r="D107" s="1023"/>
      <c r="E107" s="1024"/>
      <c r="F107" s="1025"/>
      <c r="G107" s="659"/>
      <c r="H107" s="660"/>
      <c r="I107" s="661"/>
      <c r="J107" s="662"/>
      <c r="K107" s="663"/>
      <c r="L107" s="1021"/>
      <c r="M107" s="1022"/>
      <c r="N107" s="1023"/>
      <c r="O107" s="1024"/>
      <c r="P107" s="1025"/>
      <c r="Q107" s="649"/>
    </row>
    <row r="108" spans="1:17" s="652" customFormat="1" ht="13.5" customHeight="1" x14ac:dyDescent="0.2">
      <c r="A108" s="664" t="s">
        <v>194</v>
      </c>
      <c r="B108" s="1429" t="s">
        <v>1622</v>
      </c>
      <c r="C108" s="1430"/>
      <c r="D108" s="1430"/>
      <c r="E108" s="665" t="s">
        <v>1601</v>
      </c>
      <c r="F108" s="665">
        <f>SUM(F103:F107)</f>
        <v>4064</v>
      </c>
      <c r="G108" s="1429" t="s">
        <v>40</v>
      </c>
      <c r="H108" s="1430"/>
      <c r="I108" s="1430"/>
      <c r="J108" s="667" t="s">
        <v>1601</v>
      </c>
      <c r="K108" s="668">
        <f>SUM(K103:K107)</f>
        <v>7029.56</v>
      </c>
      <c r="L108" s="1430" t="s">
        <v>41</v>
      </c>
      <c r="M108" s="1430"/>
      <c r="N108" s="1430"/>
      <c r="O108" s="665" t="s">
        <v>1601</v>
      </c>
      <c r="P108" s="666">
        <f>SUM(P103:P107)</f>
        <v>121.92</v>
      </c>
      <c r="Q108" s="649"/>
    </row>
    <row r="109" spans="1:17" x14ac:dyDescent="0.2">
      <c r="A109" s="247"/>
      <c r="B109" s="575"/>
      <c r="C109" s="575"/>
      <c r="D109" s="575"/>
      <c r="E109" s="575"/>
      <c r="F109" s="1020" t="s">
        <v>29</v>
      </c>
      <c r="G109" s="248">
        <f>F108+K108+P108</f>
        <v>11215.480000000001</v>
      </c>
      <c r="H109" s="575"/>
      <c r="I109" s="249"/>
      <c r="J109" s="250"/>
      <c r="K109" s="251"/>
      <c r="L109" s="575"/>
      <c r="M109" s="575"/>
      <c r="N109" s="575"/>
      <c r="O109" s="575"/>
      <c r="P109" s="575"/>
    </row>
    <row r="110" spans="1:17" x14ac:dyDescent="0.2">
      <c r="A110" s="247"/>
      <c r="B110" s="575"/>
      <c r="C110" s="575"/>
      <c r="D110" s="575"/>
      <c r="E110" s="575"/>
      <c r="F110" s="252" t="s">
        <v>31</v>
      </c>
      <c r="G110" s="248">
        <f>0.15*G109</f>
        <v>1682.3220000000001</v>
      </c>
      <c r="H110" s="575"/>
      <c r="I110" s="249"/>
      <c r="J110" s="250"/>
      <c r="K110" s="251"/>
      <c r="L110" s="575"/>
      <c r="M110" s="575"/>
      <c r="N110" s="575"/>
      <c r="O110" s="575"/>
      <c r="P110" s="575"/>
    </row>
    <row r="111" spans="1:17" ht="15" x14ac:dyDescent="0.25">
      <c r="A111" s="253"/>
      <c r="B111" s="249"/>
      <c r="C111" s="249"/>
      <c r="D111" s="249"/>
      <c r="E111" s="575"/>
      <c r="F111" s="277" t="str">
        <f>"Rate for "&amp;O98&amp;" m² :"</f>
        <v>Rate for 10 m² :</v>
      </c>
      <c r="G111" s="1012">
        <f>SUM(G109:G110)</f>
        <v>12897.802000000001</v>
      </c>
      <c r="H111" s="256"/>
      <c r="I111" s="249"/>
      <c r="J111" s="250"/>
      <c r="K111" s="251"/>
      <c r="L111" s="575"/>
      <c r="M111" s="575"/>
      <c r="N111" s="575"/>
      <c r="O111" s="575"/>
      <c r="P111" s="575"/>
    </row>
    <row r="112" spans="1:17" x14ac:dyDescent="0.2">
      <c r="A112" s="247"/>
      <c r="B112" s="575"/>
      <c r="C112" s="575"/>
      <c r="D112" s="575"/>
      <c r="E112" s="1027"/>
      <c r="F112" s="277" t="s">
        <v>1494</v>
      </c>
      <c r="G112" s="278">
        <f>G111/O98</f>
        <v>1289.7802000000001</v>
      </c>
      <c r="H112" s="575"/>
      <c r="I112" s="249"/>
      <c r="J112" s="256"/>
      <c r="K112" s="275"/>
      <c r="L112" s="575"/>
      <c r="M112" s="575"/>
      <c r="N112" s="575"/>
      <c r="O112" s="575"/>
      <c r="P112" s="575"/>
    </row>
    <row r="113" spans="1:17" x14ac:dyDescent="0.2">
      <c r="A113" s="253"/>
      <c r="B113" s="249"/>
      <c r="C113" s="249"/>
      <c r="D113" s="249"/>
      <c r="E113" s="249"/>
      <c r="F113" s="254" t="s">
        <v>1</v>
      </c>
      <c r="G113" s="255">
        <f>G112</f>
        <v>1289.7802000000001</v>
      </c>
      <c r="H113" s="249" t="s">
        <v>30</v>
      </c>
      <c r="I113" s="222" t="s">
        <v>38</v>
      </c>
      <c r="J113" s="256"/>
      <c r="K113" s="275"/>
      <c r="L113" s="275"/>
      <c r="M113" s="275"/>
      <c r="N113" s="575"/>
      <c r="O113" s="575"/>
      <c r="P113" s="575"/>
    </row>
    <row r="114" spans="1:17" s="649" customFormat="1" ht="11.25" x14ac:dyDescent="0.2">
      <c r="G114" s="653"/>
      <c r="H114" s="653"/>
      <c r="I114" s="653"/>
      <c r="J114" s="654"/>
      <c r="K114" s="669"/>
      <c r="L114" s="670"/>
      <c r="M114" s="671"/>
      <c r="N114" s="671"/>
      <c r="O114" s="671"/>
      <c r="P114" s="671"/>
      <c r="Q114" s="671"/>
    </row>
    <row r="115" spans="1:17" s="652" customFormat="1" x14ac:dyDescent="0.2">
      <c r="A115" s="575" t="s">
        <v>27</v>
      </c>
      <c r="B115" s="223">
        <f>B98+1</f>
        <v>7</v>
      </c>
      <c r="N115" s="1020" t="s">
        <v>13</v>
      </c>
      <c r="O115" s="248">
        <v>300</v>
      </c>
      <c r="P115" s="222" t="s">
        <v>1630</v>
      </c>
    </row>
    <row r="116" spans="1:17" s="652" customFormat="1" ht="11.25" x14ac:dyDescent="0.2">
      <c r="A116" s="656" t="s">
        <v>1595</v>
      </c>
      <c r="B116" s="1431" t="s">
        <v>1629</v>
      </c>
      <c r="C116" s="1431"/>
      <c r="D116" s="1431"/>
      <c r="E116" s="1431"/>
      <c r="F116" s="1431"/>
      <c r="G116" s="1431"/>
      <c r="H116" s="1431"/>
      <c r="I116" s="1431"/>
      <c r="J116" s="1431"/>
      <c r="K116" s="1431"/>
      <c r="L116" s="1431"/>
      <c r="M116" s="1431"/>
      <c r="N116" s="649"/>
      <c r="O116" s="649"/>
      <c r="P116" s="649"/>
      <c r="Q116" s="655"/>
    </row>
    <row r="117" spans="1:17" s="652" customFormat="1" ht="13.5" customHeight="1" x14ac:dyDescent="0.2">
      <c r="A117" s="649" t="s">
        <v>0</v>
      </c>
      <c r="B117" s="649" t="s">
        <v>1630</v>
      </c>
      <c r="C117" s="649"/>
      <c r="D117" s="650" t="s">
        <v>1598</v>
      </c>
      <c r="E117" s="651">
        <v>300</v>
      </c>
      <c r="F117" s="649" t="s">
        <v>1630</v>
      </c>
      <c r="G117" s="657"/>
      <c r="H117" s="658"/>
      <c r="I117" s="658"/>
      <c r="J117" s="658"/>
      <c r="K117" s="658"/>
      <c r="L117" s="658"/>
      <c r="M117" s="658"/>
      <c r="N117" s="658"/>
      <c r="O117" s="658"/>
      <c r="P117" s="658"/>
      <c r="Q117" s="649"/>
    </row>
    <row r="118" spans="1:17" s="652" customFormat="1" ht="12.75" customHeight="1" x14ac:dyDescent="0.2">
      <c r="A118" s="225" t="s">
        <v>1631</v>
      </c>
      <c r="B118" s="226" t="s">
        <v>15</v>
      </c>
      <c r="C118" s="227"/>
      <c r="D118" s="227"/>
      <c r="E118" s="227"/>
      <c r="F118" s="226"/>
      <c r="G118" s="1412" t="s">
        <v>1599</v>
      </c>
      <c r="H118" s="1413"/>
      <c r="I118" s="1413"/>
      <c r="J118" s="1413"/>
      <c r="K118" s="1414"/>
      <c r="L118" s="227" t="s">
        <v>17</v>
      </c>
      <c r="M118" s="227"/>
      <c r="N118" s="227"/>
      <c r="O118" s="227"/>
      <c r="P118" s="227"/>
      <c r="Q118" s="649"/>
    </row>
    <row r="119" spans="1:17" s="652" customFormat="1" ht="12.75" customHeight="1" x14ac:dyDescent="0.2">
      <c r="A119" s="225" t="s">
        <v>273</v>
      </c>
      <c r="B119" s="228" t="s">
        <v>19</v>
      </c>
      <c r="C119" s="229" t="s">
        <v>0</v>
      </c>
      <c r="D119" s="229" t="s">
        <v>1600</v>
      </c>
      <c r="E119" s="229" t="s">
        <v>1</v>
      </c>
      <c r="F119" s="230" t="s">
        <v>2</v>
      </c>
      <c r="G119" s="228" t="s">
        <v>19</v>
      </c>
      <c r="H119" s="229" t="s">
        <v>0</v>
      </c>
      <c r="I119" s="229" t="s">
        <v>1600</v>
      </c>
      <c r="J119" s="229" t="s">
        <v>1</v>
      </c>
      <c r="K119" s="230" t="s">
        <v>2</v>
      </c>
      <c r="L119" s="228" t="s">
        <v>19</v>
      </c>
      <c r="M119" s="229" t="s">
        <v>0</v>
      </c>
      <c r="N119" s="229" t="s">
        <v>1600</v>
      </c>
      <c r="O119" s="229" t="s">
        <v>1</v>
      </c>
      <c r="P119" s="230" t="s">
        <v>2</v>
      </c>
      <c r="Q119" s="649"/>
    </row>
    <row r="120" spans="1:17" s="652" customFormat="1" ht="11.25" customHeight="1" x14ac:dyDescent="0.2">
      <c r="A120" s="258">
        <v>24.5</v>
      </c>
      <c r="B120" s="237" t="s">
        <v>32</v>
      </c>
      <c r="C120" s="233" t="s">
        <v>46</v>
      </c>
      <c r="D120" s="234">
        <v>1</v>
      </c>
      <c r="E120" s="235">
        <f>skilled</f>
        <v>1070</v>
      </c>
      <c r="F120" s="236">
        <f>TRUNC(E120*D120,2)</f>
        <v>1070</v>
      </c>
      <c r="G120" s="237" t="s">
        <v>1632</v>
      </c>
      <c r="H120" s="233" t="s">
        <v>1630</v>
      </c>
      <c r="I120" s="234">
        <v>360</v>
      </c>
      <c r="J120" s="235">
        <f>+Geotextile</f>
        <v>180</v>
      </c>
      <c r="K120" s="236">
        <f>TRUNC(J120*I120,2)</f>
        <v>64800</v>
      </c>
      <c r="L120" s="1434"/>
      <c r="M120" s="233"/>
      <c r="N120" s="234"/>
      <c r="O120" s="235"/>
      <c r="P120" s="1432"/>
      <c r="Q120" s="649"/>
    </row>
    <row r="121" spans="1:17" s="652" customFormat="1" ht="12.75" customHeight="1" x14ac:dyDescent="0.2">
      <c r="A121" s="231"/>
      <c r="B121" s="1021" t="s">
        <v>21</v>
      </c>
      <c r="C121" s="1022" t="s">
        <v>46</v>
      </c>
      <c r="D121" s="1023">
        <v>2</v>
      </c>
      <c r="E121" s="1024">
        <f>unskilled</f>
        <v>770</v>
      </c>
      <c r="F121" s="1025">
        <f>TRUNC(E121*D121,2)</f>
        <v>1540</v>
      </c>
      <c r="G121" s="1035"/>
      <c r="H121" s="1022"/>
      <c r="I121" s="1023"/>
      <c r="J121" s="1024"/>
      <c r="K121" s="1025"/>
      <c r="L121" s="1435"/>
      <c r="M121" s="1022"/>
      <c r="N121" s="1023"/>
      <c r="O121" s="1024"/>
      <c r="P121" s="1433"/>
      <c r="Q121" s="649"/>
    </row>
    <row r="122" spans="1:17" s="652" customFormat="1" ht="13.5" customHeight="1" x14ac:dyDescent="0.2">
      <c r="A122" s="664" t="s">
        <v>194</v>
      </c>
      <c r="B122" s="1429" t="s">
        <v>1622</v>
      </c>
      <c r="C122" s="1430"/>
      <c r="D122" s="1430"/>
      <c r="E122" s="665" t="s">
        <v>1601</v>
      </c>
      <c r="F122" s="665">
        <f>SUM(F120:F121)</f>
        <v>2610</v>
      </c>
      <c r="G122" s="1429" t="s">
        <v>40</v>
      </c>
      <c r="H122" s="1430"/>
      <c r="I122" s="1430"/>
      <c r="J122" s="667" t="s">
        <v>1601</v>
      </c>
      <c r="K122" s="668">
        <f>SUM(K120:K121)</f>
        <v>64800</v>
      </c>
      <c r="L122" s="1430" t="s">
        <v>41</v>
      </c>
      <c r="M122" s="1430"/>
      <c r="N122" s="1430"/>
      <c r="O122" s="665" t="s">
        <v>1601</v>
      </c>
      <c r="P122" s="666">
        <f>SUM(P120:P121)</f>
        <v>0</v>
      </c>
      <c r="Q122" s="649"/>
    </row>
    <row r="123" spans="1:17" x14ac:dyDescent="0.2">
      <c r="A123" s="247"/>
      <c r="B123" s="575"/>
      <c r="C123" s="575"/>
      <c r="D123" s="575"/>
      <c r="E123" s="575"/>
      <c r="F123" s="1020" t="s">
        <v>29</v>
      </c>
      <c r="G123" s="248">
        <f>F122+K122+P122</f>
        <v>67410</v>
      </c>
      <c r="H123" s="575"/>
      <c r="I123" s="249"/>
      <c r="J123" s="250"/>
      <c r="K123" s="251"/>
      <c r="L123" s="575"/>
      <c r="M123" s="575"/>
      <c r="N123" s="575"/>
      <c r="O123" s="575"/>
      <c r="P123" s="575"/>
    </row>
    <row r="124" spans="1:17" x14ac:dyDescent="0.2">
      <c r="A124" s="247"/>
      <c r="B124" s="575"/>
      <c r="C124" s="575"/>
      <c r="D124" s="575"/>
      <c r="E124" s="575"/>
      <c r="F124" s="252" t="s">
        <v>31</v>
      </c>
      <c r="G124" s="248">
        <f>0.15*G123</f>
        <v>10111.5</v>
      </c>
      <c r="H124" s="575"/>
      <c r="I124" s="249"/>
      <c r="J124" s="250"/>
      <c r="K124" s="251"/>
      <c r="L124" s="575"/>
      <c r="M124" s="575"/>
      <c r="N124" s="575"/>
      <c r="O124" s="575"/>
      <c r="P124" s="575"/>
    </row>
    <row r="125" spans="1:17" ht="15" x14ac:dyDescent="0.25">
      <c r="A125" s="253"/>
      <c r="B125" s="249"/>
      <c r="C125" s="249"/>
      <c r="D125" s="249"/>
      <c r="E125" s="575"/>
      <c r="F125" s="277" t="str">
        <f>"Rate for "&amp;O115&amp;" m² :"</f>
        <v>Rate for 300 m² :</v>
      </c>
      <c r="G125" s="1012">
        <f>SUM(G123:G124)</f>
        <v>77521.5</v>
      </c>
      <c r="H125" s="256"/>
      <c r="I125" s="249"/>
      <c r="J125" s="250"/>
      <c r="K125" s="251"/>
      <c r="L125" s="575"/>
      <c r="M125" s="575"/>
      <c r="N125" s="575"/>
      <c r="O125" s="575"/>
      <c r="P125" s="575"/>
    </row>
    <row r="126" spans="1:17" x14ac:dyDescent="0.2">
      <c r="A126" s="247"/>
      <c r="B126" s="575"/>
      <c r="C126" s="575"/>
      <c r="D126" s="575"/>
      <c r="E126" s="1027"/>
      <c r="F126" s="277" t="s">
        <v>1494</v>
      </c>
      <c r="G126" s="278">
        <f>G125/O115</f>
        <v>258.40499999999997</v>
      </c>
      <c r="H126" s="575"/>
      <c r="I126" s="249"/>
      <c r="J126" s="256"/>
      <c r="K126" s="275"/>
      <c r="L126" s="575"/>
      <c r="M126" s="575"/>
      <c r="N126" s="575"/>
      <c r="O126" s="575"/>
      <c r="P126" s="575"/>
    </row>
    <row r="127" spans="1:17" x14ac:dyDescent="0.2">
      <c r="A127" s="253"/>
      <c r="B127" s="249"/>
      <c r="C127" s="249"/>
      <c r="D127" s="249"/>
      <c r="E127" s="249"/>
      <c r="F127" s="254" t="s">
        <v>1</v>
      </c>
      <c r="G127" s="255">
        <f>G126</f>
        <v>258.40499999999997</v>
      </c>
      <c r="H127" s="249" t="s">
        <v>30</v>
      </c>
      <c r="I127" s="222" t="s">
        <v>38</v>
      </c>
      <c r="J127" s="256"/>
      <c r="K127" s="275"/>
      <c r="L127" s="275"/>
      <c r="M127" s="275"/>
      <c r="N127" s="575"/>
      <c r="O127" s="575"/>
      <c r="P127" s="575"/>
    </row>
    <row r="128" spans="1:17" x14ac:dyDescent="0.2">
      <c r="A128" s="575" t="s">
        <v>27</v>
      </c>
      <c r="B128" s="223">
        <f>B115+1</f>
        <v>8</v>
      </c>
      <c r="C128" s="222"/>
      <c r="D128" s="575"/>
      <c r="E128" s="575"/>
      <c r="F128" s="575"/>
      <c r="G128" s="575"/>
      <c r="H128" s="575"/>
      <c r="I128" s="575"/>
      <c r="J128" s="575"/>
      <c r="K128" s="575"/>
      <c r="L128" s="575"/>
      <c r="M128" s="575"/>
      <c r="N128" s="1020" t="s">
        <v>13</v>
      </c>
      <c r="O128" s="248">
        <v>15</v>
      </c>
      <c r="P128" s="222" t="s">
        <v>38</v>
      </c>
    </row>
    <row r="129" spans="1:18" x14ac:dyDescent="0.2">
      <c r="A129" s="223" t="s">
        <v>12</v>
      </c>
      <c r="B129" s="257" t="s">
        <v>1491</v>
      </c>
      <c r="C129" s="257"/>
      <c r="D129" s="257"/>
      <c r="E129" s="257"/>
      <c r="F129" s="257"/>
      <c r="G129" s="257"/>
      <c r="H129" s="257"/>
      <c r="I129" s="257"/>
      <c r="J129" s="257"/>
      <c r="K129" s="257"/>
      <c r="L129" s="257"/>
      <c r="M129" s="257"/>
      <c r="N129" s="257"/>
      <c r="O129" s="257"/>
      <c r="P129" s="257"/>
    </row>
    <row r="130" spans="1:18" x14ac:dyDescent="0.2">
      <c r="A130" s="225" t="s">
        <v>243</v>
      </c>
      <c r="B130" s="226" t="s">
        <v>15</v>
      </c>
      <c r="C130" s="227"/>
      <c r="D130" s="227"/>
      <c r="E130" s="227"/>
      <c r="F130" s="226"/>
      <c r="G130" s="1412" t="s">
        <v>16</v>
      </c>
      <c r="H130" s="1413"/>
      <c r="I130" s="1413"/>
      <c r="J130" s="1413"/>
      <c r="K130" s="1414"/>
      <c r="L130" s="227" t="s">
        <v>17</v>
      </c>
      <c r="M130" s="227"/>
      <c r="N130" s="227"/>
      <c r="O130" s="227"/>
      <c r="P130" s="227"/>
      <c r="R130" s="261">
        <f>ROW()</f>
        <v>130</v>
      </c>
    </row>
    <row r="131" spans="1:18" x14ac:dyDescent="0.2">
      <c r="A131" s="225" t="s">
        <v>273</v>
      </c>
      <c r="B131" s="228" t="s">
        <v>18</v>
      </c>
      <c r="C131" s="229" t="s">
        <v>0</v>
      </c>
      <c r="D131" s="229" t="s">
        <v>5</v>
      </c>
      <c r="E131" s="229" t="s">
        <v>1</v>
      </c>
      <c r="F131" s="230" t="s">
        <v>2</v>
      </c>
      <c r="G131" s="228" t="s">
        <v>19</v>
      </c>
      <c r="H131" s="229" t="s">
        <v>0</v>
      </c>
      <c r="I131" s="229" t="s">
        <v>5</v>
      </c>
      <c r="J131" s="229" t="s">
        <v>1</v>
      </c>
      <c r="K131" s="230" t="s">
        <v>2</v>
      </c>
      <c r="L131" s="228" t="s">
        <v>19</v>
      </c>
      <c r="M131" s="229" t="s">
        <v>0</v>
      </c>
      <c r="N131" s="229" t="s">
        <v>5</v>
      </c>
      <c r="O131" s="229" t="s">
        <v>1</v>
      </c>
      <c r="P131" s="230" t="s">
        <v>2</v>
      </c>
    </row>
    <row r="132" spans="1:18" x14ac:dyDescent="0.2">
      <c r="A132" s="258"/>
      <c r="B132" s="237"/>
      <c r="C132" s="233"/>
      <c r="D132" s="234"/>
      <c r="E132" s="235"/>
      <c r="F132" s="236"/>
      <c r="G132" s="237"/>
      <c r="H132" s="233"/>
      <c r="I132" s="234"/>
      <c r="J132" s="235"/>
      <c r="K132" s="236"/>
      <c r="L132" s="237"/>
      <c r="M132" s="233"/>
      <c r="N132" s="234"/>
      <c r="O132" s="235"/>
      <c r="P132" s="236"/>
    </row>
    <row r="133" spans="1:18" ht="15" x14ac:dyDescent="0.2">
      <c r="A133" s="231">
        <v>20.100000000000001</v>
      </c>
      <c r="B133" s="1021" t="s">
        <v>32</v>
      </c>
      <c r="C133" s="1022" t="s">
        <v>46</v>
      </c>
      <c r="D133" s="1023">
        <v>2</v>
      </c>
      <c r="E133" s="1024">
        <f>skilled</f>
        <v>1070</v>
      </c>
      <c r="F133" s="1025">
        <f>ROUND(E133*D133,2)</f>
        <v>2140</v>
      </c>
      <c r="G133" s="1035" t="s">
        <v>9</v>
      </c>
      <c r="H133" s="1022" t="s">
        <v>14</v>
      </c>
      <c r="I133" s="1023">
        <v>3.45</v>
      </c>
      <c r="J133" s="1024">
        <f>cement</f>
        <v>17013.62</v>
      </c>
      <c r="K133" s="1025">
        <f t="shared" ref="K133:K134" si="0">ROUND(J133*I133,2)</f>
        <v>58696.99</v>
      </c>
      <c r="L133" s="259" t="s">
        <v>420</v>
      </c>
      <c r="M133" s="1022" t="s">
        <v>28</v>
      </c>
      <c r="N133" s="1023">
        <v>6</v>
      </c>
      <c r="O133" s="1024">
        <f>mixer</f>
        <v>1000</v>
      </c>
      <c r="P133" s="1025">
        <f>ROUND(O133*N133,2)</f>
        <v>6000</v>
      </c>
    </row>
    <row r="134" spans="1:18" x14ac:dyDescent="0.2">
      <c r="A134" s="260" t="s">
        <v>20</v>
      </c>
      <c r="B134" s="1021" t="s">
        <v>21</v>
      </c>
      <c r="C134" s="1022" t="s">
        <v>46</v>
      </c>
      <c r="D134" s="1023">
        <v>22</v>
      </c>
      <c r="E134" s="1024">
        <f>unskilled</f>
        <v>770</v>
      </c>
      <c r="F134" s="1025">
        <f>ROUND(E134*D134,2)</f>
        <v>16940</v>
      </c>
      <c r="G134" s="1035" t="s">
        <v>1492</v>
      </c>
      <c r="H134" s="1022" t="s">
        <v>38</v>
      </c>
      <c r="I134" s="1023">
        <v>13.5</v>
      </c>
      <c r="J134" s="1024">
        <f>_Agg40</f>
        <v>2474.1999999999998</v>
      </c>
      <c r="K134" s="1025">
        <f t="shared" si="0"/>
        <v>33401.699999999997</v>
      </c>
      <c r="L134" s="1021" t="s">
        <v>1493</v>
      </c>
      <c r="M134" s="1022" t="s">
        <v>28</v>
      </c>
      <c r="N134" s="1023">
        <v>6</v>
      </c>
      <c r="O134" s="1024">
        <f>generator</f>
        <v>1500</v>
      </c>
      <c r="P134" s="1025">
        <f>ROUND(O134*N134,2)</f>
        <v>9000</v>
      </c>
    </row>
    <row r="135" spans="1:18" x14ac:dyDescent="0.2">
      <c r="A135" s="231"/>
      <c r="B135" s="1021"/>
      <c r="C135" s="1022"/>
      <c r="D135" s="1023"/>
      <c r="E135" s="1024"/>
      <c r="F135" s="1025"/>
      <c r="G135" s="1035" t="s">
        <v>45</v>
      </c>
      <c r="H135" s="1022" t="s">
        <v>38</v>
      </c>
      <c r="I135" s="1023">
        <v>6.75</v>
      </c>
      <c r="J135" s="1024">
        <f>sand</f>
        <v>2503.2750000000001</v>
      </c>
      <c r="K135" s="1025">
        <f>ROUND(J135*I135,2)</f>
        <v>16897.11</v>
      </c>
      <c r="L135" s="1021"/>
      <c r="M135" s="1022"/>
      <c r="N135" s="1023"/>
      <c r="O135" s="1024"/>
      <c r="P135" s="1025"/>
    </row>
    <row r="136" spans="1:18" ht="15" x14ac:dyDescent="0.2">
      <c r="A136" s="231"/>
      <c r="B136" s="1021"/>
      <c r="C136" s="1022"/>
      <c r="D136" s="1023"/>
      <c r="E136" s="1024"/>
      <c r="F136" s="1025"/>
      <c r="G136" s="659" t="s">
        <v>267</v>
      </c>
      <c r="H136" s="660" t="s">
        <v>44</v>
      </c>
      <c r="I136" s="661">
        <v>0.1</v>
      </c>
      <c r="J136" s="662">
        <f>petrol</f>
        <v>170</v>
      </c>
      <c r="K136" s="663">
        <f>ROUND(J136*I136,2)</f>
        <v>17</v>
      </c>
      <c r="L136" s="1021"/>
      <c r="M136" s="1022"/>
      <c r="N136" s="1023"/>
      <c r="O136" s="1024"/>
      <c r="P136" s="1025"/>
    </row>
    <row r="137" spans="1:18" ht="15" x14ac:dyDescent="0.2">
      <c r="A137" s="231"/>
      <c r="B137" s="1021"/>
      <c r="C137" s="1022"/>
      <c r="D137" s="1023"/>
      <c r="E137" s="1024"/>
      <c r="F137" s="1025"/>
      <c r="G137" s="659" t="s">
        <v>268</v>
      </c>
      <c r="H137" s="660" t="s">
        <v>44</v>
      </c>
      <c r="I137" s="661">
        <v>3</v>
      </c>
      <c r="J137" s="662">
        <f>diesel</f>
        <v>160</v>
      </c>
      <c r="K137" s="663">
        <f>ROUND(J137*I137,2)</f>
        <v>480</v>
      </c>
      <c r="L137" s="1021"/>
      <c r="M137" s="1022"/>
      <c r="N137" s="1023"/>
      <c r="O137" s="1024"/>
      <c r="P137" s="1025"/>
    </row>
    <row r="138" spans="1:18" x14ac:dyDescent="0.2">
      <c r="A138" s="231"/>
      <c r="B138" s="1021"/>
      <c r="C138" s="1022"/>
      <c r="D138" s="1023"/>
      <c r="E138" s="1024"/>
      <c r="F138" s="1025"/>
      <c r="G138" s="1035" t="s">
        <v>51</v>
      </c>
      <c r="H138" s="1022" t="s">
        <v>44</v>
      </c>
      <c r="I138" s="572">
        <v>2000</v>
      </c>
      <c r="J138" s="1024">
        <f>water</f>
        <v>0.24955999999999998</v>
      </c>
      <c r="K138" s="1025">
        <f>ROUND(J138*I138,2)</f>
        <v>499.12</v>
      </c>
      <c r="L138" s="1021"/>
      <c r="M138" s="1022"/>
      <c r="N138" s="1023"/>
      <c r="O138" s="1024"/>
      <c r="P138" s="1025"/>
    </row>
    <row r="139" spans="1:18" x14ac:dyDescent="0.2">
      <c r="A139" s="241"/>
      <c r="B139" s="242"/>
      <c r="C139" s="243"/>
      <c r="D139" s="243"/>
      <c r="E139" s="244" t="s">
        <v>39</v>
      </c>
      <c r="F139" s="245">
        <f>SUM(F133:F138)</f>
        <v>19080</v>
      </c>
      <c r="G139" s="242"/>
      <c r="H139" s="243"/>
      <c r="I139" s="243"/>
      <c r="J139" s="244" t="s">
        <v>40</v>
      </c>
      <c r="K139" s="245">
        <f>SUM(K133:K138)</f>
        <v>109991.92</v>
      </c>
      <c r="L139" s="242"/>
      <c r="M139" s="243"/>
      <c r="N139" s="243"/>
      <c r="O139" s="246" t="s">
        <v>41</v>
      </c>
      <c r="P139" s="245">
        <f>SUM(P133:P138)</f>
        <v>15000</v>
      </c>
    </row>
    <row r="140" spans="1:18" x14ac:dyDescent="0.2">
      <c r="A140" s="247"/>
      <c r="B140" s="575"/>
      <c r="C140" s="575"/>
      <c r="D140" s="575"/>
      <c r="E140" s="575"/>
      <c r="F140" s="1020" t="s">
        <v>29</v>
      </c>
      <c r="G140" s="248">
        <f>F139+K139+P139</f>
        <v>144071.91999999998</v>
      </c>
      <c r="H140" s="575"/>
      <c r="I140" s="249"/>
      <c r="J140" s="250"/>
      <c r="K140" s="251"/>
      <c r="L140" s="575"/>
      <c r="M140" s="575"/>
      <c r="N140" s="575"/>
      <c r="O140" s="575"/>
      <c r="P140" s="575"/>
    </row>
    <row r="141" spans="1:18" x14ac:dyDescent="0.2">
      <c r="A141" s="247"/>
      <c r="B141" s="575"/>
      <c r="C141" s="575"/>
      <c r="D141" s="575"/>
      <c r="E141" s="575"/>
      <c r="F141" s="252" t="s">
        <v>31</v>
      </c>
      <c r="G141" s="248">
        <f>0.15*G140</f>
        <v>21610.787999999997</v>
      </c>
      <c r="H141" s="575"/>
      <c r="I141" s="249"/>
      <c r="J141" s="250"/>
      <c r="K141" s="251"/>
      <c r="L141" s="575"/>
      <c r="M141" s="575"/>
      <c r="N141" s="575"/>
      <c r="O141" s="575"/>
      <c r="P141" s="575"/>
    </row>
    <row r="142" spans="1:18" ht="15" x14ac:dyDescent="0.25">
      <c r="A142" s="253"/>
      <c r="B142" s="249"/>
      <c r="C142" s="249"/>
      <c r="D142" s="249"/>
      <c r="E142" s="575"/>
      <c r="F142" s="277" t="str">
        <f>"Rate for "&amp;O128&amp;" m² :"</f>
        <v>Rate for 15 m² :</v>
      </c>
      <c r="G142" s="1012">
        <f>SUM(G140:G141)</f>
        <v>165682.70799999998</v>
      </c>
      <c r="H142" s="256"/>
      <c r="I142" s="249"/>
      <c r="J142" s="250"/>
      <c r="K142" s="251"/>
      <c r="L142" s="575"/>
      <c r="M142" s="575"/>
      <c r="N142" s="575"/>
      <c r="O142" s="575"/>
      <c r="P142" s="575"/>
    </row>
    <row r="143" spans="1:18" x14ac:dyDescent="0.2">
      <c r="A143" s="247"/>
      <c r="B143" s="575"/>
      <c r="C143" s="575"/>
      <c r="D143" s="575"/>
      <c r="E143" s="1027"/>
      <c r="F143" s="277" t="s">
        <v>1494</v>
      </c>
      <c r="G143" s="278">
        <f>G142/O128</f>
        <v>11045.513866666666</v>
      </c>
      <c r="H143" s="575"/>
      <c r="I143" s="249"/>
      <c r="J143" s="256"/>
      <c r="K143" s="275"/>
      <c r="L143" s="575"/>
      <c r="M143" s="575"/>
      <c r="N143" s="575"/>
      <c r="O143" s="575"/>
      <c r="P143" s="575"/>
    </row>
    <row r="144" spans="1:18" x14ac:dyDescent="0.2">
      <c r="A144" s="253"/>
      <c r="B144" s="249"/>
      <c r="C144" s="249"/>
      <c r="D144" s="249"/>
      <c r="E144" s="249"/>
      <c r="F144" s="254" t="s">
        <v>1</v>
      </c>
      <c r="G144" s="255">
        <f>G143</f>
        <v>11045.513866666666</v>
      </c>
      <c r="H144" s="249" t="s">
        <v>30</v>
      </c>
      <c r="I144" s="222" t="s">
        <v>38</v>
      </c>
      <c r="J144" s="256"/>
      <c r="K144" s="275"/>
      <c r="L144" s="275"/>
      <c r="M144" s="275"/>
      <c r="N144" s="575"/>
      <c r="O144" s="575"/>
      <c r="P144" s="575"/>
    </row>
    <row r="145" spans="1:16" x14ac:dyDescent="0.2">
      <c r="A145" s="253"/>
      <c r="B145" s="249"/>
      <c r="C145" s="249"/>
      <c r="D145" s="249"/>
      <c r="E145" s="575"/>
      <c r="F145" s="254"/>
      <c r="G145" s="255"/>
      <c r="H145" s="256"/>
      <c r="I145" s="249"/>
      <c r="J145" s="250"/>
      <c r="K145" s="251"/>
      <c r="L145" s="575"/>
      <c r="M145" s="575"/>
      <c r="N145" s="575"/>
      <c r="O145" s="575"/>
      <c r="P145" s="575"/>
    </row>
    <row r="146" spans="1:16" x14ac:dyDescent="0.2">
      <c r="A146" s="575" t="s">
        <v>27</v>
      </c>
      <c r="B146" s="223">
        <f>B128+1</f>
        <v>9</v>
      </c>
      <c r="C146" s="222"/>
      <c r="D146" s="575"/>
      <c r="E146" s="575"/>
      <c r="F146" s="575"/>
      <c r="G146" s="575"/>
      <c r="H146" s="575"/>
      <c r="I146" s="575"/>
      <c r="J146" s="575"/>
      <c r="K146" s="575"/>
      <c r="L146" s="575"/>
      <c r="M146" s="575"/>
      <c r="N146" s="1020" t="s">
        <v>13</v>
      </c>
      <c r="O146" s="248">
        <v>15</v>
      </c>
      <c r="P146" s="222" t="s">
        <v>38</v>
      </c>
    </row>
    <row r="147" spans="1:16" x14ac:dyDescent="0.2">
      <c r="A147" s="223" t="s">
        <v>12</v>
      </c>
      <c r="B147" s="257" t="s">
        <v>1637</v>
      </c>
      <c r="C147" s="257"/>
      <c r="D147" s="257"/>
      <c r="E147" s="257"/>
      <c r="F147" s="257"/>
      <c r="G147" s="257"/>
      <c r="H147" s="257"/>
      <c r="I147" s="257"/>
      <c r="J147" s="257"/>
      <c r="K147" s="257" t="s">
        <v>1496</v>
      </c>
      <c r="L147" s="257"/>
      <c r="M147" s="257"/>
      <c r="N147" s="257"/>
      <c r="O147" s="257"/>
      <c r="P147" s="257"/>
    </row>
    <row r="148" spans="1:16" x14ac:dyDescent="0.2">
      <c r="A148" s="225" t="s">
        <v>243</v>
      </c>
      <c r="B148" s="226" t="s">
        <v>15</v>
      </c>
      <c r="C148" s="227"/>
      <c r="D148" s="227"/>
      <c r="E148" s="227"/>
      <c r="F148" s="226"/>
      <c r="G148" s="1412" t="s">
        <v>16</v>
      </c>
      <c r="H148" s="1413"/>
      <c r="I148" s="1413"/>
      <c r="J148" s="1413"/>
      <c r="K148" s="1414"/>
      <c r="L148" s="227" t="s">
        <v>17</v>
      </c>
      <c r="M148" s="227"/>
      <c r="N148" s="227"/>
      <c r="O148" s="227"/>
      <c r="P148" s="227"/>
    </row>
    <row r="149" spans="1:16" x14ac:dyDescent="0.2">
      <c r="A149" s="225" t="s">
        <v>273</v>
      </c>
      <c r="B149" s="228" t="s">
        <v>18</v>
      </c>
      <c r="C149" s="229" t="s">
        <v>0</v>
      </c>
      <c r="D149" s="229" t="s">
        <v>5</v>
      </c>
      <c r="E149" s="229" t="s">
        <v>1</v>
      </c>
      <c r="F149" s="230" t="s">
        <v>2</v>
      </c>
      <c r="G149" s="228" t="s">
        <v>19</v>
      </c>
      <c r="H149" s="229" t="s">
        <v>0</v>
      </c>
      <c r="I149" s="229" t="s">
        <v>5</v>
      </c>
      <c r="J149" s="229" t="s">
        <v>1</v>
      </c>
      <c r="K149" s="230" t="s">
        <v>2</v>
      </c>
      <c r="L149" s="228" t="s">
        <v>19</v>
      </c>
      <c r="M149" s="229" t="s">
        <v>0</v>
      </c>
      <c r="N149" s="229" t="s">
        <v>5</v>
      </c>
      <c r="O149" s="229" t="s">
        <v>1</v>
      </c>
      <c r="P149" s="230" t="s">
        <v>2</v>
      </c>
    </row>
    <row r="150" spans="1:16" x14ac:dyDescent="0.2">
      <c r="A150" s="258"/>
      <c r="B150" s="237"/>
      <c r="C150" s="233"/>
      <c r="D150" s="234"/>
      <c r="E150" s="235"/>
      <c r="F150" s="236"/>
      <c r="G150" s="237"/>
      <c r="H150" s="233"/>
      <c r="I150" s="234"/>
      <c r="J150" s="235"/>
      <c r="K150" s="236"/>
      <c r="L150" s="237"/>
      <c r="M150" s="233"/>
      <c r="N150" s="234"/>
      <c r="O150" s="235"/>
      <c r="P150" s="236"/>
    </row>
    <row r="151" spans="1:16" ht="15" x14ac:dyDescent="0.2">
      <c r="A151" s="231" t="s">
        <v>1640</v>
      </c>
      <c r="B151" s="1021" t="s">
        <v>32</v>
      </c>
      <c r="C151" s="1022" t="s">
        <v>46</v>
      </c>
      <c r="D151" s="1023">
        <v>3</v>
      </c>
      <c r="E151" s="1024">
        <f>skilled</f>
        <v>1070</v>
      </c>
      <c r="F151" s="1025">
        <f>ROUND(E151*D151,2)</f>
        <v>3210</v>
      </c>
      <c r="G151" s="1035" t="s">
        <v>9</v>
      </c>
      <c r="H151" s="1022" t="s">
        <v>14</v>
      </c>
      <c r="I151" s="1023">
        <v>4.13</v>
      </c>
      <c r="J151" s="1024">
        <f>cement</f>
        <v>17013.62</v>
      </c>
      <c r="K151" s="1025">
        <f t="shared" ref="K151:K154" si="1">ROUND(J151*I151,2)</f>
        <v>70266.25</v>
      </c>
      <c r="L151" s="259" t="s">
        <v>420</v>
      </c>
      <c r="M151" s="1022" t="s">
        <v>28</v>
      </c>
      <c r="N151" s="1023">
        <v>6</v>
      </c>
      <c r="O151" s="1024">
        <f>mixer</f>
        <v>1000</v>
      </c>
      <c r="P151" s="1025">
        <f>ROUND(O151*N151,2)</f>
        <v>6000</v>
      </c>
    </row>
    <row r="152" spans="1:16" x14ac:dyDescent="0.2">
      <c r="A152" s="260" t="s">
        <v>20</v>
      </c>
      <c r="B152" s="1021" t="s">
        <v>21</v>
      </c>
      <c r="C152" s="1022" t="s">
        <v>46</v>
      </c>
      <c r="D152" s="1023">
        <v>30</v>
      </c>
      <c r="E152" s="1024">
        <f>unskilled</f>
        <v>770</v>
      </c>
      <c r="F152" s="1025">
        <f>ROUND(E152*D152,2)</f>
        <v>23100</v>
      </c>
      <c r="G152" s="1035" t="s">
        <v>1492</v>
      </c>
      <c r="H152" s="1022" t="s">
        <v>38</v>
      </c>
      <c r="I152" s="1023">
        <v>8.1</v>
      </c>
      <c r="J152" s="1024">
        <f>_Agg40</f>
        <v>2474.1999999999998</v>
      </c>
      <c r="K152" s="1025">
        <f t="shared" si="1"/>
        <v>20041.02</v>
      </c>
      <c r="L152" s="1021" t="s">
        <v>1493</v>
      </c>
      <c r="M152" s="1022" t="s">
        <v>28</v>
      </c>
      <c r="N152" s="1023">
        <v>6</v>
      </c>
      <c r="O152" s="1024">
        <f>generator</f>
        <v>1500</v>
      </c>
      <c r="P152" s="1025">
        <f>ROUND(O152*N152,2)</f>
        <v>9000</v>
      </c>
    </row>
    <row r="153" spans="1:16" x14ac:dyDescent="0.2">
      <c r="A153" s="260"/>
      <c r="B153" s="1021"/>
      <c r="C153" s="1022"/>
      <c r="D153" s="1023"/>
      <c r="E153" s="1024"/>
      <c r="F153" s="1025"/>
      <c r="G153" s="1035" t="s">
        <v>1498</v>
      </c>
      <c r="H153" s="1022" t="s">
        <v>38</v>
      </c>
      <c r="I153" s="1023">
        <v>4.05</v>
      </c>
      <c r="J153" s="1024">
        <f>_Agg20</f>
        <v>2574.1999999999998</v>
      </c>
      <c r="K153" s="1025">
        <f t="shared" si="1"/>
        <v>10425.51</v>
      </c>
      <c r="L153" s="1021"/>
      <c r="M153" s="1022"/>
      <c r="N153" s="1023"/>
      <c r="O153" s="1024"/>
      <c r="P153" s="1025"/>
    </row>
    <row r="154" spans="1:16" x14ac:dyDescent="0.2">
      <c r="A154" s="260"/>
      <c r="B154" s="1021"/>
      <c r="C154" s="1022"/>
      <c r="D154" s="1023"/>
      <c r="E154" s="1024"/>
      <c r="F154" s="1025"/>
      <c r="G154" s="1035" t="s">
        <v>1499</v>
      </c>
      <c r="H154" s="1022" t="s">
        <v>38</v>
      </c>
      <c r="I154" s="1023">
        <v>1.35</v>
      </c>
      <c r="J154" s="1024">
        <f>_agg10</f>
        <v>2574.1999999999998</v>
      </c>
      <c r="K154" s="1025">
        <f t="shared" si="1"/>
        <v>3475.17</v>
      </c>
      <c r="L154" s="1021"/>
      <c r="M154" s="1022"/>
      <c r="N154" s="1023"/>
      <c r="O154" s="1024"/>
      <c r="P154" s="1025"/>
    </row>
    <row r="155" spans="1:16" x14ac:dyDescent="0.2">
      <c r="A155" s="231"/>
      <c r="B155" s="1021"/>
      <c r="C155" s="1022"/>
      <c r="D155" s="1023"/>
      <c r="E155" s="1024"/>
      <c r="F155" s="1025"/>
      <c r="G155" s="1035" t="s">
        <v>45</v>
      </c>
      <c r="H155" s="1022" t="s">
        <v>38</v>
      </c>
      <c r="I155" s="1023">
        <v>6.75</v>
      </c>
      <c r="J155" s="1024">
        <f>sand</f>
        <v>2503.2750000000001</v>
      </c>
      <c r="K155" s="1025">
        <f>ROUND(J155*I155,2)</f>
        <v>16897.11</v>
      </c>
      <c r="L155" s="1021"/>
      <c r="M155" s="1022"/>
      <c r="N155" s="1023"/>
      <c r="O155" s="1024"/>
      <c r="P155" s="1025"/>
    </row>
    <row r="156" spans="1:16" ht="15" x14ac:dyDescent="0.2">
      <c r="A156" s="231"/>
      <c r="B156" s="1021"/>
      <c r="C156" s="1022"/>
      <c r="D156" s="1023"/>
      <c r="E156" s="1024"/>
      <c r="F156" s="1025"/>
      <c r="G156" s="659" t="s">
        <v>267</v>
      </c>
      <c r="H156" s="660" t="s">
        <v>44</v>
      </c>
      <c r="I156" s="661">
        <v>0.1</v>
      </c>
      <c r="J156" s="662">
        <f>petrol</f>
        <v>170</v>
      </c>
      <c r="K156" s="663">
        <f>ROUND(J156*I156,2)</f>
        <v>17</v>
      </c>
      <c r="L156" s="1021"/>
      <c r="M156" s="1022"/>
      <c r="N156" s="1023"/>
      <c r="O156" s="1024"/>
      <c r="P156" s="1025"/>
    </row>
    <row r="157" spans="1:16" ht="15" x14ac:dyDescent="0.2">
      <c r="A157" s="231"/>
      <c r="B157" s="1021"/>
      <c r="C157" s="1022"/>
      <c r="D157" s="1023"/>
      <c r="E157" s="1024"/>
      <c r="F157" s="1025"/>
      <c r="G157" s="659" t="s">
        <v>268</v>
      </c>
      <c r="H157" s="660" t="s">
        <v>44</v>
      </c>
      <c r="I157" s="661">
        <v>3</v>
      </c>
      <c r="J157" s="662">
        <f>diesel</f>
        <v>160</v>
      </c>
      <c r="K157" s="663">
        <f>ROUND(J157*I157,2)</f>
        <v>480</v>
      </c>
      <c r="L157" s="1021"/>
      <c r="M157" s="1022"/>
      <c r="N157" s="1023"/>
      <c r="O157" s="1024"/>
      <c r="P157" s="1025"/>
    </row>
    <row r="158" spans="1:16" x14ac:dyDescent="0.2">
      <c r="A158" s="231"/>
      <c r="B158" s="1021"/>
      <c r="C158" s="1022"/>
      <c r="D158" s="1023"/>
      <c r="E158" s="1024"/>
      <c r="F158" s="1025"/>
      <c r="G158" s="1035" t="s">
        <v>51</v>
      </c>
      <c r="H158" s="1022" t="s">
        <v>44</v>
      </c>
      <c r="I158" s="572">
        <v>2000</v>
      </c>
      <c r="J158" s="1024">
        <f>water</f>
        <v>0.24955999999999998</v>
      </c>
      <c r="K158" s="1025">
        <f>ROUND(J158*I158,2)</f>
        <v>499.12</v>
      </c>
      <c r="L158" s="1021"/>
      <c r="M158" s="1022"/>
      <c r="N158" s="1023"/>
      <c r="O158" s="1024"/>
      <c r="P158" s="1025"/>
    </row>
    <row r="159" spans="1:16" x14ac:dyDescent="0.2">
      <c r="A159" s="241"/>
      <c r="B159" s="242"/>
      <c r="C159" s="243"/>
      <c r="D159" s="243"/>
      <c r="E159" s="244" t="s">
        <v>39</v>
      </c>
      <c r="F159" s="245">
        <f>SUM(F151:F158)</f>
        <v>26310</v>
      </c>
      <c r="G159" s="242"/>
      <c r="H159" s="243"/>
      <c r="I159" s="243"/>
      <c r="J159" s="244" t="s">
        <v>40</v>
      </c>
      <c r="K159" s="245">
        <f>SUM(K151:K158)</f>
        <v>122101.18</v>
      </c>
      <c r="L159" s="242"/>
      <c r="M159" s="243"/>
      <c r="N159" s="243"/>
      <c r="O159" s="246" t="s">
        <v>41</v>
      </c>
      <c r="P159" s="245">
        <f>SUM(P151:P158)</f>
        <v>15000</v>
      </c>
    </row>
    <row r="160" spans="1:16" x14ac:dyDescent="0.2">
      <c r="A160" s="247"/>
      <c r="B160" s="575"/>
      <c r="C160" s="575"/>
      <c r="D160" s="575"/>
      <c r="E160" s="575"/>
      <c r="F160" s="1020" t="s">
        <v>29</v>
      </c>
      <c r="G160" s="248">
        <f>F159+K159+P159</f>
        <v>163411.18</v>
      </c>
      <c r="H160" s="575"/>
      <c r="I160" s="249"/>
      <c r="J160" s="250"/>
      <c r="K160" s="251"/>
      <c r="L160" s="575"/>
      <c r="M160" s="575"/>
      <c r="N160" s="575"/>
      <c r="O160" s="575"/>
      <c r="P160" s="575"/>
    </row>
    <row r="161" spans="1:16" x14ac:dyDescent="0.2">
      <c r="A161" s="247"/>
      <c r="B161" s="575"/>
      <c r="C161" s="575"/>
      <c r="D161" s="1423" t="s">
        <v>1500</v>
      </c>
      <c r="E161" s="1423"/>
      <c r="F161" s="1423"/>
      <c r="G161" s="248">
        <f>G160*0.04</f>
        <v>6536.4471999999996</v>
      </c>
      <c r="H161" s="575"/>
      <c r="I161" s="249"/>
      <c r="J161" s="250"/>
      <c r="K161" s="251"/>
      <c r="L161" s="575"/>
      <c r="M161" s="575"/>
      <c r="N161" s="575"/>
      <c r="O161" s="575"/>
      <c r="P161" s="575"/>
    </row>
    <row r="162" spans="1:16" x14ac:dyDescent="0.2">
      <c r="A162" s="247"/>
      <c r="B162" s="575"/>
      <c r="C162" s="575"/>
      <c r="D162" s="575"/>
      <c r="E162" s="575"/>
      <c r="F162" s="252" t="s">
        <v>31</v>
      </c>
      <c r="G162" s="248">
        <f>0.15*G160</f>
        <v>24511.677</v>
      </c>
      <c r="H162" s="575"/>
      <c r="I162" s="249"/>
      <c r="J162" s="250"/>
      <c r="K162" s="251"/>
      <c r="L162" s="575"/>
      <c r="M162" s="575"/>
      <c r="N162" s="575"/>
      <c r="O162" s="575"/>
      <c r="P162" s="575"/>
    </row>
    <row r="163" spans="1:16" ht="15" x14ac:dyDescent="0.25">
      <c r="A163" s="253"/>
      <c r="B163" s="249"/>
      <c r="C163" s="249"/>
      <c r="D163" s="249"/>
      <c r="E163" s="575"/>
      <c r="F163" s="277" t="str">
        <f>"Rate for "&amp;O146&amp;" m² :"</f>
        <v>Rate for 15 m² :</v>
      </c>
      <c r="G163" s="1012">
        <f>SUM(G160:G162)</f>
        <v>194459.30419999998</v>
      </c>
      <c r="H163" s="256"/>
      <c r="I163" s="249"/>
      <c r="J163" s="250"/>
      <c r="K163" s="251"/>
      <c r="L163" s="575"/>
      <c r="M163" s="575"/>
      <c r="N163" s="575"/>
      <c r="O163" s="575"/>
      <c r="P163" s="575"/>
    </row>
    <row r="164" spans="1:16" x14ac:dyDescent="0.2">
      <c r="A164" s="247"/>
      <c r="B164" s="575"/>
      <c r="C164" s="575"/>
      <c r="D164" s="575"/>
      <c r="E164" s="1027"/>
      <c r="F164" s="277" t="s">
        <v>1494</v>
      </c>
      <c r="G164" s="278">
        <f>G163/O146</f>
        <v>12963.953613333333</v>
      </c>
      <c r="H164" s="575"/>
      <c r="I164" s="249"/>
      <c r="J164" s="256"/>
      <c r="K164" s="275"/>
      <c r="L164" s="575"/>
      <c r="M164" s="575"/>
      <c r="N164" s="575"/>
      <c r="O164" s="575"/>
      <c r="P164" s="575"/>
    </row>
    <row r="165" spans="1:16" x14ac:dyDescent="0.2">
      <c r="A165" s="253"/>
      <c r="B165" s="249"/>
      <c r="C165" s="249"/>
      <c r="D165" s="249"/>
      <c r="E165" s="249"/>
      <c r="F165" s="254" t="s">
        <v>1</v>
      </c>
      <c r="G165" s="255">
        <f>G164</f>
        <v>12963.953613333333</v>
      </c>
      <c r="H165" s="249" t="s">
        <v>30</v>
      </c>
      <c r="I165" s="222" t="s">
        <v>38</v>
      </c>
      <c r="J165" s="256"/>
      <c r="K165" s="275"/>
      <c r="L165" s="275"/>
      <c r="M165" s="275"/>
      <c r="N165" s="575"/>
      <c r="O165" s="575"/>
      <c r="P165" s="575"/>
    </row>
    <row r="166" spans="1:16" x14ac:dyDescent="0.2">
      <c r="A166" s="253"/>
      <c r="B166" s="249"/>
      <c r="C166" s="249"/>
      <c r="D166" s="249"/>
      <c r="E166" s="575"/>
      <c r="F166" s="254"/>
      <c r="G166" s="255"/>
      <c r="H166" s="256"/>
      <c r="I166" s="249"/>
      <c r="J166" s="250"/>
      <c r="K166" s="251"/>
      <c r="L166" s="575"/>
      <c r="M166" s="575"/>
      <c r="N166" s="575"/>
      <c r="O166" s="575"/>
      <c r="P166" s="575"/>
    </row>
    <row r="167" spans="1:16" x14ac:dyDescent="0.2">
      <c r="A167" s="575" t="s">
        <v>27</v>
      </c>
      <c r="B167" s="223">
        <f>B146+1</f>
        <v>10</v>
      </c>
      <c r="C167" s="222"/>
      <c r="D167" s="575"/>
      <c r="E167" s="575"/>
      <c r="F167" s="575"/>
      <c r="G167" s="575"/>
      <c r="H167" s="575"/>
      <c r="I167" s="575"/>
      <c r="J167" s="575"/>
      <c r="K167" s="575"/>
      <c r="L167" s="575"/>
      <c r="M167" s="575"/>
      <c r="N167" s="1020" t="s">
        <v>13</v>
      </c>
      <c r="O167" s="248">
        <v>15</v>
      </c>
      <c r="P167" s="222" t="s">
        <v>38</v>
      </c>
    </row>
    <row r="168" spans="1:16" x14ac:dyDescent="0.2">
      <c r="A168" s="223" t="s">
        <v>12</v>
      </c>
      <c r="B168" s="257" t="s">
        <v>1495</v>
      </c>
      <c r="C168" s="257"/>
      <c r="D168" s="257"/>
      <c r="E168" s="257"/>
      <c r="F168" s="257"/>
      <c r="G168" s="257"/>
      <c r="H168" s="257"/>
      <c r="I168" s="257"/>
      <c r="J168" s="257"/>
      <c r="K168" s="257" t="s">
        <v>1501</v>
      </c>
      <c r="L168" s="257"/>
      <c r="M168" s="257"/>
      <c r="N168" s="257"/>
      <c r="O168" s="257"/>
      <c r="P168" s="257"/>
    </row>
    <row r="169" spans="1:16" x14ac:dyDescent="0.2">
      <c r="A169" s="225" t="s">
        <v>243</v>
      </c>
      <c r="B169" s="226" t="s">
        <v>15</v>
      </c>
      <c r="C169" s="227"/>
      <c r="D169" s="227"/>
      <c r="E169" s="227"/>
      <c r="F169" s="226"/>
      <c r="G169" s="1412" t="s">
        <v>16</v>
      </c>
      <c r="H169" s="1413"/>
      <c r="I169" s="1413"/>
      <c r="J169" s="1413"/>
      <c r="K169" s="1414"/>
      <c r="L169" s="227" t="s">
        <v>17</v>
      </c>
      <c r="M169" s="227"/>
      <c r="N169" s="227"/>
      <c r="O169" s="227"/>
      <c r="P169" s="227"/>
    </row>
    <row r="170" spans="1:16" x14ac:dyDescent="0.2">
      <c r="A170" s="225" t="s">
        <v>273</v>
      </c>
      <c r="B170" s="228" t="s">
        <v>18</v>
      </c>
      <c r="C170" s="229" t="s">
        <v>0</v>
      </c>
      <c r="D170" s="229" t="s">
        <v>5</v>
      </c>
      <c r="E170" s="229" t="s">
        <v>1</v>
      </c>
      <c r="F170" s="230" t="s">
        <v>2</v>
      </c>
      <c r="G170" s="228" t="s">
        <v>19</v>
      </c>
      <c r="H170" s="229" t="s">
        <v>0</v>
      </c>
      <c r="I170" s="229" t="s">
        <v>5</v>
      </c>
      <c r="J170" s="229" t="s">
        <v>1</v>
      </c>
      <c r="K170" s="230" t="s">
        <v>2</v>
      </c>
      <c r="L170" s="228" t="s">
        <v>19</v>
      </c>
      <c r="M170" s="229" t="s">
        <v>0</v>
      </c>
      <c r="N170" s="229" t="s">
        <v>5</v>
      </c>
      <c r="O170" s="229" t="s">
        <v>1</v>
      </c>
      <c r="P170" s="230" t="s">
        <v>2</v>
      </c>
    </row>
    <row r="171" spans="1:16" x14ac:dyDescent="0.2">
      <c r="A171" s="258"/>
      <c r="B171" s="237"/>
      <c r="C171" s="233"/>
      <c r="D171" s="234"/>
      <c r="E171" s="235"/>
      <c r="F171" s="236"/>
      <c r="G171" s="237"/>
      <c r="H171" s="233"/>
      <c r="I171" s="234"/>
      <c r="J171" s="235"/>
      <c r="K171" s="236"/>
      <c r="L171" s="237"/>
      <c r="M171" s="233"/>
      <c r="N171" s="234"/>
      <c r="O171" s="235"/>
      <c r="P171" s="236"/>
    </row>
    <row r="172" spans="1:16" ht="15" x14ac:dyDescent="0.2">
      <c r="A172" s="231" t="s">
        <v>1497</v>
      </c>
      <c r="B172" s="1021" t="s">
        <v>32</v>
      </c>
      <c r="C172" s="1022" t="s">
        <v>46</v>
      </c>
      <c r="D172" s="1023">
        <v>3</v>
      </c>
      <c r="E172" s="1024">
        <f>skilled</f>
        <v>1070</v>
      </c>
      <c r="F172" s="1025">
        <f>ROUND(E172*D172,2)</f>
        <v>3210</v>
      </c>
      <c r="G172" s="1035" t="s">
        <v>9</v>
      </c>
      <c r="H172" s="1022" t="s">
        <v>14</v>
      </c>
      <c r="I172" s="1023">
        <v>5.16</v>
      </c>
      <c r="J172" s="1024">
        <f>cement</f>
        <v>17013.62</v>
      </c>
      <c r="K172" s="1025">
        <f t="shared" ref="K172:K175" si="2">ROUND(J172*I172,2)</f>
        <v>87790.28</v>
      </c>
      <c r="L172" s="259" t="s">
        <v>420</v>
      </c>
      <c r="M172" s="1022" t="s">
        <v>28</v>
      </c>
      <c r="N172" s="1023">
        <v>6</v>
      </c>
      <c r="O172" s="1024">
        <f>mixer</f>
        <v>1000</v>
      </c>
      <c r="P172" s="1025">
        <f>ROUND(O172*N172,2)</f>
        <v>6000</v>
      </c>
    </row>
    <row r="173" spans="1:16" x14ac:dyDescent="0.2">
      <c r="A173" s="260" t="s">
        <v>20</v>
      </c>
      <c r="B173" s="1021" t="s">
        <v>21</v>
      </c>
      <c r="C173" s="1022" t="s">
        <v>46</v>
      </c>
      <c r="D173" s="1023">
        <v>30</v>
      </c>
      <c r="E173" s="1024">
        <f>unskilled</f>
        <v>770</v>
      </c>
      <c r="F173" s="1025">
        <f>ROUND(E173*D173,2)</f>
        <v>23100</v>
      </c>
      <c r="G173" s="1035" t="s">
        <v>1492</v>
      </c>
      <c r="H173" s="1022" t="s">
        <v>38</v>
      </c>
      <c r="I173" s="1023">
        <v>5.4</v>
      </c>
      <c r="J173" s="1024">
        <f>_Agg40</f>
        <v>2474.1999999999998</v>
      </c>
      <c r="K173" s="1025">
        <f t="shared" si="2"/>
        <v>13360.68</v>
      </c>
      <c r="L173" s="1021" t="s">
        <v>1493</v>
      </c>
      <c r="M173" s="1022" t="s">
        <v>28</v>
      </c>
      <c r="N173" s="1023">
        <v>6</v>
      </c>
      <c r="O173" s="1024">
        <f>generator</f>
        <v>1500</v>
      </c>
      <c r="P173" s="1025">
        <f>ROUND(O173*N173,2)</f>
        <v>9000</v>
      </c>
    </row>
    <row r="174" spans="1:16" x14ac:dyDescent="0.2">
      <c r="A174" s="260"/>
      <c r="B174" s="1021"/>
      <c r="C174" s="1022"/>
      <c r="D174" s="1023"/>
      <c r="E174" s="1024"/>
      <c r="F174" s="1025"/>
      <c r="G174" s="1035" t="s">
        <v>1498</v>
      </c>
      <c r="H174" s="1022" t="s">
        <v>38</v>
      </c>
      <c r="I174" s="1023">
        <v>5.4</v>
      </c>
      <c r="J174" s="1024">
        <f>_Agg20</f>
        <v>2574.1999999999998</v>
      </c>
      <c r="K174" s="1025">
        <f t="shared" si="2"/>
        <v>13900.68</v>
      </c>
      <c r="L174" s="1021"/>
      <c r="M174" s="1022"/>
      <c r="N174" s="1023"/>
      <c r="O174" s="1024"/>
      <c r="P174" s="1025"/>
    </row>
    <row r="175" spans="1:16" x14ac:dyDescent="0.2">
      <c r="A175" s="260"/>
      <c r="B175" s="1021"/>
      <c r="C175" s="1022"/>
      <c r="D175" s="1023"/>
      <c r="E175" s="1024"/>
      <c r="F175" s="1025"/>
      <c r="G175" s="1035" t="s">
        <v>1499</v>
      </c>
      <c r="H175" s="1022" t="s">
        <v>38</v>
      </c>
      <c r="I175" s="1023">
        <v>2.7</v>
      </c>
      <c r="J175" s="1024">
        <f>_agg10</f>
        <v>2574.1999999999998</v>
      </c>
      <c r="K175" s="1025">
        <f t="shared" si="2"/>
        <v>6950.34</v>
      </c>
      <c r="L175" s="1021"/>
      <c r="M175" s="1022"/>
      <c r="N175" s="1023"/>
      <c r="O175" s="1024"/>
      <c r="P175" s="1025"/>
    </row>
    <row r="176" spans="1:16" x14ac:dyDescent="0.2">
      <c r="A176" s="231"/>
      <c r="B176" s="1021"/>
      <c r="C176" s="1022"/>
      <c r="D176" s="1023"/>
      <c r="E176" s="1024"/>
      <c r="F176" s="1025"/>
      <c r="G176" s="1035" t="s">
        <v>45</v>
      </c>
      <c r="H176" s="1022" t="s">
        <v>38</v>
      </c>
      <c r="I176" s="1023">
        <v>6.75</v>
      </c>
      <c r="J176" s="1024">
        <f>sand</f>
        <v>2503.2750000000001</v>
      </c>
      <c r="K176" s="1025">
        <f>ROUND(J176*I176,2)</f>
        <v>16897.11</v>
      </c>
      <c r="L176" s="1021"/>
      <c r="M176" s="1022"/>
      <c r="N176" s="1023"/>
      <c r="O176" s="1024"/>
      <c r="P176" s="1025"/>
    </row>
    <row r="177" spans="1:16" ht="15" x14ac:dyDescent="0.2">
      <c r="A177" s="231"/>
      <c r="B177" s="1021"/>
      <c r="C177" s="1022"/>
      <c r="D177" s="1023"/>
      <c r="E177" s="1024"/>
      <c r="F177" s="1025"/>
      <c r="G177" s="659" t="s">
        <v>267</v>
      </c>
      <c r="H177" s="660" t="s">
        <v>44</v>
      </c>
      <c r="I177" s="661">
        <v>0.1</v>
      </c>
      <c r="J177" s="662">
        <f>petrol</f>
        <v>170</v>
      </c>
      <c r="K177" s="663">
        <f>ROUND(J177*I177,2)</f>
        <v>17</v>
      </c>
      <c r="L177" s="1021"/>
      <c r="M177" s="1022"/>
      <c r="N177" s="1023"/>
      <c r="O177" s="1024"/>
      <c r="P177" s="1025"/>
    </row>
    <row r="178" spans="1:16" ht="15" x14ac:dyDescent="0.2">
      <c r="A178" s="231"/>
      <c r="B178" s="1021"/>
      <c r="C178" s="1022"/>
      <c r="D178" s="1023"/>
      <c r="E178" s="1024"/>
      <c r="F178" s="1025"/>
      <c r="G178" s="659" t="s">
        <v>268</v>
      </c>
      <c r="H178" s="660" t="s">
        <v>44</v>
      </c>
      <c r="I178" s="661">
        <v>3</v>
      </c>
      <c r="J178" s="662">
        <f>diesel</f>
        <v>160</v>
      </c>
      <c r="K178" s="663">
        <f>ROUND(J178*I178,2)</f>
        <v>480</v>
      </c>
      <c r="L178" s="1021"/>
      <c r="M178" s="1022"/>
      <c r="N178" s="1023"/>
      <c r="O178" s="1024"/>
      <c r="P178" s="1025"/>
    </row>
    <row r="179" spans="1:16" x14ac:dyDescent="0.2">
      <c r="A179" s="231"/>
      <c r="B179" s="1021"/>
      <c r="C179" s="1022"/>
      <c r="D179" s="1023"/>
      <c r="E179" s="1024"/>
      <c r="F179" s="1025"/>
      <c r="G179" s="1035" t="s">
        <v>51</v>
      </c>
      <c r="H179" s="1022" t="s">
        <v>44</v>
      </c>
      <c r="I179" s="572">
        <v>2500</v>
      </c>
      <c r="J179" s="1024">
        <f>water</f>
        <v>0.24955999999999998</v>
      </c>
      <c r="K179" s="1025">
        <f>ROUND(J179*I179,2)</f>
        <v>623.9</v>
      </c>
      <c r="L179" s="1021"/>
      <c r="M179" s="1022"/>
      <c r="N179" s="1023"/>
      <c r="O179" s="1024"/>
      <c r="P179" s="1025"/>
    </row>
    <row r="180" spans="1:16" x14ac:dyDescent="0.2">
      <c r="A180" s="241"/>
      <c r="B180" s="242"/>
      <c r="C180" s="243"/>
      <c r="D180" s="243"/>
      <c r="E180" s="244" t="s">
        <v>39</v>
      </c>
      <c r="F180" s="245">
        <f>SUM(F172:F179)</f>
        <v>26310</v>
      </c>
      <c r="G180" s="242"/>
      <c r="H180" s="243"/>
      <c r="I180" s="243"/>
      <c r="J180" s="244" t="s">
        <v>40</v>
      </c>
      <c r="K180" s="245">
        <f>SUM(K172:K179)</f>
        <v>140019.98999999996</v>
      </c>
      <c r="L180" s="242"/>
      <c r="M180" s="243"/>
      <c r="N180" s="243"/>
      <c r="O180" s="246" t="s">
        <v>41</v>
      </c>
      <c r="P180" s="245">
        <f>SUM(P172:P179)</f>
        <v>15000</v>
      </c>
    </row>
    <row r="181" spans="1:16" x14ac:dyDescent="0.2">
      <c r="A181" s="247"/>
      <c r="B181" s="575"/>
      <c r="C181" s="575"/>
      <c r="D181" s="575"/>
      <c r="E181" s="575"/>
      <c r="F181" s="1020" t="s">
        <v>29</v>
      </c>
      <c r="G181" s="248">
        <f>F180+K180+P180</f>
        <v>181329.98999999996</v>
      </c>
      <c r="H181" s="575"/>
      <c r="I181" s="249"/>
      <c r="J181" s="250"/>
      <c r="K181" s="251"/>
      <c r="L181" s="575"/>
      <c r="M181" s="575"/>
      <c r="N181" s="575"/>
      <c r="O181" s="575"/>
      <c r="P181" s="575"/>
    </row>
    <row r="182" spans="1:16" x14ac:dyDescent="0.2">
      <c r="A182" s="247"/>
      <c r="B182" s="575"/>
      <c r="C182" s="575"/>
      <c r="D182" s="1423" t="s">
        <v>1500</v>
      </c>
      <c r="E182" s="1423"/>
      <c r="F182" s="1423"/>
      <c r="G182" s="248">
        <f>G181*0.04</f>
        <v>7253.199599999999</v>
      </c>
      <c r="H182" s="575"/>
      <c r="I182" s="249"/>
      <c r="J182" s="250"/>
      <c r="K182" s="251"/>
      <c r="L182" s="575"/>
      <c r="M182" s="575"/>
      <c r="N182" s="575"/>
      <c r="O182" s="575"/>
      <c r="P182" s="575"/>
    </row>
    <row r="183" spans="1:16" x14ac:dyDescent="0.2">
      <c r="A183" s="247"/>
      <c r="B183" s="575"/>
      <c r="C183" s="575"/>
      <c r="D183" s="575"/>
      <c r="E183" s="575"/>
      <c r="F183" s="252" t="s">
        <v>31</v>
      </c>
      <c r="G183" s="248">
        <f>0.15*G181</f>
        <v>27199.498499999994</v>
      </c>
      <c r="H183" s="575"/>
      <c r="I183" s="249"/>
      <c r="J183" s="250"/>
      <c r="K183" s="251"/>
      <c r="L183" s="575"/>
      <c r="M183" s="575"/>
      <c r="N183" s="575"/>
      <c r="O183" s="575"/>
      <c r="P183" s="575"/>
    </row>
    <row r="184" spans="1:16" ht="15" x14ac:dyDescent="0.25">
      <c r="A184" s="253"/>
      <c r="B184" s="249"/>
      <c r="C184" s="249"/>
      <c r="D184" s="249"/>
      <c r="E184" s="575"/>
      <c r="F184" s="277" t="str">
        <f>"Rate for "&amp;O167&amp;" m² :"</f>
        <v>Rate for 15 m² :</v>
      </c>
      <c r="G184" s="1012">
        <f>SUM(G181:G183)</f>
        <v>215782.68809999994</v>
      </c>
      <c r="H184" s="256"/>
      <c r="I184" s="249"/>
      <c r="J184" s="250"/>
      <c r="K184" s="251"/>
      <c r="L184" s="575"/>
      <c r="M184" s="575"/>
      <c r="N184" s="575"/>
      <c r="O184" s="575"/>
      <c r="P184" s="575"/>
    </row>
    <row r="185" spans="1:16" x14ac:dyDescent="0.2">
      <c r="A185" s="247"/>
      <c r="B185" s="575"/>
      <c r="C185" s="575"/>
      <c r="D185" s="575"/>
      <c r="E185" s="1027"/>
      <c r="F185" s="277" t="s">
        <v>1494</v>
      </c>
      <c r="G185" s="278">
        <f>G184/O167</f>
        <v>14385.512539999996</v>
      </c>
      <c r="H185" s="575"/>
      <c r="I185" s="249"/>
      <c r="J185" s="256"/>
      <c r="K185" s="275"/>
      <c r="L185" s="575"/>
      <c r="M185" s="575"/>
      <c r="N185" s="575"/>
      <c r="O185" s="575"/>
      <c r="P185" s="575"/>
    </row>
    <row r="186" spans="1:16" x14ac:dyDescent="0.2">
      <c r="A186" s="253"/>
      <c r="B186" s="249"/>
      <c r="C186" s="249"/>
      <c r="D186" s="249"/>
      <c r="E186" s="249"/>
      <c r="F186" s="254" t="s">
        <v>1</v>
      </c>
      <c r="G186" s="255">
        <f>G185</f>
        <v>14385.512539999996</v>
      </c>
      <c r="H186" s="249" t="s">
        <v>30</v>
      </c>
      <c r="I186" s="222" t="s">
        <v>38</v>
      </c>
      <c r="J186" s="256"/>
      <c r="K186" s="275"/>
      <c r="L186" s="275"/>
      <c r="M186" s="275"/>
      <c r="N186" s="575"/>
      <c r="O186" s="575"/>
      <c r="P186" s="575"/>
    </row>
    <row r="187" spans="1:16" x14ac:dyDescent="0.2">
      <c r="A187" s="253"/>
      <c r="B187" s="249"/>
      <c r="C187" s="249"/>
      <c r="D187" s="249"/>
      <c r="E187" s="575"/>
      <c r="F187" s="254"/>
      <c r="G187" s="255"/>
      <c r="H187" s="256"/>
      <c r="I187" s="249"/>
      <c r="J187" s="250"/>
      <c r="K187" s="251"/>
      <c r="L187" s="575"/>
      <c r="M187" s="575"/>
      <c r="N187" s="575"/>
      <c r="O187" s="575"/>
      <c r="P187" s="575"/>
    </row>
    <row r="188" spans="1:16" x14ac:dyDescent="0.2">
      <c r="A188" s="253"/>
      <c r="B188" s="249"/>
      <c r="C188" s="249"/>
      <c r="D188" s="249"/>
      <c r="E188" s="575"/>
      <c r="F188" s="254"/>
      <c r="G188" s="255"/>
      <c r="H188" s="256"/>
      <c r="I188" s="249"/>
      <c r="J188" s="250"/>
      <c r="K188" s="251"/>
      <c r="L188" s="575"/>
      <c r="M188" s="575"/>
      <c r="N188" s="575"/>
      <c r="O188" s="575"/>
      <c r="P188" s="575"/>
    </row>
    <row r="189" spans="1:16" x14ac:dyDescent="0.2">
      <c r="A189" s="575" t="s">
        <v>27</v>
      </c>
      <c r="B189" s="223">
        <f>B167+1</f>
        <v>11</v>
      </c>
      <c r="C189" s="222"/>
      <c r="D189" s="575"/>
      <c r="E189" s="575"/>
      <c r="F189" s="575"/>
      <c r="G189" s="575"/>
      <c r="H189" s="575"/>
      <c r="I189" s="575"/>
      <c r="J189" s="575"/>
      <c r="K189" s="575"/>
      <c r="L189" s="575"/>
      <c r="M189" s="575"/>
      <c r="N189" s="1020" t="s">
        <v>13</v>
      </c>
      <c r="O189" s="248">
        <v>15</v>
      </c>
      <c r="P189" s="222" t="s">
        <v>38</v>
      </c>
    </row>
    <row r="190" spans="1:16" x14ac:dyDescent="0.2">
      <c r="A190" s="223" t="s">
        <v>12</v>
      </c>
      <c r="B190" s="257" t="s">
        <v>1495</v>
      </c>
      <c r="C190" s="257"/>
      <c r="D190" s="257"/>
      <c r="E190" s="257"/>
      <c r="F190" s="257"/>
      <c r="G190" s="257"/>
      <c r="H190" s="257"/>
      <c r="I190" s="257"/>
      <c r="J190" s="257"/>
      <c r="K190" s="257" t="s">
        <v>1504</v>
      </c>
      <c r="L190" s="257"/>
      <c r="M190" s="257"/>
      <c r="N190" s="257"/>
      <c r="O190" s="257"/>
      <c r="P190" s="257"/>
    </row>
    <row r="191" spans="1:16" x14ac:dyDescent="0.2">
      <c r="A191" s="225" t="s">
        <v>243</v>
      </c>
      <c r="B191" s="226" t="s">
        <v>15</v>
      </c>
      <c r="C191" s="227"/>
      <c r="D191" s="227"/>
      <c r="E191" s="227"/>
      <c r="F191" s="226"/>
      <c r="G191" s="1412" t="s">
        <v>16</v>
      </c>
      <c r="H191" s="1413"/>
      <c r="I191" s="1413"/>
      <c r="J191" s="1413"/>
      <c r="K191" s="1414"/>
      <c r="L191" s="227" t="s">
        <v>17</v>
      </c>
      <c r="M191" s="227"/>
      <c r="N191" s="227"/>
      <c r="O191" s="227"/>
      <c r="P191" s="227"/>
    </row>
    <row r="192" spans="1:16" x14ac:dyDescent="0.2">
      <c r="A192" s="225" t="s">
        <v>273</v>
      </c>
      <c r="B192" s="228" t="s">
        <v>18</v>
      </c>
      <c r="C192" s="229" t="s">
        <v>0</v>
      </c>
      <c r="D192" s="229" t="s">
        <v>5</v>
      </c>
      <c r="E192" s="229" t="s">
        <v>1</v>
      </c>
      <c r="F192" s="230" t="s">
        <v>2</v>
      </c>
      <c r="G192" s="228" t="s">
        <v>19</v>
      </c>
      <c r="H192" s="229" t="s">
        <v>0</v>
      </c>
      <c r="I192" s="229" t="s">
        <v>5</v>
      </c>
      <c r="J192" s="229" t="s">
        <v>1</v>
      </c>
      <c r="K192" s="230" t="s">
        <v>2</v>
      </c>
      <c r="L192" s="228" t="s">
        <v>19</v>
      </c>
      <c r="M192" s="229" t="s">
        <v>0</v>
      </c>
      <c r="N192" s="229" t="s">
        <v>5</v>
      </c>
      <c r="O192" s="229" t="s">
        <v>1</v>
      </c>
      <c r="P192" s="230" t="s">
        <v>2</v>
      </c>
    </row>
    <row r="193" spans="1:16" x14ac:dyDescent="0.2">
      <c r="A193" s="258"/>
      <c r="B193" s="237"/>
      <c r="C193" s="233"/>
      <c r="D193" s="234"/>
      <c r="E193" s="235"/>
      <c r="F193" s="236"/>
      <c r="G193" s="237"/>
      <c r="H193" s="233"/>
      <c r="I193" s="234"/>
      <c r="J193" s="235"/>
      <c r="K193" s="236"/>
      <c r="L193" s="237"/>
      <c r="M193" s="233"/>
      <c r="N193" s="234"/>
      <c r="O193" s="235"/>
      <c r="P193" s="236"/>
    </row>
    <row r="194" spans="1:16" ht="15" x14ac:dyDescent="0.2">
      <c r="A194" s="231" t="s">
        <v>1505</v>
      </c>
      <c r="B194" s="1021" t="s">
        <v>32</v>
      </c>
      <c r="C194" s="1022" t="s">
        <v>46</v>
      </c>
      <c r="D194" s="1023">
        <v>3</v>
      </c>
      <c r="E194" s="1024">
        <f>skilled</f>
        <v>1070</v>
      </c>
      <c r="F194" s="1025">
        <f>ROUND(E194*D194,2)</f>
        <v>3210</v>
      </c>
      <c r="G194" s="1035" t="s">
        <v>9</v>
      </c>
      <c r="H194" s="1022" t="s">
        <v>14</v>
      </c>
      <c r="I194" s="1023">
        <v>5.99</v>
      </c>
      <c r="J194" s="1024">
        <f>cement</f>
        <v>17013.62</v>
      </c>
      <c r="K194" s="1025">
        <f t="shared" ref="K194:K197" si="3">ROUND(J194*I194,2)</f>
        <v>101911.58</v>
      </c>
      <c r="L194" s="259" t="s">
        <v>420</v>
      </c>
      <c r="M194" s="1022" t="s">
        <v>28</v>
      </c>
      <c r="N194" s="1023">
        <v>6</v>
      </c>
      <c r="O194" s="1024">
        <f>mixer</f>
        <v>1000</v>
      </c>
      <c r="P194" s="1025">
        <f>ROUND(O194*N194,2)</f>
        <v>6000</v>
      </c>
    </row>
    <row r="195" spans="1:16" x14ac:dyDescent="0.2">
      <c r="A195" s="260" t="s">
        <v>20</v>
      </c>
      <c r="B195" s="1021" t="s">
        <v>21</v>
      </c>
      <c r="C195" s="1022" t="s">
        <v>46</v>
      </c>
      <c r="D195" s="1023">
        <v>30</v>
      </c>
      <c r="E195" s="1024">
        <f>unskilled</f>
        <v>770</v>
      </c>
      <c r="F195" s="1025">
        <f>ROUND(E195*D195,2)</f>
        <v>23100</v>
      </c>
      <c r="G195" s="1035" t="s">
        <v>1506</v>
      </c>
      <c r="H195" s="1022" t="s">
        <v>38</v>
      </c>
      <c r="I195" s="1023">
        <v>5.4</v>
      </c>
      <c r="J195" s="1024">
        <f>_Agg40</f>
        <v>2474.1999999999998</v>
      </c>
      <c r="K195" s="1025">
        <f t="shared" si="3"/>
        <v>13360.68</v>
      </c>
      <c r="L195" s="1021" t="s">
        <v>1493</v>
      </c>
      <c r="M195" s="1022" t="s">
        <v>28</v>
      </c>
      <c r="N195" s="1023">
        <v>6</v>
      </c>
      <c r="O195" s="1024">
        <f>generator</f>
        <v>1500</v>
      </c>
      <c r="P195" s="1025">
        <f>ROUND(O195*N195,2)</f>
        <v>9000</v>
      </c>
    </row>
    <row r="196" spans="1:16" x14ac:dyDescent="0.2">
      <c r="A196" s="260"/>
      <c r="B196" s="1021"/>
      <c r="C196" s="1022"/>
      <c r="D196" s="1023"/>
      <c r="E196" s="1024"/>
      <c r="F196" s="1025"/>
      <c r="G196" s="1035" t="s">
        <v>1498</v>
      </c>
      <c r="H196" s="1022" t="s">
        <v>38</v>
      </c>
      <c r="I196" s="1023">
        <v>5.4</v>
      </c>
      <c r="J196" s="1024">
        <f>_Agg20</f>
        <v>2574.1999999999998</v>
      </c>
      <c r="K196" s="1025">
        <f t="shared" si="3"/>
        <v>13900.68</v>
      </c>
      <c r="L196" s="1021"/>
      <c r="M196" s="1022"/>
      <c r="N196" s="1023"/>
      <c r="O196" s="1024"/>
      <c r="P196" s="1025"/>
    </row>
    <row r="197" spans="1:16" x14ac:dyDescent="0.2">
      <c r="A197" s="260"/>
      <c r="B197" s="1021"/>
      <c r="C197" s="1022"/>
      <c r="D197" s="1023"/>
      <c r="E197" s="1024"/>
      <c r="F197" s="1025"/>
      <c r="G197" s="1035" t="s">
        <v>1499</v>
      </c>
      <c r="H197" s="1022" t="s">
        <v>38</v>
      </c>
      <c r="I197" s="1023">
        <v>2.7</v>
      </c>
      <c r="J197" s="1024">
        <f>_agg10</f>
        <v>2574.1999999999998</v>
      </c>
      <c r="K197" s="1025">
        <f t="shared" si="3"/>
        <v>6950.34</v>
      </c>
      <c r="L197" s="1021"/>
      <c r="M197" s="1022"/>
      <c r="N197" s="1023"/>
      <c r="O197" s="1024"/>
      <c r="P197" s="1025"/>
    </row>
    <row r="198" spans="1:16" x14ac:dyDescent="0.2">
      <c r="A198" s="231"/>
      <c r="B198" s="1021"/>
      <c r="C198" s="1022"/>
      <c r="D198" s="1023"/>
      <c r="E198" s="1024"/>
      <c r="F198" s="1025"/>
      <c r="G198" s="1035" t="s">
        <v>45</v>
      </c>
      <c r="H198" s="1022" t="s">
        <v>38</v>
      </c>
      <c r="I198" s="1023">
        <v>6.75</v>
      </c>
      <c r="J198" s="1024">
        <f>sand</f>
        <v>2503.2750000000001</v>
      </c>
      <c r="K198" s="1025">
        <f>ROUND(J198*I198,2)</f>
        <v>16897.11</v>
      </c>
      <c r="L198" s="1021"/>
      <c r="M198" s="1022"/>
      <c r="N198" s="1023"/>
      <c r="O198" s="1024"/>
      <c r="P198" s="1025"/>
    </row>
    <row r="199" spans="1:16" x14ac:dyDescent="0.2">
      <c r="A199" s="231"/>
      <c r="B199" s="1021"/>
      <c r="C199" s="1022"/>
      <c r="D199" s="1023"/>
      <c r="E199" s="1024"/>
      <c r="F199" s="1025"/>
      <c r="G199" s="1035" t="s">
        <v>1507</v>
      </c>
      <c r="H199" s="1022" t="s">
        <v>6</v>
      </c>
      <c r="I199" s="1023">
        <f>I194*1000*0.004</f>
        <v>23.96</v>
      </c>
      <c r="J199" s="1024">
        <f>admixtures</f>
        <v>315.41361999999998</v>
      </c>
      <c r="K199" s="1025">
        <f>ROUND(J199*I199,2)</f>
        <v>7557.31</v>
      </c>
      <c r="L199" s="1021"/>
      <c r="M199" s="1022"/>
      <c r="N199" s="1023"/>
      <c r="O199" s="1024"/>
      <c r="P199" s="1025"/>
    </row>
    <row r="200" spans="1:16" ht="15" x14ac:dyDescent="0.2">
      <c r="A200" s="231"/>
      <c r="B200" s="1021"/>
      <c r="C200" s="1022"/>
      <c r="D200" s="1023"/>
      <c r="E200" s="1024"/>
      <c r="F200" s="1025"/>
      <c r="G200" s="659" t="s">
        <v>267</v>
      </c>
      <c r="H200" s="660" t="s">
        <v>44</v>
      </c>
      <c r="I200" s="661">
        <v>0.1</v>
      </c>
      <c r="J200" s="662">
        <f>petrol</f>
        <v>170</v>
      </c>
      <c r="K200" s="663">
        <f>ROUND(J200*I200,2)</f>
        <v>17</v>
      </c>
      <c r="L200" s="1021"/>
      <c r="M200" s="1022"/>
      <c r="N200" s="1023"/>
      <c r="O200" s="1024"/>
      <c r="P200" s="1025"/>
    </row>
    <row r="201" spans="1:16" ht="15" x14ac:dyDescent="0.2">
      <c r="A201" s="231"/>
      <c r="B201" s="1021"/>
      <c r="C201" s="1022"/>
      <c r="D201" s="1023"/>
      <c r="E201" s="1024"/>
      <c r="F201" s="1025"/>
      <c r="G201" s="659" t="s">
        <v>268</v>
      </c>
      <c r="H201" s="660" t="s">
        <v>44</v>
      </c>
      <c r="I201" s="661">
        <v>3</v>
      </c>
      <c r="J201" s="662">
        <f>diesel</f>
        <v>160</v>
      </c>
      <c r="K201" s="663">
        <f>ROUND(J201*I201,2)</f>
        <v>480</v>
      </c>
      <c r="L201" s="1021"/>
      <c r="M201" s="1022"/>
      <c r="N201" s="1023"/>
      <c r="O201" s="1024"/>
      <c r="P201" s="1025"/>
    </row>
    <row r="202" spans="1:16" x14ac:dyDescent="0.2">
      <c r="A202" s="231"/>
      <c r="B202" s="1021"/>
      <c r="C202" s="1022"/>
      <c r="D202" s="1023"/>
      <c r="E202" s="1024"/>
      <c r="F202" s="1025"/>
      <c r="G202" s="1035" t="s">
        <v>51</v>
      </c>
      <c r="H202" s="1022" t="s">
        <v>44</v>
      </c>
      <c r="I202" s="572">
        <v>3000</v>
      </c>
      <c r="J202" s="1024">
        <f>water</f>
        <v>0.24955999999999998</v>
      </c>
      <c r="K202" s="1025">
        <f>ROUND(J202*I202,2)</f>
        <v>748.68</v>
      </c>
      <c r="L202" s="1021"/>
      <c r="M202" s="1022"/>
      <c r="N202" s="1023"/>
      <c r="O202" s="1024"/>
      <c r="P202" s="1025"/>
    </row>
    <row r="203" spans="1:16" x14ac:dyDescent="0.2">
      <c r="A203" s="241"/>
      <c r="B203" s="242"/>
      <c r="C203" s="243"/>
      <c r="D203" s="243"/>
      <c r="E203" s="244" t="s">
        <v>39</v>
      </c>
      <c r="F203" s="245">
        <f>SUM(F194:F202)</f>
        <v>26310</v>
      </c>
      <c r="G203" s="242"/>
      <c r="H203" s="243"/>
      <c r="I203" s="243"/>
      <c r="J203" s="244" t="s">
        <v>40</v>
      </c>
      <c r="K203" s="245">
        <f>SUM(K194:K202)</f>
        <v>161823.38</v>
      </c>
      <c r="L203" s="242"/>
      <c r="M203" s="243"/>
      <c r="N203" s="243"/>
      <c r="O203" s="246" t="s">
        <v>41</v>
      </c>
      <c r="P203" s="245">
        <f>SUM(P194:P202)</f>
        <v>15000</v>
      </c>
    </row>
    <row r="204" spans="1:16" x14ac:dyDescent="0.2">
      <c r="A204" s="247"/>
      <c r="B204" s="575"/>
      <c r="C204" s="575"/>
      <c r="D204" s="575"/>
      <c r="E204" s="575"/>
      <c r="F204" s="1020" t="s">
        <v>29</v>
      </c>
      <c r="G204" s="248">
        <f>F203+K203+P203</f>
        <v>203133.38</v>
      </c>
      <c r="H204" s="575"/>
      <c r="I204" s="249"/>
      <c r="J204" s="250"/>
      <c r="K204" s="251"/>
      <c r="L204" s="575"/>
      <c r="M204" s="575"/>
      <c r="N204" s="575"/>
      <c r="O204" s="575"/>
      <c r="P204" s="575"/>
    </row>
    <row r="205" spans="1:16" x14ac:dyDescent="0.2">
      <c r="A205" s="247"/>
      <c r="B205" s="575"/>
      <c r="C205" s="575"/>
      <c r="D205" s="1423" t="s">
        <v>1500</v>
      </c>
      <c r="E205" s="1423"/>
      <c r="F205" s="1423"/>
      <c r="G205" s="248">
        <f>G204*0.04</f>
        <v>8125.3352000000004</v>
      </c>
      <c r="H205" s="575"/>
      <c r="I205" s="249"/>
      <c r="J205" s="250"/>
      <c r="K205" s="251"/>
      <c r="L205" s="575"/>
      <c r="M205" s="575"/>
      <c r="N205" s="575"/>
      <c r="O205" s="575"/>
      <c r="P205" s="575"/>
    </row>
    <row r="206" spans="1:16" x14ac:dyDescent="0.2">
      <c r="A206" s="247"/>
      <c r="B206" s="575"/>
      <c r="C206" s="575"/>
      <c r="D206" s="575"/>
      <c r="E206" s="575"/>
      <c r="F206" s="252" t="s">
        <v>31</v>
      </c>
      <c r="G206" s="248">
        <f>0.15*G204</f>
        <v>30470.006999999998</v>
      </c>
      <c r="H206" s="575"/>
      <c r="I206" s="249"/>
      <c r="J206" s="250"/>
      <c r="K206" s="251"/>
      <c r="L206" s="575"/>
      <c r="M206" s="575"/>
      <c r="N206" s="575"/>
      <c r="O206" s="575"/>
      <c r="P206" s="575"/>
    </row>
    <row r="207" spans="1:16" ht="15" x14ac:dyDescent="0.25">
      <c r="A207" s="253"/>
      <c r="B207" s="249"/>
      <c r="C207" s="249"/>
      <c r="D207" s="249"/>
      <c r="E207" s="575"/>
      <c r="F207" s="277" t="str">
        <f>"Rate for "&amp;O189&amp;" m² :"</f>
        <v>Rate for 15 m² :</v>
      </c>
      <c r="G207" s="1012">
        <f>SUM(G204:G206)</f>
        <v>241728.72220000002</v>
      </c>
      <c r="H207" s="256"/>
      <c r="I207" s="249"/>
      <c r="J207" s="250"/>
      <c r="K207" s="251"/>
      <c r="L207" s="575"/>
      <c r="M207" s="575"/>
      <c r="N207" s="575"/>
      <c r="O207" s="575"/>
      <c r="P207" s="575"/>
    </row>
    <row r="208" spans="1:16" x14ac:dyDescent="0.2">
      <c r="A208" s="247"/>
      <c r="B208" s="575"/>
      <c r="C208" s="575"/>
      <c r="D208" s="575"/>
      <c r="E208" s="1027"/>
      <c r="F208" s="277" t="s">
        <v>1494</v>
      </c>
      <c r="G208" s="278">
        <f>G207/O189</f>
        <v>16115.248146666669</v>
      </c>
      <c r="H208" s="575"/>
      <c r="I208" s="249"/>
      <c r="J208" s="256"/>
      <c r="K208" s="275"/>
      <c r="L208" s="575"/>
      <c r="M208" s="575"/>
      <c r="N208" s="575"/>
      <c r="O208" s="575"/>
      <c r="P208" s="575"/>
    </row>
    <row r="209" spans="1:16" x14ac:dyDescent="0.2">
      <c r="A209" s="253"/>
      <c r="B209" s="249"/>
      <c r="C209" s="249"/>
      <c r="D209" s="249"/>
      <c r="E209" s="249"/>
      <c r="F209" s="254" t="s">
        <v>1</v>
      </c>
      <c r="G209" s="255">
        <f>G208</f>
        <v>16115.248146666669</v>
      </c>
      <c r="H209" s="249" t="s">
        <v>30</v>
      </c>
      <c r="I209" s="222" t="s">
        <v>38</v>
      </c>
      <c r="J209" s="256"/>
      <c r="K209" s="275"/>
      <c r="L209" s="275"/>
      <c r="M209" s="275"/>
      <c r="N209" s="575"/>
      <c r="O209" s="575"/>
      <c r="P209" s="575"/>
    </row>
    <row r="210" spans="1:16" x14ac:dyDescent="0.2">
      <c r="A210" s="575" t="s">
        <v>27</v>
      </c>
      <c r="B210" s="223">
        <f>B189+1</f>
        <v>12</v>
      </c>
      <c r="C210" s="222"/>
      <c r="D210" s="575"/>
      <c r="E210" s="575"/>
      <c r="F210" s="575"/>
      <c r="G210" s="575"/>
      <c r="H210" s="575"/>
      <c r="I210" s="575"/>
      <c r="J210" s="575"/>
      <c r="K210" s="575"/>
      <c r="L210" s="575"/>
      <c r="M210" s="575"/>
      <c r="N210" s="1020" t="s">
        <v>13</v>
      </c>
      <c r="O210" s="248">
        <v>15</v>
      </c>
      <c r="P210" s="222" t="s">
        <v>38</v>
      </c>
    </row>
    <row r="211" spans="1:16" x14ac:dyDescent="0.2">
      <c r="A211" s="223" t="s">
        <v>12</v>
      </c>
      <c r="B211" s="257" t="s">
        <v>1495</v>
      </c>
      <c r="C211" s="257"/>
      <c r="D211" s="257"/>
      <c r="E211" s="257"/>
      <c r="F211" s="257"/>
      <c r="G211" s="257"/>
      <c r="H211" s="257"/>
      <c r="I211" s="257"/>
      <c r="J211" s="257"/>
      <c r="K211" s="257" t="s">
        <v>1502</v>
      </c>
      <c r="L211" s="257"/>
      <c r="M211" s="257"/>
      <c r="N211" s="257"/>
      <c r="O211" s="257"/>
      <c r="P211" s="257"/>
    </row>
    <row r="212" spans="1:16" x14ac:dyDescent="0.2">
      <c r="A212" s="225" t="s">
        <v>243</v>
      </c>
      <c r="B212" s="226" t="s">
        <v>15</v>
      </c>
      <c r="C212" s="227"/>
      <c r="D212" s="227"/>
      <c r="E212" s="227"/>
      <c r="F212" s="226"/>
      <c r="G212" s="1412" t="s">
        <v>16</v>
      </c>
      <c r="H212" s="1413"/>
      <c r="I212" s="1413"/>
      <c r="J212" s="1413"/>
      <c r="K212" s="1414"/>
      <c r="L212" s="227" t="s">
        <v>17</v>
      </c>
      <c r="M212" s="227"/>
      <c r="N212" s="227"/>
      <c r="O212" s="227"/>
      <c r="P212" s="227"/>
    </row>
    <row r="213" spans="1:16" x14ac:dyDescent="0.2">
      <c r="A213" s="225" t="s">
        <v>273</v>
      </c>
      <c r="B213" s="228" t="s">
        <v>18</v>
      </c>
      <c r="C213" s="229" t="s">
        <v>0</v>
      </c>
      <c r="D213" s="229" t="s">
        <v>5</v>
      </c>
      <c r="E213" s="229" t="s">
        <v>1</v>
      </c>
      <c r="F213" s="230" t="s">
        <v>2</v>
      </c>
      <c r="G213" s="228" t="s">
        <v>19</v>
      </c>
      <c r="H213" s="229" t="s">
        <v>0</v>
      </c>
      <c r="I213" s="229" t="s">
        <v>5</v>
      </c>
      <c r="J213" s="229" t="s">
        <v>1</v>
      </c>
      <c r="K213" s="230" t="s">
        <v>2</v>
      </c>
      <c r="L213" s="228" t="s">
        <v>19</v>
      </c>
      <c r="M213" s="229" t="s">
        <v>0</v>
      </c>
      <c r="N213" s="229" t="s">
        <v>5</v>
      </c>
      <c r="O213" s="229" t="s">
        <v>1</v>
      </c>
      <c r="P213" s="230" t="s">
        <v>2</v>
      </c>
    </row>
    <row r="214" spans="1:16" x14ac:dyDescent="0.2">
      <c r="A214" s="258"/>
      <c r="B214" s="237"/>
      <c r="C214" s="233"/>
      <c r="D214" s="234"/>
      <c r="E214" s="235"/>
      <c r="F214" s="236"/>
      <c r="G214" s="237"/>
      <c r="H214" s="233"/>
      <c r="I214" s="234"/>
      <c r="J214" s="235"/>
      <c r="K214" s="236"/>
      <c r="L214" s="237"/>
      <c r="M214" s="233"/>
      <c r="N214" s="234"/>
      <c r="O214" s="235"/>
      <c r="P214" s="236"/>
    </row>
    <row r="215" spans="1:16" ht="15" x14ac:dyDescent="0.2">
      <c r="A215" s="231" t="s">
        <v>1503</v>
      </c>
      <c r="B215" s="1021" t="s">
        <v>32</v>
      </c>
      <c r="C215" s="1022" t="s">
        <v>46</v>
      </c>
      <c r="D215" s="1023">
        <v>3</v>
      </c>
      <c r="E215" s="1024">
        <f>skilled</f>
        <v>1070</v>
      </c>
      <c r="F215" s="1025">
        <f>ROUND(E215*D215,2)</f>
        <v>3210</v>
      </c>
      <c r="G215" s="1035" t="s">
        <v>9</v>
      </c>
      <c r="H215" s="1022" t="s">
        <v>14</v>
      </c>
      <c r="I215" s="1023">
        <v>5.21</v>
      </c>
      <c r="J215" s="1024">
        <f>cement</f>
        <v>17013.62</v>
      </c>
      <c r="K215" s="1025">
        <f t="shared" ref="K215:K218" si="4">ROUND(J215*I215,2)</f>
        <v>88640.960000000006</v>
      </c>
      <c r="L215" s="259" t="s">
        <v>420</v>
      </c>
      <c r="M215" s="1022" t="s">
        <v>28</v>
      </c>
      <c r="N215" s="1023">
        <v>6</v>
      </c>
      <c r="O215" s="1024">
        <f>mixer</f>
        <v>1000</v>
      </c>
      <c r="P215" s="1025">
        <f>ROUND(O215*N215,2)</f>
        <v>6000</v>
      </c>
    </row>
    <row r="216" spans="1:16" x14ac:dyDescent="0.2">
      <c r="A216" s="260" t="s">
        <v>20</v>
      </c>
      <c r="B216" s="1021" t="s">
        <v>21</v>
      </c>
      <c r="C216" s="1022" t="s">
        <v>46</v>
      </c>
      <c r="D216" s="1023">
        <v>30</v>
      </c>
      <c r="E216" s="1024">
        <f>unskilled</f>
        <v>770</v>
      </c>
      <c r="F216" s="1025">
        <f>ROUND(E216*D216,2)</f>
        <v>23100</v>
      </c>
      <c r="G216" s="1035"/>
      <c r="H216" s="1022"/>
      <c r="I216" s="1023"/>
      <c r="J216" s="1024"/>
      <c r="K216" s="1025"/>
      <c r="L216" s="1021" t="s">
        <v>1493</v>
      </c>
      <c r="M216" s="1022" t="s">
        <v>28</v>
      </c>
      <c r="N216" s="1023">
        <v>6</v>
      </c>
      <c r="O216" s="1024">
        <f>generator</f>
        <v>1500</v>
      </c>
      <c r="P216" s="1025">
        <f>ROUND(O216*N216,2)</f>
        <v>9000</v>
      </c>
    </row>
    <row r="217" spans="1:16" x14ac:dyDescent="0.2">
      <c r="A217" s="260"/>
      <c r="B217" s="1021"/>
      <c r="C217" s="1022"/>
      <c r="D217" s="1023"/>
      <c r="E217" s="1024"/>
      <c r="F217" s="1025"/>
      <c r="G217" s="1035" t="s">
        <v>1498</v>
      </c>
      <c r="H217" s="1022" t="s">
        <v>38</v>
      </c>
      <c r="I217" s="1023">
        <v>8.1</v>
      </c>
      <c r="J217" s="1024">
        <f>_Agg20</f>
        <v>2574.1999999999998</v>
      </c>
      <c r="K217" s="1025">
        <f t="shared" si="4"/>
        <v>20851.02</v>
      </c>
      <c r="L217" s="1021"/>
      <c r="M217" s="1022"/>
      <c r="N217" s="1023"/>
      <c r="O217" s="1024"/>
      <c r="P217" s="1025"/>
    </row>
    <row r="218" spans="1:16" x14ac:dyDescent="0.2">
      <c r="A218" s="260"/>
      <c r="B218" s="1021"/>
      <c r="C218" s="1022"/>
      <c r="D218" s="1023"/>
      <c r="E218" s="1024"/>
      <c r="F218" s="1025"/>
      <c r="G218" s="1035" t="s">
        <v>1499</v>
      </c>
      <c r="H218" s="1022" t="s">
        <v>38</v>
      </c>
      <c r="I218" s="1023">
        <v>5.4</v>
      </c>
      <c r="J218" s="1024">
        <f>_agg10</f>
        <v>2574.1999999999998</v>
      </c>
      <c r="K218" s="1025">
        <f t="shared" si="4"/>
        <v>13900.68</v>
      </c>
      <c r="L218" s="1021"/>
      <c r="M218" s="1022"/>
      <c r="N218" s="1023"/>
      <c r="O218" s="1024"/>
      <c r="P218" s="1025"/>
    </row>
    <row r="219" spans="1:16" x14ac:dyDescent="0.2">
      <c r="A219" s="231"/>
      <c r="B219" s="1021"/>
      <c r="C219" s="1022"/>
      <c r="D219" s="1023"/>
      <c r="E219" s="1024"/>
      <c r="F219" s="1025"/>
      <c r="G219" s="1035" t="s">
        <v>45</v>
      </c>
      <c r="H219" s="1022" t="s">
        <v>38</v>
      </c>
      <c r="I219" s="1023">
        <v>6.75</v>
      </c>
      <c r="J219" s="1024">
        <f>sand</f>
        <v>2503.2750000000001</v>
      </c>
      <c r="K219" s="1025">
        <f>ROUND(J219*I219,2)</f>
        <v>16897.11</v>
      </c>
      <c r="L219" s="1021"/>
      <c r="M219" s="1022"/>
      <c r="N219" s="1023"/>
      <c r="O219" s="1024"/>
      <c r="P219" s="1025"/>
    </row>
    <row r="220" spans="1:16" ht="15" x14ac:dyDescent="0.2">
      <c r="A220" s="231"/>
      <c r="B220" s="1021"/>
      <c r="C220" s="1022"/>
      <c r="D220" s="1023"/>
      <c r="E220" s="1024"/>
      <c r="F220" s="1025"/>
      <c r="G220" s="659" t="s">
        <v>267</v>
      </c>
      <c r="H220" s="660" t="s">
        <v>44</v>
      </c>
      <c r="I220" s="661">
        <v>0.1</v>
      </c>
      <c r="J220" s="662">
        <f>petrol</f>
        <v>170</v>
      </c>
      <c r="K220" s="663">
        <f>ROUND(J220*I220,2)</f>
        <v>17</v>
      </c>
      <c r="L220" s="1021"/>
      <c r="M220" s="1022"/>
      <c r="N220" s="1023"/>
      <c r="O220" s="1024"/>
      <c r="P220" s="1025"/>
    </row>
    <row r="221" spans="1:16" ht="15" x14ac:dyDescent="0.2">
      <c r="A221" s="231"/>
      <c r="B221" s="1021"/>
      <c r="C221" s="1022"/>
      <c r="D221" s="1023"/>
      <c r="E221" s="1024"/>
      <c r="F221" s="1025"/>
      <c r="G221" s="659" t="s">
        <v>268</v>
      </c>
      <c r="H221" s="660" t="s">
        <v>44</v>
      </c>
      <c r="I221" s="661">
        <v>3</v>
      </c>
      <c r="J221" s="662">
        <f>diesel</f>
        <v>160</v>
      </c>
      <c r="K221" s="663">
        <f>ROUND(J221*I221,2)</f>
        <v>480</v>
      </c>
      <c r="L221" s="1021"/>
      <c r="M221" s="1022"/>
      <c r="N221" s="1023"/>
      <c r="O221" s="1024"/>
      <c r="P221" s="1025"/>
    </row>
    <row r="222" spans="1:16" x14ac:dyDescent="0.2">
      <c r="A222" s="231"/>
      <c r="B222" s="1021"/>
      <c r="C222" s="1022"/>
      <c r="D222" s="1023"/>
      <c r="E222" s="1024"/>
      <c r="F222" s="1025"/>
      <c r="G222" s="1035" t="s">
        <v>51</v>
      </c>
      <c r="H222" s="1022" t="s">
        <v>44</v>
      </c>
      <c r="I222" s="572">
        <v>2500</v>
      </c>
      <c r="J222" s="1024">
        <f>water</f>
        <v>0.24955999999999998</v>
      </c>
      <c r="K222" s="1025">
        <f>ROUND(J222*I222,2)</f>
        <v>623.9</v>
      </c>
      <c r="L222" s="1021"/>
      <c r="M222" s="1022"/>
      <c r="N222" s="1023"/>
      <c r="O222" s="1024"/>
      <c r="P222" s="1025"/>
    </row>
    <row r="223" spans="1:16" x14ac:dyDescent="0.2">
      <c r="A223" s="241"/>
      <c r="B223" s="242"/>
      <c r="C223" s="243"/>
      <c r="D223" s="243"/>
      <c r="E223" s="244" t="s">
        <v>39</v>
      </c>
      <c r="F223" s="245">
        <f>SUM(F215:F222)</f>
        <v>26310</v>
      </c>
      <c r="G223" s="242"/>
      <c r="H223" s="243"/>
      <c r="I223" s="243"/>
      <c r="J223" s="244" t="s">
        <v>40</v>
      </c>
      <c r="K223" s="245">
        <f>SUM(K215:K222)</f>
        <v>141410.67000000001</v>
      </c>
      <c r="L223" s="242"/>
      <c r="M223" s="243"/>
      <c r="N223" s="243"/>
      <c r="O223" s="246" t="s">
        <v>41</v>
      </c>
      <c r="P223" s="245">
        <f>SUM(P215:P222)</f>
        <v>15000</v>
      </c>
    </row>
    <row r="224" spans="1:16" x14ac:dyDescent="0.2">
      <c r="A224" s="247"/>
      <c r="B224" s="575"/>
      <c r="C224" s="575"/>
      <c r="D224" s="575"/>
      <c r="E224" s="575"/>
      <c r="F224" s="1020" t="s">
        <v>29</v>
      </c>
      <c r="G224" s="248">
        <f>F223+K223+P223</f>
        <v>182720.67</v>
      </c>
      <c r="H224" s="575"/>
      <c r="I224" s="249"/>
      <c r="J224" s="250"/>
      <c r="K224" s="251"/>
      <c r="L224" s="575"/>
      <c r="M224" s="575"/>
      <c r="N224" s="575"/>
      <c r="O224" s="575"/>
      <c r="P224" s="575"/>
    </row>
    <row r="225" spans="1:16" x14ac:dyDescent="0.2">
      <c r="A225" s="247"/>
      <c r="B225" s="575"/>
      <c r="C225" s="575"/>
      <c r="D225" s="1423" t="s">
        <v>1500</v>
      </c>
      <c r="E225" s="1423"/>
      <c r="F225" s="1423"/>
      <c r="G225" s="248">
        <f>G224*0.04</f>
        <v>7308.8268000000007</v>
      </c>
      <c r="H225" s="575"/>
      <c r="I225" s="249"/>
      <c r="J225" s="250"/>
      <c r="K225" s="251"/>
      <c r="L225" s="575"/>
      <c r="M225" s="575"/>
      <c r="N225" s="575"/>
      <c r="O225" s="575"/>
      <c r="P225" s="575"/>
    </row>
    <row r="226" spans="1:16" x14ac:dyDescent="0.2">
      <c r="A226" s="247"/>
      <c r="B226" s="575"/>
      <c r="C226" s="575"/>
      <c r="D226" s="575"/>
      <c r="E226" s="575"/>
      <c r="F226" s="252" t="s">
        <v>31</v>
      </c>
      <c r="G226" s="248">
        <f>0.15*G224</f>
        <v>27408.1005</v>
      </c>
      <c r="H226" s="575"/>
      <c r="I226" s="249"/>
      <c r="J226" s="250"/>
      <c r="K226" s="251"/>
      <c r="L226" s="575"/>
      <c r="M226" s="575"/>
      <c r="N226" s="575"/>
      <c r="O226" s="575"/>
      <c r="P226" s="575"/>
    </row>
    <row r="227" spans="1:16" ht="15" x14ac:dyDescent="0.25">
      <c r="A227" s="253"/>
      <c r="B227" s="249"/>
      <c r="C227" s="249"/>
      <c r="D227" s="249"/>
      <c r="E227" s="575"/>
      <c r="F227" s="277" t="str">
        <f>"Rate for "&amp;O210&amp;" m² :"</f>
        <v>Rate for 15 m² :</v>
      </c>
      <c r="G227" s="1012">
        <f>SUM(G224:G226)</f>
        <v>217437.59730000002</v>
      </c>
      <c r="H227" s="256"/>
      <c r="I227" s="249"/>
      <c r="J227" s="250"/>
      <c r="K227" s="251"/>
      <c r="L227" s="575"/>
      <c r="M227" s="575"/>
      <c r="N227" s="575"/>
      <c r="O227" s="575"/>
      <c r="P227" s="575"/>
    </row>
    <row r="228" spans="1:16" x14ac:dyDescent="0.2">
      <c r="A228" s="247"/>
      <c r="B228" s="575"/>
      <c r="C228" s="575"/>
      <c r="D228" s="575"/>
      <c r="E228" s="1027"/>
      <c r="F228" s="277" t="s">
        <v>1494</v>
      </c>
      <c r="G228" s="278">
        <f>G227/O210</f>
        <v>14495.839820000001</v>
      </c>
      <c r="H228" s="575"/>
      <c r="I228" s="249"/>
      <c r="J228" s="256"/>
      <c r="K228" s="275"/>
      <c r="L228" s="575"/>
      <c r="M228" s="575"/>
      <c r="N228" s="575"/>
      <c r="O228" s="575"/>
      <c r="P228" s="575"/>
    </row>
    <row r="229" spans="1:16" x14ac:dyDescent="0.2">
      <c r="A229" s="253"/>
      <c r="B229" s="249"/>
      <c r="C229" s="249"/>
      <c r="D229" s="249"/>
      <c r="E229" s="249"/>
      <c r="F229" s="254" t="s">
        <v>1</v>
      </c>
      <c r="G229" s="255">
        <f>G228</f>
        <v>14495.839820000001</v>
      </c>
      <c r="H229" s="249" t="s">
        <v>30</v>
      </c>
      <c r="I229" s="222" t="s">
        <v>38</v>
      </c>
      <c r="J229" s="256"/>
      <c r="K229" s="275"/>
      <c r="L229" s="275"/>
      <c r="M229" s="275"/>
      <c r="N229" s="575"/>
      <c r="O229" s="575"/>
      <c r="P229" s="575"/>
    </row>
    <row r="230" spans="1:16" x14ac:dyDescent="0.2">
      <c r="A230" s="253"/>
      <c r="B230" s="249"/>
      <c r="C230" s="249"/>
      <c r="D230" s="249"/>
      <c r="E230" s="575"/>
      <c r="F230" s="254"/>
      <c r="G230" s="255"/>
      <c r="H230" s="256"/>
      <c r="I230" s="249"/>
      <c r="J230" s="250"/>
      <c r="K230" s="251"/>
      <c r="L230" s="575"/>
      <c r="M230" s="575"/>
      <c r="N230" s="575"/>
      <c r="O230" s="575"/>
      <c r="P230" s="575"/>
    </row>
    <row r="231" spans="1:16" x14ac:dyDescent="0.2">
      <c r="A231" s="575" t="s">
        <v>27</v>
      </c>
      <c r="B231" s="223">
        <f>B210+1</f>
        <v>13</v>
      </c>
      <c r="C231" s="222"/>
      <c r="D231" s="575"/>
      <c r="E231" s="575"/>
      <c r="F231" s="575"/>
      <c r="G231" s="575"/>
      <c r="H231" s="575"/>
      <c r="I231" s="575"/>
      <c r="J231" s="575"/>
      <c r="K231" s="575"/>
      <c r="L231" s="575"/>
      <c r="M231" s="575"/>
      <c r="N231" s="1020" t="s">
        <v>13</v>
      </c>
      <c r="O231" s="248">
        <v>15</v>
      </c>
      <c r="P231" s="222" t="s">
        <v>38</v>
      </c>
    </row>
    <row r="232" spans="1:16" x14ac:dyDescent="0.2">
      <c r="A232" s="223" t="s">
        <v>12</v>
      </c>
      <c r="B232" s="257" t="s">
        <v>1495</v>
      </c>
      <c r="C232" s="257"/>
      <c r="D232" s="257"/>
      <c r="E232" s="257"/>
      <c r="F232" s="257"/>
      <c r="G232" s="257"/>
      <c r="H232" s="257"/>
      <c r="I232" s="257"/>
      <c r="J232" s="257"/>
      <c r="K232" s="257" t="s">
        <v>1508</v>
      </c>
      <c r="L232" s="257"/>
      <c r="M232" s="257"/>
      <c r="N232" s="257"/>
      <c r="O232" s="257"/>
      <c r="P232" s="257"/>
    </row>
    <row r="233" spans="1:16" x14ac:dyDescent="0.2">
      <c r="A233" s="225" t="s">
        <v>243</v>
      </c>
      <c r="B233" s="226" t="s">
        <v>15</v>
      </c>
      <c r="C233" s="227"/>
      <c r="D233" s="227"/>
      <c r="E233" s="227"/>
      <c r="F233" s="226"/>
      <c r="G233" s="1412" t="s">
        <v>16</v>
      </c>
      <c r="H233" s="1413"/>
      <c r="I233" s="1413"/>
      <c r="J233" s="1413"/>
      <c r="K233" s="1414"/>
      <c r="L233" s="227" t="s">
        <v>17</v>
      </c>
      <c r="M233" s="227"/>
      <c r="N233" s="227"/>
      <c r="O233" s="227"/>
      <c r="P233" s="227"/>
    </row>
    <row r="234" spans="1:16" x14ac:dyDescent="0.2">
      <c r="A234" s="225" t="s">
        <v>273</v>
      </c>
      <c r="B234" s="228" t="s">
        <v>18</v>
      </c>
      <c r="C234" s="229" t="s">
        <v>0</v>
      </c>
      <c r="D234" s="229" t="s">
        <v>5</v>
      </c>
      <c r="E234" s="229" t="s">
        <v>1</v>
      </c>
      <c r="F234" s="230" t="s">
        <v>2</v>
      </c>
      <c r="G234" s="228" t="s">
        <v>19</v>
      </c>
      <c r="H234" s="229" t="s">
        <v>0</v>
      </c>
      <c r="I234" s="229" t="s">
        <v>5</v>
      </c>
      <c r="J234" s="229" t="s">
        <v>1</v>
      </c>
      <c r="K234" s="230" t="s">
        <v>2</v>
      </c>
      <c r="L234" s="228" t="s">
        <v>19</v>
      </c>
      <c r="M234" s="229" t="s">
        <v>0</v>
      </c>
      <c r="N234" s="229" t="s">
        <v>5</v>
      </c>
      <c r="O234" s="229" t="s">
        <v>1</v>
      </c>
      <c r="P234" s="230" t="s">
        <v>2</v>
      </c>
    </row>
    <row r="235" spans="1:16" x14ac:dyDescent="0.2">
      <c r="A235" s="258"/>
      <c r="B235" s="237"/>
      <c r="C235" s="233"/>
      <c r="D235" s="234"/>
      <c r="E235" s="235"/>
      <c r="F235" s="236"/>
      <c r="G235" s="237"/>
      <c r="H235" s="233"/>
      <c r="I235" s="234"/>
      <c r="J235" s="235"/>
      <c r="K235" s="236"/>
      <c r="L235" s="237"/>
      <c r="M235" s="233"/>
      <c r="N235" s="234"/>
      <c r="O235" s="235"/>
      <c r="P235" s="236"/>
    </row>
    <row r="236" spans="1:16" ht="15" x14ac:dyDescent="0.2">
      <c r="A236" s="231" t="s">
        <v>1509</v>
      </c>
      <c r="B236" s="1021" t="s">
        <v>32</v>
      </c>
      <c r="C236" s="1022" t="s">
        <v>46</v>
      </c>
      <c r="D236" s="1023">
        <v>3</v>
      </c>
      <c r="E236" s="1024">
        <f>skilled</f>
        <v>1070</v>
      </c>
      <c r="F236" s="1025">
        <f>ROUND(E236*D236,2)</f>
        <v>3210</v>
      </c>
      <c r="G236" s="1035" t="s">
        <v>9</v>
      </c>
      <c r="H236" s="1022" t="s">
        <v>14</v>
      </c>
      <c r="I236" s="1023">
        <v>6.05</v>
      </c>
      <c r="J236" s="1024">
        <f>cement</f>
        <v>17013.62</v>
      </c>
      <c r="K236" s="1025">
        <f t="shared" ref="K236:K239" si="5">ROUND(J236*I236,2)</f>
        <v>102932.4</v>
      </c>
      <c r="L236" s="259" t="s">
        <v>420</v>
      </c>
      <c r="M236" s="1022" t="s">
        <v>28</v>
      </c>
      <c r="N236" s="1023">
        <v>6</v>
      </c>
      <c r="O236" s="1024">
        <f>mixer</f>
        <v>1000</v>
      </c>
      <c r="P236" s="1025">
        <f>ROUND(O236*N236,2)</f>
        <v>6000</v>
      </c>
    </row>
    <row r="237" spans="1:16" x14ac:dyDescent="0.2">
      <c r="A237" s="260" t="s">
        <v>20</v>
      </c>
      <c r="B237" s="1021" t="s">
        <v>21</v>
      </c>
      <c r="C237" s="1022" t="s">
        <v>46</v>
      </c>
      <c r="D237" s="1023">
        <v>30</v>
      </c>
      <c r="E237" s="1024">
        <f>unskilled</f>
        <v>770</v>
      </c>
      <c r="F237" s="1025">
        <f>ROUND(E237*D237,2)</f>
        <v>23100</v>
      </c>
      <c r="G237" s="1035" t="s">
        <v>1507</v>
      </c>
      <c r="H237" s="1022" t="s">
        <v>6</v>
      </c>
      <c r="I237" s="1023">
        <f>I236*1000*0.004</f>
        <v>24.2</v>
      </c>
      <c r="J237" s="1024">
        <f>admixtures</f>
        <v>315.41361999999998</v>
      </c>
      <c r="K237" s="1025">
        <f t="shared" si="5"/>
        <v>7633.01</v>
      </c>
      <c r="L237" s="1021" t="s">
        <v>1493</v>
      </c>
      <c r="M237" s="1022" t="s">
        <v>28</v>
      </c>
      <c r="N237" s="1023">
        <v>6</v>
      </c>
      <c r="O237" s="1024">
        <f>generator</f>
        <v>1500</v>
      </c>
      <c r="P237" s="1025">
        <f>ROUND(O237*N237,2)</f>
        <v>9000</v>
      </c>
    </row>
    <row r="238" spans="1:16" x14ac:dyDescent="0.2">
      <c r="A238" s="260"/>
      <c r="B238" s="1021"/>
      <c r="C238" s="1022"/>
      <c r="D238" s="1023"/>
      <c r="E238" s="1024"/>
      <c r="F238" s="1025"/>
      <c r="G238" s="1035" t="s">
        <v>1498</v>
      </c>
      <c r="H238" s="1022" t="s">
        <v>38</v>
      </c>
      <c r="I238" s="1023">
        <v>8.1</v>
      </c>
      <c r="J238" s="1024">
        <f>_Agg20</f>
        <v>2574.1999999999998</v>
      </c>
      <c r="K238" s="1025">
        <f t="shared" si="5"/>
        <v>20851.02</v>
      </c>
      <c r="L238" s="1021"/>
      <c r="M238" s="1022"/>
      <c r="N238" s="1023"/>
      <c r="O238" s="1024"/>
      <c r="P238" s="1025"/>
    </row>
    <row r="239" spans="1:16" x14ac:dyDescent="0.2">
      <c r="A239" s="260"/>
      <c r="B239" s="1021"/>
      <c r="C239" s="1022"/>
      <c r="D239" s="1023"/>
      <c r="E239" s="1024"/>
      <c r="F239" s="1025"/>
      <c r="G239" s="1035" t="s">
        <v>1499</v>
      </c>
      <c r="H239" s="1022" t="s">
        <v>38</v>
      </c>
      <c r="I239" s="1023">
        <v>5.4</v>
      </c>
      <c r="J239" s="1024">
        <f>_agg10</f>
        <v>2574.1999999999998</v>
      </c>
      <c r="K239" s="1025">
        <f t="shared" si="5"/>
        <v>13900.68</v>
      </c>
      <c r="L239" s="1021"/>
      <c r="M239" s="1022"/>
      <c r="N239" s="1023"/>
      <c r="O239" s="1024"/>
      <c r="P239" s="1025"/>
    </row>
    <row r="240" spans="1:16" x14ac:dyDescent="0.2">
      <c r="A240" s="231"/>
      <c r="B240" s="1021"/>
      <c r="C240" s="1022"/>
      <c r="D240" s="1023"/>
      <c r="E240" s="1024"/>
      <c r="F240" s="1025"/>
      <c r="G240" s="1035" t="s">
        <v>45</v>
      </c>
      <c r="H240" s="1022" t="s">
        <v>38</v>
      </c>
      <c r="I240" s="1023">
        <v>6.75</v>
      </c>
      <c r="J240" s="1024">
        <f>sand</f>
        <v>2503.2750000000001</v>
      </c>
      <c r="K240" s="1025">
        <f>ROUND(J240*I240,2)</f>
        <v>16897.11</v>
      </c>
      <c r="L240" s="1021"/>
      <c r="M240" s="1022"/>
      <c r="N240" s="1023"/>
      <c r="O240" s="1024"/>
      <c r="P240" s="1025"/>
    </row>
    <row r="241" spans="1:16" ht="15" x14ac:dyDescent="0.2">
      <c r="A241" s="231"/>
      <c r="B241" s="1021"/>
      <c r="C241" s="1022"/>
      <c r="D241" s="1023"/>
      <c r="E241" s="1024"/>
      <c r="F241" s="1025"/>
      <c r="G241" s="659" t="s">
        <v>267</v>
      </c>
      <c r="H241" s="660" t="s">
        <v>44</v>
      </c>
      <c r="I241" s="661">
        <v>0.1</v>
      </c>
      <c r="J241" s="662">
        <f>petrol</f>
        <v>170</v>
      </c>
      <c r="K241" s="663">
        <f>ROUND(J241*I241,2)</f>
        <v>17</v>
      </c>
      <c r="L241" s="1021"/>
      <c r="M241" s="1022"/>
      <c r="N241" s="1023"/>
      <c r="O241" s="1024"/>
      <c r="P241" s="1025"/>
    </row>
    <row r="242" spans="1:16" ht="15" x14ac:dyDescent="0.2">
      <c r="A242" s="231"/>
      <c r="B242" s="1021"/>
      <c r="C242" s="1022"/>
      <c r="D242" s="1023"/>
      <c r="E242" s="1024"/>
      <c r="F242" s="1025"/>
      <c r="G242" s="659" t="s">
        <v>268</v>
      </c>
      <c r="H242" s="660" t="s">
        <v>44</v>
      </c>
      <c r="I242" s="661">
        <v>3</v>
      </c>
      <c r="J242" s="662">
        <f>diesel</f>
        <v>160</v>
      </c>
      <c r="K242" s="663">
        <f>ROUND(J242*I242,2)</f>
        <v>480</v>
      </c>
      <c r="L242" s="1021"/>
      <c r="M242" s="1022"/>
      <c r="N242" s="1023"/>
      <c r="O242" s="1024"/>
      <c r="P242" s="1025"/>
    </row>
    <row r="243" spans="1:16" x14ac:dyDescent="0.2">
      <c r="A243" s="231"/>
      <c r="B243" s="1021"/>
      <c r="C243" s="1022"/>
      <c r="D243" s="1023"/>
      <c r="E243" s="1024"/>
      <c r="F243" s="1025"/>
      <c r="G243" s="1035" t="s">
        <v>51</v>
      </c>
      <c r="H243" s="1022" t="s">
        <v>44</v>
      </c>
      <c r="I243" s="572">
        <v>3000</v>
      </c>
      <c r="J243" s="1024">
        <f>water</f>
        <v>0.24955999999999998</v>
      </c>
      <c r="K243" s="1025">
        <f>ROUND(J243*I243,2)</f>
        <v>748.68</v>
      </c>
      <c r="L243" s="1021"/>
      <c r="M243" s="1022"/>
      <c r="N243" s="1023"/>
      <c r="O243" s="1024"/>
      <c r="P243" s="1025"/>
    </row>
    <row r="244" spans="1:16" x14ac:dyDescent="0.2">
      <c r="A244" s="241"/>
      <c r="B244" s="242"/>
      <c r="C244" s="243"/>
      <c r="D244" s="243"/>
      <c r="E244" s="244" t="s">
        <v>39</v>
      </c>
      <c r="F244" s="245">
        <f>SUM(F236:F243)</f>
        <v>26310</v>
      </c>
      <c r="G244" s="242"/>
      <c r="H244" s="243"/>
      <c r="I244" s="243"/>
      <c r="J244" s="244" t="s">
        <v>40</v>
      </c>
      <c r="K244" s="245">
        <f>SUM(K236:K243)</f>
        <v>163459.89999999997</v>
      </c>
      <c r="L244" s="242"/>
      <c r="M244" s="243"/>
      <c r="N244" s="243"/>
      <c r="O244" s="246" t="s">
        <v>41</v>
      </c>
      <c r="P244" s="245">
        <f>SUM(P236:P243)</f>
        <v>15000</v>
      </c>
    </row>
    <row r="245" spans="1:16" x14ac:dyDescent="0.2">
      <c r="A245" s="247"/>
      <c r="B245" s="575"/>
      <c r="C245" s="575"/>
      <c r="D245" s="575"/>
      <c r="E245" s="575"/>
      <c r="F245" s="1020" t="s">
        <v>29</v>
      </c>
      <c r="G245" s="248">
        <f>F244+K244+P244</f>
        <v>204769.89999999997</v>
      </c>
      <c r="H245" s="575"/>
      <c r="I245" s="249"/>
      <c r="J245" s="250"/>
      <c r="K245" s="251"/>
      <c r="L245" s="575"/>
      <c r="M245" s="575"/>
      <c r="N245" s="575"/>
      <c r="O245" s="575"/>
      <c r="P245" s="575"/>
    </row>
    <row r="246" spans="1:16" x14ac:dyDescent="0.2">
      <c r="A246" s="247"/>
      <c r="B246" s="575"/>
      <c r="C246" s="575"/>
      <c r="D246" s="1423" t="s">
        <v>1510</v>
      </c>
      <c r="E246" s="1423"/>
      <c r="F246" s="1423"/>
      <c r="G246" s="248">
        <f>G245*0.0375</f>
        <v>7678.8712499999983</v>
      </c>
      <c r="H246" s="575"/>
      <c r="I246" s="249"/>
      <c r="J246" s="250"/>
      <c r="K246" s="251"/>
      <c r="L246" s="575"/>
      <c r="M246" s="575"/>
      <c r="N246" s="575"/>
      <c r="O246" s="575"/>
      <c r="P246" s="575"/>
    </row>
    <row r="247" spans="1:16" x14ac:dyDescent="0.2">
      <c r="A247" s="247"/>
      <c r="B247" s="575"/>
      <c r="C247" s="575"/>
      <c r="D247" s="575"/>
      <c r="E247" s="575"/>
      <c r="F247" s="252" t="s">
        <v>31</v>
      </c>
      <c r="G247" s="248">
        <f>0.15*G245</f>
        <v>30715.484999999993</v>
      </c>
      <c r="H247" s="575"/>
      <c r="I247" s="249"/>
      <c r="J247" s="250"/>
      <c r="K247" s="251"/>
      <c r="L247" s="575"/>
      <c r="M247" s="575"/>
      <c r="N247" s="575"/>
      <c r="O247" s="575"/>
      <c r="P247" s="575"/>
    </row>
    <row r="248" spans="1:16" ht="15" x14ac:dyDescent="0.25">
      <c r="A248" s="253"/>
      <c r="B248" s="249"/>
      <c r="C248" s="249"/>
      <c r="D248" s="249"/>
      <c r="E248" s="575"/>
      <c r="F248" s="277" t="str">
        <f>"Rate for "&amp;O231&amp;" m² :"</f>
        <v>Rate for 15 m² :</v>
      </c>
      <c r="G248" s="1012">
        <f>SUM(G245:G247)</f>
        <v>243164.25624999995</v>
      </c>
      <c r="H248" s="256"/>
      <c r="I248" s="249"/>
      <c r="J248" s="250"/>
      <c r="K248" s="251"/>
      <c r="L248" s="575"/>
      <c r="M248" s="575"/>
      <c r="N248" s="575"/>
      <c r="O248" s="575"/>
      <c r="P248" s="575"/>
    </row>
    <row r="249" spans="1:16" x14ac:dyDescent="0.2">
      <c r="A249" s="247"/>
      <c r="B249" s="575"/>
      <c r="C249" s="575"/>
      <c r="D249" s="575"/>
      <c r="E249" s="1027"/>
      <c r="F249" s="277" t="s">
        <v>1494</v>
      </c>
      <c r="G249" s="278">
        <f>G248/O231</f>
        <v>16210.950416666663</v>
      </c>
      <c r="H249" s="575"/>
      <c r="I249" s="249"/>
      <c r="J249" s="256"/>
      <c r="K249" s="275"/>
      <c r="L249" s="575"/>
      <c r="M249" s="575"/>
      <c r="N249" s="575"/>
      <c r="O249" s="575"/>
      <c r="P249" s="575"/>
    </row>
    <row r="250" spans="1:16" x14ac:dyDescent="0.2">
      <c r="A250" s="253"/>
      <c r="B250" s="249"/>
      <c r="C250" s="249"/>
      <c r="D250" s="249"/>
      <c r="E250" s="249"/>
      <c r="F250" s="254" t="s">
        <v>1</v>
      </c>
      <c r="G250" s="255">
        <f>G249</f>
        <v>16210.950416666663</v>
      </c>
      <c r="H250" s="249" t="s">
        <v>30</v>
      </c>
      <c r="I250" s="222" t="s">
        <v>38</v>
      </c>
      <c r="J250" s="256"/>
      <c r="K250" s="275"/>
      <c r="L250" s="275"/>
      <c r="M250" s="275"/>
      <c r="N250" s="575"/>
      <c r="O250" s="575"/>
      <c r="P250" s="575"/>
    </row>
    <row r="251" spans="1:16" x14ac:dyDescent="0.2">
      <c r="A251" s="253"/>
      <c r="B251" s="249"/>
      <c r="C251" s="249"/>
      <c r="D251" s="249"/>
      <c r="E251" s="575"/>
      <c r="F251" s="254"/>
      <c r="G251" s="255"/>
      <c r="H251" s="256"/>
      <c r="I251" s="249"/>
      <c r="J251" s="250"/>
      <c r="K251" s="251"/>
      <c r="L251" s="575"/>
      <c r="M251" s="575"/>
      <c r="N251" s="575"/>
      <c r="O251" s="575"/>
      <c r="P251" s="575"/>
    </row>
    <row r="252" spans="1:16" x14ac:dyDescent="0.2">
      <c r="A252" s="575" t="s">
        <v>27</v>
      </c>
      <c r="B252" s="223">
        <f>B231+1</f>
        <v>14</v>
      </c>
      <c r="C252" s="222"/>
      <c r="D252" s="575"/>
      <c r="E252" s="575"/>
      <c r="F252" s="575"/>
      <c r="G252" s="575"/>
      <c r="H252" s="575"/>
      <c r="I252" s="575"/>
      <c r="J252" s="575"/>
      <c r="K252" s="575"/>
      <c r="L252" s="575"/>
      <c r="M252" s="575"/>
      <c r="N252" s="1020" t="s">
        <v>13</v>
      </c>
      <c r="O252" s="248">
        <v>15</v>
      </c>
      <c r="P252" s="222" t="s">
        <v>38</v>
      </c>
    </row>
    <row r="253" spans="1:16" x14ac:dyDescent="0.2">
      <c r="A253" s="223" t="s">
        <v>12</v>
      </c>
      <c r="B253" s="257" t="s">
        <v>1495</v>
      </c>
      <c r="C253" s="257"/>
      <c r="D253" s="257"/>
      <c r="E253" s="257"/>
      <c r="F253" s="257"/>
      <c r="G253" s="257"/>
      <c r="H253" s="257"/>
      <c r="I253" s="257"/>
      <c r="J253" s="257"/>
      <c r="K253" s="257" t="s">
        <v>1511</v>
      </c>
      <c r="L253" s="257"/>
      <c r="M253" s="257"/>
      <c r="N253" s="257"/>
      <c r="O253" s="257"/>
      <c r="P253" s="257"/>
    </row>
    <row r="254" spans="1:16" x14ac:dyDescent="0.2">
      <c r="A254" s="225" t="s">
        <v>243</v>
      </c>
      <c r="B254" s="226" t="s">
        <v>15</v>
      </c>
      <c r="C254" s="227"/>
      <c r="D254" s="227"/>
      <c r="E254" s="227"/>
      <c r="F254" s="226"/>
      <c r="G254" s="1412" t="s">
        <v>16</v>
      </c>
      <c r="H254" s="1413"/>
      <c r="I254" s="1413"/>
      <c r="J254" s="1413"/>
      <c r="K254" s="1414"/>
      <c r="L254" s="227" t="s">
        <v>17</v>
      </c>
      <c r="M254" s="227"/>
      <c r="N254" s="227"/>
      <c r="O254" s="227"/>
      <c r="P254" s="227"/>
    </row>
    <row r="255" spans="1:16" x14ac:dyDescent="0.2">
      <c r="A255" s="225" t="s">
        <v>273</v>
      </c>
      <c r="B255" s="228" t="s">
        <v>18</v>
      </c>
      <c r="C255" s="229" t="s">
        <v>0</v>
      </c>
      <c r="D255" s="229" t="s">
        <v>5</v>
      </c>
      <c r="E255" s="229" t="s">
        <v>1</v>
      </c>
      <c r="F255" s="230" t="s">
        <v>2</v>
      </c>
      <c r="G255" s="228" t="s">
        <v>19</v>
      </c>
      <c r="H255" s="229" t="s">
        <v>0</v>
      </c>
      <c r="I255" s="229" t="s">
        <v>5</v>
      </c>
      <c r="J255" s="229" t="s">
        <v>1</v>
      </c>
      <c r="K255" s="230" t="s">
        <v>2</v>
      </c>
      <c r="L255" s="228" t="s">
        <v>19</v>
      </c>
      <c r="M255" s="229" t="s">
        <v>0</v>
      </c>
      <c r="N255" s="229" t="s">
        <v>5</v>
      </c>
      <c r="O255" s="229" t="s">
        <v>1</v>
      </c>
      <c r="P255" s="230" t="s">
        <v>2</v>
      </c>
    </row>
    <row r="256" spans="1:16" x14ac:dyDescent="0.2">
      <c r="A256" s="258"/>
      <c r="B256" s="237"/>
      <c r="C256" s="233"/>
      <c r="D256" s="234"/>
      <c r="E256" s="235"/>
      <c r="F256" s="236"/>
      <c r="G256" s="237"/>
      <c r="H256" s="233"/>
      <c r="I256" s="234"/>
      <c r="J256" s="235"/>
      <c r="K256" s="236"/>
      <c r="L256" s="237"/>
      <c r="M256" s="233"/>
      <c r="N256" s="234"/>
      <c r="O256" s="235"/>
      <c r="P256" s="236"/>
    </row>
    <row r="257" spans="1:16" ht="15" x14ac:dyDescent="0.2">
      <c r="A257" s="231" t="s">
        <v>1512</v>
      </c>
      <c r="B257" s="1021" t="s">
        <v>32</v>
      </c>
      <c r="C257" s="1022" t="s">
        <v>46</v>
      </c>
      <c r="D257" s="1023">
        <v>3</v>
      </c>
      <c r="E257" s="1024">
        <f>skilled</f>
        <v>1070</v>
      </c>
      <c r="F257" s="1025">
        <f>ROUND(E257*D257,2)</f>
        <v>3210</v>
      </c>
      <c r="G257" s="1035" t="s">
        <v>9</v>
      </c>
      <c r="H257" s="1022" t="s">
        <v>14</v>
      </c>
      <c r="I257" s="1023">
        <v>6.08</v>
      </c>
      <c r="J257" s="1024">
        <f>cement</f>
        <v>17013.62</v>
      </c>
      <c r="K257" s="1025">
        <f t="shared" ref="K257:K260" si="6">ROUND(J257*I257,2)</f>
        <v>103442.81</v>
      </c>
      <c r="L257" s="259" t="s">
        <v>420</v>
      </c>
      <c r="M257" s="1022" t="s">
        <v>28</v>
      </c>
      <c r="N257" s="1023">
        <v>6</v>
      </c>
      <c r="O257" s="1024">
        <f>mixer</f>
        <v>1000</v>
      </c>
      <c r="P257" s="1025">
        <f>ROUND(O257*N257,2)</f>
        <v>6000</v>
      </c>
    </row>
    <row r="258" spans="1:16" x14ac:dyDescent="0.2">
      <c r="A258" s="260" t="s">
        <v>20</v>
      </c>
      <c r="B258" s="1021" t="s">
        <v>21</v>
      </c>
      <c r="C258" s="1022" t="s">
        <v>46</v>
      </c>
      <c r="D258" s="1023">
        <v>30</v>
      </c>
      <c r="E258" s="1024">
        <f>unskilled</f>
        <v>770</v>
      </c>
      <c r="F258" s="1025">
        <f>ROUND(E258*D258,2)</f>
        <v>23100</v>
      </c>
      <c r="G258" s="1035" t="s">
        <v>1506</v>
      </c>
      <c r="H258" s="1022" t="s">
        <v>38</v>
      </c>
      <c r="I258" s="1023">
        <v>5.4</v>
      </c>
      <c r="J258" s="1024">
        <f>_Agg40</f>
        <v>2474.1999999999998</v>
      </c>
      <c r="K258" s="1025">
        <f t="shared" si="6"/>
        <v>13360.68</v>
      </c>
      <c r="L258" s="1021" t="s">
        <v>1493</v>
      </c>
      <c r="M258" s="1022" t="s">
        <v>28</v>
      </c>
      <c r="N258" s="1023">
        <v>6</v>
      </c>
      <c r="O258" s="1024">
        <f>generator</f>
        <v>1500</v>
      </c>
      <c r="P258" s="1025">
        <f>ROUND(O258*N258,2)</f>
        <v>9000</v>
      </c>
    </row>
    <row r="259" spans="1:16" x14ac:dyDescent="0.2">
      <c r="A259" s="260"/>
      <c r="B259" s="1021"/>
      <c r="C259" s="1022"/>
      <c r="D259" s="1023"/>
      <c r="E259" s="1024"/>
      <c r="F259" s="1025"/>
      <c r="G259" s="1035" t="s">
        <v>1498</v>
      </c>
      <c r="H259" s="1022" t="s">
        <v>38</v>
      </c>
      <c r="I259" s="1023">
        <v>5.4</v>
      </c>
      <c r="J259" s="1024">
        <f>_Agg20</f>
        <v>2574.1999999999998</v>
      </c>
      <c r="K259" s="1025">
        <f t="shared" si="6"/>
        <v>13900.68</v>
      </c>
      <c r="L259" s="1021"/>
      <c r="M259" s="1022"/>
      <c r="N259" s="1023"/>
      <c r="O259" s="1024"/>
      <c r="P259" s="1025"/>
    </row>
    <row r="260" spans="1:16" x14ac:dyDescent="0.2">
      <c r="A260" s="260"/>
      <c r="B260" s="1021"/>
      <c r="C260" s="1022"/>
      <c r="D260" s="1023"/>
      <c r="E260" s="1024"/>
      <c r="F260" s="1025"/>
      <c r="G260" s="1035" t="s">
        <v>1499</v>
      </c>
      <c r="H260" s="1022" t="s">
        <v>38</v>
      </c>
      <c r="I260" s="1023">
        <v>2.7</v>
      </c>
      <c r="J260" s="1024">
        <f>_agg10</f>
        <v>2574.1999999999998</v>
      </c>
      <c r="K260" s="1025">
        <f t="shared" si="6"/>
        <v>6950.34</v>
      </c>
      <c r="L260" s="1021"/>
      <c r="M260" s="1022"/>
      <c r="N260" s="1023"/>
      <c r="O260" s="1024"/>
      <c r="P260" s="1025"/>
    </row>
    <row r="261" spans="1:16" x14ac:dyDescent="0.2">
      <c r="A261" s="231"/>
      <c r="B261" s="1021"/>
      <c r="C261" s="1022"/>
      <c r="D261" s="1023"/>
      <c r="E261" s="1024"/>
      <c r="F261" s="1025"/>
      <c r="G261" s="1035" t="s">
        <v>45</v>
      </c>
      <c r="H261" s="1022" t="s">
        <v>38</v>
      </c>
      <c r="I261" s="1023">
        <v>6.75</v>
      </c>
      <c r="J261" s="1024">
        <f>sand</f>
        <v>2503.2750000000001</v>
      </c>
      <c r="K261" s="1025">
        <f>ROUND(J261*I261,2)</f>
        <v>16897.11</v>
      </c>
      <c r="L261" s="1021"/>
      <c r="M261" s="1022"/>
      <c r="N261" s="1023"/>
      <c r="O261" s="1024"/>
      <c r="P261" s="1025"/>
    </row>
    <row r="262" spans="1:16" x14ac:dyDescent="0.2">
      <c r="A262" s="231"/>
      <c r="B262" s="1021"/>
      <c r="C262" s="1022"/>
      <c r="D262" s="1023"/>
      <c r="E262" s="1024"/>
      <c r="F262" s="1025"/>
      <c r="G262" s="1035" t="s">
        <v>1507</v>
      </c>
      <c r="H262" s="1022" t="s">
        <v>6</v>
      </c>
      <c r="I262" s="1023">
        <f>I257*1000*0.004</f>
        <v>24.32</v>
      </c>
      <c r="J262" s="1024">
        <f>admixtures</f>
        <v>315.41361999999998</v>
      </c>
      <c r="K262" s="1025">
        <f>ROUND(J262*I262,2)</f>
        <v>7670.86</v>
      </c>
      <c r="L262" s="1021"/>
      <c r="M262" s="1022"/>
      <c r="N262" s="1023"/>
      <c r="O262" s="1024"/>
      <c r="P262" s="1025"/>
    </row>
    <row r="263" spans="1:16" ht="15" x14ac:dyDescent="0.2">
      <c r="A263" s="231"/>
      <c r="B263" s="1021"/>
      <c r="C263" s="1022"/>
      <c r="D263" s="1023"/>
      <c r="E263" s="1024"/>
      <c r="F263" s="1025"/>
      <c r="G263" s="659" t="s">
        <v>267</v>
      </c>
      <c r="H263" s="660" t="s">
        <v>44</v>
      </c>
      <c r="I263" s="661">
        <v>0.1</v>
      </c>
      <c r="J263" s="662">
        <f>petrol</f>
        <v>170</v>
      </c>
      <c r="K263" s="663">
        <f>ROUND(J263*I263,2)</f>
        <v>17</v>
      </c>
      <c r="L263" s="1021"/>
      <c r="M263" s="1022"/>
      <c r="N263" s="1023"/>
      <c r="O263" s="1024"/>
      <c r="P263" s="1025"/>
    </row>
    <row r="264" spans="1:16" ht="15" x14ac:dyDescent="0.2">
      <c r="A264" s="231"/>
      <c r="B264" s="1021"/>
      <c r="C264" s="1022"/>
      <c r="D264" s="1023"/>
      <c r="E264" s="1024"/>
      <c r="F264" s="1025"/>
      <c r="G264" s="659" t="s">
        <v>268</v>
      </c>
      <c r="H264" s="660" t="s">
        <v>44</v>
      </c>
      <c r="I264" s="661">
        <v>3</v>
      </c>
      <c r="J264" s="662">
        <f>diesel</f>
        <v>160</v>
      </c>
      <c r="K264" s="663">
        <f>ROUND(J264*I264,2)</f>
        <v>480</v>
      </c>
      <c r="L264" s="1021"/>
      <c r="M264" s="1022"/>
      <c r="N264" s="1023"/>
      <c r="O264" s="1024"/>
      <c r="P264" s="1025"/>
    </row>
    <row r="265" spans="1:16" x14ac:dyDescent="0.2">
      <c r="A265" s="231"/>
      <c r="B265" s="1021"/>
      <c r="C265" s="1022"/>
      <c r="D265" s="1023"/>
      <c r="E265" s="1024"/>
      <c r="F265" s="1025"/>
      <c r="G265" s="1035" t="s">
        <v>51</v>
      </c>
      <c r="H265" s="1022" t="s">
        <v>44</v>
      </c>
      <c r="I265" s="572">
        <v>3000</v>
      </c>
      <c r="J265" s="1024">
        <f>water</f>
        <v>0.24955999999999998</v>
      </c>
      <c r="K265" s="1025">
        <f>ROUND(J265*I265,2)</f>
        <v>748.68</v>
      </c>
      <c r="L265" s="1021"/>
      <c r="M265" s="1022"/>
      <c r="N265" s="1023"/>
      <c r="O265" s="1024"/>
      <c r="P265" s="1025"/>
    </row>
    <row r="266" spans="1:16" x14ac:dyDescent="0.2">
      <c r="A266" s="241"/>
      <c r="B266" s="242"/>
      <c r="C266" s="243"/>
      <c r="D266" s="243"/>
      <c r="E266" s="244" t="s">
        <v>39</v>
      </c>
      <c r="F266" s="245">
        <f>SUM(F257:F265)</f>
        <v>26310</v>
      </c>
      <c r="G266" s="242"/>
      <c r="H266" s="243"/>
      <c r="I266" s="243"/>
      <c r="J266" s="244" t="s">
        <v>40</v>
      </c>
      <c r="K266" s="245">
        <f>SUM(K257:K265)</f>
        <v>163468.15999999997</v>
      </c>
      <c r="L266" s="242"/>
      <c r="M266" s="243"/>
      <c r="N266" s="243"/>
      <c r="O266" s="246" t="s">
        <v>41</v>
      </c>
      <c r="P266" s="245">
        <f>SUM(P257:P265)</f>
        <v>15000</v>
      </c>
    </row>
    <row r="267" spans="1:16" x14ac:dyDescent="0.2">
      <c r="A267" s="247"/>
      <c r="B267" s="575"/>
      <c r="C267" s="575"/>
      <c r="D267" s="575"/>
      <c r="E267" s="575"/>
      <c r="F267" s="1020" t="s">
        <v>29</v>
      </c>
      <c r="G267" s="248">
        <f>F266+K266+P266</f>
        <v>204778.15999999997</v>
      </c>
      <c r="H267" s="575"/>
      <c r="I267" s="249"/>
      <c r="J267" s="250"/>
      <c r="K267" s="251"/>
      <c r="L267" s="575"/>
      <c r="M267" s="575"/>
      <c r="N267" s="575"/>
      <c r="O267" s="575"/>
      <c r="P267" s="575"/>
    </row>
    <row r="268" spans="1:16" x14ac:dyDescent="0.2">
      <c r="A268" s="247"/>
      <c r="B268" s="575"/>
      <c r="C268" s="575"/>
      <c r="D268" s="1423" t="s">
        <v>1513</v>
      </c>
      <c r="E268" s="1423"/>
      <c r="F268" s="1423"/>
      <c r="G268" s="248">
        <f>G267*0.035</f>
        <v>7167.2356</v>
      </c>
      <c r="H268" s="575"/>
      <c r="I268" s="249"/>
      <c r="J268" s="250"/>
      <c r="K268" s="251"/>
      <c r="L268" s="575"/>
      <c r="M268" s="575"/>
      <c r="N268" s="575"/>
      <c r="O268" s="575"/>
      <c r="P268" s="575"/>
    </row>
    <row r="269" spans="1:16" x14ac:dyDescent="0.2">
      <c r="A269" s="247"/>
      <c r="B269" s="575"/>
      <c r="C269" s="575"/>
      <c r="D269" s="575"/>
      <c r="E269" s="575"/>
      <c r="F269" s="252" t="s">
        <v>31</v>
      </c>
      <c r="G269" s="248">
        <f>0.15*G267</f>
        <v>30716.723999999995</v>
      </c>
      <c r="H269" s="575"/>
      <c r="I269" s="249"/>
      <c r="J269" s="250"/>
      <c r="K269" s="251"/>
      <c r="L269" s="575"/>
      <c r="M269" s="575"/>
      <c r="N269" s="575"/>
      <c r="O269" s="575"/>
      <c r="P269" s="575"/>
    </row>
    <row r="270" spans="1:16" ht="15" x14ac:dyDescent="0.25">
      <c r="A270" s="253"/>
      <c r="B270" s="249"/>
      <c r="C270" s="249"/>
      <c r="D270" s="249"/>
      <c r="E270" s="575"/>
      <c r="F270" s="277" t="str">
        <f>"Rate for "&amp;O252&amp;" m² :"</f>
        <v>Rate for 15 m² :</v>
      </c>
      <c r="G270" s="1012">
        <f>SUM(G267:G269)</f>
        <v>242662.11959999998</v>
      </c>
      <c r="H270" s="256"/>
      <c r="I270" s="249"/>
      <c r="J270" s="250"/>
      <c r="K270" s="251"/>
      <c r="L270" s="575"/>
      <c r="M270" s="575"/>
      <c r="N270" s="575"/>
      <c r="O270" s="575"/>
      <c r="P270" s="575"/>
    </row>
    <row r="271" spans="1:16" x14ac:dyDescent="0.2">
      <c r="A271" s="247"/>
      <c r="B271" s="575"/>
      <c r="C271" s="575"/>
      <c r="D271" s="575"/>
      <c r="E271" s="1027"/>
      <c r="F271" s="277" t="s">
        <v>1494</v>
      </c>
      <c r="G271" s="278">
        <f>G270/O252</f>
        <v>16177.474639999999</v>
      </c>
      <c r="H271" s="575"/>
      <c r="I271" s="249"/>
      <c r="J271" s="256"/>
      <c r="K271" s="275"/>
      <c r="L271" s="575"/>
      <c r="M271" s="575"/>
      <c r="N271" s="575"/>
      <c r="O271" s="575"/>
      <c r="P271" s="575"/>
    </row>
    <row r="272" spans="1:16" x14ac:dyDescent="0.2">
      <c r="A272" s="253"/>
      <c r="B272" s="249"/>
      <c r="C272" s="249"/>
      <c r="D272" s="249"/>
      <c r="E272" s="249"/>
      <c r="F272" s="254" t="s">
        <v>1</v>
      </c>
      <c r="G272" s="255">
        <f>G271</f>
        <v>16177.474639999999</v>
      </c>
      <c r="H272" s="249" t="s">
        <v>30</v>
      </c>
      <c r="I272" s="222" t="s">
        <v>38</v>
      </c>
      <c r="J272" s="256"/>
      <c r="K272" s="275"/>
      <c r="L272" s="275"/>
      <c r="M272" s="275"/>
      <c r="N272" s="575"/>
      <c r="O272" s="575"/>
      <c r="P272" s="575"/>
    </row>
    <row r="273" spans="1:16" x14ac:dyDescent="0.2">
      <c r="A273" s="253"/>
      <c r="B273" s="249"/>
      <c r="C273" s="249"/>
      <c r="D273" s="249"/>
      <c r="E273" s="575"/>
      <c r="F273" s="254"/>
      <c r="G273" s="255"/>
      <c r="H273" s="256"/>
      <c r="I273" s="249"/>
      <c r="J273" s="250"/>
      <c r="K273" s="251"/>
      <c r="L273" s="575"/>
      <c r="M273" s="575"/>
      <c r="N273" s="575"/>
      <c r="O273" s="575"/>
      <c r="P273" s="575"/>
    </row>
    <row r="274" spans="1:16" x14ac:dyDescent="0.2">
      <c r="A274" s="575" t="s">
        <v>27</v>
      </c>
      <c r="B274" s="223">
        <f>B252+1</f>
        <v>15</v>
      </c>
      <c r="C274" s="222"/>
      <c r="D274" s="575"/>
      <c r="E274" s="575"/>
      <c r="F274" s="575"/>
      <c r="G274" s="575"/>
      <c r="H274" s="575"/>
      <c r="I274" s="575"/>
      <c r="J274" s="575"/>
      <c r="K274" s="575"/>
      <c r="L274" s="575"/>
      <c r="M274" s="575"/>
      <c r="N274" s="1020" t="s">
        <v>13</v>
      </c>
      <c r="O274" s="248">
        <v>15</v>
      </c>
      <c r="P274" s="222" t="s">
        <v>38</v>
      </c>
    </row>
    <row r="275" spans="1:16" x14ac:dyDescent="0.2">
      <c r="A275" s="223" t="s">
        <v>12</v>
      </c>
      <c r="B275" s="257" t="s">
        <v>1495</v>
      </c>
      <c r="C275" s="257"/>
      <c r="D275" s="257"/>
      <c r="E275" s="257"/>
      <c r="F275" s="257"/>
      <c r="G275" s="257"/>
      <c r="H275" s="257"/>
      <c r="I275" s="257"/>
      <c r="J275" s="257"/>
      <c r="K275" s="257" t="s">
        <v>1514</v>
      </c>
      <c r="L275" s="257"/>
      <c r="M275" s="257"/>
      <c r="N275" s="257"/>
      <c r="O275" s="257"/>
      <c r="P275" s="257"/>
    </row>
    <row r="276" spans="1:16" x14ac:dyDescent="0.2">
      <c r="A276" s="225" t="s">
        <v>243</v>
      </c>
      <c r="B276" s="226" t="s">
        <v>15</v>
      </c>
      <c r="C276" s="227"/>
      <c r="D276" s="227"/>
      <c r="E276" s="227"/>
      <c r="F276" s="226"/>
      <c r="G276" s="1412" t="s">
        <v>16</v>
      </c>
      <c r="H276" s="1413"/>
      <c r="I276" s="1413"/>
      <c r="J276" s="1413"/>
      <c r="K276" s="1414"/>
      <c r="L276" s="227" t="s">
        <v>17</v>
      </c>
      <c r="M276" s="227"/>
      <c r="N276" s="227"/>
      <c r="O276" s="227"/>
      <c r="P276" s="227"/>
    </row>
    <row r="277" spans="1:16" x14ac:dyDescent="0.2">
      <c r="A277" s="225" t="s">
        <v>273</v>
      </c>
      <c r="B277" s="228" t="s">
        <v>18</v>
      </c>
      <c r="C277" s="229" t="s">
        <v>0</v>
      </c>
      <c r="D277" s="229" t="s">
        <v>5</v>
      </c>
      <c r="E277" s="229" t="s">
        <v>1</v>
      </c>
      <c r="F277" s="230" t="s">
        <v>2</v>
      </c>
      <c r="G277" s="228" t="s">
        <v>19</v>
      </c>
      <c r="H277" s="229" t="s">
        <v>0</v>
      </c>
      <c r="I277" s="229" t="s">
        <v>5</v>
      </c>
      <c r="J277" s="229" t="s">
        <v>1</v>
      </c>
      <c r="K277" s="230" t="s">
        <v>2</v>
      </c>
      <c r="L277" s="228" t="s">
        <v>19</v>
      </c>
      <c r="M277" s="229" t="s">
        <v>0</v>
      </c>
      <c r="N277" s="229" t="s">
        <v>5</v>
      </c>
      <c r="O277" s="229" t="s">
        <v>1</v>
      </c>
      <c r="P277" s="230" t="s">
        <v>2</v>
      </c>
    </row>
    <row r="278" spans="1:16" x14ac:dyDescent="0.2">
      <c r="A278" s="258"/>
      <c r="B278" s="237"/>
      <c r="C278" s="233"/>
      <c r="D278" s="234"/>
      <c r="E278" s="235"/>
      <c r="F278" s="236"/>
      <c r="G278" s="237"/>
      <c r="H278" s="233"/>
      <c r="I278" s="234"/>
      <c r="J278" s="235"/>
      <c r="K278" s="236"/>
      <c r="L278" s="237"/>
      <c r="M278" s="233"/>
      <c r="N278" s="234"/>
      <c r="O278" s="235"/>
      <c r="P278" s="236"/>
    </row>
    <row r="279" spans="1:16" ht="15" x14ac:dyDescent="0.2">
      <c r="A279" s="231" t="s">
        <v>1515</v>
      </c>
      <c r="B279" s="1021" t="s">
        <v>32</v>
      </c>
      <c r="C279" s="1022" t="s">
        <v>46</v>
      </c>
      <c r="D279" s="1023">
        <v>3</v>
      </c>
      <c r="E279" s="1024">
        <f>skilled</f>
        <v>1070</v>
      </c>
      <c r="F279" s="1025">
        <f>ROUND(E279*D279,2)</f>
        <v>3210</v>
      </c>
      <c r="G279" s="1035" t="s">
        <v>9</v>
      </c>
      <c r="H279" s="1022" t="s">
        <v>14</v>
      </c>
      <c r="I279" s="1023">
        <v>6.1</v>
      </c>
      <c r="J279" s="1024">
        <f>cement</f>
        <v>17013.62</v>
      </c>
      <c r="K279" s="1025">
        <f t="shared" ref="K279:K282" si="7">ROUND(J279*I279,2)</f>
        <v>103783.08</v>
      </c>
      <c r="L279" s="259" t="s">
        <v>420</v>
      </c>
      <c r="M279" s="1022" t="s">
        <v>28</v>
      </c>
      <c r="N279" s="1023">
        <v>6</v>
      </c>
      <c r="O279" s="1024">
        <f>mixer</f>
        <v>1000</v>
      </c>
      <c r="P279" s="1025">
        <f>ROUND(O279*N279,2)</f>
        <v>6000</v>
      </c>
    </row>
    <row r="280" spans="1:16" x14ac:dyDescent="0.2">
      <c r="A280" s="260" t="s">
        <v>20</v>
      </c>
      <c r="B280" s="1021" t="s">
        <v>21</v>
      </c>
      <c r="C280" s="1022" t="s">
        <v>46</v>
      </c>
      <c r="D280" s="1023">
        <v>30</v>
      </c>
      <c r="E280" s="1024">
        <f>unskilled</f>
        <v>770</v>
      </c>
      <c r="F280" s="1025">
        <f>ROUND(E280*D280,2)</f>
        <v>23100</v>
      </c>
      <c r="G280" s="1035" t="s">
        <v>1507</v>
      </c>
      <c r="H280" s="1022" t="s">
        <v>6</v>
      </c>
      <c r="I280" s="1023">
        <f>I279*1000*0.004</f>
        <v>24.400000000000002</v>
      </c>
      <c r="J280" s="1024">
        <f>admixtures</f>
        <v>315.41361999999998</v>
      </c>
      <c r="K280" s="1025">
        <f t="shared" si="7"/>
        <v>7696.09</v>
      </c>
      <c r="L280" s="1021" t="s">
        <v>1493</v>
      </c>
      <c r="M280" s="1022" t="s">
        <v>28</v>
      </c>
      <c r="N280" s="1023">
        <v>6</v>
      </c>
      <c r="O280" s="1024">
        <f>generator</f>
        <v>1500</v>
      </c>
      <c r="P280" s="1025">
        <f>ROUND(O280*N280,2)</f>
        <v>9000</v>
      </c>
    </row>
    <row r="281" spans="1:16" x14ac:dyDescent="0.2">
      <c r="A281" s="260"/>
      <c r="B281" s="1021"/>
      <c r="C281" s="1022"/>
      <c r="D281" s="1023"/>
      <c r="E281" s="1024"/>
      <c r="F281" s="1025"/>
      <c r="G281" s="1035" t="s">
        <v>1498</v>
      </c>
      <c r="H281" s="1022" t="s">
        <v>38</v>
      </c>
      <c r="I281" s="1023">
        <v>8.1</v>
      </c>
      <c r="J281" s="1024">
        <f>_Agg20</f>
        <v>2574.1999999999998</v>
      </c>
      <c r="K281" s="1025">
        <f t="shared" si="7"/>
        <v>20851.02</v>
      </c>
      <c r="L281" s="1021"/>
      <c r="M281" s="1022"/>
      <c r="N281" s="1023"/>
      <c r="O281" s="1024"/>
      <c r="P281" s="1025"/>
    </row>
    <row r="282" spans="1:16" x14ac:dyDescent="0.2">
      <c r="A282" s="260"/>
      <c r="B282" s="1021"/>
      <c r="C282" s="1022"/>
      <c r="D282" s="1023"/>
      <c r="E282" s="1024"/>
      <c r="F282" s="1025"/>
      <c r="G282" s="1035" t="s">
        <v>1499</v>
      </c>
      <c r="H282" s="1022" t="s">
        <v>38</v>
      </c>
      <c r="I282" s="1023">
        <v>5.4</v>
      </c>
      <c r="J282" s="1024">
        <f>_agg10</f>
        <v>2574.1999999999998</v>
      </c>
      <c r="K282" s="1025">
        <f t="shared" si="7"/>
        <v>13900.68</v>
      </c>
      <c r="L282" s="1021"/>
      <c r="M282" s="1022"/>
      <c r="N282" s="1023"/>
      <c r="O282" s="1024"/>
      <c r="P282" s="1025"/>
    </row>
    <row r="283" spans="1:16" x14ac:dyDescent="0.2">
      <c r="A283" s="231"/>
      <c r="B283" s="1021"/>
      <c r="C283" s="1022"/>
      <c r="D283" s="1023"/>
      <c r="E283" s="1024"/>
      <c r="F283" s="1025"/>
      <c r="G283" s="1035" t="s">
        <v>45</v>
      </c>
      <c r="H283" s="1022" t="s">
        <v>38</v>
      </c>
      <c r="I283" s="1023">
        <v>6.75</v>
      </c>
      <c r="J283" s="1024">
        <f>sand</f>
        <v>2503.2750000000001</v>
      </c>
      <c r="K283" s="1025">
        <f>ROUND(J283*I283,2)</f>
        <v>16897.11</v>
      </c>
      <c r="L283" s="1021"/>
      <c r="M283" s="1022"/>
      <c r="N283" s="1023"/>
      <c r="O283" s="1024"/>
      <c r="P283" s="1025"/>
    </row>
    <row r="284" spans="1:16" ht="15" x14ac:dyDescent="0.2">
      <c r="A284" s="231"/>
      <c r="B284" s="1021"/>
      <c r="C284" s="1022"/>
      <c r="D284" s="1023"/>
      <c r="E284" s="1024"/>
      <c r="F284" s="1025"/>
      <c r="G284" s="659" t="s">
        <v>267</v>
      </c>
      <c r="H284" s="660" t="s">
        <v>44</v>
      </c>
      <c r="I284" s="661">
        <v>0.1</v>
      </c>
      <c r="J284" s="662">
        <f>petrol</f>
        <v>170</v>
      </c>
      <c r="K284" s="663">
        <f>ROUND(J284*I284,2)</f>
        <v>17</v>
      </c>
      <c r="L284" s="1021"/>
      <c r="M284" s="1022"/>
      <c r="N284" s="1023"/>
      <c r="O284" s="1024"/>
      <c r="P284" s="1025"/>
    </row>
    <row r="285" spans="1:16" ht="15" x14ac:dyDescent="0.2">
      <c r="A285" s="231"/>
      <c r="B285" s="1021"/>
      <c r="C285" s="1022"/>
      <c r="D285" s="1023"/>
      <c r="E285" s="1024"/>
      <c r="F285" s="1025"/>
      <c r="G285" s="659" t="s">
        <v>268</v>
      </c>
      <c r="H285" s="660" t="s">
        <v>44</v>
      </c>
      <c r="I285" s="661">
        <v>3</v>
      </c>
      <c r="J285" s="662">
        <f>diesel</f>
        <v>160</v>
      </c>
      <c r="K285" s="663">
        <f>ROUND(J285*I285,2)</f>
        <v>480</v>
      </c>
      <c r="L285" s="1021"/>
      <c r="M285" s="1022"/>
      <c r="N285" s="1023"/>
      <c r="O285" s="1024"/>
      <c r="P285" s="1025"/>
    </row>
    <row r="286" spans="1:16" x14ac:dyDescent="0.2">
      <c r="A286" s="231"/>
      <c r="B286" s="1021"/>
      <c r="C286" s="1022"/>
      <c r="D286" s="1023"/>
      <c r="E286" s="1024"/>
      <c r="F286" s="1025"/>
      <c r="G286" s="1035" t="s">
        <v>51</v>
      </c>
      <c r="H286" s="1022" t="s">
        <v>44</v>
      </c>
      <c r="I286" s="572">
        <v>3000</v>
      </c>
      <c r="J286" s="1024">
        <f>water</f>
        <v>0.24955999999999998</v>
      </c>
      <c r="K286" s="1025">
        <f>ROUND(J286*I286,2)</f>
        <v>748.68</v>
      </c>
      <c r="L286" s="1021"/>
      <c r="M286" s="1022"/>
      <c r="N286" s="1023"/>
      <c r="O286" s="1024"/>
      <c r="P286" s="1025"/>
    </row>
    <row r="287" spans="1:16" x14ac:dyDescent="0.2">
      <c r="A287" s="241"/>
      <c r="B287" s="242"/>
      <c r="C287" s="243"/>
      <c r="D287" s="243"/>
      <c r="E287" s="244" t="s">
        <v>39</v>
      </c>
      <c r="F287" s="245">
        <f>SUM(F279:F286)</f>
        <v>26310</v>
      </c>
      <c r="G287" s="242"/>
      <c r="H287" s="243"/>
      <c r="I287" s="243"/>
      <c r="J287" s="244" t="s">
        <v>40</v>
      </c>
      <c r="K287" s="245">
        <f>SUM(K279:K286)</f>
        <v>164373.65999999997</v>
      </c>
      <c r="L287" s="242"/>
      <c r="M287" s="243"/>
      <c r="N287" s="243"/>
      <c r="O287" s="246" t="s">
        <v>41</v>
      </c>
      <c r="P287" s="245">
        <f>SUM(P279:P286)</f>
        <v>15000</v>
      </c>
    </row>
    <row r="288" spans="1:16" x14ac:dyDescent="0.2">
      <c r="A288" s="247"/>
      <c r="B288" s="575"/>
      <c r="C288" s="575"/>
      <c r="D288" s="575"/>
      <c r="E288" s="575"/>
      <c r="F288" s="1020" t="s">
        <v>29</v>
      </c>
      <c r="G288" s="248">
        <f>F287+K287+P287</f>
        <v>205683.65999999997</v>
      </c>
      <c r="H288" s="575"/>
      <c r="I288" s="249"/>
      <c r="J288" s="250"/>
      <c r="K288" s="251"/>
      <c r="L288" s="575"/>
      <c r="M288" s="575"/>
      <c r="N288" s="575"/>
      <c r="O288" s="575"/>
      <c r="P288" s="575"/>
    </row>
    <row r="289" spans="1:16" x14ac:dyDescent="0.2">
      <c r="A289" s="247"/>
      <c r="B289" s="575"/>
      <c r="C289" s="575"/>
      <c r="D289" s="1423" t="s">
        <v>1513</v>
      </c>
      <c r="E289" s="1423"/>
      <c r="F289" s="1423"/>
      <c r="G289" s="248">
        <f>G288*0.035</f>
        <v>7198.9281000000001</v>
      </c>
      <c r="H289" s="575"/>
      <c r="I289" s="249"/>
      <c r="J289" s="250"/>
      <c r="K289" s="251"/>
      <c r="L289" s="575"/>
      <c r="M289" s="575"/>
      <c r="N289" s="575"/>
      <c r="O289" s="575"/>
      <c r="P289" s="575"/>
    </row>
    <row r="290" spans="1:16" x14ac:dyDescent="0.2">
      <c r="A290" s="247"/>
      <c r="B290" s="575"/>
      <c r="C290" s="575"/>
      <c r="D290" s="575"/>
      <c r="E290" s="575"/>
      <c r="F290" s="252" t="s">
        <v>31</v>
      </c>
      <c r="G290" s="248">
        <f>0.15*G288</f>
        <v>30852.548999999995</v>
      </c>
      <c r="H290" s="575"/>
      <c r="I290" s="249"/>
      <c r="J290" s="250"/>
      <c r="K290" s="251"/>
      <c r="L290" s="575"/>
      <c r="M290" s="575"/>
      <c r="N290" s="575"/>
      <c r="O290" s="575"/>
      <c r="P290" s="575"/>
    </row>
    <row r="291" spans="1:16" ht="15" x14ac:dyDescent="0.25">
      <c r="A291" s="253"/>
      <c r="B291" s="249"/>
      <c r="C291" s="249"/>
      <c r="D291" s="249"/>
      <c r="E291" s="575"/>
      <c r="F291" s="277" t="str">
        <f>"Rate for "&amp;O274&amp;" m² :"</f>
        <v>Rate for 15 m² :</v>
      </c>
      <c r="G291" s="1012">
        <f>SUM(G288:G290)</f>
        <v>243735.13709999996</v>
      </c>
      <c r="H291" s="256"/>
      <c r="I291" s="249"/>
      <c r="J291" s="250"/>
      <c r="K291" s="251"/>
      <c r="L291" s="575"/>
      <c r="M291" s="575"/>
      <c r="N291" s="575"/>
      <c r="O291" s="575"/>
      <c r="P291" s="575"/>
    </row>
    <row r="292" spans="1:16" x14ac:dyDescent="0.2">
      <c r="A292" s="247"/>
      <c r="B292" s="575"/>
      <c r="C292" s="575"/>
      <c r="D292" s="575"/>
      <c r="E292" s="1027"/>
      <c r="F292" s="277" t="s">
        <v>1494</v>
      </c>
      <c r="G292" s="278">
        <f>G291/O274</f>
        <v>16249.009139999998</v>
      </c>
      <c r="H292" s="575"/>
      <c r="I292" s="249"/>
      <c r="J292" s="256"/>
      <c r="K292" s="275"/>
      <c r="L292" s="575"/>
      <c r="M292" s="575"/>
      <c r="N292" s="575"/>
      <c r="O292" s="575"/>
      <c r="P292" s="575"/>
    </row>
    <row r="293" spans="1:16" x14ac:dyDescent="0.2">
      <c r="A293" s="253"/>
      <c r="B293" s="249"/>
      <c r="C293" s="249"/>
      <c r="D293" s="249"/>
      <c r="E293" s="249"/>
      <c r="F293" s="254" t="s">
        <v>1</v>
      </c>
      <c r="G293" s="255">
        <f>G292</f>
        <v>16249.009139999998</v>
      </c>
      <c r="H293" s="249" t="s">
        <v>30</v>
      </c>
      <c r="I293" s="222" t="s">
        <v>38</v>
      </c>
      <c r="J293" s="256"/>
      <c r="K293" s="275"/>
      <c r="L293" s="275"/>
      <c r="M293" s="275"/>
      <c r="N293" s="575"/>
      <c r="O293" s="575"/>
      <c r="P293" s="575"/>
    </row>
    <row r="294" spans="1:16" x14ac:dyDescent="0.2">
      <c r="F294" s="262"/>
      <c r="G294" s="263"/>
      <c r="H294" s="256"/>
      <c r="I294" s="249"/>
    </row>
    <row r="295" spans="1:16" hidden="1" x14ac:dyDescent="0.2">
      <c r="A295" s="575" t="s">
        <v>27</v>
      </c>
      <c r="B295" s="223">
        <f>B274+1</f>
        <v>16</v>
      </c>
      <c r="C295" s="222"/>
      <c r="D295" s="575"/>
      <c r="E295" s="575"/>
      <c r="F295" s="575"/>
      <c r="G295" s="575"/>
      <c r="H295" s="575"/>
      <c r="I295" s="575"/>
      <c r="J295" s="575"/>
      <c r="K295" s="575"/>
      <c r="L295" s="575"/>
      <c r="M295" s="575"/>
      <c r="N295" s="1020" t="s">
        <v>13</v>
      </c>
      <c r="O295" s="248">
        <v>15</v>
      </c>
      <c r="P295" s="222" t="s">
        <v>38</v>
      </c>
    </row>
    <row r="296" spans="1:16" hidden="1" x14ac:dyDescent="0.2">
      <c r="A296" s="223" t="s">
        <v>12</v>
      </c>
      <c r="B296" s="257" t="s">
        <v>1495</v>
      </c>
      <c r="C296" s="257"/>
      <c r="D296" s="257"/>
      <c r="E296" s="257"/>
      <c r="F296" s="257"/>
      <c r="G296" s="257"/>
      <c r="H296" s="257"/>
      <c r="I296" s="257"/>
      <c r="J296" s="257"/>
      <c r="K296" s="257" t="s">
        <v>1516</v>
      </c>
      <c r="L296" s="257"/>
      <c r="M296" s="257"/>
      <c r="N296" s="257"/>
      <c r="O296" s="257"/>
      <c r="P296" s="257"/>
    </row>
    <row r="297" spans="1:16" hidden="1" x14ac:dyDescent="0.2">
      <c r="A297" s="225" t="s">
        <v>243</v>
      </c>
      <c r="B297" s="226" t="s">
        <v>15</v>
      </c>
      <c r="C297" s="227"/>
      <c r="D297" s="227"/>
      <c r="E297" s="227"/>
      <c r="F297" s="226"/>
      <c r="G297" s="1412" t="s">
        <v>16</v>
      </c>
      <c r="H297" s="1413"/>
      <c r="I297" s="1413"/>
      <c r="J297" s="1413"/>
      <c r="K297" s="1414"/>
      <c r="L297" s="227" t="s">
        <v>17</v>
      </c>
      <c r="M297" s="227"/>
      <c r="N297" s="227"/>
      <c r="O297" s="227"/>
      <c r="P297" s="227"/>
    </row>
    <row r="298" spans="1:16" hidden="1" x14ac:dyDescent="0.2">
      <c r="A298" s="225" t="s">
        <v>273</v>
      </c>
      <c r="B298" s="228" t="s">
        <v>18</v>
      </c>
      <c r="C298" s="229" t="s">
        <v>0</v>
      </c>
      <c r="D298" s="229" t="s">
        <v>5</v>
      </c>
      <c r="E298" s="229" t="s">
        <v>1</v>
      </c>
      <c r="F298" s="230" t="s">
        <v>2</v>
      </c>
      <c r="G298" s="228" t="s">
        <v>19</v>
      </c>
      <c r="H298" s="229" t="s">
        <v>0</v>
      </c>
      <c r="I298" s="229" t="s">
        <v>5</v>
      </c>
      <c r="J298" s="229" t="s">
        <v>1</v>
      </c>
      <c r="K298" s="230" t="s">
        <v>2</v>
      </c>
      <c r="L298" s="228" t="s">
        <v>19</v>
      </c>
      <c r="M298" s="229" t="s">
        <v>0</v>
      </c>
      <c r="N298" s="229" t="s">
        <v>5</v>
      </c>
      <c r="O298" s="229" t="s">
        <v>1</v>
      </c>
      <c r="P298" s="230" t="s">
        <v>2</v>
      </c>
    </row>
    <row r="299" spans="1:16" hidden="1" x14ac:dyDescent="0.2">
      <c r="A299" s="258"/>
      <c r="B299" s="237"/>
      <c r="C299" s="233"/>
      <c r="D299" s="234"/>
      <c r="E299" s="235"/>
      <c r="F299" s="236"/>
      <c r="G299" s="237"/>
      <c r="H299" s="233"/>
      <c r="I299" s="234"/>
      <c r="J299" s="235"/>
      <c r="K299" s="236"/>
      <c r="L299" s="237"/>
      <c r="M299" s="233"/>
      <c r="N299" s="234"/>
      <c r="O299" s="235"/>
      <c r="P299" s="236"/>
    </row>
    <row r="300" spans="1:16" ht="15" hidden="1" x14ac:dyDescent="0.2">
      <c r="A300" s="231" t="s">
        <v>1517</v>
      </c>
      <c r="B300" s="1021" t="s">
        <v>32</v>
      </c>
      <c r="C300" s="1022" t="s">
        <v>46</v>
      </c>
      <c r="D300" s="1023">
        <v>3</v>
      </c>
      <c r="E300" s="1024">
        <f>skilled</f>
        <v>1070</v>
      </c>
      <c r="F300" s="1025">
        <f>ROUND(E300*D300,2)</f>
        <v>3210</v>
      </c>
      <c r="G300" s="1035" t="s">
        <v>9</v>
      </c>
      <c r="H300" s="1022" t="s">
        <v>14</v>
      </c>
      <c r="I300" s="1023">
        <v>6.33</v>
      </c>
      <c r="J300" s="1024">
        <f>cement</f>
        <v>17013.62</v>
      </c>
      <c r="K300" s="1025">
        <f t="shared" ref="K300:K303" si="8">ROUND(J300*I300,2)</f>
        <v>107696.21</v>
      </c>
      <c r="L300" s="259" t="s">
        <v>420</v>
      </c>
      <c r="M300" s="1022" t="s">
        <v>28</v>
      </c>
      <c r="N300" s="1023">
        <v>6</v>
      </c>
      <c r="O300" s="1024">
        <f>mixer</f>
        <v>1000</v>
      </c>
      <c r="P300" s="1025">
        <f>ROUND(O300*N300,2)</f>
        <v>6000</v>
      </c>
    </row>
    <row r="301" spans="1:16" hidden="1" x14ac:dyDescent="0.2">
      <c r="A301" s="260" t="s">
        <v>20</v>
      </c>
      <c r="B301" s="1021" t="s">
        <v>21</v>
      </c>
      <c r="C301" s="1022" t="s">
        <v>46</v>
      </c>
      <c r="D301" s="1023">
        <v>30</v>
      </c>
      <c r="E301" s="1024">
        <f>unskilled</f>
        <v>770</v>
      </c>
      <c r="F301" s="1025">
        <f>ROUND(E301*D301,2)</f>
        <v>23100</v>
      </c>
      <c r="G301" s="1035" t="s">
        <v>1507</v>
      </c>
      <c r="H301" s="1022" t="s">
        <v>6</v>
      </c>
      <c r="I301" s="1023">
        <f>I300*1000*0.004</f>
        <v>25.32</v>
      </c>
      <c r="J301" s="1024">
        <f>admixtures</f>
        <v>315.41361999999998</v>
      </c>
      <c r="K301" s="1025">
        <f t="shared" si="8"/>
        <v>7986.27</v>
      </c>
      <c r="L301" s="1021" t="s">
        <v>1493</v>
      </c>
      <c r="M301" s="1022" t="s">
        <v>28</v>
      </c>
      <c r="N301" s="1023">
        <v>6</v>
      </c>
      <c r="O301" s="1024">
        <f>generator</f>
        <v>1500</v>
      </c>
      <c r="P301" s="1025">
        <f>ROUND(O301*N301,2)</f>
        <v>9000</v>
      </c>
    </row>
    <row r="302" spans="1:16" hidden="1" x14ac:dyDescent="0.2">
      <c r="A302" s="260"/>
      <c r="B302" s="1021"/>
      <c r="C302" s="1022"/>
      <c r="D302" s="1023"/>
      <c r="E302" s="1024"/>
      <c r="F302" s="1025"/>
      <c r="G302" s="1035" t="s">
        <v>1498</v>
      </c>
      <c r="H302" s="1022" t="s">
        <v>38</v>
      </c>
      <c r="I302" s="1023">
        <v>8.1</v>
      </c>
      <c r="J302" s="1024">
        <f>_Agg20</f>
        <v>2574.1999999999998</v>
      </c>
      <c r="K302" s="1025">
        <f t="shared" si="8"/>
        <v>20851.02</v>
      </c>
      <c r="L302" s="1021"/>
      <c r="M302" s="1022"/>
      <c r="N302" s="1023"/>
      <c r="O302" s="1024"/>
      <c r="P302" s="1025"/>
    </row>
    <row r="303" spans="1:16" hidden="1" x14ac:dyDescent="0.2">
      <c r="A303" s="260"/>
      <c r="B303" s="1021"/>
      <c r="C303" s="1022"/>
      <c r="D303" s="1023"/>
      <c r="E303" s="1024"/>
      <c r="F303" s="1025"/>
      <c r="G303" s="1035" t="s">
        <v>1499</v>
      </c>
      <c r="H303" s="1022" t="s">
        <v>38</v>
      </c>
      <c r="I303" s="1023">
        <v>5.4</v>
      </c>
      <c r="J303" s="1024">
        <f>_agg10</f>
        <v>2574.1999999999998</v>
      </c>
      <c r="K303" s="1025">
        <f t="shared" si="8"/>
        <v>13900.68</v>
      </c>
      <c r="L303" s="1021"/>
      <c r="M303" s="1022"/>
      <c r="N303" s="1023"/>
      <c r="O303" s="1024"/>
      <c r="P303" s="1025"/>
    </row>
    <row r="304" spans="1:16" hidden="1" x14ac:dyDescent="0.2">
      <c r="A304" s="231"/>
      <c r="B304" s="1021"/>
      <c r="C304" s="1022"/>
      <c r="D304" s="1023"/>
      <c r="E304" s="1024"/>
      <c r="F304" s="1025"/>
      <c r="G304" s="1035" t="s">
        <v>45</v>
      </c>
      <c r="H304" s="1022" t="s">
        <v>38</v>
      </c>
      <c r="I304" s="1023">
        <v>6.75</v>
      </c>
      <c r="J304" s="1024">
        <f>sand</f>
        <v>2503.2750000000001</v>
      </c>
      <c r="K304" s="1025">
        <f>ROUND(J304*I304,2)</f>
        <v>16897.11</v>
      </c>
      <c r="L304" s="1021"/>
      <c r="M304" s="1022"/>
      <c r="N304" s="1023"/>
      <c r="O304" s="1024"/>
      <c r="P304" s="1025"/>
    </row>
    <row r="305" spans="1:16" ht="15" hidden="1" x14ac:dyDescent="0.2">
      <c r="A305" s="231"/>
      <c r="B305" s="1021"/>
      <c r="C305" s="1022"/>
      <c r="D305" s="1023"/>
      <c r="E305" s="1024"/>
      <c r="F305" s="1025"/>
      <c r="G305" s="659" t="s">
        <v>267</v>
      </c>
      <c r="H305" s="660" t="s">
        <v>44</v>
      </c>
      <c r="I305" s="661">
        <v>0.1</v>
      </c>
      <c r="J305" s="662">
        <f>petrol</f>
        <v>170</v>
      </c>
      <c r="K305" s="663">
        <f>ROUND(J305*I305,2)</f>
        <v>17</v>
      </c>
      <c r="L305" s="1021"/>
      <c r="M305" s="1022"/>
      <c r="N305" s="1023"/>
      <c r="O305" s="1024"/>
      <c r="P305" s="1025"/>
    </row>
    <row r="306" spans="1:16" ht="15" hidden="1" x14ac:dyDescent="0.2">
      <c r="A306" s="231"/>
      <c r="B306" s="1021"/>
      <c r="C306" s="1022"/>
      <c r="D306" s="1023"/>
      <c r="E306" s="1024"/>
      <c r="F306" s="1025"/>
      <c r="G306" s="659" t="s">
        <v>268</v>
      </c>
      <c r="H306" s="660" t="s">
        <v>44</v>
      </c>
      <c r="I306" s="661">
        <v>3</v>
      </c>
      <c r="J306" s="662">
        <f>diesel</f>
        <v>160</v>
      </c>
      <c r="K306" s="663">
        <f>ROUND(J306*I306,2)</f>
        <v>480</v>
      </c>
      <c r="L306" s="1021"/>
      <c r="M306" s="1022"/>
      <c r="N306" s="1023"/>
      <c r="O306" s="1024"/>
      <c r="P306" s="1025"/>
    </row>
    <row r="307" spans="1:16" hidden="1" x14ac:dyDescent="0.2">
      <c r="A307" s="231"/>
      <c r="B307" s="1021"/>
      <c r="C307" s="1022"/>
      <c r="D307" s="1023"/>
      <c r="E307" s="1024"/>
      <c r="F307" s="1025"/>
      <c r="G307" s="1035" t="s">
        <v>51</v>
      </c>
      <c r="H307" s="1022" t="s">
        <v>44</v>
      </c>
      <c r="I307" s="572">
        <v>3000</v>
      </c>
      <c r="J307" s="1024">
        <f>water</f>
        <v>0.24955999999999998</v>
      </c>
      <c r="K307" s="1025">
        <f>ROUND(J307*I307,2)</f>
        <v>748.68</v>
      </c>
      <c r="L307" s="1021"/>
      <c r="M307" s="1022"/>
      <c r="N307" s="1023"/>
      <c r="O307" s="1024"/>
      <c r="P307" s="1025"/>
    </row>
    <row r="308" spans="1:16" hidden="1" x14ac:dyDescent="0.2">
      <c r="A308" s="241"/>
      <c r="B308" s="242"/>
      <c r="C308" s="243"/>
      <c r="D308" s="243"/>
      <c r="E308" s="244" t="s">
        <v>39</v>
      </c>
      <c r="F308" s="245">
        <f>SUM(F300:F307)</f>
        <v>26310</v>
      </c>
      <c r="G308" s="242"/>
      <c r="H308" s="243"/>
      <c r="I308" s="243"/>
      <c r="J308" s="244" t="s">
        <v>40</v>
      </c>
      <c r="K308" s="245">
        <f>SUM(K300:K307)</f>
        <v>168576.96999999997</v>
      </c>
      <c r="L308" s="242"/>
      <c r="M308" s="243"/>
      <c r="N308" s="243"/>
      <c r="O308" s="246" t="s">
        <v>41</v>
      </c>
      <c r="P308" s="245">
        <f>SUM(P300:P307)</f>
        <v>15000</v>
      </c>
    </row>
    <row r="309" spans="1:16" hidden="1" x14ac:dyDescent="0.2">
      <c r="A309" s="247"/>
      <c r="B309" s="575"/>
      <c r="C309" s="575"/>
      <c r="D309" s="575"/>
      <c r="E309" s="575"/>
      <c r="F309" s="1020" t="s">
        <v>29</v>
      </c>
      <c r="G309" s="248">
        <f>F308+K308+P308</f>
        <v>209886.96999999997</v>
      </c>
      <c r="H309" s="575"/>
      <c r="I309" s="249"/>
      <c r="J309" s="250"/>
      <c r="K309" s="251"/>
      <c r="L309" s="575"/>
      <c r="M309" s="575"/>
      <c r="N309" s="575"/>
      <c r="O309" s="575"/>
      <c r="P309" s="575"/>
    </row>
    <row r="310" spans="1:16" hidden="1" x14ac:dyDescent="0.2">
      <c r="A310" s="247"/>
      <c r="B310" s="575"/>
      <c r="C310" s="575"/>
      <c r="D310" s="1423" t="s">
        <v>1513</v>
      </c>
      <c r="E310" s="1423"/>
      <c r="F310" s="1423"/>
      <c r="G310" s="248">
        <f>G309*0.035</f>
        <v>7346.0439499999993</v>
      </c>
      <c r="H310" s="575"/>
      <c r="I310" s="249"/>
      <c r="J310" s="250"/>
      <c r="K310" s="251"/>
      <c r="L310" s="575"/>
      <c r="M310" s="575"/>
      <c r="N310" s="575"/>
      <c r="O310" s="575"/>
      <c r="P310" s="575"/>
    </row>
    <row r="311" spans="1:16" hidden="1" x14ac:dyDescent="0.2">
      <c r="A311" s="247"/>
      <c r="B311" s="575"/>
      <c r="C311" s="575"/>
      <c r="D311" s="575"/>
      <c r="E311" s="575"/>
      <c r="F311" s="252" t="s">
        <v>31</v>
      </c>
      <c r="G311" s="248">
        <f>0.15*G309</f>
        <v>31483.045499999993</v>
      </c>
      <c r="H311" s="575"/>
      <c r="I311" s="249"/>
      <c r="J311" s="250"/>
      <c r="K311" s="251"/>
      <c r="L311" s="575"/>
      <c r="M311" s="575"/>
      <c r="N311" s="575"/>
      <c r="O311" s="575"/>
      <c r="P311" s="575"/>
    </row>
    <row r="312" spans="1:16" ht="15" hidden="1" x14ac:dyDescent="0.25">
      <c r="A312" s="253"/>
      <c r="B312" s="249"/>
      <c r="C312" s="249"/>
      <c r="D312" s="249"/>
      <c r="E312" s="575"/>
      <c r="F312" s="277" t="str">
        <f>"Rate for "&amp;O295&amp;" m² :"</f>
        <v>Rate for 15 m² :</v>
      </c>
      <c r="G312" s="1012">
        <f>SUM(G309:G311)</f>
        <v>248716.05944999994</v>
      </c>
      <c r="H312" s="256"/>
      <c r="I312" s="249"/>
      <c r="J312" s="250"/>
      <c r="K312" s="251"/>
      <c r="L312" s="575"/>
      <c r="M312" s="575"/>
      <c r="N312" s="575"/>
      <c r="O312" s="575"/>
      <c r="P312" s="575"/>
    </row>
    <row r="313" spans="1:16" hidden="1" x14ac:dyDescent="0.2">
      <c r="A313" s="247"/>
      <c r="B313" s="575"/>
      <c r="C313" s="575"/>
      <c r="D313" s="575"/>
      <c r="E313" s="1027"/>
      <c r="F313" s="277" t="s">
        <v>1494</v>
      </c>
      <c r="G313" s="278">
        <f>G312/O295</f>
        <v>16581.070629999995</v>
      </c>
      <c r="H313" s="575"/>
      <c r="I313" s="249"/>
      <c r="J313" s="256"/>
      <c r="K313" s="275"/>
      <c r="L313" s="575"/>
      <c r="M313" s="575"/>
      <c r="N313" s="575"/>
      <c r="O313" s="575"/>
      <c r="P313" s="575"/>
    </row>
    <row r="314" spans="1:16" hidden="1" x14ac:dyDescent="0.2">
      <c r="A314" s="253"/>
      <c r="B314" s="249"/>
      <c r="C314" s="249"/>
      <c r="D314" s="249"/>
      <c r="E314" s="249"/>
      <c r="F314" s="254" t="s">
        <v>1</v>
      </c>
      <c r="G314" s="255">
        <f>G313</f>
        <v>16581.070629999995</v>
      </c>
      <c r="H314" s="249" t="s">
        <v>30</v>
      </c>
      <c r="I314" s="222" t="s">
        <v>38</v>
      </c>
      <c r="J314" s="256"/>
      <c r="K314" s="275"/>
      <c r="L314" s="275"/>
      <c r="M314" s="275"/>
      <c r="N314" s="575"/>
      <c r="O314" s="575"/>
      <c r="P314" s="575"/>
    </row>
    <row r="315" spans="1:16" hidden="1" x14ac:dyDescent="0.2">
      <c r="F315" s="262"/>
      <c r="G315" s="263"/>
      <c r="H315" s="256"/>
      <c r="I315" s="249"/>
    </row>
    <row r="316" spans="1:16" hidden="1" x14ac:dyDescent="0.2">
      <c r="A316" s="575" t="s">
        <v>27</v>
      </c>
      <c r="B316" s="223">
        <f>B295+1</f>
        <v>17</v>
      </c>
      <c r="C316" s="222"/>
      <c r="D316" s="575"/>
      <c r="E316" s="575"/>
      <c r="F316" s="575"/>
      <c r="G316" s="575"/>
      <c r="H316" s="575"/>
      <c r="I316" s="575"/>
      <c r="J316" s="575"/>
      <c r="K316" s="575"/>
      <c r="L316" s="575"/>
      <c r="M316" s="575"/>
      <c r="N316" s="1020" t="s">
        <v>13</v>
      </c>
      <c r="O316" s="248">
        <v>15</v>
      </c>
      <c r="P316" s="222" t="s">
        <v>38</v>
      </c>
    </row>
    <row r="317" spans="1:16" hidden="1" x14ac:dyDescent="0.2">
      <c r="A317" s="223" t="s">
        <v>12</v>
      </c>
      <c r="B317" s="257" t="s">
        <v>1518</v>
      </c>
      <c r="C317" s="257"/>
      <c r="D317" s="257"/>
      <c r="E317" s="257"/>
      <c r="F317" s="257"/>
      <c r="G317" s="257"/>
      <c r="H317" s="257"/>
      <c r="I317" s="257"/>
      <c r="J317" s="257"/>
      <c r="K317" s="257" t="s">
        <v>1496</v>
      </c>
      <c r="L317" s="257"/>
      <c r="M317" s="257"/>
      <c r="N317" s="257"/>
      <c r="O317" s="257"/>
      <c r="P317" s="257"/>
    </row>
    <row r="318" spans="1:16" hidden="1" x14ac:dyDescent="0.2">
      <c r="A318" s="223"/>
      <c r="B318" s="265" t="s">
        <v>1519</v>
      </c>
      <c r="C318" s="265"/>
      <c r="D318" s="265"/>
      <c r="E318" s="265"/>
      <c r="F318" s="265"/>
      <c r="G318" s="265"/>
      <c r="H318" s="265"/>
      <c r="I318" s="265"/>
      <c r="J318" s="265"/>
      <c r="K318" s="265"/>
      <c r="L318" s="265"/>
      <c r="M318" s="265"/>
      <c r="N318" s="265"/>
      <c r="O318" s="265"/>
      <c r="P318" s="265"/>
    </row>
    <row r="319" spans="1:16" hidden="1" x14ac:dyDescent="0.2">
      <c r="A319" s="225" t="s">
        <v>243</v>
      </c>
      <c r="B319" s="226" t="s">
        <v>15</v>
      </c>
      <c r="C319" s="227"/>
      <c r="D319" s="227"/>
      <c r="E319" s="227"/>
      <c r="F319" s="226"/>
      <c r="G319" s="1412" t="s">
        <v>16</v>
      </c>
      <c r="H319" s="1413"/>
      <c r="I319" s="1413"/>
      <c r="J319" s="1413"/>
      <c r="K319" s="1414"/>
      <c r="L319" s="227" t="s">
        <v>17</v>
      </c>
      <c r="M319" s="227"/>
      <c r="N319" s="227"/>
      <c r="O319" s="227"/>
      <c r="P319" s="227"/>
    </row>
    <row r="320" spans="1:16" hidden="1" x14ac:dyDescent="0.2">
      <c r="A320" s="225" t="s">
        <v>273</v>
      </c>
      <c r="B320" s="228" t="s">
        <v>18</v>
      </c>
      <c r="C320" s="229" t="s">
        <v>0</v>
      </c>
      <c r="D320" s="229" t="s">
        <v>5</v>
      </c>
      <c r="E320" s="229" t="s">
        <v>1</v>
      </c>
      <c r="F320" s="230" t="s">
        <v>2</v>
      </c>
      <c r="G320" s="228" t="s">
        <v>19</v>
      </c>
      <c r="H320" s="229" t="s">
        <v>0</v>
      </c>
      <c r="I320" s="229" t="s">
        <v>5</v>
      </c>
      <c r="J320" s="229" t="s">
        <v>1</v>
      </c>
      <c r="K320" s="230" t="s">
        <v>2</v>
      </c>
      <c r="L320" s="228" t="s">
        <v>19</v>
      </c>
      <c r="M320" s="229" t="s">
        <v>0</v>
      </c>
      <c r="N320" s="229" t="s">
        <v>5</v>
      </c>
      <c r="O320" s="229" t="s">
        <v>1</v>
      </c>
      <c r="P320" s="230" t="s">
        <v>2</v>
      </c>
    </row>
    <row r="321" spans="1:16" hidden="1" x14ac:dyDescent="0.2">
      <c r="A321" s="258"/>
      <c r="B321" s="237"/>
      <c r="C321" s="233"/>
      <c r="D321" s="234"/>
      <c r="E321" s="235"/>
      <c r="F321" s="236"/>
      <c r="G321" s="237"/>
      <c r="H321" s="233"/>
      <c r="I321" s="234"/>
      <c r="J321" s="235"/>
      <c r="K321" s="236"/>
      <c r="L321" s="237"/>
      <c r="M321" s="233"/>
      <c r="N321" s="234"/>
      <c r="O321" s="235"/>
      <c r="P321" s="236"/>
    </row>
    <row r="322" spans="1:16" ht="15" hidden="1" x14ac:dyDescent="0.2">
      <c r="A322" s="231" t="s">
        <v>1520</v>
      </c>
      <c r="B322" s="1021" t="s">
        <v>32</v>
      </c>
      <c r="C322" s="1022" t="s">
        <v>46</v>
      </c>
      <c r="D322" s="1023">
        <v>3</v>
      </c>
      <c r="E322" s="1024">
        <f>skilled</f>
        <v>1070</v>
      </c>
      <c r="F322" s="1025">
        <f>ROUND(E322*D322,2)</f>
        <v>3210</v>
      </c>
      <c r="G322" s="1035" t="s">
        <v>9</v>
      </c>
      <c r="H322" s="1022" t="s">
        <v>14</v>
      </c>
      <c r="I322" s="1023">
        <v>4.13</v>
      </c>
      <c r="J322" s="1024">
        <f>cement</f>
        <v>17013.62</v>
      </c>
      <c r="K322" s="1025">
        <f t="shared" ref="K322:K325" si="9">ROUND(J322*I322,2)</f>
        <v>70266.25</v>
      </c>
      <c r="L322" s="259" t="s">
        <v>420</v>
      </c>
      <c r="M322" s="1022" t="s">
        <v>28</v>
      </c>
      <c r="N322" s="1023">
        <v>6</v>
      </c>
      <c r="O322" s="1024">
        <f>mixer</f>
        <v>1000</v>
      </c>
      <c r="P322" s="1025">
        <f>ROUND(O322*N322,2)</f>
        <v>6000</v>
      </c>
    </row>
    <row r="323" spans="1:16" hidden="1" x14ac:dyDescent="0.2">
      <c r="A323" s="260" t="s">
        <v>20</v>
      </c>
      <c r="B323" s="1021" t="s">
        <v>21</v>
      </c>
      <c r="C323" s="1022" t="s">
        <v>46</v>
      </c>
      <c r="D323" s="1023">
        <v>30</v>
      </c>
      <c r="E323" s="1024">
        <f>unskilled</f>
        <v>770</v>
      </c>
      <c r="F323" s="1025">
        <f>ROUND(E323*D323,2)</f>
        <v>23100</v>
      </c>
      <c r="G323" s="1035" t="s">
        <v>1492</v>
      </c>
      <c r="H323" s="1022" t="s">
        <v>38</v>
      </c>
      <c r="I323" s="1023">
        <v>8.1</v>
      </c>
      <c r="J323" s="1024">
        <f>_Agg40</f>
        <v>2474.1999999999998</v>
      </c>
      <c r="K323" s="1025">
        <f t="shared" si="9"/>
        <v>20041.02</v>
      </c>
      <c r="L323" s="1021" t="s">
        <v>1493</v>
      </c>
      <c r="M323" s="1022" t="s">
        <v>28</v>
      </c>
      <c r="N323" s="1023">
        <v>6</v>
      </c>
      <c r="O323" s="1024">
        <f>generator</f>
        <v>1500</v>
      </c>
      <c r="P323" s="1025">
        <f>ROUND(O323*N323,2)</f>
        <v>9000</v>
      </c>
    </row>
    <row r="324" spans="1:16" hidden="1" x14ac:dyDescent="0.2">
      <c r="A324" s="260"/>
      <c r="B324" s="1021"/>
      <c r="C324" s="1022"/>
      <c r="D324" s="1023"/>
      <c r="E324" s="1024"/>
      <c r="F324" s="1025"/>
      <c r="G324" s="1035" t="s">
        <v>1498</v>
      </c>
      <c r="H324" s="1022" t="s">
        <v>38</v>
      </c>
      <c r="I324" s="1023">
        <v>4.05</v>
      </c>
      <c r="J324" s="1024">
        <f>_Agg20</f>
        <v>2574.1999999999998</v>
      </c>
      <c r="K324" s="1025">
        <f t="shared" si="9"/>
        <v>10425.51</v>
      </c>
      <c r="L324" s="1021"/>
      <c r="M324" s="1022"/>
      <c r="N324" s="1023"/>
      <c r="O324" s="1024"/>
      <c r="P324" s="1025"/>
    </row>
    <row r="325" spans="1:16" hidden="1" x14ac:dyDescent="0.2">
      <c r="A325" s="260"/>
      <c r="B325" s="1021"/>
      <c r="C325" s="1022"/>
      <c r="D325" s="1023"/>
      <c r="E325" s="1024"/>
      <c r="F325" s="1025"/>
      <c r="G325" s="1035" t="s">
        <v>1499</v>
      </c>
      <c r="H325" s="1022" t="s">
        <v>38</v>
      </c>
      <c r="I325" s="1023">
        <v>1.35</v>
      </c>
      <c r="J325" s="1024">
        <f>_agg10</f>
        <v>2574.1999999999998</v>
      </c>
      <c r="K325" s="1025">
        <f t="shared" si="9"/>
        <v>3475.17</v>
      </c>
      <c r="L325" s="1021"/>
      <c r="M325" s="1022"/>
      <c r="N325" s="1023"/>
      <c r="O325" s="1024"/>
      <c r="P325" s="1025"/>
    </row>
    <row r="326" spans="1:16" hidden="1" x14ac:dyDescent="0.2">
      <c r="A326" s="231"/>
      <c r="B326" s="1021"/>
      <c r="C326" s="1022"/>
      <c r="D326" s="1023"/>
      <c r="E326" s="1024"/>
      <c r="F326" s="1025"/>
      <c r="G326" s="1035" t="s">
        <v>45</v>
      </c>
      <c r="H326" s="1022" t="s">
        <v>38</v>
      </c>
      <c r="I326" s="1023">
        <v>6.75</v>
      </c>
      <c r="J326" s="1024">
        <f>sand</f>
        <v>2503.2750000000001</v>
      </c>
      <c r="K326" s="1025">
        <f>ROUND(J326*I326,2)</f>
        <v>16897.11</v>
      </c>
      <c r="L326" s="1021"/>
      <c r="M326" s="1022"/>
      <c r="N326" s="1023"/>
      <c r="O326" s="1024"/>
      <c r="P326" s="1025"/>
    </row>
    <row r="327" spans="1:16" ht="15" hidden="1" x14ac:dyDescent="0.2">
      <c r="A327" s="231"/>
      <c r="B327" s="1021"/>
      <c r="C327" s="1022"/>
      <c r="D327" s="1023"/>
      <c r="E327" s="1024"/>
      <c r="F327" s="1025"/>
      <c r="G327" s="659" t="s">
        <v>267</v>
      </c>
      <c r="H327" s="660" t="s">
        <v>44</v>
      </c>
      <c r="I327" s="661">
        <v>0.1</v>
      </c>
      <c r="J327" s="662">
        <f>petrol</f>
        <v>170</v>
      </c>
      <c r="K327" s="663">
        <f>ROUND(J327*I327,2)</f>
        <v>17</v>
      </c>
      <c r="L327" s="1021"/>
      <c r="M327" s="1022"/>
      <c r="N327" s="1023"/>
      <c r="O327" s="1024"/>
      <c r="P327" s="1025"/>
    </row>
    <row r="328" spans="1:16" ht="15" hidden="1" x14ac:dyDescent="0.2">
      <c r="A328" s="231"/>
      <c r="B328" s="1021"/>
      <c r="C328" s="1022"/>
      <c r="D328" s="1023"/>
      <c r="E328" s="1024"/>
      <c r="F328" s="1025"/>
      <c r="G328" s="659" t="s">
        <v>268</v>
      </c>
      <c r="H328" s="660" t="s">
        <v>44</v>
      </c>
      <c r="I328" s="661">
        <v>3</v>
      </c>
      <c r="J328" s="662">
        <f>diesel</f>
        <v>160</v>
      </c>
      <c r="K328" s="663">
        <f>ROUND(J328*I328,2)</f>
        <v>480</v>
      </c>
      <c r="L328" s="1021"/>
      <c r="M328" s="1022"/>
      <c r="N328" s="1023"/>
      <c r="O328" s="1024"/>
      <c r="P328" s="1025"/>
    </row>
    <row r="329" spans="1:16" hidden="1" x14ac:dyDescent="0.2">
      <c r="A329" s="231"/>
      <c r="B329" s="1021"/>
      <c r="C329" s="1022"/>
      <c r="D329" s="1023"/>
      <c r="E329" s="1024"/>
      <c r="F329" s="1025"/>
      <c r="G329" s="1035" t="s">
        <v>51</v>
      </c>
      <c r="H329" s="1022" t="s">
        <v>44</v>
      </c>
      <c r="I329" s="572">
        <v>2000</v>
      </c>
      <c r="J329" s="1024">
        <f>water</f>
        <v>0.24955999999999998</v>
      </c>
      <c r="K329" s="1025">
        <f>ROUND(J329*I329,2)</f>
        <v>499.12</v>
      </c>
      <c r="L329" s="1021"/>
      <c r="M329" s="1022"/>
      <c r="N329" s="1023"/>
      <c r="O329" s="1024"/>
      <c r="P329" s="1025"/>
    </row>
    <row r="330" spans="1:16" hidden="1" x14ac:dyDescent="0.2">
      <c r="A330" s="241"/>
      <c r="B330" s="242"/>
      <c r="C330" s="243"/>
      <c r="D330" s="243"/>
      <c r="E330" s="244" t="s">
        <v>39</v>
      </c>
      <c r="F330" s="245">
        <f>SUM(F322:F329)</f>
        <v>26310</v>
      </c>
      <c r="G330" s="242"/>
      <c r="H330" s="243"/>
      <c r="I330" s="243"/>
      <c r="J330" s="244" t="s">
        <v>40</v>
      </c>
      <c r="K330" s="245">
        <f>SUM(K322:K329)</f>
        <v>122101.18</v>
      </c>
      <c r="L330" s="242"/>
      <c r="M330" s="243"/>
      <c r="N330" s="243"/>
      <c r="O330" s="246" t="s">
        <v>41</v>
      </c>
      <c r="P330" s="245">
        <f>SUM(P322:P329)</f>
        <v>15000</v>
      </c>
    </row>
    <row r="331" spans="1:16" hidden="1" x14ac:dyDescent="0.2">
      <c r="A331" s="247"/>
      <c r="B331" s="575"/>
      <c r="C331" s="575"/>
      <c r="D331" s="575"/>
      <c r="E331" s="575"/>
      <c r="F331" s="1020" t="s">
        <v>29</v>
      </c>
      <c r="G331" s="248">
        <f>F330+K330+P330</f>
        <v>163411.18</v>
      </c>
      <c r="H331" s="575"/>
      <c r="I331" s="249"/>
      <c r="J331" s="250"/>
      <c r="K331" s="251"/>
      <c r="L331" s="575"/>
      <c r="M331" s="575"/>
      <c r="N331" s="575"/>
      <c r="O331" s="575"/>
      <c r="P331" s="575"/>
    </row>
    <row r="332" spans="1:16" hidden="1" x14ac:dyDescent="0.2">
      <c r="A332" s="247"/>
      <c r="B332" s="575"/>
      <c r="C332" s="575"/>
      <c r="D332" s="1423" t="s">
        <v>1521</v>
      </c>
      <c r="E332" s="1423"/>
      <c r="F332" s="1423"/>
      <c r="G332" s="248">
        <f>G331*0.1</f>
        <v>16341.118</v>
      </c>
      <c r="H332" s="575"/>
      <c r="I332" s="249"/>
      <c r="J332" s="250"/>
      <c r="K332" s="251"/>
      <c r="L332" s="575"/>
      <c r="M332" s="575"/>
      <c r="N332" s="575"/>
      <c r="O332" s="575"/>
      <c r="P332" s="575"/>
    </row>
    <row r="333" spans="1:16" hidden="1" x14ac:dyDescent="0.2">
      <c r="A333" s="247"/>
      <c r="B333" s="575"/>
      <c r="C333" s="575"/>
      <c r="D333" s="575"/>
      <c r="E333" s="575"/>
      <c r="F333" s="252" t="s">
        <v>31</v>
      </c>
      <c r="G333" s="248">
        <f>0.15*G331</f>
        <v>24511.677</v>
      </c>
      <c r="H333" s="575"/>
      <c r="I333" s="249"/>
      <c r="J333" s="250"/>
      <c r="K333" s="251"/>
      <c r="L333" s="575"/>
      <c r="M333" s="575"/>
      <c r="N333" s="575"/>
      <c r="O333" s="575"/>
      <c r="P333" s="575"/>
    </row>
    <row r="334" spans="1:16" ht="15" hidden="1" x14ac:dyDescent="0.25">
      <c r="A334" s="253"/>
      <c r="B334" s="249"/>
      <c r="C334" s="249"/>
      <c r="D334" s="249"/>
      <c r="E334" s="575"/>
      <c r="F334" s="277" t="str">
        <f>"Rate for "&amp;O316&amp;" m² :"</f>
        <v>Rate for 15 m² :</v>
      </c>
      <c r="G334" s="1012">
        <f>SUM(G331:G333)</f>
        <v>204263.97499999998</v>
      </c>
      <c r="H334" s="256"/>
      <c r="I334" s="249"/>
      <c r="J334" s="250"/>
      <c r="K334" s="251"/>
      <c r="L334" s="575"/>
      <c r="M334" s="575"/>
      <c r="N334" s="575"/>
      <c r="O334" s="575"/>
      <c r="P334" s="575"/>
    </row>
    <row r="335" spans="1:16" hidden="1" x14ac:dyDescent="0.2">
      <c r="A335" s="247"/>
      <c r="B335" s="575"/>
      <c r="C335" s="575"/>
      <c r="D335" s="575"/>
      <c r="E335" s="1027"/>
      <c r="F335" s="277" t="s">
        <v>1494</v>
      </c>
      <c r="G335" s="278">
        <f>G334/O316</f>
        <v>13617.598333333332</v>
      </c>
      <c r="H335" s="575"/>
      <c r="I335" s="249"/>
      <c r="J335" s="256"/>
      <c r="K335" s="275"/>
      <c r="L335" s="575"/>
      <c r="M335" s="575"/>
      <c r="N335" s="575"/>
      <c r="O335" s="575"/>
      <c r="P335" s="575"/>
    </row>
    <row r="336" spans="1:16" hidden="1" x14ac:dyDescent="0.2">
      <c r="A336" s="253"/>
      <c r="B336" s="249"/>
      <c r="C336" s="249"/>
      <c r="D336" s="249"/>
      <c r="E336" s="249"/>
      <c r="F336" s="254" t="s">
        <v>1</v>
      </c>
      <c r="G336" s="255">
        <f>G335</f>
        <v>13617.598333333332</v>
      </c>
      <c r="H336" s="249" t="s">
        <v>30</v>
      </c>
      <c r="I336" s="222" t="s">
        <v>38</v>
      </c>
      <c r="J336" s="256"/>
      <c r="K336" s="275"/>
      <c r="L336" s="275"/>
      <c r="M336" s="275"/>
      <c r="N336" s="575"/>
      <c r="O336" s="575"/>
      <c r="P336" s="575"/>
    </row>
    <row r="337" spans="1:16" hidden="1" x14ac:dyDescent="0.2">
      <c r="F337" s="262"/>
      <c r="G337" s="263"/>
      <c r="H337" s="256"/>
      <c r="I337" s="249"/>
    </row>
    <row r="338" spans="1:16" hidden="1" x14ac:dyDescent="0.2">
      <c r="A338" s="575" t="s">
        <v>27</v>
      </c>
      <c r="B338" s="223">
        <f>B316+1</f>
        <v>18</v>
      </c>
      <c r="C338" s="222"/>
      <c r="D338" s="575"/>
      <c r="E338" s="575"/>
      <c r="F338" s="575"/>
      <c r="G338" s="575"/>
      <c r="H338" s="575"/>
      <c r="I338" s="575"/>
      <c r="J338" s="575"/>
      <c r="K338" s="575"/>
      <c r="L338" s="575"/>
      <c r="M338" s="575"/>
      <c r="N338" s="1020" t="s">
        <v>13</v>
      </c>
      <c r="O338" s="248">
        <v>15</v>
      </c>
      <c r="P338" s="222" t="s">
        <v>38</v>
      </c>
    </row>
    <row r="339" spans="1:16" hidden="1" x14ac:dyDescent="0.2">
      <c r="A339" s="223" t="s">
        <v>12</v>
      </c>
      <c r="B339" s="257" t="s">
        <v>1518</v>
      </c>
      <c r="C339" s="257"/>
      <c r="D339" s="257"/>
      <c r="E339" s="257"/>
      <c r="F339" s="257"/>
      <c r="G339" s="257"/>
      <c r="H339" s="257"/>
      <c r="I339" s="257"/>
      <c r="J339" s="257"/>
      <c r="K339" s="257" t="s">
        <v>1501</v>
      </c>
      <c r="L339" s="257"/>
      <c r="M339" s="257"/>
      <c r="N339" s="257"/>
      <c r="O339" s="257"/>
      <c r="P339" s="257"/>
    </row>
    <row r="340" spans="1:16" hidden="1" x14ac:dyDescent="0.2">
      <c r="A340" s="225" t="s">
        <v>243</v>
      </c>
      <c r="B340" s="226" t="s">
        <v>15</v>
      </c>
      <c r="C340" s="227"/>
      <c r="D340" s="227"/>
      <c r="E340" s="227"/>
      <c r="F340" s="226"/>
      <c r="G340" s="1412" t="s">
        <v>16</v>
      </c>
      <c r="H340" s="1413"/>
      <c r="I340" s="1413"/>
      <c r="J340" s="1413"/>
      <c r="K340" s="1414"/>
      <c r="L340" s="227" t="s">
        <v>17</v>
      </c>
      <c r="M340" s="227"/>
      <c r="N340" s="227"/>
      <c r="O340" s="227"/>
      <c r="P340" s="227"/>
    </row>
    <row r="341" spans="1:16" hidden="1" x14ac:dyDescent="0.2">
      <c r="A341" s="225" t="s">
        <v>273</v>
      </c>
      <c r="B341" s="228" t="s">
        <v>18</v>
      </c>
      <c r="C341" s="229" t="s">
        <v>0</v>
      </c>
      <c r="D341" s="229" t="s">
        <v>5</v>
      </c>
      <c r="E341" s="229" t="s">
        <v>1</v>
      </c>
      <c r="F341" s="230" t="s">
        <v>2</v>
      </c>
      <c r="G341" s="228" t="s">
        <v>19</v>
      </c>
      <c r="H341" s="229" t="s">
        <v>0</v>
      </c>
      <c r="I341" s="229" t="s">
        <v>5</v>
      </c>
      <c r="J341" s="229" t="s">
        <v>1</v>
      </c>
      <c r="K341" s="230" t="s">
        <v>2</v>
      </c>
      <c r="L341" s="228" t="s">
        <v>19</v>
      </c>
      <c r="M341" s="229" t="s">
        <v>0</v>
      </c>
      <c r="N341" s="229" t="s">
        <v>5</v>
      </c>
      <c r="O341" s="229" t="s">
        <v>1</v>
      </c>
      <c r="P341" s="230" t="s">
        <v>2</v>
      </c>
    </row>
    <row r="342" spans="1:16" hidden="1" x14ac:dyDescent="0.2">
      <c r="A342" s="258"/>
      <c r="B342" s="237"/>
      <c r="C342" s="233"/>
      <c r="D342" s="234"/>
      <c r="E342" s="235"/>
      <c r="F342" s="236"/>
      <c r="G342" s="237"/>
      <c r="H342" s="233"/>
      <c r="I342" s="234"/>
      <c r="J342" s="235"/>
      <c r="K342" s="236"/>
      <c r="L342" s="237"/>
      <c r="M342" s="233"/>
      <c r="N342" s="234"/>
      <c r="O342" s="235"/>
      <c r="P342" s="236"/>
    </row>
    <row r="343" spans="1:16" ht="15" hidden="1" x14ac:dyDescent="0.2">
      <c r="A343" s="231" t="s">
        <v>1522</v>
      </c>
      <c r="B343" s="1021" t="s">
        <v>32</v>
      </c>
      <c r="C343" s="1022" t="s">
        <v>46</v>
      </c>
      <c r="D343" s="1023">
        <v>3</v>
      </c>
      <c r="E343" s="1024">
        <f>skilled</f>
        <v>1070</v>
      </c>
      <c r="F343" s="1025">
        <f>ROUND(E343*D343,2)</f>
        <v>3210</v>
      </c>
      <c r="G343" s="1035" t="s">
        <v>9</v>
      </c>
      <c r="H343" s="1022" t="s">
        <v>14</v>
      </c>
      <c r="I343" s="1023">
        <v>5.16</v>
      </c>
      <c r="J343" s="1024">
        <f>cement</f>
        <v>17013.62</v>
      </c>
      <c r="K343" s="1025">
        <f t="shared" ref="K343:K346" si="10">ROUND(J343*I343,2)</f>
        <v>87790.28</v>
      </c>
      <c r="L343" s="259" t="s">
        <v>420</v>
      </c>
      <c r="M343" s="1022" t="s">
        <v>28</v>
      </c>
      <c r="N343" s="1023">
        <v>6</v>
      </c>
      <c r="O343" s="1024">
        <f>mixer</f>
        <v>1000</v>
      </c>
      <c r="P343" s="1025">
        <f>ROUND(O343*N343,2)</f>
        <v>6000</v>
      </c>
    </row>
    <row r="344" spans="1:16" hidden="1" x14ac:dyDescent="0.2">
      <c r="A344" s="260" t="s">
        <v>20</v>
      </c>
      <c r="B344" s="1021" t="s">
        <v>21</v>
      </c>
      <c r="C344" s="1022" t="s">
        <v>46</v>
      </c>
      <c r="D344" s="1023">
        <v>30</v>
      </c>
      <c r="E344" s="1024">
        <f>unskilled</f>
        <v>770</v>
      </c>
      <c r="F344" s="1025">
        <f>ROUND(E344*D344,2)</f>
        <v>23100</v>
      </c>
      <c r="G344" s="1035" t="s">
        <v>1492</v>
      </c>
      <c r="H344" s="1022" t="s">
        <v>38</v>
      </c>
      <c r="I344" s="1023">
        <v>5.4</v>
      </c>
      <c r="J344" s="1024">
        <f>_Agg40</f>
        <v>2474.1999999999998</v>
      </c>
      <c r="K344" s="1025">
        <f t="shared" si="10"/>
        <v>13360.68</v>
      </c>
      <c r="L344" s="1021" t="s">
        <v>1493</v>
      </c>
      <c r="M344" s="1022" t="s">
        <v>28</v>
      </c>
      <c r="N344" s="1023">
        <v>6</v>
      </c>
      <c r="O344" s="1024">
        <f>generator</f>
        <v>1500</v>
      </c>
      <c r="P344" s="1025">
        <f>ROUND(O344*N344,2)</f>
        <v>9000</v>
      </c>
    </row>
    <row r="345" spans="1:16" hidden="1" x14ac:dyDescent="0.2">
      <c r="A345" s="260"/>
      <c r="B345" s="1021"/>
      <c r="C345" s="1022"/>
      <c r="D345" s="1023"/>
      <c r="E345" s="1024"/>
      <c r="F345" s="1025"/>
      <c r="G345" s="1035" t="s">
        <v>1498</v>
      </c>
      <c r="H345" s="1022" t="s">
        <v>38</v>
      </c>
      <c r="I345" s="1023">
        <v>5.4</v>
      </c>
      <c r="J345" s="1024">
        <f>_Agg20</f>
        <v>2574.1999999999998</v>
      </c>
      <c r="K345" s="1025">
        <f t="shared" si="10"/>
        <v>13900.68</v>
      </c>
      <c r="L345" s="1021"/>
      <c r="M345" s="1022"/>
      <c r="N345" s="1023"/>
      <c r="O345" s="1024"/>
      <c r="P345" s="1025"/>
    </row>
    <row r="346" spans="1:16" hidden="1" x14ac:dyDescent="0.2">
      <c r="A346" s="260"/>
      <c r="B346" s="1021"/>
      <c r="C346" s="1022"/>
      <c r="D346" s="1023"/>
      <c r="E346" s="1024"/>
      <c r="F346" s="1025"/>
      <c r="G346" s="1035" t="s">
        <v>1499</v>
      </c>
      <c r="H346" s="1022" t="s">
        <v>38</v>
      </c>
      <c r="I346" s="1023">
        <v>2.7</v>
      </c>
      <c r="J346" s="1024">
        <f>_agg10</f>
        <v>2574.1999999999998</v>
      </c>
      <c r="K346" s="1025">
        <f t="shared" si="10"/>
        <v>6950.34</v>
      </c>
      <c r="L346" s="1021"/>
      <c r="M346" s="1022"/>
      <c r="N346" s="1023"/>
      <c r="O346" s="1024"/>
      <c r="P346" s="1025"/>
    </row>
    <row r="347" spans="1:16" hidden="1" x14ac:dyDescent="0.2">
      <c r="A347" s="231"/>
      <c r="B347" s="1021"/>
      <c r="C347" s="1022"/>
      <c r="D347" s="1023"/>
      <c r="E347" s="1024"/>
      <c r="F347" s="1025"/>
      <c r="G347" s="1035" t="s">
        <v>45</v>
      </c>
      <c r="H347" s="1022" t="s">
        <v>38</v>
      </c>
      <c r="I347" s="1023">
        <v>6.75</v>
      </c>
      <c r="J347" s="1024">
        <f>sand</f>
        <v>2503.2750000000001</v>
      </c>
      <c r="K347" s="1025">
        <f>ROUND(J347*I347,2)</f>
        <v>16897.11</v>
      </c>
      <c r="L347" s="1021"/>
      <c r="M347" s="1022"/>
      <c r="N347" s="1023"/>
      <c r="O347" s="1024"/>
      <c r="P347" s="1025"/>
    </row>
    <row r="348" spans="1:16" ht="15" hidden="1" x14ac:dyDescent="0.2">
      <c r="A348" s="231"/>
      <c r="B348" s="1021"/>
      <c r="C348" s="1022"/>
      <c r="D348" s="1023"/>
      <c r="E348" s="1024"/>
      <c r="F348" s="1025"/>
      <c r="G348" s="659" t="s">
        <v>267</v>
      </c>
      <c r="H348" s="660" t="s">
        <v>44</v>
      </c>
      <c r="I348" s="661">
        <v>0.1</v>
      </c>
      <c r="J348" s="662">
        <f>petrol</f>
        <v>170</v>
      </c>
      <c r="K348" s="663">
        <f>ROUND(J348*I348,2)</f>
        <v>17</v>
      </c>
      <c r="L348" s="1021"/>
      <c r="M348" s="1022"/>
      <c r="N348" s="1023"/>
      <c r="O348" s="1024"/>
      <c r="P348" s="1025"/>
    </row>
    <row r="349" spans="1:16" ht="15" hidden="1" x14ac:dyDescent="0.2">
      <c r="A349" s="231"/>
      <c r="B349" s="1021"/>
      <c r="C349" s="1022"/>
      <c r="D349" s="1023"/>
      <c r="E349" s="1024"/>
      <c r="F349" s="1025"/>
      <c r="G349" s="659" t="s">
        <v>268</v>
      </c>
      <c r="H349" s="660" t="s">
        <v>44</v>
      </c>
      <c r="I349" s="661">
        <v>3</v>
      </c>
      <c r="J349" s="662">
        <f>diesel</f>
        <v>160</v>
      </c>
      <c r="K349" s="663">
        <f>ROUND(J349*I349,2)</f>
        <v>480</v>
      </c>
      <c r="L349" s="1021"/>
      <c r="M349" s="1022"/>
      <c r="N349" s="1023"/>
      <c r="O349" s="1024"/>
      <c r="P349" s="1025"/>
    </row>
    <row r="350" spans="1:16" hidden="1" x14ac:dyDescent="0.2">
      <c r="A350" s="231"/>
      <c r="B350" s="1021"/>
      <c r="C350" s="1022"/>
      <c r="D350" s="1023"/>
      <c r="E350" s="1024"/>
      <c r="F350" s="1025"/>
      <c r="G350" s="1035" t="s">
        <v>51</v>
      </c>
      <c r="H350" s="1022" t="s">
        <v>44</v>
      </c>
      <c r="I350" s="572">
        <v>2500</v>
      </c>
      <c r="J350" s="1024">
        <f>water</f>
        <v>0.24955999999999998</v>
      </c>
      <c r="K350" s="1025">
        <f>ROUND(J350*I350,2)</f>
        <v>623.9</v>
      </c>
      <c r="L350" s="1021"/>
      <c r="M350" s="1022"/>
      <c r="N350" s="1023"/>
      <c r="O350" s="1024"/>
      <c r="P350" s="1025"/>
    </row>
    <row r="351" spans="1:16" hidden="1" x14ac:dyDescent="0.2">
      <c r="A351" s="241"/>
      <c r="B351" s="242"/>
      <c r="C351" s="243"/>
      <c r="D351" s="243"/>
      <c r="E351" s="244" t="s">
        <v>39</v>
      </c>
      <c r="F351" s="245">
        <f>SUM(F343:F350)</f>
        <v>26310</v>
      </c>
      <c r="G351" s="242"/>
      <c r="H351" s="243"/>
      <c r="I351" s="243"/>
      <c r="J351" s="244" t="s">
        <v>40</v>
      </c>
      <c r="K351" s="245">
        <f>SUM(K343:K350)</f>
        <v>140019.98999999996</v>
      </c>
      <c r="L351" s="242"/>
      <c r="M351" s="243"/>
      <c r="N351" s="243"/>
      <c r="O351" s="246" t="s">
        <v>41</v>
      </c>
      <c r="P351" s="245">
        <f>SUM(P343:P350)</f>
        <v>15000</v>
      </c>
    </row>
    <row r="352" spans="1:16" hidden="1" x14ac:dyDescent="0.2">
      <c r="A352" s="247"/>
      <c r="B352" s="575"/>
      <c r="C352" s="575"/>
      <c r="D352" s="575"/>
      <c r="E352" s="575"/>
      <c r="F352" s="1020" t="s">
        <v>29</v>
      </c>
      <c r="G352" s="248">
        <f>F351+K351+P351</f>
        <v>181329.98999999996</v>
      </c>
      <c r="H352" s="575"/>
      <c r="I352" s="249"/>
      <c r="J352" s="250"/>
      <c r="K352" s="251"/>
      <c r="L352" s="575"/>
      <c r="M352" s="575"/>
      <c r="N352" s="575"/>
      <c r="O352" s="575"/>
      <c r="P352" s="575"/>
    </row>
    <row r="353" spans="1:16" hidden="1" x14ac:dyDescent="0.2">
      <c r="A353" s="247"/>
      <c r="B353" s="575"/>
      <c r="C353" s="575"/>
      <c r="D353" s="1423" t="s">
        <v>1521</v>
      </c>
      <c r="E353" s="1423"/>
      <c r="F353" s="1423"/>
      <c r="G353" s="248">
        <f>G352*0.1</f>
        <v>18132.998999999996</v>
      </c>
      <c r="H353" s="575"/>
      <c r="I353" s="249"/>
      <c r="J353" s="250"/>
      <c r="K353" s="251"/>
      <c r="L353" s="575"/>
      <c r="M353" s="575"/>
      <c r="N353" s="575"/>
      <c r="O353" s="575"/>
      <c r="P353" s="575"/>
    </row>
    <row r="354" spans="1:16" hidden="1" x14ac:dyDescent="0.2">
      <c r="A354" s="247"/>
      <c r="B354" s="575"/>
      <c r="C354" s="575"/>
      <c r="D354" s="575"/>
      <c r="E354" s="575"/>
      <c r="F354" s="252" t="s">
        <v>31</v>
      </c>
      <c r="G354" s="248">
        <f>0.15*G352</f>
        <v>27199.498499999994</v>
      </c>
      <c r="H354" s="575"/>
      <c r="I354" s="249"/>
      <c r="J354" s="250"/>
      <c r="K354" s="251"/>
      <c r="L354" s="575"/>
      <c r="M354" s="575"/>
      <c r="N354" s="575"/>
      <c r="O354" s="575"/>
      <c r="P354" s="575"/>
    </row>
    <row r="355" spans="1:16" ht="15" hidden="1" x14ac:dyDescent="0.25">
      <c r="A355" s="253"/>
      <c r="B355" s="249"/>
      <c r="C355" s="249"/>
      <c r="D355" s="249"/>
      <c r="E355" s="575"/>
      <c r="F355" s="277" t="str">
        <f>"Rate for "&amp;O338&amp;" m² :"</f>
        <v>Rate for 15 m² :</v>
      </c>
      <c r="G355" s="1012">
        <f>SUM(G352:G354)</f>
        <v>226662.48749999993</v>
      </c>
      <c r="H355" s="256"/>
      <c r="I355" s="249"/>
      <c r="J355" s="250"/>
      <c r="K355" s="251"/>
      <c r="L355" s="575"/>
      <c r="M355" s="575"/>
      <c r="N355" s="575"/>
      <c r="O355" s="575"/>
      <c r="P355" s="575"/>
    </row>
    <row r="356" spans="1:16" hidden="1" x14ac:dyDescent="0.2">
      <c r="A356" s="247"/>
      <c r="B356" s="575"/>
      <c r="C356" s="575"/>
      <c r="D356" s="575"/>
      <c r="E356" s="1027"/>
      <c r="F356" s="277" t="s">
        <v>1494</v>
      </c>
      <c r="G356" s="278">
        <f>G355/O338</f>
        <v>15110.832499999995</v>
      </c>
      <c r="H356" s="575"/>
      <c r="I356" s="249"/>
      <c r="J356" s="256"/>
      <c r="K356" s="275"/>
      <c r="L356" s="575"/>
      <c r="M356" s="575"/>
      <c r="N356" s="575"/>
      <c r="O356" s="575"/>
      <c r="P356" s="575"/>
    </row>
    <row r="357" spans="1:16" hidden="1" x14ac:dyDescent="0.2">
      <c r="A357" s="253"/>
      <c r="B357" s="249"/>
      <c r="C357" s="249"/>
      <c r="D357" s="249"/>
      <c r="E357" s="249"/>
      <c r="F357" s="254" t="s">
        <v>1</v>
      </c>
      <c r="G357" s="255">
        <f>G356</f>
        <v>15110.832499999995</v>
      </c>
      <c r="H357" s="249" t="s">
        <v>30</v>
      </c>
      <c r="I357" s="222" t="s">
        <v>38</v>
      </c>
      <c r="J357" s="256"/>
      <c r="K357" s="275"/>
      <c r="L357" s="275"/>
      <c r="M357" s="275"/>
      <c r="N357" s="575"/>
      <c r="O357" s="575"/>
      <c r="P357" s="575"/>
    </row>
    <row r="358" spans="1:16" hidden="1" x14ac:dyDescent="0.2">
      <c r="F358" s="262"/>
      <c r="G358" s="263"/>
      <c r="H358" s="256"/>
      <c r="I358" s="249"/>
    </row>
    <row r="359" spans="1:16" hidden="1" x14ac:dyDescent="0.2">
      <c r="A359" s="575" t="s">
        <v>27</v>
      </c>
      <c r="B359" s="223">
        <f>B338+1</f>
        <v>19</v>
      </c>
      <c r="C359" s="222"/>
      <c r="D359" s="575"/>
      <c r="E359" s="575"/>
      <c r="F359" s="575"/>
      <c r="G359" s="575"/>
      <c r="H359" s="575"/>
      <c r="I359" s="575"/>
      <c r="J359" s="575"/>
      <c r="K359" s="575"/>
      <c r="L359" s="575"/>
      <c r="M359" s="575"/>
      <c r="N359" s="1020" t="s">
        <v>13</v>
      </c>
      <c r="O359" s="248">
        <v>15</v>
      </c>
      <c r="P359" s="222" t="s">
        <v>38</v>
      </c>
    </row>
    <row r="360" spans="1:16" hidden="1" x14ac:dyDescent="0.2">
      <c r="A360" s="223" t="s">
        <v>12</v>
      </c>
      <c r="B360" s="257" t="s">
        <v>1518</v>
      </c>
      <c r="C360" s="257"/>
      <c r="D360" s="257"/>
      <c r="E360" s="257"/>
      <c r="F360" s="257"/>
      <c r="G360" s="257"/>
      <c r="H360" s="257"/>
      <c r="I360" s="257"/>
      <c r="J360" s="257"/>
      <c r="K360" s="257" t="s">
        <v>1504</v>
      </c>
      <c r="L360" s="257"/>
      <c r="M360" s="257"/>
      <c r="N360" s="257"/>
      <c r="O360" s="257"/>
      <c r="P360" s="257"/>
    </row>
    <row r="361" spans="1:16" hidden="1" x14ac:dyDescent="0.2">
      <c r="A361" s="223"/>
      <c r="B361" s="265" t="s">
        <v>1519</v>
      </c>
      <c r="C361" s="265"/>
      <c r="D361" s="265"/>
      <c r="E361" s="265"/>
      <c r="F361" s="265"/>
      <c r="G361" s="265"/>
      <c r="H361" s="265"/>
      <c r="I361" s="265"/>
      <c r="J361" s="265"/>
      <c r="K361" s="265"/>
      <c r="L361" s="265"/>
      <c r="M361" s="265"/>
      <c r="N361" s="265"/>
      <c r="O361" s="265"/>
      <c r="P361" s="265"/>
    </row>
    <row r="362" spans="1:16" hidden="1" x14ac:dyDescent="0.2">
      <c r="A362" s="225" t="s">
        <v>243</v>
      </c>
      <c r="B362" s="226" t="s">
        <v>15</v>
      </c>
      <c r="C362" s="227"/>
      <c r="D362" s="227"/>
      <c r="E362" s="227"/>
      <c r="F362" s="226"/>
      <c r="G362" s="1412" t="s">
        <v>16</v>
      </c>
      <c r="H362" s="1413"/>
      <c r="I362" s="1413"/>
      <c r="J362" s="1413"/>
      <c r="K362" s="1414"/>
      <c r="L362" s="227" t="s">
        <v>17</v>
      </c>
      <c r="M362" s="227"/>
      <c r="N362" s="227"/>
      <c r="O362" s="227"/>
      <c r="P362" s="227"/>
    </row>
    <row r="363" spans="1:16" hidden="1" x14ac:dyDescent="0.2">
      <c r="A363" s="225" t="s">
        <v>273</v>
      </c>
      <c r="B363" s="228" t="s">
        <v>18</v>
      </c>
      <c r="C363" s="229" t="s">
        <v>0</v>
      </c>
      <c r="D363" s="229" t="s">
        <v>5</v>
      </c>
      <c r="E363" s="229" t="s">
        <v>1</v>
      </c>
      <c r="F363" s="230" t="s">
        <v>2</v>
      </c>
      <c r="G363" s="228" t="s">
        <v>19</v>
      </c>
      <c r="H363" s="229" t="s">
        <v>0</v>
      </c>
      <c r="I363" s="229" t="s">
        <v>5</v>
      </c>
      <c r="J363" s="229" t="s">
        <v>1</v>
      </c>
      <c r="K363" s="230" t="s">
        <v>2</v>
      </c>
      <c r="L363" s="228" t="s">
        <v>19</v>
      </c>
      <c r="M363" s="229" t="s">
        <v>0</v>
      </c>
      <c r="N363" s="229" t="s">
        <v>5</v>
      </c>
      <c r="O363" s="229" t="s">
        <v>1</v>
      </c>
      <c r="P363" s="230" t="s">
        <v>2</v>
      </c>
    </row>
    <row r="364" spans="1:16" hidden="1" x14ac:dyDescent="0.2">
      <c r="A364" s="258"/>
      <c r="B364" s="237"/>
      <c r="C364" s="233"/>
      <c r="D364" s="234"/>
      <c r="E364" s="235"/>
      <c r="F364" s="236"/>
      <c r="G364" s="237"/>
      <c r="H364" s="233"/>
      <c r="I364" s="234"/>
      <c r="J364" s="235"/>
      <c r="K364" s="236"/>
      <c r="L364" s="237"/>
      <c r="M364" s="233"/>
      <c r="N364" s="234"/>
      <c r="O364" s="235"/>
      <c r="P364" s="236"/>
    </row>
    <row r="365" spans="1:16" ht="15" hidden="1" x14ac:dyDescent="0.2">
      <c r="A365" s="231" t="s">
        <v>1523</v>
      </c>
      <c r="B365" s="1021" t="s">
        <v>32</v>
      </c>
      <c r="C365" s="1022" t="s">
        <v>46</v>
      </c>
      <c r="D365" s="1023">
        <v>3</v>
      </c>
      <c r="E365" s="1024">
        <f>skilled</f>
        <v>1070</v>
      </c>
      <c r="F365" s="1025">
        <f>ROUND(E365*D365,2)</f>
        <v>3210</v>
      </c>
      <c r="G365" s="1035" t="s">
        <v>9</v>
      </c>
      <c r="H365" s="1022" t="s">
        <v>14</v>
      </c>
      <c r="I365" s="1023">
        <v>5.99</v>
      </c>
      <c r="J365" s="1024">
        <f>cement</f>
        <v>17013.62</v>
      </c>
      <c r="K365" s="1025">
        <f t="shared" ref="K365:K368" si="11">ROUND(J365*I365,2)</f>
        <v>101911.58</v>
      </c>
      <c r="L365" s="259" t="s">
        <v>420</v>
      </c>
      <c r="M365" s="1022" t="s">
        <v>28</v>
      </c>
      <c r="N365" s="1023">
        <v>6</v>
      </c>
      <c r="O365" s="1024">
        <f>mixer</f>
        <v>1000</v>
      </c>
      <c r="P365" s="1025">
        <f>ROUND(O365*N365,2)</f>
        <v>6000</v>
      </c>
    </row>
    <row r="366" spans="1:16" hidden="1" x14ac:dyDescent="0.2">
      <c r="A366" s="260" t="s">
        <v>20</v>
      </c>
      <c r="B366" s="1021" t="s">
        <v>21</v>
      </c>
      <c r="C366" s="1022" t="s">
        <v>46</v>
      </c>
      <c r="D366" s="1023">
        <v>30</v>
      </c>
      <c r="E366" s="1024">
        <f>unskilled</f>
        <v>770</v>
      </c>
      <c r="F366" s="1025">
        <f>ROUND(E366*D366,2)</f>
        <v>23100</v>
      </c>
      <c r="G366" s="1035" t="s">
        <v>1506</v>
      </c>
      <c r="H366" s="1022" t="s">
        <v>38</v>
      </c>
      <c r="I366" s="1023">
        <v>5.4</v>
      </c>
      <c r="J366" s="1024">
        <f>_Agg40</f>
        <v>2474.1999999999998</v>
      </c>
      <c r="K366" s="1025">
        <f t="shared" si="11"/>
        <v>13360.68</v>
      </c>
      <c r="L366" s="1021" t="s">
        <v>1493</v>
      </c>
      <c r="M366" s="1022" t="s">
        <v>28</v>
      </c>
      <c r="N366" s="1023">
        <v>6</v>
      </c>
      <c r="O366" s="1024">
        <f>generator</f>
        <v>1500</v>
      </c>
      <c r="P366" s="1025">
        <f>ROUND(O366*N366,2)</f>
        <v>9000</v>
      </c>
    </row>
    <row r="367" spans="1:16" hidden="1" x14ac:dyDescent="0.2">
      <c r="A367" s="260"/>
      <c r="B367" s="1021"/>
      <c r="C367" s="1022"/>
      <c r="D367" s="1023"/>
      <c r="E367" s="1024"/>
      <c r="F367" s="1025"/>
      <c r="G367" s="1035" t="s">
        <v>1498</v>
      </c>
      <c r="H367" s="1022" t="s">
        <v>38</v>
      </c>
      <c r="I367" s="1023">
        <v>5.4</v>
      </c>
      <c r="J367" s="1024">
        <f>_Agg20</f>
        <v>2574.1999999999998</v>
      </c>
      <c r="K367" s="1025">
        <f t="shared" si="11"/>
        <v>13900.68</v>
      </c>
      <c r="L367" s="1021"/>
      <c r="M367" s="1022"/>
      <c r="N367" s="1023"/>
      <c r="O367" s="1024"/>
      <c r="P367" s="1025"/>
    </row>
    <row r="368" spans="1:16" hidden="1" x14ac:dyDescent="0.2">
      <c r="A368" s="260"/>
      <c r="B368" s="1021"/>
      <c r="C368" s="1022"/>
      <c r="D368" s="1023"/>
      <c r="E368" s="1024"/>
      <c r="F368" s="1025"/>
      <c r="G368" s="1035" t="s">
        <v>1499</v>
      </c>
      <c r="H368" s="1022" t="s">
        <v>38</v>
      </c>
      <c r="I368" s="1023">
        <v>2.7</v>
      </c>
      <c r="J368" s="1024">
        <f>_agg10</f>
        <v>2574.1999999999998</v>
      </c>
      <c r="K368" s="1025">
        <f t="shared" si="11"/>
        <v>6950.34</v>
      </c>
      <c r="L368" s="1021"/>
      <c r="M368" s="1022"/>
      <c r="N368" s="1023"/>
      <c r="O368" s="1024"/>
      <c r="P368" s="1025"/>
    </row>
    <row r="369" spans="1:16" hidden="1" x14ac:dyDescent="0.2">
      <c r="A369" s="231"/>
      <c r="B369" s="1021"/>
      <c r="C369" s="1022"/>
      <c r="D369" s="1023"/>
      <c r="E369" s="1024"/>
      <c r="F369" s="1025"/>
      <c r="G369" s="1035" t="s">
        <v>45</v>
      </c>
      <c r="H369" s="1022" t="s">
        <v>38</v>
      </c>
      <c r="I369" s="1023">
        <v>6.75</v>
      </c>
      <c r="J369" s="1024">
        <f>sand</f>
        <v>2503.2750000000001</v>
      </c>
      <c r="K369" s="1025">
        <f>ROUND(J369*I369,2)</f>
        <v>16897.11</v>
      </c>
      <c r="L369" s="1021"/>
      <c r="M369" s="1022"/>
      <c r="N369" s="1023"/>
      <c r="O369" s="1024"/>
      <c r="P369" s="1025"/>
    </row>
    <row r="370" spans="1:16" hidden="1" x14ac:dyDescent="0.2">
      <c r="A370" s="231"/>
      <c r="B370" s="1021"/>
      <c r="C370" s="1022"/>
      <c r="D370" s="1023"/>
      <c r="E370" s="1024"/>
      <c r="F370" s="1025"/>
      <c r="G370" s="1035" t="s">
        <v>1507</v>
      </c>
      <c r="H370" s="1022" t="s">
        <v>6</v>
      </c>
      <c r="I370" s="1023">
        <f>I365*1000*0.004</f>
        <v>23.96</v>
      </c>
      <c r="J370" s="1024">
        <f>admixtures</f>
        <v>315.41361999999998</v>
      </c>
      <c r="K370" s="1025">
        <f>ROUND(J370*I370,2)</f>
        <v>7557.31</v>
      </c>
      <c r="L370" s="1021"/>
      <c r="M370" s="1022"/>
      <c r="N370" s="1023"/>
      <c r="O370" s="1024"/>
      <c r="P370" s="1025"/>
    </row>
    <row r="371" spans="1:16" ht="15" hidden="1" x14ac:dyDescent="0.2">
      <c r="A371" s="231"/>
      <c r="B371" s="1021"/>
      <c r="C371" s="1022"/>
      <c r="D371" s="1023"/>
      <c r="E371" s="1024"/>
      <c r="F371" s="1025"/>
      <c r="G371" s="659" t="s">
        <v>267</v>
      </c>
      <c r="H371" s="660" t="s">
        <v>44</v>
      </c>
      <c r="I371" s="661">
        <v>0.1</v>
      </c>
      <c r="J371" s="662">
        <f>petrol</f>
        <v>170</v>
      </c>
      <c r="K371" s="663">
        <f>ROUND(J371*I371,2)</f>
        <v>17</v>
      </c>
      <c r="L371" s="1021"/>
      <c r="M371" s="1022"/>
      <c r="N371" s="1023"/>
      <c r="O371" s="1024"/>
      <c r="P371" s="1025"/>
    </row>
    <row r="372" spans="1:16" ht="15" hidden="1" x14ac:dyDescent="0.2">
      <c r="A372" s="231"/>
      <c r="B372" s="1021"/>
      <c r="C372" s="1022"/>
      <c r="D372" s="1023"/>
      <c r="E372" s="1024"/>
      <c r="F372" s="1025"/>
      <c r="G372" s="659" t="s">
        <v>268</v>
      </c>
      <c r="H372" s="660" t="s">
        <v>44</v>
      </c>
      <c r="I372" s="661">
        <v>3</v>
      </c>
      <c r="J372" s="662">
        <f>diesel</f>
        <v>160</v>
      </c>
      <c r="K372" s="663">
        <f>ROUND(J372*I372,2)</f>
        <v>480</v>
      </c>
      <c r="L372" s="1021"/>
      <c r="M372" s="1022"/>
      <c r="N372" s="1023"/>
      <c r="O372" s="1024"/>
      <c r="P372" s="1025"/>
    </row>
    <row r="373" spans="1:16" hidden="1" x14ac:dyDescent="0.2">
      <c r="A373" s="231"/>
      <c r="B373" s="1021"/>
      <c r="C373" s="1022"/>
      <c r="D373" s="1023"/>
      <c r="E373" s="1024"/>
      <c r="F373" s="1025"/>
      <c r="G373" s="1035" t="s">
        <v>51</v>
      </c>
      <c r="H373" s="1022" t="s">
        <v>44</v>
      </c>
      <c r="I373" s="572">
        <v>3000</v>
      </c>
      <c r="J373" s="1024">
        <f>water</f>
        <v>0.24955999999999998</v>
      </c>
      <c r="K373" s="1025">
        <f>ROUND(J373*I373,2)</f>
        <v>748.68</v>
      </c>
      <c r="L373" s="1021"/>
      <c r="M373" s="1022"/>
      <c r="N373" s="1023"/>
      <c r="O373" s="1024"/>
      <c r="P373" s="1025"/>
    </row>
    <row r="374" spans="1:16" hidden="1" x14ac:dyDescent="0.2">
      <c r="A374" s="241"/>
      <c r="B374" s="242"/>
      <c r="C374" s="243"/>
      <c r="D374" s="243"/>
      <c r="E374" s="244" t="s">
        <v>39</v>
      </c>
      <c r="F374" s="245">
        <f>SUM(F365:F373)</f>
        <v>26310</v>
      </c>
      <c r="G374" s="242"/>
      <c r="H374" s="243"/>
      <c r="I374" s="243"/>
      <c r="J374" s="244" t="s">
        <v>40</v>
      </c>
      <c r="K374" s="245">
        <f>SUM(K365:K373)</f>
        <v>161823.38</v>
      </c>
      <c r="L374" s="242"/>
      <c r="M374" s="243"/>
      <c r="N374" s="243"/>
      <c r="O374" s="246" t="s">
        <v>41</v>
      </c>
      <c r="P374" s="245">
        <f>SUM(P365:P373)</f>
        <v>15000</v>
      </c>
    </row>
    <row r="375" spans="1:16" hidden="1" x14ac:dyDescent="0.2">
      <c r="A375" s="247"/>
      <c r="B375" s="575"/>
      <c r="C375" s="575"/>
      <c r="D375" s="575"/>
      <c r="E375" s="575"/>
      <c r="F375" s="1020" t="s">
        <v>29</v>
      </c>
      <c r="G375" s="248">
        <f>F374+K374+P374</f>
        <v>203133.38</v>
      </c>
      <c r="H375" s="575"/>
      <c r="I375" s="249"/>
      <c r="J375" s="250"/>
      <c r="K375" s="251"/>
      <c r="L375" s="575"/>
      <c r="M375" s="575"/>
      <c r="N375" s="575"/>
      <c r="O375" s="575"/>
      <c r="P375" s="575"/>
    </row>
    <row r="376" spans="1:16" hidden="1" x14ac:dyDescent="0.2">
      <c r="A376" s="247"/>
      <c r="B376" s="575"/>
      <c r="C376" s="575"/>
      <c r="D376" s="1423" t="s">
        <v>1521</v>
      </c>
      <c r="E376" s="1423"/>
      <c r="F376" s="1423"/>
      <c r="G376" s="248">
        <f>G375*0.1</f>
        <v>20313.338000000003</v>
      </c>
      <c r="H376" s="575"/>
      <c r="I376" s="249"/>
      <c r="J376" s="250"/>
      <c r="K376" s="251"/>
      <c r="L376" s="575"/>
      <c r="M376" s="575"/>
      <c r="N376" s="575"/>
      <c r="O376" s="575"/>
      <c r="P376" s="575"/>
    </row>
    <row r="377" spans="1:16" hidden="1" x14ac:dyDescent="0.2">
      <c r="A377" s="247"/>
      <c r="B377" s="575"/>
      <c r="C377" s="575"/>
      <c r="D377" s="575"/>
      <c r="E377" s="575"/>
      <c r="F377" s="252" t="s">
        <v>31</v>
      </c>
      <c r="G377" s="248">
        <f>0.15*G375</f>
        <v>30470.006999999998</v>
      </c>
      <c r="H377" s="575"/>
      <c r="I377" s="249"/>
      <c r="J377" s="250"/>
      <c r="K377" s="251"/>
      <c r="L377" s="575"/>
      <c r="M377" s="575"/>
      <c r="N377" s="575"/>
      <c r="O377" s="575"/>
      <c r="P377" s="575"/>
    </row>
    <row r="378" spans="1:16" ht="15" hidden="1" x14ac:dyDescent="0.25">
      <c r="A378" s="253"/>
      <c r="B378" s="249"/>
      <c r="C378" s="249"/>
      <c r="D378" s="249"/>
      <c r="E378" s="575"/>
      <c r="F378" s="277" t="str">
        <f>"Rate for "&amp;O359&amp;" m² :"</f>
        <v>Rate for 15 m² :</v>
      </c>
      <c r="G378" s="1012">
        <f>SUM(G375:G377)</f>
        <v>253916.72499999998</v>
      </c>
      <c r="H378" s="256"/>
      <c r="I378" s="249"/>
      <c r="J378" s="250"/>
      <c r="K378" s="251"/>
      <c r="L378" s="575"/>
      <c r="M378" s="575"/>
      <c r="N378" s="575"/>
      <c r="O378" s="575"/>
      <c r="P378" s="575"/>
    </row>
    <row r="379" spans="1:16" hidden="1" x14ac:dyDescent="0.2">
      <c r="A379" s="247"/>
      <c r="B379" s="575"/>
      <c r="C379" s="575"/>
      <c r="D379" s="575"/>
      <c r="E379" s="1027"/>
      <c r="F379" s="277" t="s">
        <v>1494</v>
      </c>
      <c r="G379" s="278">
        <f>G378/O359</f>
        <v>16927.781666666666</v>
      </c>
      <c r="H379" s="575"/>
      <c r="I379" s="249"/>
      <c r="J379" s="256"/>
      <c r="K379" s="275"/>
      <c r="L379" s="575"/>
      <c r="M379" s="575"/>
      <c r="N379" s="575"/>
      <c r="O379" s="575"/>
      <c r="P379" s="575"/>
    </row>
    <row r="380" spans="1:16" hidden="1" x14ac:dyDescent="0.2">
      <c r="A380" s="253"/>
      <c r="B380" s="249"/>
      <c r="C380" s="249"/>
      <c r="D380" s="249"/>
      <c r="E380" s="249"/>
      <c r="F380" s="254" t="s">
        <v>1</v>
      </c>
      <c r="G380" s="255">
        <f>G379</f>
        <v>16927.781666666666</v>
      </c>
      <c r="H380" s="249" t="s">
        <v>30</v>
      </c>
      <c r="I380" s="222" t="s">
        <v>38</v>
      </c>
      <c r="J380" s="256"/>
      <c r="K380" s="275"/>
      <c r="L380" s="275"/>
      <c r="M380" s="275"/>
      <c r="N380" s="575"/>
      <c r="O380" s="575"/>
      <c r="P380" s="575"/>
    </row>
    <row r="381" spans="1:16" hidden="1" x14ac:dyDescent="0.2">
      <c r="F381" s="262"/>
      <c r="G381" s="263"/>
      <c r="H381" s="256"/>
      <c r="I381" s="249"/>
    </row>
    <row r="382" spans="1:16" hidden="1" x14ac:dyDescent="0.2">
      <c r="A382" s="575" t="s">
        <v>27</v>
      </c>
      <c r="B382" s="223">
        <f>B359+1</f>
        <v>20</v>
      </c>
      <c r="C382" s="222"/>
      <c r="D382" s="575"/>
      <c r="E382" s="575"/>
      <c r="F382" s="575"/>
      <c r="G382" s="575"/>
      <c r="H382" s="575"/>
      <c r="I382" s="575"/>
      <c r="J382" s="575"/>
      <c r="K382" s="575"/>
      <c r="L382" s="575"/>
      <c r="M382" s="575"/>
      <c r="N382" s="1020" t="s">
        <v>13</v>
      </c>
      <c r="O382" s="248">
        <v>15</v>
      </c>
      <c r="P382" s="222" t="s">
        <v>38</v>
      </c>
    </row>
    <row r="383" spans="1:16" hidden="1" x14ac:dyDescent="0.2">
      <c r="A383" s="223" t="s">
        <v>12</v>
      </c>
      <c r="B383" s="257" t="s">
        <v>1518</v>
      </c>
      <c r="C383" s="257"/>
      <c r="D383" s="257"/>
      <c r="E383" s="257"/>
      <c r="F383" s="257"/>
      <c r="G383" s="257"/>
      <c r="H383" s="257"/>
      <c r="I383" s="257"/>
      <c r="J383" s="257"/>
      <c r="K383" s="257" t="s">
        <v>1504</v>
      </c>
      <c r="L383" s="257"/>
      <c r="M383" s="257"/>
      <c r="N383" s="257"/>
      <c r="O383" s="257"/>
      <c r="P383" s="257"/>
    </row>
    <row r="384" spans="1:16" hidden="1" x14ac:dyDescent="0.2">
      <c r="A384" s="223"/>
      <c r="B384" s="265" t="s">
        <v>1524</v>
      </c>
      <c r="C384" s="265"/>
      <c r="D384" s="265"/>
      <c r="E384" s="265"/>
      <c r="F384" s="265"/>
      <c r="G384" s="265"/>
      <c r="H384" s="265"/>
      <c r="I384" s="265"/>
      <c r="J384" s="265"/>
      <c r="K384" s="265"/>
      <c r="L384" s="265"/>
      <c r="M384" s="265"/>
      <c r="N384" s="265"/>
      <c r="O384" s="265"/>
      <c r="P384" s="265"/>
    </row>
    <row r="385" spans="1:16" hidden="1" x14ac:dyDescent="0.2">
      <c r="A385" s="225" t="s">
        <v>243</v>
      </c>
      <c r="B385" s="226" t="s">
        <v>15</v>
      </c>
      <c r="C385" s="227"/>
      <c r="D385" s="227"/>
      <c r="E385" s="227"/>
      <c r="F385" s="226"/>
      <c r="G385" s="1415" t="s">
        <v>16</v>
      </c>
      <c r="H385" s="1416"/>
      <c r="I385" s="1416"/>
      <c r="J385" s="1416"/>
      <c r="K385" s="1417"/>
      <c r="L385" s="227" t="s">
        <v>17</v>
      </c>
      <c r="M385" s="227"/>
      <c r="N385" s="227"/>
      <c r="O385" s="227"/>
      <c r="P385" s="227"/>
    </row>
    <row r="386" spans="1:16" hidden="1" x14ac:dyDescent="0.2">
      <c r="A386" s="225" t="s">
        <v>273</v>
      </c>
      <c r="B386" s="228" t="s">
        <v>18</v>
      </c>
      <c r="C386" s="229" t="s">
        <v>0</v>
      </c>
      <c r="D386" s="229" t="s">
        <v>5</v>
      </c>
      <c r="E386" s="229" t="s">
        <v>1</v>
      </c>
      <c r="F386" s="230" t="s">
        <v>2</v>
      </c>
      <c r="G386" s="228" t="s">
        <v>19</v>
      </c>
      <c r="H386" s="229" t="s">
        <v>0</v>
      </c>
      <c r="I386" s="229" t="s">
        <v>5</v>
      </c>
      <c r="J386" s="229" t="s">
        <v>1</v>
      </c>
      <c r="K386" s="230" t="s">
        <v>2</v>
      </c>
      <c r="L386" s="228" t="s">
        <v>19</v>
      </c>
      <c r="M386" s="229" t="s">
        <v>0</v>
      </c>
      <c r="N386" s="229" t="s">
        <v>5</v>
      </c>
      <c r="O386" s="229" t="s">
        <v>1</v>
      </c>
      <c r="P386" s="230" t="s">
        <v>2</v>
      </c>
    </row>
    <row r="387" spans="1:16" hidden="1" x14ac:dyDescent="0.2">
      <c r="A387" s="258"/>
      <c r="B387" s="237"/>
      <c r="C387" s="233"/>
      <c r="D387" s="234"/>
      <c r="E387" s="235"/>
      <c r="F387" s="236"/>
      <c r="G387" s="237"/>
      <c r="H387" s="233"/>
      <c r="I387" s="234"/>
      <c r="J387" s="235"/>
      <c r="K387" s="236"/>
      <c r="L387" s="237"/>
      <c r="M387" s="233"/>
      <c r="N387" s="234"/>
      <c r="O387" s="235"/>
      <c r="P387" s="236"/>
    </row>
    <row r="388" spans="1:16" ht="15" hidden="1" x14ac:dyDescent="0.2">
      <c r="A388" s="231" t="s">
        <v>1525</v>
      </c>
      <c r="B388" s="1021" t="s">
        <v>32</v>
      </c>
      <c r="C388" s="1022" t="s">
        <v>46</v>
      </c>
      <c r="D388" s="1023">
        <v>3</v>
      </c>
      <c r="E388" s="1024">
        <f>skilled</f>
        <v>1070</v>
      </c>
      <c r="F388" s="1025">
        <f>ROUND(E388*D388,2)</f>
        <v>3210</v>
      </c>
      <c r="G388" s="1035" t="s">
        <v>9</v>
      </c>
      <c r="H388" s="1022" t="s">
        <v>14</v>
      </c>
      <c r="I388" s="1023">
        <v>5.99</v>
      </c>
      <c r="J388" s="1024">
        <f>cement</f>
        <v>17013.62</v>
      </c>
      <c r="K388" s="1025">
        <f t="shared" ref="K388:K391" si="12">ROUND(J388*I388,2)</f>
        <v>101911.58</v>
      </c>
      <c r="L388" s="259" t="s">
        <v>420</v>
      </c>
      <c r="M388" s="1022" t="s">
        <v>28</v>
      </c>
      <c r="N388" s="1023">
        <v>6</v>
      </c>
      <c r="O388" s="1024">
        <f>mixer</f>
        <v>1000</v>
      </c>
      <c r="P388" s="1025">
        <f>ROUND(O388*N388,2)</f>
        <v>6000</v>
      </c>
    </row>
    <row r="389" spans="1:16" hidden="1" x14ac:dyDescent="0.2">
      <c r="A389" s="260" t="s">
        <v>20</v>
      </c>
      <c r="B389" s="1021" t="s">
        <v>21</v>
      </c>
      <c r="C389" s="1022" t="s">
        <v>46</v>
      </c>
      <c r="D389" s="1023">
        <v>30</v>
      </c>
      <c r="E389" s="1024">
        <f>unskilled</f>
        <v>770</v>
      </c>
      <c r="F389" s="1025">
        <f>ROUND(E389*D389,2)</f>
        <v>23100</v>
      </c>
      <c r="G389" s="1035" t="s">
        <v>1506</v>
      </c>
      <c r="H389" s="1022" t="s">
        <v>38</v>
      </c>
      <c r="I389" s="1023">
        <v>5.4</v>
      </c>
      <c r="J389" s="1024">
        <f>_Agg40</f>
        <v>2474.1999999999998</v>
      </c>
      <c r="K389" s="1025">
        <f t="shared" si="12"/>
        <v>13360.68</v>
      </c>
      <c r="L389" s="1021" t="s">
        <v>1493</v>
      </c>
      <c r="M389" s="1022" t="s">
        <v>28</v>
      </c>
      <c r="N389" s="1023">
        <v>6</v>
      </c>
      <c r="O389" s="1024">
        <f>generator</f>
        <v>1500</v>
      </c>
      <c r="P389" s="1025">
        <f>ROUND(O389*N389,2)</f>
        <v>9000</v>
      </c>
    </row>
    <row r="390" spans="1:16" hidden="1" x14ac:dyDescent="0.2">
      <c r="A390" s="260"/>
      <c r="B390" s="1021"/>
      <c r="C390" s="1022"/>
      <c r="D390" s="1023"/>
      <c r="E390" s="1024"/>
      <c r="F390" s="1025"/>
      <c r="G390" s="1035" t="s">
        <v>1498</v>
      </c>
      <c r="H390" s="1022" t="s">
        <v>38</v>
      </c>
      <c r="I390" s="1023">
        <v>5.4</v>
      </c>
      <c r="J390" s="1024">
        <f>_Agg20</f>
        <v>2574.1999999999998</v>
      </c>
      <c r="K390" s="1025">
        <f t="shared" si="12"/>
        <v>13900.68</v>
      </c>
      <c r="L390" s="1021"/>
      <c r="M390" s="1022"/>
      <c r="N390" s="1023"/>
      <c r="O390" s="1024"/>
      <c r="P390" s="1025"/>
    </row>
    <row r="391" spans="1:16" hidden="1" x14ac:dyDescent="0.2">
      <c r="A391" s="260"/>
      <c r="B391" s="1021"/>
      <c r="C391" s="1022"/>
      <c r="D391" s="1023"/>
      <c r="E391" s="1024"/>
      <c r="F391" s="1025"/>
      <c r="G391" s="1035" t="s">
        <v>1499</v>
      </c>
      <c r="H391" s="1022" t="s">
        <v>38</v>
      </c>
      <c r="I391" s="1023">
        <v>2.7</v>
      </c>
      <c r="J391" s="1024">
        <f>_agg10</f>
        <v>2574.1999999999998</v>
      </c>
      <c r="K391" s="1025">
        <f t="shared" si="12"/>
        <v>6950.34</v>
      </c>
      <c r="L391" s="1021"/>
      <c r="M391" s="1022"/>
      <c r="N391" s="1023"/>
      <c r="O391" s="1024"/>
      <c r="P391" s="1025"/>
    </row>
    <row r="392" spans="1:16" hidden="1" x14ac:dyDescent="0.2">
      <c r="A392" s="231"/>
      <c r="B392" s="1021"/>
      <c r="C392" s="1022"/>
      <c r="D392" s="1023"/>
      <c r="E392" s="1024"/>
      <c r="F392" s="1025"/>
      <c r="G392" s="1035" t="s">
        <v>45</v>
      </c>
      <c r="H392" s="1022" t="s">
        <v>38</v>
      </c>
      <c r="I392" s="1023">
        <v>6.75</v>
      </c>
      <c r="J392" s="1024">
        <f>sand</f>
        <v>2503.2750000000001</v>
      </c>
      <c r="K392" s="1025">
        <f>ROUND(J392*I392,2)</f>
        <v>16897.11</v>
      </c>
      <c r="L392" s="1021"/>
      <c r="M392" s="1022"/>
      <c r="N392" s="1023"/>
      <c r="O392" s="1024"/>
      <c r="P392" s="1025"/>
    </row>
    <row r="393" spans="1:16" hidden="1" x14ac:dyDescent="0.2">
      <c r="A393" s="231"/>
      <c r="B393" s="1021"/>
      <c r="C393" s="1022"/>
      <c r="D393" s="1023"/>
      <c r="E393" s="1024"/>
      <c r="F393" s="1025"/>
      <c r="G393" s="1035" t="s">
        <v>1507</v>
      </c>
      <c r="H393" s="1022" t="s">
        <v>6</v>
      </c>
      <c r="I393" s="1023">
        <f>I388*1000*0.004</f>
        <v>23.96</v>
      </c>
      <c r="J393" s="1024">
        <f>admixtures</f>
        <v>315.41361999999998</v>
      </c>
      <c r="K393" s="1025">
        <f>ROUND(J393*I393,2)</f>
        <v>7557.31</v>
      </c>
      <c r="L393" s="1021"/>
      <c r="M393" s="1022"/>
      <c r="N393" s="1023"/>
      <c r="O393" s="1024"/>
      <c r="P393" s="1025"/>
    </row>
    <row r="394" spans="1:16" ht="15" hidden="1" x14ac:dyDescent="0.2">
      <c r="A394" s="231"/>
      <c r="B394" s="1021"/>
      <c r="C394" s="1022"/>
      <c r="D394" s="1023"/>
      <c r="E394" s="1024"/>
      <c r="F394" s="1025"/>
      <c r="G394" s="659" t="s">
        <v>267</v>
      </c>
      <c r="H394" s="660" t="s">
        <v>44</v>
      </c>
      <c r="I394" s="661">
        <v>0.1</v>
      </c>
      <c r="J394" s="662">
        <f>petrol</f>
        <v>170</v>
      </c>
      <c r="K394" s="663">
        <f>ROUND(J394*I394,2)</f>
        <v>17</v>
      </c>
      <c r="L394" s="1021"/>
      <c r="M394" s="1022"/>
      <c r="N394" s="1023"/>
      <c r="O394" s="1024"/>
      <c r="P394" s="1025"/>
    </row>
    <row r="395" spans="1:16" ht="15" hidden="1" x14ac:dyDescent="0.2">
      <c r="A395" s="231"/>
      <c r="B395" s="1021"/>
      <c r="C395" s="1022"/>
      <c r="D395" s="1023"/>
      <c r="E395" s="1024"/>
      <c r="F395" s="1025"/>
      <c r="G395" s="659" t="s">
        <v>268</v>
      </c>
      <c r="H395" s="660" t="s">
        <v>44</v>
      </c>
      <c r="I395" s="661">
        <v>3</v>
      </c>
      <c r="J395" s="662">
        <f>diesel</f>
        <v>160</v>
      </c>
      <c r="K395" s="663">
        <f>ROUND(J395*I395,2)</f>
        <v>480</v>
      </c>
      <c r="L395" s="1021"/>
      <c r="M395" s="1022"/>
      <c r="N395" s="1023"/>
      <c r="O395" s="1024"/>
      <c r="P395" s="1025"/>
    </row>
    <row r="396" spans="1:16" hidden="1" x14ac:dyDescent="0.2">
      <c r="A396" s="231"/>
      <c r="B396" s="1021"/>
      <c r="C396" s="1022"/>
      <c r="D396" s="1023"/>
      <c r="E396" s="1024"/>
      <c r="F396" s="1025"/>
      <c r="G396" s="1035" t="s">
        <v>51</v>
      </c>
      <c r="H396" s="1022" t="s">
        <v>44</v>
      </c>
      <c r="I396" s="572">
        <v>3000</v>
      </c>
      <c r="J396" s="1024">
        <f>water</f>
        <v>0.24955999999999998</v>
      </c>
      <c r="K396" s="1025">
        <f>ROUND(J396*I396,2)</f>
        <v>748.68</v>
      </c>
      <c r="L396" s="1021"/>
      <c r="M396" s="1022"/>
      <c r="N396" s="1023"/>
      <c r="O396" s="1024"/>
      <c r="P396" s="1025"/>
    </row>
    <row r="397" spans="1:16" hidden="1" x14ac:dyDescent="0.2">
      <c r="A397" s="241"/>
      <c r="B397" s="242"/>
      <c r="C397" s="243"/>
      <c r="D397" s="243"/>
      <c r="E397" s="244" t="s">
        <v>39</v>
      </c>
      <c r="F397" s="245">
        <f>SUM(F388:F396)</f>
        <v>26310</v>
      </c>
      <c r="G397" s="242"/>
      <c r="H397" s="243"/>
      <c r="I397" s="243"/>
      <c r="J397" s="244" t="s">
        <v>40</v>
      </c>
      <c r="K397" s="245">
        <f>SUM(K388:K396)</f>
        <v>161823.38</v>
      </c>
      <c r="L397" s="242"/>
      <c r="M397" s="243"/>
      <c r="N397" s="243"/>
      <c r="O397" s="246" t="s">
        <v>41</v>
      </c>
      <c r="P397" s="245">
        <f>SUM(P388:P396)</f>
        <v>15000</v>
      </c>
    </row>
    <row r="398" spans="1:16" hidden="1" x14ac:dyDescent="0.2">
      <c r="A398" s="247"/>
      <c r="B398" s="575"/>
      <c r="C398" s="575"/>
      <c r="D398" s="575"/>
      <c r="E398" s="575"/>
      <c r="F398" s="1020" t="s">
        <v>29</v>
      </c>
      <c r="G398" s="248">
        <f>F397+K397+P397</f>
        <v>203133.38</v>
      </c>
      <c r="H398" s="575"/>
      <c r="I398" s="249"/>
      <c r="J398" s="250"/>
      <c r="K398" s="251"/>
      <c r="L398" s="575"/>
      <c r="M398" s="575"/>
      <c r="N398" s="575"/>
      <c r="O398" s="575"/>
      <c r="P398" s="575"/>
    </row>
    <row r="399" spans="1:16" hidden="1" x14ac:dyDescent="0.2">
      <c r="A399" s="247"/>
      <c r="B399" s="575"/>
      <c r="C399" s="575"/>
      <c r="D399" s="1423" t="s">
        <v>1526</v>
      </c>
      <c r="E399" s="1423"/>
      <c r="F399" s="1423"/>
      <c r="G399" s="248">
        <f>G398*0.12</f>
        <v>24376.0056</v>
      </c>
      <c r="H399" s="575"/>
      <c r="I399" s="249"/>
      <c r="J399" s="250"/>
      <c r="K399" s="251"/>
      <c r="L399" s="575"/>
      <c r="M399" s="575"/>
      <c r="N399" s="575"/>
      <c r="O399" s="575"/>
      <c r="P399" s="575"/>
    </row>
    <row r="400" spans="1:16" hidden="1" x14ac:dyDescent="0.2">
      <c r="A400" s="247"/>
      <c r="B400" s="575"/>
      <c r="C400" s="575"/>
      <c r="D400" s="1020"/>
      <c r="E400" s="1423" t="s">
        <v>1527</v>
      </c>
      <c r="F400" s="1423"/>
      <c r="G400" s="248">
        <f>G398*0.02</f>
        <v>4062.6676000000002</v>
      </c>
      <c r="H400" s="575"/>
      <c r="I400" s="249"/>
      <c r="J400" s="250"/>
      <c r="K400" s="251"/>
      <c r="L400" s="575"/>
      <c r="M400" s="575"/>
      <c r="N400" s="575"/>
      <c r="O400" s="575"/>
      <c r="P400" s="575"/>
    </row>
    <row r="401" spans="1:16" hidden="1" x14ac:dyDescent="0.2">
      <c r="A401" s="247"/>
      <c r="B401" s="575"/>
      <c r="C401" s="575"/>
      <c r="D401" s="575"/>
      <c r="E401" s="575"/>
      <c r="F401" s="252" t="s">
        <v>31</v>
      </c>
      <c r="G401" s="248">
        <f>0.15*G398</f>
        <v>30470.006999999998</v>
      </c>
      <c r="H401" s="575"/>
      <c r="I401" s="249"/>
      <c r="J401" s="250"/>
      <c r="K401" s="251"/>
      <c r="L401" s="575"/>
      <c r="M401" s="575"/>
      <c r="N401" s="575"/>
      <c r="O401" s="575"/>
      <c r="P401" s="575"/>
    </row>
    <row r="402" spans="1:16" ht="15" hidden="1" x14ac:dyDescent="0.25">
      <c r="A402" s="253"/>
      <c r="B402" s="249"/>
      <c r="C402" s="249"/>
      <c r="D402" s="249"/>
      <c r="E402" s="575"/>
      <c r="F402" s="277" t="str">
        <f>"Rate for "&amp;O382&amp;" m² :"</f>
        <v>Rate for 15 m² :</v>
      </c>
      <c r="G402" s="1012">
        <f>SUM(G398:G401)</f>
        <v>262042.06020000001</v>
      </c>
      <c r="H402" s="256"/>
      <c r="I402" s="249"/>
      <c r="J402" s="250"/>
      <c r="K402" s="251"/>
      <c r="L402" s="575"/>
      <c r="M402" s="575"/>
      <c r="N402" s="575"/>
      <c r="O402" s="575"/>
      <c r="P402" s="575"/>
    </row>
    <row r="403" spans="1:16" hidden="1" x14ac:dyDescent="0.2">
      <c r="A403" s="247"/>
      <c r="B403" s="575"/>
      <c r="C403" s="575"/>
      <c r="D403" s="575"/>
      <c r="E403" s="1027"/>
      <c r="F403" s="277" t="s">
        <v>1494</v>
      </c>
      <c r="G403" s="278">
        <f>G402/O382</f>
        <v>17469.470680000002</v>
      </c>
      <c r="H403" s="575"/>
      <c r="I403" s="249"/>
      <c r="J403" s="256"/>
      <c r="K403" s="275"/>
      <c r="L403" s="575"/>
      <c r="M403" s="575"/>
      <c r="N403" s="575"/>
      <c r="O403" s="575"/>
      <c r="P403" s="575"/>
    </row>
    <row r="404" spans="1:16" hidden="1" x14ac:dyDescent="0.2">
      <c r="A404" s="253"/>
      <c r="B404" s="249"/>
      <c r="C404" s="249"/>
      <c r="D404" s="249"/>
      <c r="E404" s="249"/>
      <c r="F404" s="254" t="s">
        <v>1</v>
      </c>
      <c r="G404" s="255">
        <f>G403</f>
        <v>17469.470680000002</v>
      </c>
      <c r="H404" s="249" t="s">
        <v>30</v>
      </c>
      <c r="I404" s="222" t="s">
        <v>38</v>
      </c>
      <c r="J404" s="256"/>
      <c r="K404" s="275"/>
      <c r="L404" s="275"/>
      <c r="M404" s="275"/>
      <c r="N404" s="575"/>
      <c r="O404" s="575"/>
      <c r="P404" s="575"/>
    </row>
    <row r="405" spans="1:16" hidden="1" x14ac:dyDescent="0.2">
      <c r="A405" s="575" t="s">
        <v>27</v>
      </c>
      <c r="B405" s="223">
        <f>B382+1</f>
        <v>21</v>
      </c>
      <c r="C405" s="222"/>
      <c r="D405" s="575"/>
      <c r="E405" s="575"/>
      <c r="F405" s="575"/>
      <c r="G405" s="575"/>
      <c r="H405" s="575"/>
      <c r="I405" s="575"/>
      <c r="J405" s="575"/>
      <c r="K405" s="575"/>
      <c r="L405" s="575"/>
      <c r="M405" s="575"/>
      <c r="N405" s="1020" t="s">
        <v>13</v>
      </c>
      <c r="O405" s="248">
        <v>15</v>
      </c>
      <c r="P405" s="222" t="s">
        <v>38</v>
      </c>
    </row>
    <row r="406" spans="1:16" hidden="1" x14ac:dyDescent="0.2">
      <c r="A406" s="223" t="s">
        <v>12</v>
      </c>
      <c r="B406" s="257" t="s">
        <v>1518</v>
      </c>
      <c r="C406" s="257"/>
      <c r="D406" s="257"/>
      <c r="E406" s="257"/>
      <c r="F406" s="257"/>
      <c r="G406" s="257"/>
      <c r="H406" s="257"/>
      <c r="I406" s="257"/>
      <c r="J406" s="257"/>
      <c r="K406" s="257" t="s">
        <v>1504</v>
      </c>
      <c r="L406" s="257"/>
      <c r="M406" s="257"/>
      <c r="N406" s="257"/>
      <c r="O406" s="257"/>
      <c r="P406" s="257"/>
    </row>
    <row r="407" spans="1:16" hidden="1" x14ac:dyDescent="0.2">
      <c r="A407" s="223"/>
      <c r="B407" s="265" t="s">
        <v>1528</v>
      </c>
      <c r="C407" s="265"/>
      <c r="D407" s="265"/>
      <c r="E407" s="265"/>
      <c r="F407" s="265"/>
      <c r="G407" s="265"/>
      <c r="H407" s="265"/>
      <c r="I407" s="265"/>
      <c r="J407" s="265"/>
      <c r="K407" s="265"/>
      <c r="L407" s="265"/>
      <c r="M407" s="265"/>
      <c r="N407" s="265"/>
      <c r="O407" s="265"/>
      <c r="P407" s="265"/>
    </row>
    <row r="408" spans="1:16" hidden="1" x14ac:dyDescent="0.2">
      <c r="A408" s="225" t="s">
        <v>243</v>
      </c>
      <c r="B408" s="226" t="s">
        <v>15</v>
      </c>
      <c r="C408" s="227"/>
      <c r="D408" s="227"/>
      <c r="E408" s="227"/>
      <c r="F408" s="226"/>
      <c r="G408" s="1415" t="s">
        <v>16</v>
      </c>
      <c r="H408" s="1416"/>
      <c r="I408" s="1416"/>
      <c r="J408" s="1416"/>
      <c r="K408" s="1417"/>
      <c r="L408" s="227" t="s">
        <v>17</v>
      </c>
      <c r="M408" s="227"/>
      <c r="N408" s="227"/>
      <c r="O408" s="227"/>
      <c r="P408" s="227"/>
    </row>
    <row r="409" spans="1:16" hidden="1" x14ac:dyDescent="0.2">
      <c r="A409" s="225" t="s">
        <v>273</v>
      </c>
      <c r="B409" s="228" t="s">
        <v>18</v>
      </c>
      <c r="C409" s="229" t="s">
        <v>0</v>
      </c>
      <c r="D409" s="229" t="s">
        <v>5</v>
      </c>
      <c r="E409" s="229" t="s">
        <v>1</v>
      </c>
      <c r="F409" s="230" t="s">
        <v>2</v>
      </c>
      <c r="G409" s="228" t="s">
        <v>19</v>
      </c>
      <c r="H409" s="229" t="s">
        <v>0</v>
      </c>
      <c r="I409" s="229" t="s">
        <v>5</v>
      </c>
      <c r="J409" s="229" t="s">
        <v>1</v>
      </c>
      <c r="K409" s="230" t="s">
        <v>2</v>
      </c>
      <c r="L409" s="228" t="s">
        <v>19</v>
      </c>
      <c r="M409" s="229" t="s">
        <v>0</v>
      </c>
      <c r="N409" s="229" t="s">
        <v>5</v>
      </c>
      <c r="O409" s="229" t="s">
        <v>1</v>
      </c>
      <c r="P409" s="230" t="s">
        <v>2</v>
      </c>
    </row>
    <row r="410" spans="1:16" hidden="1" x14ac:dyDescent="0.2">
      <c r="A410" s="258"/>
      <c r="B410" s="237"/>
      <c r="C410" s="233"/>
      <c r="D410" s="234"/>
      <c r="E410" s="235"/>
      <c r="F410" s="236"/>
      <c r="G410" s="237"/>
      <c r="H410" s="233"/>
      <c r="I410" s="234"/>
      <c r="J410" s="235"/>
      <c r="K410" s="236"/>
      <c r="L410" s="237"/>
      <c r="M410" s="233"/>
      <c r="N410" s="234"/>
      <c r="O410" s="235"/>
      <c r="P410" s="236"/>
    </row>
    <row r="411" spans="1:16" ht="15" hidden="1" x14ac:dyDescent="0.2">
      <c r="A411" s="231" t="s">
        <v>1529</v>
      </c>
      <c r="B411" s="1021" t="s">
        <v>32</v>
      </c>
      <c r="C411" s="1022" t="s">
        <v>46</v>
      </c>
      <c r="D411" s="1023">
        <v>3</v>
      </c>
      <c r="E411" s="1024">
        <f>skilled</f>
        <v>1070</v>
      </c>
      <c r="F411" s="1025">
        <f>ROUND(E411*D411,2)</f>
        <v>3210</v>
      </c>
      <c r="G411" s="1035" t="s">
        <v>9</v>
      </c>
      <c r="H411" s="1022" t="s">
        <v>14</v>
      </c>
      <c r="I411" s="1023">
        <v>5.99</v>
      </c>
      <c r="J411" s="1024">
        <f>cement</f>
        <v>17013.62</v>
      </c>
      <c r="K411" s="1025">
        <f t="shared" ref="K411:K414" si="13">ROUND(J411*I411,2)</f>
        <v>101911.58</v>
      </c>
      <c r="L411" s="259" t="s">
        <v>420</v>
      </c>
      <c r="M411" s="1022" t="s">
        <v>28</v>
      </c>
      <c r="N411" s="1023">
        <v>6</v>
      </c>
      <c r="O411" s="1024">
        <f>mixer</f>
        <v>1000</v>
      </c>
      <c r="P411" s="1025">
        <f>ROUND(O411*N411,2)</f>
        <v>6000</v>
      </c>
    </row>
    <row r="412" spans="1:16" hidden="1" x14ac:dyDescent="0.2">
      <c r="A412" s="260" t="s">
        <v>20</v>
      </c>
      <c r="B412" s="1021" t="s">
        <v>21</v>
      </c>
      <c r="C412" s="1022" t="s">
        <v>46</v>
      </c>
      <c r="D412" s="1023">
        <v>30</v>
      </c>
      <c r="E412" s="1024">
        <f>unskilled</f>
        <v>770</v>
      </c>
      <c r="F412" s="1025">
        <f>ROUND(E412*D412,2)</f>
        <v>23100</v>
      </c>
      <c r="G412" s="1035" t="s">
        <v>1506</v>
      </c>
      <c r="H412" s="1022" t="s">
        <v>38</v>
      </c>
      <c r="I412" s="1023">
        <v>5.4</v>
      </c>
      <c r="J412" s="1024">
        <f>_Agg40</f>
        <v>2474.1999999999998</v>
      </c>
      <c r="K412" s="1025">
        <f t="shared" si="13"/>
        <v>13360.68</v>
      </c>
      <c r="L412" s="1021" t="s">
        <v>1493</v>
      </c>
      <c r="M412" s="1022" t="s">
        <v>28</v>
      </c>
      <c r="N412" s="1023">
        <v>6</v>
      </c>
      <c r="O412" s="1024">
        <f>generator</f>
        <v>1500</v>
      </c>
      <c r="P412" s="1025">
        <f>ROUND(O412*N412,2)</f>
        <v>9000</v>
      </c>
    </row>
    <row r="413" spans="1:16" hidden="1" x14ac:dyDescent="0.2">
      <c r="A413" s="260"/>
      <c r="B413" s="1021"/>
      <c r="C413" s="1022"/>
      <c r="D413" s="1023"/>
      <c r="E413" s="1024"/>
      <c r="F413" s="1025"/>
      <c r="G413" s="1035" t="s">
        <v>1498</v>
      </c>
      <c r="H413" s="1022" t="s">
        <v>38</v>
      </c>
      <c r="I413" s="1023">
        <v>5.4</v>
      </c>
      <c r="J413" s="1024">
        <f>_Agg20</f>
        <v>2574.1999999999998</v>
      </c>
      <c r="K413" s="1025">
        <f t="shared" si="13"/>
        <v>13900.68</v>
      </c>
      <c r="L413" s="1021"/>
      <c r="M413" s="1022"/>
      <c r="N413" s="1023"/>
      <c r="O413" s="1024"/>
      <c r="P413" s="1025"/>
    </row>
    <row r="414" spans="1:16" hidden="1" x14ac:dyDescent="0.2">
      <c r="A414" s="260"/>
      <c r="B414" s="1021"/>
      <c r="C414" s="1022"/>
      <c r="D414" s="1023"/>
      <c r="E414" s="1024"/>
      <c r="F414" s="1025"/>
      <c r="G414" s="1035" t="s">
        <v>1499</v>
      </c>
      <c r="H414" s="1022" t="s">
        <v>38</v>
      </c>
      <c r="I414" s="1023">
        <v>2.7</v>
      </c>
      <c r="J414" s="1024">
        <f>_agg10</f>
        <v>2574.1999999999998</v>
      </c>
      <c r="K414" s="1025">
        <f t="shared" si="13"/>
        <v>6950.34</v>
      </c>
      <c r="L414" s="1021"/>
      <c r="M414" s="1022"/>
      <c r="N414" s="1023"/>
      <c r="O414" s="1024"/>
      <c r="P414" s="1025"/>
    </row>
    <row r="415" spans="1:16" hidden="1" x14ac:dyDescent="0.2">
      <c r="A415" s="231"/>
      <c r="B415" s="1021"/>
      <c r="C415" s="1022"/>
      <c r="D415" s="1023"/>
      <c r="E415" s="1024"/>
      <c r="F415" s="1025"/>
      <c r="G415" s="1035" t="s">
        <v>45</v>
      </c>
      <c r="H415" s="1022" t="s">
        <v>38</v>
      </c>
      <c r="I415" s="1023">
        <v>6.75</v>
      </c>
      <c r="J415" s="1024">
        <f>sand</f>
        <v>2503.2750000000001</v>
      </c>
      <c r="K415" s="1025">
        <f>ROUND(J415*I415,2)</f>
        <v>16897.11</v>
      </c>
      <c r="L415" s="1021"/>
      <c r="M415" s="1022"/>
      <c r="N415" s="1023"/>
      <c r="O415" s="1024"/>
      <c r="P415" s="1025"/>
    </row>
    <row r="416" spans="1:16" hidden="1" x14ac:dyDescent="0.2">
      <c r="A416" s="231"/>
      <c r="B416" s="1021"/>
      <c r="C416" s="1022"/>
      <c r="D416" s="1023"/>
      <c r="E416" s="1024"/>
      <c r="F416" s="1025"/>
      <c r="G416" s="1035" t="s">
        <v>1507</v>
      </c>
      <c r="H416" s="1022" t="s">
        <v>6</v>
      </c>
      <c r="I416" s="1023">
        <f>I411*1000*0.004</f>
        <v>23.96</v>
      </c>
      <c r="J416" s="1024">
        <f>admixtures</f>
        <v>315.41361999999998</v>
      </c>
      <c r="K416" s="1025">
        <f>ROUND(J416*I416,2)</f>
        <v>7557.31</v>
      </c>
      <c r="L416" s="1021"/>
      <c r="M416" s="1022"/>
      <c r="N416" s="1023"/>
      <c r="O416" s="1024"/>
      <c r="P416" s="1025"/>
    </row>
    <row r="417" spans="1:16" ht="15" hidden="1" x14ac:dyDescent="0.2">
      <c r="A417" s="231"/>
      <c r="B417" s="1021"/>
      <c r="C417" s="1022"/>
      <c r="D417" s="1023"/>
      <c r="E417" s="1024"/>
      <c r="F417" s="1025"/>
      <c r="G417" s="659" t="s">
        <v>267</v>
      </c>
      <c r="H417" s="660" t="s">
        <v>44</v>
      </c>
      <c r="I417" s="661">
        <v>0.1</v>
      </c>
      <c r="J417" s="662">
        <f>petrol</f>
        <v>170</v>
      </c>
      <c r="K417" s="663">
        <f>ROUND(J417*I417,2)</f>
        <v>17</v>
      </c>
      <c r="L417" s="1021"/>
      <c r="M417" s="1022"/>
      <c r="N417" s="1023"/>
      <c r="O417" s="1024"/>
      <c r="P417" s="1025"/>
    </row>
    <row r="418" spans="1:16" ht="15" hidden="1" x14ac:dyDescent="0.2">
      <c r="A418" s="231"/>
      <c r="B418" s="1021"/>
      <c r="C418" s="1022"/>
      <c r="D418" s="1023"/>
      <c r="E418" s="1024"/>
      <c r="F418" s="1025"/>
      <c r="G418" s="659" t="s">
        <v>268</v>
      </c>
      <c r="H418" s="660" t="s">
        <v>44</v>
      </c>
      <c r="I418" s="661">
        <v>3</v>
      </c>
      <c r="J418" s="662">
        <f>diesel</f>
        <v>160</v>
      </c>
      <c r="K418" s="663">
        <f>ROUND(J418*I418,2)</f>
        <v>480</v>
      </c>
      <c r="L418" s="1021"/>
      <c r="M418" s="1022"/>
      <c r="N418" s="1023"/>
      <c r="O418" s="1024"/>
      <c r="P418" s="1025"/>
    </row>
    <row r="419" spans="1:16" hidden="1" x14ac:dyDescent="0.2">
      <c r="A419" s="231"/>
      <c r="B419" s="1021"/>
      <c r="C419" s="1022"/>
      <c r="D419" s="1023"/>
      <c r="E419" s="1024"/>
      <c r="F419" s="1025"/>
      <c r="G419" s="1035" t="s">
        <v>51</v>
      </c>
      <c r="H419" s="1022" t="s">
        <v>44</v>
      </c>
      <c r="I419" s="572">
        <v>3000</v>
      </c>
      <c r="J419" s="1024">
        <f>water</f>
        <v>0.24955999999999998</v>
      </c>
      <c r="K419" s="1025">
        <f>ROUND(J419*I419,2)</f>
        <v>748.68</v>
      </c>
      <c r="L419" s="1021"/>
      <c r="M419" s="1022"/>
      <c r="N419" s="1023"/>
      <c r="O419" s="1024"/>
      <c r="P419" s="1025"/>
    </row>
    <row r="420" spans="1:16" hidden="1" x14ac:dyDescent="0.2">
      <c r="A420" s="241"/>
      <c r="B420" s="242"/>
      <c r="C420" s="243"/>
      <c r="D420" s="243"/>
      <c r="E420" s="244" t="s">
        <v>39</v>
      </c>
      <c r="F420" s="245">
        <f>SUM(F411:F419)</f>
        <v>26310</v>
      </c>
      <c r="G420" s="242"/>
      <c r="H420" s="243"/>
      <c r="I420" s="243"/>
      <c r="J420" s="244" t="s">
        <v>40</v>
      </c>
      <c r="K420" s="245">
        <f>SUM(K411:K419)</f>
        <v>161823.38</v>
      </c>
      <c r="L420" s="242"/>
      <c r="M420" s="243"/>
      <c r="N420" s="243"/>
      <c r="O420" s="246" t="s">
        <v>41</v>
      </c>
      <c r="P420" s="245">
        <f>SUM(P411:P419)</f>
        <v>15000</v>
      </c>
    </row>
    <row r="421" spans="1:16" hidden="1" x14ac:dyDescent="0.2">
      <c r="A421" s="247"/>
      <c r="B421" s="575"/>
      <c r="C421" s="575"/>
      <c r="D421" s="575"/>
      <c r="E421" s="575"/>
      <c r="F421" s="1020" t="s">
        <v>29</v>
      </c>
      <c r="G421" s="248">
        <f>F420+K420+P420</f>
        <v>203133.38</v>
      </c>
      <c r="H421" s="575"/>
      <c r="I421" s="249"/>
      <c r="J421" s="250"/>
      <c r="K421" s="251"/>
      <c r="L421" s="575"/>
      <c r="M421" s="575"/>
      <c r="N421" s="575"/>
      <c r="O421" s="575"/>
      <c r="P421" s="575"/>
    </row>
    <row r="422" spans="1:16" hidden="1" x14ac:dyDescent="0.2">
      <c r="A422" s="247"/>
      <c r="B422" s="575"/>
      <c r="C422" s="575"/>
      <c r="D422" s="1423" t="s">
        <v>1530</v>
      </c>
      <c r="E422" s="1423"/>
      <c r="F422" s="1423"/>
      <c r="G422" s="248">
        <f>G421*0.15</f>
        <v>30470.006999999998</v>
      </c>
      <c r="H422" s="575"/>
      <c r="I422" s="249"/>
      <c r="J422" s="250"/>
      <c r="K422" s="251"/>
      <c r="L422" s="575"/>
      <c r="M422" s="575"/>
      <c r="N422" s="575"/>
      <c r="O422" s="575"/>
      <c r="P422" s="575"/>
    </row>
    <row r="423" spans="1:16" hidden="1" x14ac:dyDescent="0.2">
      <c r="A423" s="247"/>
      <c r="B423" s="575"/>
      <c r="C423" s="575"/>
      <c r="D423" s="1020"/>
      <c r="E423" s="1423" t="s">
        <v>1531</v>
      </c>
      <c r="F423" s="1423"/>
      <c r="G423" s="248">
        <f>G421*0.04</f>
        <v>8125.3352000000004</v>
      </c>
      <c r="H423" s="575"/>
      <c r="I423" s="249"/>
      <c r="J423" s="250"/>
      <c r="K423" s="251"/>
      <c r="L423" s="575"/>
      <c r="M423" s="575"/>
      <c r="N423" s="575"/>
      <c r="O423" s="575"/>
      <c r="P423" s="575"/>
    </row>
    <row r="424" spans="1:16" hidden="1" x14ac:dyDescent="0.2">
      <c r="A424" s="247"/>
      <c r="B424" s="575"/>
      <c r="C424" s="575"/>
      <c r="D424" s="575"/>
      <c r="E424" s="575"/>
      <c r="F424" s="252" t="s">
        <v>31</v>
      </c>
      <c r="G424" s="248">
        <f>0.15*G421</f>
        <v>30470.006999999998</v>
      </c>
      <c r="H424" s="575"/>
      <c r="I424" s="249"/>
      <c r="J424" s="250"/>
      <c r="K424" s="251"/>
      <c r="L424" s="575"/>
      <c r="M424" s="575"/>
      <c r="N424" s="575"/>
      <c r="O424" s="575"/>
      <c r="P424" s="575"/>
    </row>
    <row r="425" spans="1:16" ht="15" hidden="1" x14ac:dyDescent="0.25">
      <c r="A425" s="253"/>
      <c r="B425" s="249"/>
      <c r="C425" s="249"/>
      <c r="D425" s="249"/>
      <c r="E425" s="575"/>
      <c r="F425" s="277" t="str">
        <f>"Rate for "&amp;O405&amp;" m² :"</f>
        <v>Rate for 15 m² :</v>
      </c>
      <c r="G425" s="1012">
        <f>SUM(G421:G424)</f>
        <v>272198.7292</v>
      </c>
      <c r="H425" s="256"/>
      <c r="I425" s="249"/>
      <c r="J425" s="250"/>
      <c r="K425" s="251"/>
      <c r="L425" s="575"/>
      <c r="M425" s="575"/>
      <c r="N425" s="575"/>
      <c r="O425" s="575"/>
      <c r="P425" s="575"/>
    </row>
    <row r="426" spans="1:16" hidden="1" x14ac:dyDescent="0.2">
      <c r="A426" s="247"/>
      <c r="B426" s="575"/>
      <c r="C426" s="575"/>
      <c r="D426" s="575"/>
      <c r="E426" s="1027"/>
      <c r="F426" s="277" t="s">
        <v>1494</v>
      </c>
      <c r="G426" s="278">
        <f>G425/O405</f>
        <v>18146.581946666665</v>
      </c>
      <c r="H426" s="575"/>
      <c r="I426" s="249"/>
      <c r="J426" s="256"/>
      <c r="K426" s="275"/>
      <c r="L426" s="575"/>
      <c r="M426" s="575"/>
      <c r="N426" s="575"/>
      <c r="O426" s="575"/>
      <c r="P426" s="575"/>
    </row>
    <row r="427" spans="1:16" hidden="1" x14ac:dyDescent="0.2">
      <c r="A427" s="253"/>
      <c r="B427" s="249"/>
      <c r="C427" s="249"/>
      <c r="D427" s="249"/>
      <c r="E427" s="249"/>
      <c r="F427" s="254" t="s">
        <v>1</v>
      </c>
      <c r="G427" s="255">
        <f>G426</f>
        <v>18146.581946666665</v>
      </c>
      <c r="H427" s="249" t="s">
        <v>30</v>
      </c>
      <c r="I427" s="222" t="s">
        <v>38</v>
      </c>
      <c r="J427" s="256"/>
      <c r="K427" s="275"/>
      <c r="L427" s="275"/>
      <c r="M427" s="275"/>
      <c r="N427" s="575"/>
      <c r="O427" s="575"/>
      <c r="P427" s="575"/>
    </row>
    <row r="428" spans="1:16" hidden="1" x14ac:dyDescent="0.2">
      <c r="A428" s="575" t="s">
        <v>27</v>
      </c>
      <c r="B428" s="223">
        <f>B405+1</f>
        <v>22</v>
      </c>
      <c r="C428" s="222"/>
      <c r="D428" s="575"/>
      <c r="E428" s="575"/>
      <c r="F428" s="575"/>
      <c r="G428" s="575"/>
      <c r="H428" s="575"/>
      <c r="I428" s="575"/>
      <c r="J428" s="575"/>
      <c r="K428" s="575"/>
      <c r="L428" s="575"/>
      <c r="M428" s="575"/>
      <c r="N428" s="1020" t="s">
        <v>13</v>
      </c>
      <c r="O428" s="248">
        <v>15</v>
      </c>
      <c r="P428" s="222" t="s">
        <v>38</v>
      </c>
    </row>
    <row r="429" spans="1:16" hidden="1" x14ac:dyDescent="0.2">
      <c r="A429" s="223" t="s">
        <v>12</v>
      </c>
      <c r="B429" s="257" t="s">
        <v>1518</v>
      </c>
      <c r="C429" s="257"/>
      <c r="D429" s="257"/>
      <c r="E429" s="257"/>
      <c r="F429" s="257"/>
      <c r="G429" s="257"/>
      <c r="H429" s="257"/>
      <c r="I429" s="257"/>
      <c r="J429" s="257"/>
      <c r="K429" s="257" t="s">
        <v>1511</v>
      </c>
      <c r="L429" s="257"/>
      <c r="M429" s="257"/>
      <c r="N429" s="257"/>
      <c r="O429" s="257"/>
      <c r="P429" s="257"/>
    </row>
    <row r="430" spans="1:16" hidden="1" x14ac:dyDescent="0.2">
      <c r="A430" s="223"/>
      <c r="B430" s="265" t="s">
        <v>1519</v>
      </c>
      <c r="C430" s="265"/>
      <c r="D430" s="265"/>
      <c r="E430" s="265"/>
      <c r="F430" s="265"/>
      <c r="G430" s="265"/>
      <c r="H430" s="265"/>
      <c r="I430" s="265"/>
      <c r="J430" s="265"/>
      <c r="K430" s="265"/>
      <c r="L430" s="265"/>
      <c r="M430" s="265"/>
      <c r="N430" s="265"/>
      <c r="O430" s="265"/>
      <c r="P430" s="265"/>
    </row>
    <row r="431" spans="1:16" hidden="1" x14ac:dyDescent="0.2">
      <c r="A431" s="225" t="s">
        <v>243</v>
      </c>
      <c r="B431" s="226" t="s">
        <v>15</v>
      </c>
      <c r="C431" s="227"/>
      <c r="D431" s="227"/>
      <c r="E431" s="227"/>
      <c r="F431" s="226"/>
      <c r="G431" s="1415" t="s">
        <v>16</v>
      </c>
      <c r="H431" s="1416"/>
      <c r="I431" s="1416"/>
      <c r="J431" s="1416"/>
      <c r="K431" s="1417"/>
      <c r="L431" s="227" t="s">
        <v>17</v>
      </c>
      <c r="M431" s="227"/>
      <c r="N431" s="227"/>
      <c r="O431" s="227"/>
      <c r="P431" s="227"/>
    </row>
    <row r="432" spans="1:16" hidden="1" x14ac:dyDescent="0.2">
      <c r="A432" s="225" t="s">
        <v>273</v>
      </c>
      <c r="B432" s="228" t="s">
        <v>18</v>
      </c>
      <c r="C432" s="229" t="s">
        <v>0</v>
      </c>
      <c r="D432" s="229" t="s">
        <v>5</v>
      </c>
      <c r="E432" s="229" t="s">
        <v>1</v>
      </c>
      <c r="F432" s="230" t="s">
        <v>2</v>
      </c>
      <c r="G432" s="228" t="s">
        <v>19</v>
      </c>
      <c r="H432" s="229" t="s">
        <v>0</v>
      </c>
      <c r="I432" s="229" t="s">
        <v>5</v>
      </c>
      <c r="J432" s="229" t="s">
        <v>1</v>
      </c>
      <c r="K432" s="230" t="s">
        <v>2</v>
      </c>
      <c r="L432" s="228" t="s">
        <v>19</v>
      </c>
      <c r="M432" s="229" t="s">
        <v>0</v>
      </c>
      <c r="N432" s="229" t="s">
        <v>5</v>
      </c>
      <c r="O432" s="229" t="s">
        <v>1</v>
      </c>
      <c r="P432" s="230" t="s">
        <v>2</v>
      </c>
    </row>
    <row r="433" spans="1:16" hidden="1" x14ac:dyDescent="0.2">
      <c r="A433" s="258"/>
      <c r="B433" s="237"/>
      <c r="C433" s="233"/>
      <c r="D433" s="234"/>
      <c r="E433" s="235"/>
      <c r="F433" s="236"/>
      <c r="G433" s="237"/>
      <c r="H433" s="233"/>
      <c r="I433" s="234"/>
      <c r="J433" s="235"/>
      <c r="K433" s="236"/>
      <c r="L433" s="237"/>
      <c r="M433" s="233"/>
      <c r="N433" s="234"/>
      <c r="O433" s="235"/>
      <c r="P433" s="236"/>
    </row>
    <row r="434" spans="1:16" ht="15" hidden="1" x14ac:dyDescent="0.2">
      <c r="A434" s="231" t="s">
        <v>1532</v>
      </c>
      <c r="B434" s="1021" t="s">
        <v>32</v>
      </c>
      <c r="C434" s="1022" t="s">
        <v>46</v>
      </c>
      <c r="D434" s="1023">
        <v>3</v>
      </c>
      <c r="E434" s="1024">
        <f>skilled</f>
        <v>1070</v>
      </c>
      <c r="F434" s="1025">
        <f>ROUND(E434*D434,2)</f>
        <v>3210</v>
      </c>
      <c r="G434" s="1035" t="s">
        <v>9</v>
      </c>
      <c r="H434" s="1022" t="s">
        <v>14</v>
      </c>
      <c r="I434" s="1023">
        <v>6.08</v>
      </c>
      <c r="J434" s="1024">
        <f>cement</f>
        <v>17013.62</v>
      </c>
      <c r="K434" s="1025">
        <f t="shared" ref="K434:K437" si="14">ROUND(J434*I434,2)</f>
        <v>103442.81</v>
      </c>
      <c r="L434" s="259" t="s">
        <v>420</v>
      </c>
      <c r="M434" s="1022" t="s">
        <v>28</v>
      </c>
      <c r="N434" s="1023">
        <v>6</v>
      </c>
      <c r="O434" s="1024">
        <f>mixer</f>
        <v>1000</v>
      </c>
      <c r="P434" s="1025">
        <f>ROUND(O434*N434,2)</f>
        <v>6000</v>
      </c>
    </row>
    <row r="435" spans="1:16" hidden="1" x14ac:dyDescent="0.2">
      <c r="A435" s="260" t="s">
        <v>20</v>
      </c>
      <c r="B435" s="1021" t="s">
        <v>21</v>
      </c>
      <c r="C435" s="1022" t="s">
        <v>46</v>
      </c>
      <c r="D435" s="1023">
        <v>30</v>
      </c>
      <c r="E435" s="1024">
        <f>unskilled</f>
        <v>770</v>
      </c>
      <c r="F435" s="1025">
        <f>ROUND(E435*D435,2)</f>
        <v>23100</v>
      </c>
      <c r="G435" s="1035" t="s">
        <v>1506</v>
      </c>
      <c r="H435" s="1022" t="s">
        <v>38</v>
      </c>
      <c r="I435" s="1023">
        <v>5.4</v>
      </c>
      <c r="J435" s="1024">
        <f>_Agg40</f>
        <v>2474.1999999999998</v>
      </c>
      <c r="K435" s="1025">
        <f t="shared" si="14"/>
        <v>13360.68</v>
      </c>
      <c r="L435" s="1021" t="s">
        <v>1493</v>
      </c>
      <c r="M435" s="1022" t="s">
        <v>28</v>
      </c>
      <c r="N435" s="1023">
        <v>6</v>
      </c>
      <c r="O435" s="1024">
        <f>generator</f>
        <v>1500</v>
      </c>
      <c r="P435" s="1025">
        <f>ROUND(O435*N435,2)</f>
        <v>9000</v>
      </c>
    </row>
    <row r="436" spans="1:16" hidden="1" x14ac:dyDescent="0.2">
      <c r="A436" s="260"/>
      <c r="B436" s="1021"/>
      <c r="C436" s="1022"/>
      <c r="D436" s="1023"/>
      <c r="E436" s="1024"/>
      <c r="F436" s="1025"/>
      <c r="G436" s="1035" t="s">
        <v>1498</v>
      </c>
      <c r="H436" s="1022" t="s">
        <v>38</v>
      </c>
      <c r="I436" s="1023">
        <v>5.4</v>
      </c>
      <c r="J436" s="1024">
        <f>_Agg20</f>
        <v>2574.1999999999998</v>
      </c>
      <c r="K436" s="1025">
        <f t="shared" si="14"/>
        <v>13900.68</v>
      </c>
      <c r="L436" s="1021"/>
      <c r="M436" s="1022"/>
      <c r="N436" s="1023"/>
      <c r="O436" s="1024"/>
      <c r="P436" s="1025"/>
    </row>
    <row r="437" spans="1:16" hidden="1" x14ac:dyDescent="0.2">
      <c r="A437" s="260"/>
      <c r="B437" s="1021"/>
      <c r="C437" s="1022"/>
      <c r="D437" s="1023"/>
      <c r="E437" s="1024"/>
      <c r="F437" s="1025"/>
      <c r="G437" s="1035" t="s">
        <v>1499</v>
      </c>
      <c r="H437" s="1022" t="s">
        <v>38</v>
      </c>
      <c r="I437" s="1023">
        <v>2.7</v>
      </c>
      <c r="J437" s="1024">
        <f>_agg10</f>
        <v>2574.1999999999998</v>
      </c>
      <c r="K437" s="1025">
        <f t="shared" si="14"/>
        <v>6950.34</v>
      </c>
      <c r="L437" s="1021"/>
      <c r="M437" s="1022"/>
      <c r="N437" s="1023"/>
      <c r="O437" s="1024"/>
      <c r="P437" s="1025"/>
    </row>
    <row r="438" spans="1:16" hidden="1" x14ac:dyDescent="0.2">
      <c r="A438" s="231"/>
      <c r="B438" s="1021"/>
      <c r="C438" s="1022"/>
      <c r="D438" s="1023"/>
      <c r="E438" s="1024"/>
      <c r="F438" s="1025"/>
      <c r="G438" s="1035" t="s">
        <v>45</v>
      </c>
      <c r="H438" s="1022" t="s">
        <v>38</v>
      </c>
      <c r="I438" s="1023">
        <v>6.75</v>
      </c>
      <c r="J438" s="1024">
        <f>sand</f>
        <v>2503.2750000000001</v>
      </c>
      <c r="K438" s="1025">
        <f>ROUND(J438*I438,2)</f>
        <v>16897.11</v>
      </c>
      <c r="L438" s="1021"/>
      <c r="M438" s="1022"/>
      <c r="N438" s="1023"/>
      <c r="O438" s="1024"/>
      <c r="P438" s="1025"/>
    </row>
    <row r="439" spans="1:16" hidden="1" x14ac:dyDescent="0.2">
      <c r="A439" s="231"/>
      <c r="B439" s="1021"/>
      <c r="C439" s="1022"/>
      <c r="D439" s="1023"/>
      <c r="E439" s="1024"/>
      <c r="F439" s="1025"/>
      <c r="G439" s="1035" t="s">
        <v>1507</v>
      </c>
      <c r="H439" s="1022" t="s">
        <v>6</v>
      </c>
      <c r="I439" s="1023">
        <f>I434*1000*0.004</f>
        <v>24.32</v>
      </c>
      <c r="J439" s="1024">
        <f>admixtures</f>
        <v>315.41361999999998</v>
      </c>
      <c r="K439" s="1025">
        <f>ROUND(J439*I439,2)</f>
        <v>7670.86</v>
      </c>
      <c r="L439" s="1021"/>
      <c r="M439" s="1022"/>
      <c r="N439" s="1023"/>
      <c r="O439" s="1024"/>
      <c r="P439" s="1025"/>
    </row>
    <row r="440" spans="1:16" ht="15" hidden="1" x14ac:dyDescent="0.2">
      <c r="A440" s="231"/>
      <c r="B440" s="1021"/>
      <c r="C440" s="1022"/>
      <c r="D440" s="1023"/>
      <c r="E440" s="1024"/>
      <c r="F440" s="1025"/>
      <c r="G440" s="659" t="s">
        <v>267</v>
      </c>
      <c r="H440" s="660" t="s">
        <v>44</v>
      </c>
      <c r="I440" s="661">
        <v>0.1</v>
      </c>
      <c r="J440" s="662">
        <f>petrol</f>
        <v>170</v>
      </c>
      <c r="K440" s="663">
        <f>ROUND(J440*I440,2)</f>
        <v>17</v>
      </c>
      <c r="L440" s="1021"/>
      <c r="M440" s="1022"/>
      <c r="N440" s="1023"/>
      <c r="O440" s="1024"/>
      <c r="P440" s="1025"/>
    </row>
    <row r="441" spans="1:16" ht="15" hidden="1" x14ac:dyDescent="0.2">
      <c r="A441" s="231"/>
      <c r="B441" s="1021"/>
      <c r="C441" s="1022"/>
      <c r="D441" s="1023"/>
      <c r="E441" s="1024"/>
      <c r="F441" s="1025"/>
      <c r="G441" s="659" t="s">
        <v>268</v>
      </c>
      <c r="H441" s="660" t="s">
        <v>44</v>
      </c>
      <c r="I441" s="661">
        <v>3</v>
      </c>
      <c r="J441" s="662">
        <f>diesel</f>
        <v>160</v>
      </c>
      <c r="K441" s="663">
        <f>ROUND(J441*I441,2)</f>
        <v>480</v>
      </c>
      <c r="L441" s="1021"/>
      <c r="M441" s="1022"/>
      <c r="N441" s="1023"/>
      <c r="O441" s="1024"/>
      <c r="P441" s="1025"/>
    </row>
    <row r="442" spans="1:16" hidden="1" x14ac:dyDescent="0.2">
      <c r="A442" s="231"/>
      <c r="B442" s="1021"/>
      <c r="C442" s="1022"/>
      <c r="D442" s="1023"/>
      <c r="E442" s="1024"/>
      <c r="F442" s="1025"/>
      <c r="G442" s="1035" t="s">
        <v>51</v>
      </c>
      <c r="H442" s="1022" t="s">
        <v>44</v>
      </c>
      <c r="I442" s="572">
        <v>3000</v>
      </c>
      <c r="J442" s="1024">
        <f>water</f>
        <v>0.24955999999999998</v>
      </c>
      <c r="K442" s="1025">
        <f>ROUND(J442*I442,2)</f>
        <v>748.68</v>
      </c>
      <c r="L442" s="1021"/>
      <c r="M442" s="1022"/>
      <c r="N442" s="1023"/>
      <c r="O442" s="1024"/>
      <c r="P442" s="1025"/>
    </row>
    <row r="443" spans="1:16" hidden="1" x14ac:dyDescent="0.2">
      <c r="A443" s="241"/>
      <c r="B443" s="242"/>
      <c r="C443" s="243"/>
      <c r="D443" s="243"/>
      <c r="E443" s="244" t="s">
        <v>39</v>
      </c>
      <c r="F443" s="245">
        <f>SUM(F434:F442)</f>
        <v>26310</v>
      </c>
      <c r="G443" s="242"/>
      <c r="H443" s="243"/>
      <c r="I443" s="243"/>
      <c r="J443" s="244" t="s">
        <v>40</v>
      </c>
      <c r="K443" s="245">
        <f>SUM(K434:K442)</f>
        <v>163468.15999999997</v>
      </c>
      <c r="L443" s="242"/>
      <c r="M443" s="243"/>
      <c r="N443" s="243"/>
      <c r="O443" s="246" t="s">
        <v>41</v>
      </c>
      <c r="P443" s="245">
        <f>SUM(P434:P442)</f>
        <v>15000</v>
      </c>
    </row>
    <row r="444" spans="1:16" hidden="1" x14ac:dyDescent="0.2">
      <c r="A444" s="247"/>
      <c r="B444" s="575"/>
      <c r="C444" s="575"/>
      <c r="D444" s="575"/>
      <c r="E444" s="575"/>
      <c r="F444" s="1020" t="s">
        <v>29</v>
      </c>
      <c r="G444" s="248">
        <f>F443+K443+P443</f>
        <v>204778.15999999997</v>
      </c>
      <c r="H444" s="575"/>
      <c r="I444" s="249"/>
      <c r="J444" s="250"/>
      <c r="K444" s="251"/>
      <c r="L444" s="575"/>
      <c r="M444" s="575"/>
      <c r="N444" s="575"/>
      <c r="O444" s="575"/>
      <c r="P444" s="575"/>
    </row>
    <row r="445" spans="1:16" hidden="1" x14ac:dyDescent="0.2">
      <c r="A445" s="247"/>
      <c r="B445" s="575"/>
      <c r="C445" s="575"/>
      <c r="D445" s="1423" t="s">
        <v>1521</v>
      </c>
      <c r="E445" s="1423"/>
      <c r="F445" s="1423"/>
      <c r="G445" s="248">
        <f>G444*0.1</f>
        <v>20477.815999999999</v>
      </c>
      <c r="H445" s="575"/>
      <c r="I445" s="249"/>
      <c r="J445" s="250"/>
      <c r="K445" s="251"/>
      <c r="L445" s="575"/>
      <c r="M445" s="575"/>
      <c r="N445" s="575"/>
      <c r="O445" s="575"/>
      <c r="P445" s="575"/>
    </row>
    <row r="446" spans="1:16" hidden="1" x14ac:dyDescent="0.2">
      <c r="A446" s="247"/>
      <c r="B446" s="575"/>
      <c r="C446" s="575"/>
      <c r="D446" s="575"/>
      <c r="E446" s="575"/>
      <c r="F446" s="252" t="s">
        <v>31</v>
      </c>
      <c r="G446" s="248">
        <f>0.15*G444</f>
        <v>30716.723999999995</v>
      </c>
      <c r="H446" s="575"/>
      <c r="I446" s="249"/>
      <c r="J446" s="250"/>
      <c r="K446" s="251"/>
      <c r="L446" s="575"/>
      <c r="M446" s="575"/>
      <c r="N446" s="575"/>
      <c r="O446" s="575"/>
      <c r="P446" s="575"/>
    </row>
    <row r="447" spans="1:16" ht="15" hidden="1" x14ac:dyDescent="0.25">
      <c r="A447" s="253"/>
      <c r="B447" s="249"/>
      <c r="C447" s="249"/>
      <c r="D447" s="249"/>
      <c r="E447" s="575"/>
      <c r="F447" s="277" t="str">
        <f>"Rate for "&amp;O428&amp;" m² :"</f>
        <v>Rate for 15 m² :</v>
      </c>
      <c r="G447" s="1012">
        <f>SUM(G444:G446)</f>
        <v>255972.69999999995</v>
      </c>
      <c r="H447" s="256"/>
      <c r="I447" s="249"/>
      <c r="J447" s="250"/>
      <c r="K447" s="251"/>
      <c r="L447" s="575"/>
      <c r="M447" s="575"/>
      <c r="N447" s="575"/>
      <c r="O447" s="575"/>
      <c r="P447" s="575"/>
    </row>
    <row r="448" spans="1:16" hidden="1" x14ac:dyDescent="0.2">
      <c r="A448" s="247"/>
      <c r="B448" s="575"/>
      <c r="C448" s="575"/>
      <c r="D448" s="575"/>
      <c r="E448" s="1027"/>
      <c r="F448" s="277" t="s">
        <v>1494</v>
      </c>
      <c r="G448" s="278">
        <f>G447/O428</f>
        <v>17064.846666666665</v>
      </c>
      <c r="H448" s="575"/>
      <c r="I448" s="249"/>
      <c r="J448" s="256"/>
      <c r="K448" s="275"/>
      <c r="L448" s="575"/>
      <c r="M448" s="575"/>
      <c r="N448" s="575"/>
      <c r="O448" s="575"/>
      <c r="P448" s="575"/>
    </row>
    <row r="449" spans="1:16" hidden="1" x14ac:dyDescent="0.2">
      <c r="A449" s="253"/>
      <c r="B449" s="249"/>
      <c r="C449" s="249"/>
      <c r="D449" s="249"/>
      <c r="E449" s="249"/>
      <c r="F449" s="254" t="s">
        <v>1</v>
      </c>
      <c r="G449" s="255">
        <f>G448</f>
        <v>17064.846666666665</v>
      </c>
      <c r="H449" s="249" t="s">
        <v>30</v>
      </c>
      <c r="I449" s="222" t="s">
        <v>38</v>
      </c>
      <c r="J449" s="256"/>
      <c r="K449" s="275"/>
      <c r="L449" s="275"/>
      <c r="M449" s="275"/>
      <c r="N449" s="575"/>
      <c r="O449" s="575"/>
      <c r="P449" s="575"/>
    </row>
    <row r="450" spans="1:16" hidden="1" x14ac:dyDescent="0.2">
      <c r="A450" s="575" t="s">
        <v>27</v>
      </c>
      <c r="B450" s="223">
        <f>B428+1</f>
        <v>23</v>
      </c>
      <c r="C450" s="222"/>
      <c r="D450" s="575"/>
      <c r="E450" s="575"/>
      <c r="F450" s="575"/>
      <c r="G450" s="575"/>
      <c r="H450" s="575"/>
      <c r="I450" s="575"/>
      <c r="J450" s="575"/>
      <c r="K450" s="575"/>
      <c r="L450" s="575"/>
      <c r="M450" s="575"/>
      <c r="N450" s="1020" t="s">
        <v>13</v>
      </c>
      <c r="O450" s="248">
        <v>15</v>
      </c>
      <c r="P450" s="222" t="s">
        <v>38</v>
      </c>
    </row>
    <row r="451" spans="1:16" hidden="1" x14ac:dyDescent="0.2">
      <c r="A451" s="223" t="s">
        <v>12</v>
      </c>
      <c r="B451" s="257" t="s">
        <v>1518</v>
      </c>
      <c r="C451" s="257"/>
      <c r="D451" s="257"/>
      <c r="E451" s="257"/>
      <c r="F451" s="257"/>
      <c r="G451" s="257"/>
      <c r="H451" s="257"/>
      <c r="I451" s="257"/>
      <c r="J451" s="257"/>
      <c r="K451" s="257" t="s">
        <v>1511</v>
      </c>
      <c r="L451" s="257"/>
      <c r="M451" s="257"/>
      <c r="N451" s="257"/>
      <c r="O451" s="257"/>
      <c r="P451" s="257"/>
    </row>
    <row r="452" spans="1:16" hidden="1" x14ac:dyDescent="0.2">
      <c r="A452" s="223"/>
      <c r="B452" s="265" t="s">
        <v>1524</v>
      </c>
      <c r="C452" s="265"/>
      <c r="D452" s="265"/>
      <c r="E452" s="265"/>
      <c r="F452" s="265"/>
      <c r="G452" s="265"/>
      <c r="H452" s="265"/>
      <c r="I452" s="265"/>
      <c r="J452" s="265"/>
      <c r="K452" s="265"/>
      <c r="L452" s="265"/>
      <c r="M452" s="265"/>
      <c r="N452" s="265"/>
      <c r="O452" s="265"/>
      <c r="P452" s="265"/>
    </row>
    <row r="453" spans="1:16" hidden="1" x14ac:dyDescent="0.2">
      <c r="A453" s="225" t="s">
        <v>243</v>
      </c>
      <c r="B453" s="226" t="s">
        <v>15</v>
      </c>
      <c r="C453" s="227"/>
      <c r="D453" s="227"/>
      <c r="E453" s="227"/>
      <c r="F453" s="226"/>
      <c r="G453" s="1415" t="s">
        <v>16</v>
      </c>
      <c r="H453" s="1416"/>
      <c r="I453" s="1416"/>
      <c r="J453" s="1416"/>
      <c r="K453" s="1417"/>
      <c r="L453" s="227" t="s">
        <v>17</v>
      </c>
      <c r="M453" s="227"/>
      <c r="N453" s="227"/>
      <c r="O453" s="227"/>
      <c r="P453" s="227"/>
    </row>
    <row r="454" spans="1:16" hidden="1" x14ac:dyDescent="0.2">
      <c r="A454" s="225" t="s">
        <v>273</v>
      </c>
      <c r="B454" s="228" t="s">
        <v>18</v>
      </c>
      <c r="C454" s="229" t="s">
        <v>0</v>
      </c>
      <c r="D454" s="229" t="s">
        <v>5</v>
      </c>
      <c r="E454" s="229" t="s">
        <v>1</v>
      </c>
      <c r="F454" s="230" t="s">
        <v>2</v>
      </c>
      <c r="G454" s="228" t="s">
        <v>19</v>
      </c>
      <c r="H454" s="229" t="s">
        <v>0</v>
      </c>
      <c r="I454" s="229" t="s">
        <v>5</v>
      </c>
      <c r="J454" s="229" t="s">
        <v>1</v>
      </c>
      <c r="K454" s="230" t="s">
        <v>2</v>
      </c>
      <c r="L454" s="228" t="s">
        <v>19</v>
      </c>
      <c r="M454" s="229" t="s">
        <v>0</v>
      </c>
      <c r="N454" s="229" t="s">
        <v>5</v>
      </c>
      <c r="O454" s="229" t="s">
        <v>1</v>
      </c>
      <c r="P454" s="230" t="s">
        <v>2</v>
      </c>
    </row>
    <row r="455" spans="1:16" hidden="1" x14ac:dyDescent="0.2">
      <c r="A455" s="258"/>
      <c r="B455" s="237"/>
      <c r="C455" s="233"/>
      <c r="D455" s="234"/>
      <c r="E455" s="235"/>
      <c r="F455" s="236"/>
      <c r="G455" s="237"/>
      <c r="H455" s="233"/>
      <c r="I455" s="234"/>
      <c r="J455" s="235"/>
      <c r="K455" s="236"/>
      <c r="L455" s="237"/>
      <c r="M455" s="233"/>
      <c r="N455" s="234"/>
      <c r="O455" s="235"/>
      <c r="P455" s="236"/>
    </row>
    <row r="456" spans="1:16" ht="15" hidden="1" x14ac:dyDescent="0.2">
      <c r="A456" s="231" t="s">
        <v>1533</v>
      </c>
      <c r="B456" s="1021" t="s">
        <v>32</v>
      </c>
      <c r="C456" s="1022" t="s">
        <v>46</v>
      </c>
      <c r="D456" s="1023">
        <v>3</v>
      </c>
      <c r="E456" s="1024">
        <f>skilled</f>
        <v>1070</v>
      </c>
      <c r="F456" s="1025">
        <f>ROUND(E456*D456,2)</f>
        <v>3210</v>
      </c>
      <c r="G456" s="1035" t="s">
        <v>9</v>
      </c>
      <c r="H456" s="1022" t="s">
        <v>14</v>
      </c>
      <c r="I456" s="1023">
        <v>6.08</v>
      </c>
      <c r="J456" s="1024">
        <f>cement</f>
        <v>17013.62</v>
      </c>
      <c r="K456" s="1025">
        <f t="shared" ref="K456:K459" si="15">ROUND(J456*I456,2)</f>
        <v>103442.81</v>
      </c>
      <c r="L456" s="259" t="s">
        <v>420</v>
      </c>
      <c r="M456" s="1022" t="s">
        <v>28</v>
      </c>
      <c r="N456" s="1023">
        <v>6</v>
      </c>
      <c r="O456" s="1024">
        <f>mixer</f>
        <v>1000</v>
      </c>
      <c r="P456" s="1025">
        <f>ROUND(O456*N456,2)</f>
        <v>6000</v>
      </c>
    </row>
    <row r="457" spans="1:16" hidden="1" x14ac:dyDescent="0.2">
      <c r="A457" s="260" t="s">
        <v>20</v>
      </c>
      <c r="B457" s="1021" t="s">
        <v>21</v>
      </c>
      <c r="C457" s="1022" t="s">
        <v>46</v>
      </c>
      <c r="D457" s="1023">
        <v>30</v>
      </c>
      <c r="E457" s="1024">
        <f>unskilled</f>
        <v>770</v>
      </c>
      <c r="F457" s="1025">
        <f>ROUND(E457*D457,2)</f>
        <v>23100</v>
      </c>
      <c r="G457" s="1035" t="s">
        <v>1506</v>
      </c>
      <c r="H457" s="1022" t="s">
        <v>38</v>
      </c>
      <c r="I457" s="1023">
        <v>5.4</v>
      </c>
      <c r="J457" s="1024">
        <f>_Agg40</f>
        <v>2474.1999999999998</v>
      </c>
      <c r="K457" s="1025">
        <f t="shared" si="15"/>
        <v>13360.68</v>
      </c>
      <c r="L457" s="1021" t="s">
        <v>1493</v>
      </c>
      <c r="M457" s="1022" t="s">
        <v>28</v>
      </c>
      <c r="N457" s="1023">
        <v>6</v>
      </c>
      <c r="O457" s="1024">
        <f>generator</f>
        <v>1500</v>
      </c>
      <c r="P457" s="1025">
        <f>ROUND(O457*N457,2)</f>
        <v>9000</v>
      </c>
    </row>
    <row r="458" spans="1:16" hidden="1" x14ac:dyDescent="0.2">
      <c r="A458" s="260"/>
      <c r="B458" s="1021"/>
      <c r="C458" s="1022"/>
      <c r="D458" s="1023"/>
      <c r="E458" s="1024"/>
      <c r="F458" s="1025"/>
      <c r="G458" s="1035" t="s">
        <v>1498</v>
      </c>
      <c r="H458" s="1022" t="s">
        <v>38</v>
      </c>
      <c r="I458" s="1023">
        <v>5.4</v>
      </c>
      <c r="J458" s="1024">
        <f>_Agg20</f>
        <v>2574.1999999999998</v>
      </c>
      <c r="K458" s="1025">
        <f t="shared" si="15"/>
        <v>13900.68</v>
      </c>
      <c r="L458" s="1021"/>
      <c r="M458" s="1022"/>
      <c r="N458" s="1023"/>
      <c r="O458" s="1024"/>
      <c r="P458" s="1025"/>
    </row>
    <row r="459" spans="1:16" hidden="1" x14ac:dyDescent="0.2">
      <c r="A459" s="260"/>
      <c r="B459" s="1021"/>
      <c r="C459" s="1022"/>
      <c r="D459" s="1023"/>
      <c r="E459" s="1024"/>
      <c r="F459" s="1025"/>
      <c r="G459" s="1035" t="s">
        <v>1499</v>
      </c>
      <c r="H459" s="1022" t="s">
        <v>38</v>
      </c>
      <c r="I459" s="1023">
        <v>2.7</v>
      </c>
      <c r="J459" s="1024">
        <f>_agg10</f>
        <v>2574.1999999999998</v>
      </c>
      <c r="K459" s="1025">
        <f t="shared" si="15"/>
        <v>6950.34</v>
      </c>
      <c r="L459" s="1021"/>
      <c r="M459" s="1022"/>
      <c r="N459" s="1023"/>
      <c r="O459" s="1024"/>
      <c r="P459" s="1025"/>
    </row>
    <row r="460" spans="1:16" hidden="1" x14ac:dyDescent="0.2">
      <c r="A460" s="231"/>
      <c r="B460" s="1021"/>
      <c r="C460" s="1022"/>
      <c r="D460" s="1023"/>
      <c r="E460" s="1024"/>
      <c r="F460" s="1025"/>
      <c r="G460" s="1035" t="s">
        <v>45</v>
      </c>
      <c r="H460" s="1022" t="s">
        <v>38</v>
      </c>
      <c r="I460" s="1023">
        <v>6.75</v>
      </c>
      <c r="J460" s="1024">
        <f>sand</f>
        <v>2503.2750000000001</v>
      </c>
      <c r="K460" s="1025">
        <f>ROUND(J460*I460,2)</f>
        <v>16897.11</v>
      </c>
      <c r="L460" s="1021"/>
      <c r="M460" s="1022"/>
      <c r="N460" s="1023"/>
      <c r="O460" s="1024"/>
      <c r="P460" s="1025"/>
    </row>
    <row r="461" spans="1:16" hidden="1" x14ac:dyDescent="0.2">
      <c r="A461" s="231"/>
      <c r="B461" s="1021"/>
      <c r="C461" s="1022"/>
      <c r="D461" s="1023"/>
      <c r="E461" s="1024"/>
      <c r="F461" s="1025"/>
      <c r="G461" s="1035" t="s">
        <v>1507</v>
      </c>
      <c r="H461" s="1022" t="s">
        <v>6</v>
      </c>
      <c r="I461" s="1023">
        <f>I456*1000*0.004</f>
        <v>24.32</v>
      </c>
      <c r="J461" s="1024">
        <f>admixtures</f>
        <v>315.41361999999998</v>
      </c>
      <c r="K461" s="1025">
        <f>ROUND(J461*I461,2)</f>
        <v>7670.86</v>
      </c>
      <c r="L461" s="1021"/>
      <c r="M461" s="1022"/>
      <c r="N461" s="1023"/>
      <c r="O461" s="1024"/>
      <c r="P461" s="1025"/>
    </row>
    <row r="462" spans="1:16" ht="15" hidden="1" x14ac:dyDescent="0.2">
      <c r="A462" s="231"/>
      <c r="B462" s="1021"/>
      <c r="C462" s="1022"/>
      <c r="D462" s="1023"/>
      <c r="E462" s="1024"/>
      <c r="F462" s="1025"/>
      <c r="G462" s="659" t="s">
        <v>267</v>
      </c>
      <c r="H462" s="660" t="s">
        <v>44</v>
      </c>
      <c r="I462" s="661">
        <v>0.1</v>
      </c>
      <c r="J462" s="662">
        <f>petrol</f>
        <v>170</v>
      </c>
      <c r="K462" s="663">
        <f>ROUND(J462*I462,2)</f>
        <v>17</v>
      </c>
      <c r="L462" s="1021"/>
      <c r="M462" s="1022"/>
      <c r="N462" s="1023"/>
      <c r="O462" s="1024"/>
      <c r="P462" s="1025"/>
    </row>
    <row r="463" spans="1:16" ht="15" hidden="1" x14ac:dyDescent="0.2">
      <c r="A463" s="231"/>
      <c r="B463" s="1021"/>
      <c r="C463" s="1022"/>
      <c r="D463" s="1023"/>
      <c r="E463" s="1024"/>
      <c r="F463" s="1025"/>
      <c r="G463" s="659" t="s">
        <v>268</v>
      </c>
      <c r="H463" s="660" t="s">
        <v>44</v>
      </c>
      <c r="I463" s="661">
        <v>3</v>
      </c>
      <c r="J463" s="662">
        <f>diesel</f>
        <v>160</v>
      </c>
      <c r="K463" s="663">
        <f>ROUND(J463*I463,2)</f>
        <v>480</v>
      </c>
      <c r="L463" s="1021"/>
      <c r="M463" s="1022"/>
      <c r="N463" s="1023"/>
      <c r="O463" s="1024"/>
      <c r="P463" s="1025"/>
    </row>
    <row r="464" spans="1:16" hidden="1" x14ac:dyDescent="0.2">
      <c r="A464" s="231"/>
      <c r="B464" s="1021"/>
      <c r="C464" s="1022"/>
      <c r="D464" s="1023"/>
      <c r="E464" s="1024"/>
      <c r="F464" s="1025"/>
      <c r="G464" s="1035" t="s">
        <v>51</v>
      </c>
      <c r="H464" s="1022" t="s">
        <v>44</v>
      </c>
      <c r="I464" s="572">
        <v>3000</v>
      </c>
      <c r="J464" s="1024">
        <f>water</f>
        <v>0.24955999999999998</v>
      </c>
      <c r="K464" s="1025">
        <f>ROUND(J464*I464,2)</f>
        <v>748.68</v>
      </c>
      <c r="L464" s="1021"/>
      <c r="M464" s="1022"/>
      <c r="N464" s="1023"/>
      <c r="O464" s="1024"/>
      <c r="P464" s="1025"/>
    </row>
    <row r="465" spans="1:16" hidden="1" x14ac:dyDescent="0.2">
      <c r="A465" s="241"/>
      <c r="B465" s="242"/>
      <c r="C465" s="243"/>
      <c r="D465" s="243"/>
      <c r="E465" s="244" t="s">
        <v>39</v>
      </c>
      <c r="F465" s="245">
        <f>SUM(F456:F464)</f>
        <v>26310</v>
      </c>
      <c r="G465" s="242"/>
      <c r="H465" s="243"/>
      <c r="I465" s="243"/>
      <c r="J465" s="244" t="s">
        <v>40</v>
      </c>
      <c r="K465" s="245">
        <f>SUM(K456:K464)</f>
        <v>163468.15999999997</v>
      </c>
      <c r="L465" s="242"/>
      <c r="M465" s="243"/>
      <c r="N465" s="243"/>
      <c r="O465" s="246" t="s">
        <v>41</v>
      </c>
      <c r="P465" s="245">
        <f>SUM(P456:P464)</f>
        <v>15000</v>
      </c>
    </row>
    <row r="466" spans="1:16" hidden="1" x14ac:dyDescent="0.2">
      <c r="A466" s="247"/>
      <c r="B466" s="575"/>
      <c r="C466" s="575"/>
      <c r="D466" s="575"/>
      <c r="E466" s="575"/>
      <c r="F466" s="1020" t="s">
        <v>29</v>
      </c>
      <c r="G466" s="248">
        <f>F465+K465+P465</f>
        <v>204778.15999999997</v>
      </c>
      <c r="H466" s="575"/>
      <c r="I466" s="249"/>
      <c r="J466" s="250"/>
      <c r="K466" s="251"/>
      <c r="L466" s="575"/>
      <c r="M466" s="575"/>
      <c r="N466" s="575"/>
      <c r="O466" s="575"/>
      <c r="P466" s="575"/>
    </row>
    <row r="467" spans="1:16" hidden="1" x14ac:dyDescent="0.2">
      <c r="A467" s="247"/>
      <c r="B467" s="575"/>
      <c r="C467" s="575"/>
      <c r="D467" s="1423" t="s">
        <v>1526</v>
      </c>
      <c r="E467" s="1423"/>
      <c r="F467" s="1423"/>
      <c r="G467" s="248">
        <f>G466*0.12</f>
        <v>24573.379199999996</v>
      </c>
      <c r="H467" s="575"/>
      <c r="I467" s="249"/>
      <c r="J467" s="250"/>
      <c r="K467" s="251"/>
      <c r="L467" s="575"/>
      <c r="M467" s="575"/>
      <c r="N467" s="575"/>
      <c r="O467" s="575"/>
      <c r="P467" s="575"/>
    </row>
    <row r="468" spans="1:16" hidden="1" x14ac:dyDescent="0.2">
      <c r="A468" s="247"/>
      <c r="B468" s="575"/>
      <c r="C468" s="575"/>
      <c r="D468" s="1020"/>
      <c r="E468" s="1423" t="s">
        <v>1527</v>
      </c>
      <c r="F468" s="1423"/>
      <c r="G468" s="248">
        <f>G466*0.02</f>
        <v>4095.5631999999996</v>
      </c>
      <c r="H468" s="575"/>
      <c r="I468" s="249"/>
      <c r="J468" s="250"/>
      <c r="K468" s="251"/>
      <c r="L468" s="575"/>
      <c r="M468" s="575"/>
      <c r="N468" s="575"/>
      <c r="O468" s="575"/>
      <c r="P468" s="575"/>
    </row>
    <row r="469" spans="1:16" hidden="1" x14ac:dyDescent="0.2">
      <c r="A469" s="247"/>
      <c r="B469" s="575"/>
      <c r="C469" s="575"/>
      <c r="D469" s="575"/>
      <c r="E469" s="575"/>
      <c r="F469" s="252" t="s">
        <v>31</v>
      </c>
      <c r="G469" s="248">
        <f>0.15*G466</f>
        <v>30716.723999999995</v>
      </c>
      <c r="H469" s="575"/>
      <c r="I469" s="249"/>
      <c r="J469" s="250"/>
      <c r="K469" s="251"/>
      <c r="L469" s="575"/>
      <c r="M469" s="575"/>
      <c r="N469" s="575"/>
      <c r="O469" s="575"/>
      <c r="P469" s="575"/>
    </row>
    <row r="470" spans="1:16" ht="15" hidden="1" x14ac:dyDescent="0.25">
      <c r="A470" s="253"/>
      <c r="B470" s="249"/>
      <c r="C470" s="249"/>
      <c r="D470" s="249"/>
      <c r="E470" s="575"/>
      <c r="F470" s="277" t="str">
        <f>"Rate for "&amp;O450&amp;" m² :"</f>
        <v>Rate for 15 m² :</v>
      </c>
      <c r="G470" s="1012">
        <f>SUM(G466:G469)</f>
        <v>264163.82639999996</v>
      </c>
      <c r="H470" s="256"/>
      <c r="I470" s="249"/>
      <c r="J470" s="250"/>
      <c r="K470" s="251"/>
      <c r="L470" s="575"/>
      <c r="M470" s="575"/>
      <c r="N470" s="575"/>
      <c r="O470" s="575"/>
      <c r="P470" s="575"/>
    </row>
    <row r="471" spans="1:16" hidden="1" x14ac:dyDescent="0.2">
      <c r="A471" s="247"/>
      <c r="B471" s="575"/>
      <c r="C471" s="575"/>
      <c r="D471" s="575"/>
      <c r="E471" s="1027"/>
      <c r="F471" s="277" t="s">
        <v>1494</v>
      </c>
      <c r="G471" s="278">
        <f>G470/O450</f>
        <v>17610.921759999997</v>
      </c>
      <c r="H471" s="575"/>
      <c r="I471" s="249"/>
      <c r="J471" s="256"/>
      <c r="K471" s="275"/>
      <c r="L471" s="575"/>
      <c r="M471" s="575"/>
      <c r="N471" s="575"/>
      <c r="O471" s="575"/>
      <c r="P471" s="575"/>
    </row>
    <row r="472" spans="1:16" hidden="1" x14ac:dyDescent="0.2">
      <c r="A472" s="253"/>
      <c r="B472" s="249"/>
      <c r="C472" s="249"/>
      <c r="D472" s="249"/>
      <c r="E472" s="249"/>
      <c r="F472" s="254" t="s">
        <v>1</v>
      </c>
      <c r="G472" s="255">
        <f>G471</f>
        <v>17610.921759999997</v>
      </c>
      <c r="H472" s="249" t="s">
        <v>30</v>
      </c>
      <c r="I472" s="222" t="s">
        <v>38</v>
      </c>
      <c r="J472" s="256"/>
      <c r="K472" s="275"/>
      <c r="L472" s="275"/>
      <c r="M472" s="275"/>
      <c r="N472" s="575"/>
      <c r="O472" s="575"/>
      <c r="P472" s="575"/>
    </row>
    <row r="473" spans="1:16" hidden="1" x14ac:dyDescent="0.2">
      <c r="A473" s="575" t="s">
        <v>27</v>
      </c>
      <c r="B473" s="223">
        <f>B450+1</f>
        <v>24</v>
      </c>
      <c r="C473" s="222"/>
      <c r="D473" s="575"/>
      <c r="E473" s="575"/>
      <c r="F473" s="575"/>
      <c r="G473" s="575"/>
      <c r="H473" s="575"/>
      <c r="I473" s="575"/>
      <c r="J473" s="575"/>
      <c r="K473" s="575"/>
      <c r="L473" s="575"/>
      <c r="M473" s="575"/>
      <c r="N473" s="1020" t="s">
        <v>13</v>
      </c>
      <c r="O473" s="248">
        <v>15</v>
      </c>
      <c r="P473" s="222" t="s">
        <v>38</v>
      </c>
    </row>
    <row r="474" spans="1:16" hidden="1" x14ac:dyDescent="0.2">
      <c r="A474" s="223" t="s">
        <v>12</v>
      </c>
      <c r="B474" s="257" t="s">
        <v>1518</v>
      </c>
      <c r="C474" s="257"/>
      <c r="D474" s="257"/>
      <c r="E474" s="257"/>
      <c r="F474" s="257"/>
      <c r="G474" s="257"/>
      <c r="H474" s="257"/>
      <c r="I474" s="257"/>
      <c r="J474" s="257"/>
      <c r="K474" s="257" t="s">
        <v>1511</v>
      </c>
      <c r="L474" s="257"/>
      <c r="M474" s="257"/>
      <c r="N474" s="257"/>
      <c r="O474" s="257"/>
      <c r="P474" s="257"/>
    </row>
    <row r="475" spans="1:16" hidden="1" x14ac:dyDescent="0.2">
      <c r="A475" s="223"/>
      <c r="B475" s="265" t="s">
        <v>1528</v>
      </c>
      <c r="C475" s="265"/>
      <c r="D475" s="265"/>
      <c r="E475" s="265"/>
      <c r="F475" s="265"/>
      <c r="G475" s="265"/>
      <c r="H475" s="265"/>
      <c r="I475" s="265"/>
      <c r="J475" s="265"/>
      <c r="K475" s="265"/>
      <c r="L475" s="265"/>
      <c r="M475" s="265"/>
      <c r="N475" s="265"/>
      <c r="O475" s="265"/>
      <c r="P475" s="265"/>
    </row>
    <row r="476" spans="1:16" hidden="1" x14ac:dyDescent="0.2">
      <c r="A476" s="225" t="s">
        <v>243</v>
      </c>
      <c r="B476" s="226" t="s">
        <v>15</v>
      </c>
      <c r="C476" s="227"/>
      <c r="D476" s="227"/>
      <c r="E476" s="227"/>
      <c r="F476" s="226"/>
      <c r="G476" s="1415" t="s">
        <v>16</v>
      </c>
      <c r="H476" s="1416"/>
      <c r="I476" s="1416"/>
      <c r="J476" s="1416"/>
      <c r="K476" s="1417"/>
      <c r="L476" s="227" t="s">
        <v>17</v>
      </c>
      <c r="M476" s="227"/>
      <c r="N476" s="227"/>
      <c r="O476" s="227"/>
      <c r="P476" s="227"/>
    </row>
    <row r="477" spans="1:16" hidden="1" x14ac:dyDescent="0.2">
      <c r="A477" s="225" t="s">
        <v>273</v>
      </c>
      <c r="B477" s="228" t="s">
        <v>18</v>
      </c>
      <c r="C477" s="229" t="s">
        <v>0</v>
      </c>
      <c r="D477" s="229" t="s">
        <v>5</v>
      </c>
      <c r="E477" s="229" t="s">
        <v>1</v>
      </c>
      <c r="F477" s="230" t="s">
        <v>2</v>
      </c>
      <c r="G477" s="228" t="s">
        <v>19</v>
      </c>
      <c r="H477" s="229" t="s">
        <v>0</v>
      </c>
      <c r="I477" s="229" t="s">
        <v>5</v>
      </c>
      <c r="J477" s="229" t="s">
        <v>1</v>
      </c>
      <c r="K477" s="230" t="s">
        <v>2</v>
      </c>
      <c r="L477" s="228" t="s">
        <v>19</v>
      </c>
      <c r="M477" s="229" t="s">
        <v>0</v>
      </c>
      <c r="N477" s="229" t="s">
        <v>5</v>
      </c>
      <c r="O477" s="229" t="s">
        <v>1</v>
      </c>
      <c r="P477" s="230" t="s">
        <v>2</v>
      </c>
    </row>
    <row r="478" spans="1:16" hidden="1" x14ac:dyDescent="0.2">
      <c r="A478" s="258"/>
      <c r="B478" s="237"/>
      <c r="C478" s="233"/>
      <c r="D478" s="234"/>
      <c r="E478" s="235"/>
      <c r="F478" s="236"/>
      <c r="G478" s="237"/>
      <c r="H478" s="233"/>
      <c r="I478" s="234"/>
      <c r="J478" s="235"/>
      <c r="K478" s="236"/>
      <c r="L478" s="237"/>
      <c r="M478" s="233"/>
      <c r="N478" s="234"/>
      <c r="O478" s="235"/>
      <c r="P478" s="236"/>
    </row>
    <row r="479" spans="1:16" ht="15" hidden="1" x14ac:dyDescent="0.2">
      <c r="A479" s="231" t="s">
        <v>1534</v>
      </c>
      <c r="B479" s="1021" t="s">
        <v>32</v>
      </c>
      <c r="C479" s="1022" t="s">
        <v>46</v>
      </c>
      <c r="D479" s="1023">
        <v>3</v>
      </c>
      <c r="E479" s="1024">
        <f>skilled</f>
        <v>1070</v>
      </c>
      <c r="F479" s="1025">
        <f>ROUND(E479*D479,2)</f>
        <v>3210</v>
      </c>
      <c r="G479" s="1035" t="s">
        <v>9</v>
      </c>
      <c r="H479" s="1022" t="s">
        <v>14</v>
      </c>
      <c r="I479" s="1023">
        <v>6.08</v>
      </c>
      <c r="J479" s="1024">
        <f>cement</f>
        <v>17013.62</v>
      </c>
      <c r="K479" s="1025">
        <f t="shared" ref="K479:K482" si="16">ROUND(J479*I479,2)</f>
        <v>103442.81</v>
      </c>
      <c r="L479" s="259" t="s">
        <v>420</v>
      </c>
      <c r="M479" s="1022" t="s">
        <v>28</v>
      </c>
      <c r="N479" s="1023">
        <v>6</v>
      </c>
      <c r="O479" s="1024">
        <f>mixer</f>
        <v>1000</v>
      </c>
      <c r="P479" s="1025">
        <f>ROUND(O479*N479,2)</f>
        <v>6000</v>
      </c>
    </row>
    <row r="480" spans="1:16" hidden="1" x14ac:dyDescent="0.2">
      <c r="A480" s="260" t="s">
        <v>20</v>
      </c>
      <c r="B480" s="1021" t="s">
        <v>21</v>
      </c>
      <c r="C480" s="1022" t="s">
        <v>46</v>
      </c>
      <c r="D480" s="1023">
        <v>30</v>
      </c>
      <c r="E480" s="1024">
        <f>unskilled</f>
        <v>770</v>
      </c>
      <c r="F480" s="1025">
        <f>ROUND(E480*D480,2)</f>
        <v>23100</v>
      </c>
      <c r="G480" s="1035" t="s">
        <v>1506</v>
      </c>
      <c r="H480" s="1022" t="s">
        <v>38</v>
      </c>
      <c r="I480" s="1023">
        <v>5.4</v>
      </c>
      <c r="J480" s="1024">
        <f>_Agg40</f>
        <v>2474.1999999999998</v>
      </c>
      <c r="K480" s="1025">
        <f t="shared" si="16"/>
        <v>13360.68</v>
      </c>
      <c r="L480" s="1021" t="s">
        <v>1493</v>
      </c>
      <c r="M480" s="1022" t="s">
        <v>28</v>
      </c>
      <c r="N480" s="1023">
        <v>6</v>
      </c>
      <c r="O480" s="1024">
        <f>generator</f>
        <v>1500</v>
      </c>
      <c r="P480" s="1025">
        <f>ROUND(O480*N480,2)</f>
        <v>9000</v>
      </c>
    </row>
    <row r="481" spans="1:16" hidden="1" x14ac:dyDescent="0.2">
      <c r="A481" s="260"/>
      <c r="B481" s="1021"/>
      <c r="C481" s="1022"/>
      <c r="D481" s="1023"/>
      <c r="E481" s="1024"/>
      <c r="F481" s="1025"/>
      <c r="G481" s="1035" t="s">
        <v>1498</v>
      </c>
      <c r="H481" s="1022" t="s">
        <v>38</v>
      </c>
      <c r="I481" s="1023">
        <v>5.4</v>
      </c>
      <c r="J481" s="1024">
        <f>_Agg20</f>
        <v>2574.1999999999998</v>
      </c>
      <c r="K481" s="1025">
        <f t="shared" si="16"/>
        <v>13900.68</v>
      </c>
      <c r="L481" s="1021"/>
      <c r="M481" s="1022"/>
      <c r="N481" s="1023"/>
      <c r="O481" s="1024"/>
      <c r="P481" s="1025"/>
    </row>
    <row r="482" spans="1:16" hidden="1" x14ac:dyDescent="0.2">
      <c r="A482" s="260"/>
      <c r="B482" s="1021"/>
      <c r="C482" s="1022"/>
      <c r="D482" s="1023"/>
      <c r="E482" s="1024"/>
      <c r="F482" s="1025"/>
      <c r="G482" s="1035" t="s">
        <v>1499</v>
      </c>
      <c r="H482" s="1022" t="s">
        <v>38</v>
      </c>
      <c r="I482" s="1023">
        <v>2.7</v>
      </c>
      <c r="J482" s="1024">
        <f>_agg10</f>
        <v>2574.1999999999998</v>
      </c>
      <c r="K482" s="1025">
        <f t="shared" si="16"/>
        <v>6950.34</v>
      </c>
      <c r="L482" s="1021"/>
      <c r="M482" s="1022"/>
      <c r="N482" s="1023"/>
      <c r="O482" s="1024"/>
      <c r="P482" s="1025"/>
    </row>
    <row r="483" spans="1:16" hidden="1" x14ac:dyDescent="0.2">
      <c r="A483" s="231"/>
      <c r="B483" s="1021"/>
      <c r="C483" s="1022"/>
      <c r="D483" s="1023"/>
      <c r="E483" s="1024"/>
      <c r="F483" s="1025"/>
      <c r="G483" s="1035" t="s">
        <v>45</v>
      </c>
      <c r="H483" s="1022" t="s">
        <v>38</v>
      </c>
      <c r="I483" s="1023">
        <v>6.75</v>
      </c>
      <c r="J483" s="1024">
        <f>sand</f>
        <v>2503.2750000000001</v>
      </c>
      <c r="K483" s="1025">
        <f>ROUND(J483*I483,2)</f>
        <v>16897.11</v>
      </c>
      <c r="L483" s="1021"/>
      <c r="M483" s="1022"/>
      <c r="N483" s="1023"/>
      <c r="O483" s="1024"/>
      <c r="P483" s="1025"/>
    </row>
    <row r="484" spans="1:16" hidden="1" x14ac:dyDescent="0.2">
      <c r="A484" s="231"/>
      <c r="B484" s="1021"/>
      <c r="C484" s="1022"/>
      <c r="D484" s="1023"/>
      <c r="E484" s="1024"/>
      <c r="F484" s="1025"/>
      <c r="G484" s="1035" t="s">
        <v>1507</v>
      </c>
      <c r="H484" s="1022" t="s">
        <v>6</v>
      </c>
      <c r="I484" s="1023">
        <f>I479*1000*0.004</f>
        <v>24.32</v>
      </c>
      <c r="J484" s="1024">
        <f>admixtures</f>
        <v>315.41361999999998</v>
      </c>
      <c r="K484" s="1025">
        <f>ROUND(J484*I484,2)</f>
        <v>7670.86</v>
      </c>
      <c r="L484" s="1021"/>
      <c r="M484" s="1022"/>
      <c r="N484" s="1023"/>
      <c r="O484" s="1024"/>
      <c r="P484" s="1025"/>
    </row>
    <row r="485" spans="1:16" ht="15" hidden="1" x14ac:dyDescent="0.2">
      <c r="A485" s="231"/>
      <c r="B485" s="1021"/>
      <c r="C485" s="1022"/>
      <c r="D485" s="1023"/>
      <c r="E485" s="1024"/>
      <c r="F485" s="1025"/>
      <c r="G485" s="659" t="s">
        <v>267</v>
      </c>
      <c r="H485" s="660" t="s">
        <v>44</v>
      </c>
      <c r="I485" s="661">
        <v>0.1</v>
      </c>
      <c r="J485" s="662">
        <f>petrol</f>
        <v>170</v>
      </c>
      <c r="K485" s="663">
        <f>ROUND(J485*I485,2)</f>
        <v>17</v>
      </c>
      <c r="L485" s="1021"/>
      <c r="M485" s="1022"/>
      <c r="N485" s="1023"/>
      <c r="O485" s="1024"/>
      <c r="P485" s="1025"/>
    </row>
    <row r="486" spans="1:16" ht="15" hidden="1" x14ac:dyDescent="0.2">
      <c r="A486" s="231"/>
      <c r="B486" s="1021"/>
      <c r="C486" s="1022"/>
      <c r="D486" s="1023"/>
      <c r="E486" s="1024"/>
      <c r="F486" s="1025"/>
      <c r="G486" s="659" t="s">
        <v>268</v>
      </c>
      <c r="H486" s="660" t="s">
        <v>44</v>
      </c>
      <c r="I486" s="661">
        <v>3</v>
      </c>
      <c r="J486" s="662">
        <f>diesel</f>
        <v>160</v>
      </c>
      <c r="K486" s="663">
        <f>ROUND(J486*I486,2)</f>
        <v>480</v>
      </c>
      <c r="L486" s="1021"/>
      <c r="M486" s="1022"/>
      <c r="N486" s="1023"/>
      <c r="O486" s="1024"/>
      <c r="P486" s="1025"/>
    </row>
    <row r="487" spans="1:16" hidden="1" x14ac:dyDescent="0.2">
      <c r="A487" s="231"/>
      <c r="B487" s="1021"/>
      <c r="C487" s="1022"/>
      <c r="D487" s="1023"/>
      <c r="E487" s="1024"/>
      <c r="F487" s="1025"/>
      <c r="G487" s="1035" t="s">
        <v>51</v>
      </c>
      <c r="H487" s="1022" t="s">
        <v>44</v>
      </c>
      <c r="I487" s="572">
        <v>3000</v>
      </c>
      <c r="J487" s="1024">
        <f>water</f>
        <v>0.24955999999999998</v>
      </c>
      <c r="K487" s="1025">
        <f>ROUND(J487*I487,2)</f>
        <v>748.68</v>
      </c>
      <c r="L487" s="1021"/>
      <c r="M487" s="1022"/>
      <c r="N487" s="1023"/>
      <c r="O487" s="1024"/>
      <c r="P487" s="1025"/>
    </row>
    <row r="488" spans="1:16" hidden="1" x14ac:dyDescent="0.2">
      <c r="A488" s="241"/>
      <c r="B488" s="242"/>
      <c r="C488" s="243"/>
      <c r="D488" s="243"/>
      <c r="E488" s="244" t="s">
        <v>39</v>
      </c>
      <c r="F488" s="245">
        <f>SUM(F479:F487)</f>
        <v>26310</v>
      </c>
      <c r="G488" s="242"/>
      <c r="H488" s="243"/>
      <c r="I488" s="243"/>
      <c r="J488" s="244" t="s">
        <v>40</v>
      </c>
      <c r="K488" s="245">
        <f>SUM(K479:K487)</f>
        <v>163468.15999999997</v>
      </c>
      <c r="L488" s="242"/>
      <c r="M488" s="243"/>
      <c r="N488" s="243"/>
      <c r="O488" s="246" t="s">
        <v>41</v>
      </c>
      <c r="P488" s="245">
        <f>SUM(P479:P487)</f>
        <v>15000</v>
      </c>
    </row>
    <row r="489" spans="1:16" hidden="1" x14ac:dyDescent="0.2">
      <c r="A489" s="247"/>
      <c r="B489" s="575"/>
      <c r="C489" s="575"/>
      <c r="D489" s="575"/>
      <c r="E489" s="575"/>
      <c r="F489" s="1020" t="s">
        <v>29</v>
      </c>
      <c r="G489" s="248">
        <f>F488+K488+P488</f>
        <v>204778.15999999997</v>
      </c>
      <c r="H489" s="575"/>
      <c r="I489" s="249"/>
      <c r="J489" s="250"/>
      <c r="K489" s="251"/>
      <c r="L489" s="575"/>
      <c r="M489" s="575"/>
      <c r="N489" s="575"/>
      <c r="O489" s="575"/>
      <c r="P489" s="575"/>
    </row>
    <row r="490" spans="1:16" hidden="1" x14ac:dyDescent="0.2">
      <c r="A490" s="247"/>
      <c r="B490" s="575"/>
      <c r="C490" s="575"/>
      <c r="D490" s="1423" t="s">
        <v>1530</v>
      </c>
      <c r="E490" s="1423"/>
      <c r="F490" s="1423"/>
      <c r="G490" s="248">
        <f>G489*0.15</f>
        <v>30716.723999999995</v>
      </c>
      <c r="H490" s="575"/>
      <c r="I490" s="249"/>
      <c r="J490" s="250"/>
      <c r="K490" s="251"/>
      <c r="L490" s="575"/>
      <c r="M490" s="575"/>
      <c r="N490" s="575"/>
      <c r="O490" s="575"/>
      <c r="P490" s="575"/>
    </row>
    <row r="491" spans="1:16" hidden="1" x14ac:dyDescent="0.2">
      <c r="A491" s="247"/>
      <c r="B491" s="575"/>
      <c r="C491" s="575"/>
      <c r="D491" s="1020"/>
      <c r="E491" s="1423" t="s">
        <v>1531</v>
      </c>
      <c r="F491" s="1423"/>
      <c r="G491" s="248">
        <f>G489*0.04</f>
        <v>8191.1263999999992</v>
      </c>
      <c r="H491" s="575"/>
      <c r="I491" s="249"/>
      <c r="J491" s="250"/>
      <c r="K491" s="251"/>
      <c r="L491" s="575"/>
      <c r="M491" s="575"/>
      <c r="N491" s="575"/>
      <c r="O491" s="575"/>
      <c r="P491" s="575"/>
    </row>
    <row r="492" spans="1:16" hidden="1" x14ac:dyDescent="0.2">
      <c r="A492" s="247"/>
      <c r="B492" s="575"/>
      <c r="C492" s="575"/>
      <c r="D492" s="575"/>
      <c r="E492" s="575"/>
      <c r="F492" s="252" t="s">
        <v>31</v>
      </c>
      <c r="G492" s="248">
        <f>0.15*G489</f>
        <v>30716.723999999995</v>
      </c>
      <c r="H492" s="575"/>
      <c r="I492" s="249"/>
      <c r="J492" s="250"/>
      <c r="K492" s="251"/>
      <c r="L492" s="575"/>
      <c r="M492" s="575"/>
      <c r="N492" s="575"/>
      <c r="O492" s="575"/>
      <c r="P492" s="575"/>
    </row>
    <row r="493" spans="1:16" ht="15" hidden="1" x14ac:dyDescent="0.25">
      <c r="A493" s="253"/>
      <c r="B493" s="249"/>
      <c r="C493" s="249"/>
      <c r="D493" s="249"/>
      <c r="E493" s="575"/>
      <c r="F493" s="277" t="str">
        <f>"Rate for "&amp;O473&amp;" m² :"</f>
        <v>Rate for 15 m² :</v>
      </c>
      <c r="G493" s="1012">
        <f>SUM(G489:G492)</f>
        <v>274402.73439999996</v>
      </c>
      <c r="H493" s="256"/>
      <c r="I493" s="249"/>
      <c r="J493" s="250"/>
      <c r="K493" s="251"/>
      <c r="L493" s="575"/>
      <c r="M493" s="575"/>
      <c r="N493" s="575"/>
      <c r="O493" s="575"/>
      <c r="P493" s="575"/>
    </row>
    <row r="494" spans="1:16" hidden="1" x14ac:dyDescent="0.2">
      <c r="A494" s="247"/>
      <c r="B494" s="575"/>
      <c r="C494" s="575"/>
      <c r="D494" s="575"/>
      <c r="E494" s="1027"/>
      <c r="F494" s="277" t="s">
        <v>1494</v>
      </c>
      <c r="G494" s="278">
        <f>G493/O473</f>
        <v>18293.515626666664</v>
      </c>
      <c r="H494" s="575"/>
      <c r="I494" s="249"/>
      <c r="J494" s="256"/>
      <c r="K494" s="275"/>
      <c r="L494" s="575"/>
      <c r="M494" s="575"/>
      <c r="N494" s="575"/>
      <c r="O494" s="575"/>
      <c r="P494" s="575"/>
    </row>
    <row r="495" spans="1:16" hidden="1" x14ac:dyDescent="0.2">
      <c r="A495" s="253"/>
      <c r="B495" s="249"/>
      <c r="C495" s="249"/>
      <c r="D495" s="249"/>
      <c r="E495" s="249"/>
      <c r="F495" s="254" t="s">
        <v>1</v>
      </c>
      <c r="G495" s="255">
        <f>G494</f>
        <v>18293.515626666664</v>
      </c>
      <c r="H495" s="249" t="s">
        <v>30</v>
      </c>
      <c r="I495" s="222" t="s">
        <v>38</v>
      </c>
      <c r="J495" s="256"/>
      <c r="K495" s="275"/>
      <c r="L495" s="275"/>
      <c r="M495" s="275"/>
      <c r="N495" s="575"/>
      <c r="O495" s="575"/>
      <c r="P495" s="575"/>
    </row>
    <row r="496" spans="1:16" hidden="1" x14ac:dyDescent="0.2">
      <c r="A496" s="575" t="s">
        <v>27</v>
      </c>
      <c r="B496" s="223">
        <f>B473+1</f>
        <v>25</v>
      </c>
      <c r="C496" s="222"/>
      <c r="D496" s="575"/>
      <c r="E496" s="575"/>
      <c r="F496" s="575"/>
      <c r="G496" s="575"/>
      <c r="H496" s="575"/>
      <c r="I496" s="575"/>
      <c r="J496" s="575"/>
      <c r="K496" s="575"/>
      <c r="L496" s="575"/>
      <c r="M496" s="575"/>
      <c r="N496" s="1020" t="s">
        <v>13</v>
      </c>
      <c r="O496" s="248">
        <v>15</v>
      </c>
      <c r="P496" s="222" t="s">
        <v>38</v>
      </c>
    </row>
    <row r="497" spans="1:16" hidden="1" x14ac:dyDescent="0.2">
      <c r="A497" s="223" t="s">
        <v>12</v>
      </c>
      <c r="B497" s="257" t="s">
        <v>1535</v>
      </c>
      <c r="C497" s="257"/>
      <c r="D497" s="257"/>
      <c r="E497" s="257"/>
      <c r="F497" s="257"/>
      <c r="G497" s="257"/>
      <c r="H497" s="257"/>
      <c r="I497" s="257"/>
      <c r="J497" s="257"/>
      <c r="K497" s="257" t="s">
        <v>1502</v>
      </c>
      <c r="L497" s="257"/>
      <c r="M497" s="257"/>
      <c r="N497" s="257"/>
      <c r="O497" s="257"/>
      <c r="P497" s="257"/>
    </row>
    <row r="498" spans="1:16" hidden="1" x14ac:dyDescent="0.2">
      <c r="A498" s="223"/>
      <c r="B498" s="265" t="s">
        <v>1519</v>
      </c>
      <c r="C498" s="265"/>
      <c r="D498" s="265"/>
      <c r="E498" s="265"/>
      <c r="F498" s="265"/>
      <c r="G498" s="265"/>
      <c r="H498" s="265"/>
      <c r="I498" s="265"/>
      <c r="J498" s="265"/>
      <c r="K498" s="265"/>
      <c r="L498" s="265"/>
      <c r="M498" s="265"/>
      <c r="N498" s="265"/>
      <c r="O498" s="265"/>
      <c r="P498" s="265"/>
    </row>
    <row r="499" spans="1:16" hidden="1" x14ac:dyDescent="0.2">
      <c r="A499" s="225" t="s">
        <v>243</v>
      </c>
      <c r="B499" s="226" t="s">
        <v>15</v>
      </c>
      <c r="C499" s="227"/>
      <c r="D499" s="227"/>
      <c r="E499" s="227"/>
      <c r="F499" s="226"/>
      <c r="G499" s="1412" t="s">
        <v>16</v>
      </c>
      <c r="H499" s="1413"/>
      <c r="I499" s="1413"/>
      <c r="J499" s="1413"/>
      <c r="K499" s="1414"/>
      <c r="L499" s="227" t="s">
        <v>17</v>
      </c>
      <c r="M499" s="227"/>
      <c r="N499" s="227"/>
      <c r="O499" s="227"/>
      <c r="P499" s="227"/>
    </row>
    <row r="500" spans="1:16" hidden="1" x14ac:dyDescent="0.2">
      <c r="A500" s="225" t="s">
        <v>273</v>
      </c>
      <c r="B500" s="228" t="s">
        <v>18</v>
      </c>
      <c r="C500" s="229" t="s">
        <v>0</v>
      </c>
      <c r="D500" s="229" t="s">
        <v>5</v>
      </c>
      <c r="E500" s="229" t="s">
        <v>1</v>
      </c>
      <c r="F500" s="230" t="s">
        <v>2</v>
      </c>
      <c r="G500" s="228" t="s">
        <v>19</v>
      </c>
      <c r="H500" s="229" t="s">
        <v>0</v>
      </c>
      <c r="I500" s="229" t="s">
        <v>5</v>
      </c>
      <c r="J500" s="229" t="s">
        <v>1</v>
      </c>
      <c r="K500" s="230" t="s">
        <v>2</v>
      </c>
      <c r="L500" s="228" t="s">
        <v>19</v>
      </c>
      <c r="M500" s="229" t="s">
        <v>0</v>
      </c>
      <c r="N500" s="229" t="s">
        <v>5</v>
      </c>
      <c r="O500" s="229" t="s">
        <v>1</v>
      </c>
      <c r="P500" s="230" t="s">
        <v>2</v>
      </c>
    </row>
    <row r="501" spans="1:16" hidden="1" x14ac:dyDescent="0.2">
      <c r="A501" s="258"/>
      <c r="B501" s="237"/>
      <c r="C501" s="233"/>
      <c r="D501" s="234"/>
      <c r="E501" s="235"/>
      <c r="F501" s="236"/>
      <c r="G501" s="237"/>
      <c r="H501" s="233"/>
      <c r="I501" s="234"/>
      <c r="J501" s="235"/>
      <c r="K501" s="236"/>
      <c r="L501" s="237"/>
      <c r="M501" s="233"/>
      <c r="N501" s="234"/>
      <c r="O501" s="235"/>
      <c r="P501" s="236"/>
    </row>
    <row r="502" spans="1:16" ht="15" hidden="1" x14ac:dyDescent="0.2">
      <c r="A502" s="231" t="s">
        <v>1536</v>
      </c>
      <c r="B502" s="1021" t="s">
        <v>32</v>
      </c>
      <c r="C502" s="1022" t="s">
        <v>46</v>
      </c>
      <c r="D502" s="1023">
        <v>3</v>
      </c>
      <c r="E502" s="1024">
        <f>skilled</f>
        <v>1070</v>
      </c>
      <c r="F502" s="1025">
        <f>ROUND(E502*D502,2)</f>
        <v>3210</v>
      </c>
      <c r="G502" s="1035" t="s">
        <v>9</v>
      </c>
      <c r="H502" s="1022" t="s">
        <v>14</v>
      </c>
      <c r="I502" s="1023">
        <v>5.21</v>
      </c>
      <c r="J502" s="1024">
        <f>cement</f>
        <v>17013.62</v>
      </c>
      <c r="K502" s="1025">
        <f t="shared" ref="K502:K505" si="17">ROUND(J502*I502,2)</f>
        <v>88640.960000000006</v>
      </c>
      <c r="L502" s="259" t="s">
        <v>420</v>
      </c>
      <c r="M502" s="1022" t="s">
        <v>28</v>
      </c>
      <c r="N502" s="1023">
        <v>6</v>
      </c>
      <c r="O502" s="1024">
        <f>mixer</f>
        <v>1000</v>
      </c>
      <c r="P502" s="1025">
        <f>ROUND(O502*N502,2)</f>
        <v>6000</v>
      </c>
    </row>
    <row r="503" spans="1:16" hidden="1" x14ac:dyDescent="0.2">
      <c r="A503" s="260" t="s">
        <v>20</v>
      </c>
      <c r="B503" s="1021" t="s">
        <v>21</v>
      </c>
      <c r="C503" s="1022" t="s">
        <v>46</v>
      </c>
      <c r="D503" s="1023">
        <v>30</v>
      </c>
      <c r="E503" s="1024">
        <f>unskilled</f>
        <v>770</v>
      </c>
      <c r="F503" s="1025">
        <f>ROUND(E503*D503,2)</f>
        <v>23100</v>
      </c>
      <c r="G503" s="1035"/>
      <c r="H503" s="1022"/>
      <c r="I503" s="1023"/>
      <c r="J503" s="1024"/>
      <c r="K503" s="1025"/>
      <c r="L503" s="1021" t="s">
        <v>1493</v>
      </c>
      <c r="M503" s="1022" t="s">
        <v>28</v>
      </c>
      <c r="N503" s="1023">
        <v>6</v>
      </c>
      <c r="O503" s="1024">
        <f>generator</f>
        <v>1500</v>
      </c>
      <c r="P503" s="1025">
        <f>ROUND(O503*N503,2)</f>
        <v>9000</v>
      </c>
    </row>
    <row r="504" spans="1:16" hidden="1" x14ac:dyDescent="0.2">
      <c r="A504" s="260"/>
      <c r="B504" s="1021"/>
      <c r="C504" s="1022"/>
      <c r="D504" s="1023"/>
      <c r="E504" s="1024"/>
      <c r="F504" s="1025"/>
      <c r="G504" s="1035" t="s">
        <v>1498</v>
      </c>
      <c r="H504" s="1022" t="s">
        <v>38</v>
      </c>
      <c r="I504" s="1023">
        <v>8.1</v>
      </c>
      <c r="J504" s="1024">
        <f>_Agg20</f>
        <v>2574.1999999999998</v>
      </c>
      <c r="K504" s="1025">
        <f t="shared" si="17"/>
        <v>20851.02</v>
      </c>
      <c r="L504" s="1021"/>
      <c r="M504" s="1022"/>
      <c r="N504" s="1023"/>
      <c r="O504" s="1024"/>
      <c r="P504" s="1025"/>
    </row>
    <row r="505" spans="1:16" hidden="1" x14ac:dyDescent="0.2">
      <c r="A505" s="260"/>
      <c r="B505" s="1021"/>
      <c r="C505" s="1022"/>
      <c r="D505" s="1023"/>
      <c r="E505" s="1024"/>
      <c r="F505" s="1025"/>
      <c r="G505" s="1035" t="s">
        <v>1499</v>
      </c>
      <c r="H505" s="1022" t="s">
        <v>38</v>
      </c>
      <c r="I505" s="1023">
        <v>5.4</v>
      </c>
      <c r="J505" s="1024">
        <f>_agg10</f>
        <v>2574.1999999999998</v>
      </c>
      <c r="K505" s="1025">
        <f t="shared" si="17"/>
        <v>13900.68</v>
      </c>
      <c r="L505" s="1021"/>
      <c r="M505" s="1022"/>
      <c r="N505" s="1023"/>
      <c r="O505" s="1024"/>
      <c r="P505" s="1025"/>
    </row>
    <row r="506" spans="1:16" hidden="1" x14ac:dyDescent="0.2">
      <c r="A506" s="231"/>
      <c r="B506" s="1021"/>
      <c r="C506" s="1022"/>
      <c r="D506" s="1023"/>
      <c r="E506" s="1024"/>
      <c r="F506" s="1025"/>
      <c r="G506" s="1035" t="s">
        <v>45</v>
      </c>
      <c r="H506" s="1022" t="s">
        <v>38</v>
      </c>
      <c r="I506" s="1023">
        <v>6.75</v>
      </c>
      <c r="J506" s="1024">
        <f>sand</f>
        <v>2503.2750000000001</v>
      </c>
      <c r="K506" s="1025">
        <f>ROUND(J506*I506,2)</f>
        <v>16897.11</v>
      </c>
      <c r="L506" s="1021"/>
      <c r="M506" s="1022"/>
      <c r="N506" s="1023"/>
      <c r="O506" s="1024"/>
      <c r="P506" s="1025"/>
    </row>
    <row r="507" spans="1:16" ht="15" hidden="1" x14ac:dyDescent="0.2">
      <c r="A507" s="231"/>
      <c r="B507" s="1021"/>
      <c r="C507" s="1022"/>
      <c r="D507" s="1023"/>
      <c r="E507" s="1024"/>
      <c r="F507" s="1025"/>
      <c r="G507" s="659" t="s">
        <v>267</v>
      </c>
      <c r="H507" s="660" t="s">
        <v>44</v>
      </c>
      <c r="I507" s="661">
        <v>0.1</v>
      </c>
      <c r="J507" s="662">
        <f>petrol</f>
        <v>170</v>
      </c>
      <c r="K507" s="663">
        <f>ROUND(J507*I507,2)</f>
        <v>17</v>
      </c>
      <c r="L507" s="1021"/>
      <c r="M507" s="1022"/>
      <c r="N507" s="1023"/>
      <c r="O507" s="1024"/>
      <c r="P507" s="1025"/>
    </row>
    <row r="508" spans="1:16" ht="15" hidden="1" x14ac:dyDescent="0.2">
      <c r="A508" s="231"/>
      <c r="B508" s="1021"/>
      <c r="C508" s="1022"/>
      <c r="D508" s="1023"/>
      <c r="E508" s="1024"/>
      <c r="F508" s="1025"/>
      <c r="G508" s="659" t="s">
        <v>268</v>
      </c>
      <c r="H508" s="660" t="s">
        <v>44</v>
      </c>
      <c r="I508" s="661">
        <v>3</v>
      </c>
      <c r="J508" s="662">
        <f>diesel</f>
        <v>160</v>
      </c>
      <c r="K508" s="663">
        <f>ROUND(J508*I508,2)</f>
        <v>480</v>
      </c>
      <c r="L508" s="1021"/>
      <c r="M508" s="1022"/>
      <c r="N508" s="1023"/>
      <c r="O508" s="1024"/>
      <c r="P508" s="1025"/>
    </row>
    <row r="509" spans="1:16" hidden="1" x14ac:dyDescent="0.2">
      <c r="A509" s="231"/>
      <c r="B509" s="1021"/>
      <c r="C509" s="1022"/>
      <c r="D509" s="1023"/>
      <c r="E509" s="1024"/>
      <c r="F509" s="1025"/>
      <c r="G509" s="1035" t="s">
        <v>51</v>
      </c>
      <c r="H509" s="1022" t="s">
        <v>44</v>
      </c>
      <c r="I509" s="572">
        <v>2500</v>
      </c>
      <c r="J509" s="1024">
        <f>water</f>
        <v>0.24955999999999998</v>
      </c>
      <c r="K509" s="1025">
        <f>ROUND(J509*I509,2)</f>
        <v>623.9</v>
      </c>
      <c r="L509" s="1021"/>
      <c r="M509" s="1022"/>
      <c r="N509" s="1023"/>
      <c r="O509" s="1024"/>
      <c r="P509" s="1025"/>
    </row>
    <row r="510" spans="1:16" hidden="1" x14ac:dyDescent="0.2">
      <c r="A510" s="241"/>
      <c r="B510" s="242"/>
      <c r="C510" s="243"/>
      <c r="D510" s="243"/>
      <c r="E510" s="244" t="s">
        <v>39</v>
      </c>
      <c r="F510" s="245">
        <f>SUM(F502:F509)</f>
        <v>26310</v>
      </c>
      <c r="G510" s="242"/>
      <c r="H510" s="243"/>
      <c r="I510" s="243"/>
      <c r="J510" s="244" t="s">
        <v>40</v>
      </c>
      <c r="K510" s="245">
        <f>SUM(K502:K509)</f>
        <v>141410.67000000001</v>
      </c>
      <c r="L510" s="242"/>
      <c r="M510" s="243"/>
      <c r="N510" s="243"/>
      <c r="O510" s="246" t="s">
        <v>41</v>
      </c>
      <c r="P510" s="245">
        <f>SUM(P502:P509)</f>
        <v>15000</v>
      </c>
    </row>
    <row r="511" spans="1:16" hidden="1" x14ac:dyDescent="0.2">
      <c r="A511" s="247"/>
      <c r="B511" s="575"/>
      <c r="C511" s="575"/>
      <c r="D511" s="575"/>
      <c r="E511" s="575"/>
      <c r="F511" s="1020" t="s">
        <v>29</v>
      </c>
      <c r="G511" s="248">
        <f>F510+K510+P510</f>
        <v>182720.67</v>
      </c>
      <c r="H511" s="575"/>
      <c r="I511" s="249"/>
      <c r="J511" s="250"/>
      <c r="K511" s="251"/>
      <c r="L511" s="575"/>
      <c r="M511" s="575"/>
      <c r="N511" s="575"/>
      <c r="O511" s="575"/>
      <c r="P511" s="575"/>
    </row>
    <row r="512" spans="1:16" hidden="1" x14ac:dyDescent="0.2">
      <c r="A512" s="247"/>
      <c r="B512" s="575"/>
      <c r="C512" s="575"/>
      <c r="D512" s="1423" t="s">
        <v>1521</v>
      </c>
      <c r="E512" s="1423"/>
      <c r="F512" s="1423"/>
      <c r="G512" s="248">
        <f>G511*0.1</f>
        <v>18272.067000000003</v>
      </c>
      <c r="H512" s="575"/>
      <c r="I512" s="249"/>
      <c r="J512" s="250"/>
      <c r="K512" s="251"/>
      <c r="L512" s="575"/>
      <c r="M512" s="575"/>
      <c r="N512" s="575"/>
      <c r="O512" s="575"/>
      <c r="P512" s="575"/>
    </row>
    <row r="513" spans="1:16" hidden="1" x14ac:dyDescent="0.2">
      <c r="A513" s="247"/>
      <c r="B513" s="575"/>
      <c r="C513" s="575"/>
      <c r="D513" s="575"/>
      <c r="E513" s="575"/>
      <c r="F513" s="252" t="s">
        <v>31</v>
      </c>
      <c r="G513" s="248">
        <f>0.15*G511</f>
        <v>27408.1005</v>
      </c>
      <c r="H513" s="575"/>
      <c r="I513" s="249"/>
      <c r="J513" s="250"/>
      <c r="K513" s="251"/>
      <c r="L513" s="575"/>
      <c r="M513" s="575"/>
      <c r="N513" s="575"/>
      <c r="O513" s="575"/>
      <c r="P513" s="575"/>
    </row>
    <row r="514" spans="1:16" ht="15" hidden="1" x14ac:dyDescent="0.25">
      <c r="A514" s="253"/>
      <c r="B514" s="249"/>
      <c r="C514" s="249"/>
      <c r="D514" s="249"/>
      <c r="E514" s="575"/>
      <c r="F514" s="277" t="str">
        <f>"Rate for "&amp;O496&amp;" m² :"</f>
        <v>Rate for 15 m² :</v>
      </c>
      <c r="G514" s="1012">
        <f>SUM(G511:G513)</f>
        <v>228400.83750000002</v>
      </c>
      <c r="H514" s="256"/>
      <c r="I514" s="249"/>
      <c r="J514" s="250"/>
      <c r="K514" s="251"/>
      <c r="L514" s="575"/>
      <c r="M514" s="575"/>
      <c r="N514" s="575"/>
      <c r="O514" s="575"/>
      <c r="P514" s="575"/>
    </row>
    <row r="515" spans="1:16" hidden="1" x14ac:dyDescent="0.2">
      <c r="A515" s="247"/>
      <c r="B515" s="575"/>
      <c r="C515" s="575"/>
      <c r="D515" s="575"/>
      <c r="E515" s="1027"/>
      <c r="F515" s="277" t="s">
        <v>1494</v>
      </c>
      <c r="G515" s="278">
        <f>G514/O496</f>
        <v>15226.722500000002</v>
      </c>
      <c r="H515" s="575"/>
      <c r="I515" s="249"/>
      <c r="J515" s="256"/>
      <c r="K515" s="275"/>
      <c r="L515" s="575"/>
      <c r="M515" s="575"/>
      <c r="N515" s="575"/>
      <c r="O515" s="575"/>
      <c r="P515" s="575"/>
    </row>
    <row r="516" spans="1:16" hidden="1" x14ac:dyDescent="0.2">
      <c r="A516" s="253"/>
      <c r="B516" s="249"/>
      <c r="C516" s="249"/>
      <c r="D516" s="249"/>
      <c r="E516" s="249"/>
      <c r="F516" s="254" t="s">
        <v>1</v>
      </c>
      <c r="G516" s="255">
        <f>G515</f>
        <v>15226.722500000002</v>
      </c>
      <c r="H516" s="249" t="s">
        <v>30</v>
      </c>
      <c r="I516" s="222" t="s">
        <v>38</v>
      </c>
      <c r="J516" s="256"/>
      <c r="K516" s="275"/>
      <c r="L516" s="275"/>
      <c r="M516" s="275"/>
      <c r="N516" s="575"/>
      <c r="O516" s="575"/>
      <c r="P516" s="575"/>
    </row>
    <row r="517" spans="1:16" hidden="1" x14ac:dyDescent="0.2">
      <c r="A517" s="575" t="s">
        <v>27</v>
      </c>
      <c r="B517" s="223">
        <f>B496+1</f>
        <v>26</v>
      </c>
      <c r="C517" s="222"/>
      <c r="D517" s="575"/>
      <c r="E517" s="575"/>
      <c r="F517" s="575"/>
      <c r="G517" s="575"/>
      <c r="H517" s="575"/>
      <c r="I517" s="575"/>
      <c r="J517" s="575"/>
      <c r="K517" s="575"/>
      <c r="L517" s="575"/>
      <c r="M517" s="575"/>
      <c r="N517" s="1020" t="s">
        <v>13</v>
      </c>
      <c r="O517" s="248">
        <v>15</v>
      </c>
      <c r="P517" s="222" t="s">
        <v>38</v>
      </c>
    </row>
    <row r="518" spans="1:16" hidden="1" x14ac:dyDescent="0.2">
      <c r="A518" s="223" t="s">
        <v>12</v>
      </c>
      <c r="B518" s="257" t="s">
        <v>1518</v>
      </c>
      <c r="C518" s="257"/>
      <c r="D518" s="257"/>
      <c r="E518" s="257"/>
      <c r="F518" s="257"/>
      <c r="G518" s="257"/>
      <c r="H518" s="257"/>
      <c r="I518" s="257"/>
      <c r="J518" s="257"/>
      <c r="K518" s="257" t="s">
        <v>1502</v>
      </c>
      <c r="L518" s="257"/>
      <c r="M518" s="257"/>
      <c r="N518" s="257"/>
      <c r="O518" s="257"/>
      <c r="P518" s="257"/>
    </row>
    <row r="519" spans="1:16" hidden="1" x14ac:dyDescent="0.2">
      <c r="A519" s="223"/>
      <c r="B519" s="265" t="s">
        <v>1524</v>
      </c>
      <c r="C519" s="265"/>
      <c r="D519" s="265"/>
      <c r="E519" s="265"/>
      <c r="F519" s="265"/>
      <c r="G519" s="265"/>
      <c r="H519" s="265"/>
      <c r="I519" s="265"/>
      <c r="J519" s="265"/>
      <c r="K519" s="265"/>
      <c r="L519" s="265"/>
      <c r="M519" s="265"/>
      <c r="N519" s="265"/>
      <c r="O519" s="265"/>
      <c r="P519" s="265"/>
    </row>
    <row r="520" spans="1:16" hidden="1" x14ac:dyDescent="0.2">
      <c r="A520" s="225" t="s">
        <v>243</v>
      </c>
      <c r="B520" s="226" t="s">
        <v>15</v>
      </c>
      <c r="C520" s="227"/>
      <c r="D520" s="227"/>
      <c r="E520" s="227"/>
      <c r="F520" s="226"/>
      <c r="G520" s="1412" t="s">
        <v>16</v>
      </c>
      <c r="H520" s="1413"/>
      <c r="I520" s="1413"/>
      <c r="J520" s="1413"/>
      <c r="K520" s="1414"/>
      <c r="L520" s="227" t="s">
        <v>17</v>
      </c>
      <c r="M520" s="227"/>
      <c r="N520" s="227"/>
      <c r="O520" s="227"/>
      <c r="P520" s="227"/>
    </row>
    <row r="521" spans="1:16" hidden="1" x14ac:dyDescent="0.2">
      <c r="A521" s="225" t="s">
        <v>273</v>
      </c>
      <c r="B521" s="228" t="s">
        <v>18</v>
      </c>
      <c r="C521" s="229" t="s">
        <v>0</v>
      </c>
      <c r="D521" s="229" t="s">
        <v>5</v>
      </c>
      <c r="E521" s="229" t="s">
        <v>1</v>
      </c>
      <c r="F521" s="230" t="s">
        <v>2</v>
      </c>
      <c r="G521" s="228" t="s">
        <v>19</v>
      </c>
      <c r="H521" s="229" t="s">
        <v>0</v>
      </c>
      <c r="I521" s="229" t="s">
        <v>5</v>
      </c>
      <c r="J521" s="229" t="s">
        <v>1</v>
      </c>
      <c r="K521" s="230" t="s">
        <v>2</v>
      </c>
      <c r="L521" s="228" t="s">
        <v>19</v>
      </c>
      <c r="M521" s="229" t="s">
        <v>0</v>
      </c>
      <c r="N521" s="229" t="s">
        <v>5</v>
      </c>
      <c r="O521" s="229" t="s">
        <v>1</v>
      </c>
      <c r="P521" s="230" t="s">
        <v>2</v>
      </c>
    </row>
    <row r="522" spans="1:16" hidden="1" x14ac:dyDescent="0.2">
      <c r="A522" s="258"/>
      <c r="B522" s="237"/>
      <c r="C522" s="233"/>
      <c r="D522" s="234"/>
      <c r="E522" s="235"/>
      <c r="F522" s="236"/>
      <c r="G522" s="237"/>
      <c r="H522" s="233"/>
      <c r="I522" s="234"/>
      <c r="J522" s="235"/>
      <c r="K522" s="236"/>
      <c r="L522" s="237"/>
      <c r="M522" s="233"/>
      <c r="N522" s="234"/>
      <c r="O522" s="235"/>
      <c r="P522" s="236"/>
    </row>
    <row r="523" spans="1:16" ht="15" hidden="1" x14ac:dyDescent="0.2">
      <c r="A523" s="231" t="s">
        <v>1537</v>
      </c>
      <c r="B523" s="1021" t="s">
        <v>32</v>
      </c>
      <c r="C523" s="1022" t="s">
        <v>46</v>
      </c>
      <c r="D523" s="1023">
        <v>3</v>
      </c>
      <c r="E523" s="1024">
        <f>skilled</f>
        <v>1070</v>
      </c>
      <c r="F523" s="1025">
        <f>ROUND(E523*D523,2)</f>
        <v>3210</v>
      </c>
      <c r="G523" s="1035" t="s">
        <v>9</v>
      </c>
      <c r="H523" s="1022" t="s">
        <v>14</v>
      </c>
      <c r="I523" s="1023">
        <v>5.21</v>
      </c>
      <c r="J523" s="1024">
        <f>cement</f>
        <v>17013.62</v>
      </c>
      <c r="K523" s="1025">
        <f t="shared" ref="K523:K526" si="18">ROUND(J523*I523,2)</f>
        <v>88640.960000000006</v>
      </c>
      <c r="L523" s="259" t="s">
        <v>420</v>
      </c>
      <c r="M523" s="1022" t="s">
        <v>28</v>
      </c>
      <c r="N523" s="1023">
        <v>6</v>
      </c>
      <c r="O523" s="1024">
        <f>mixer</f>
        <v>1000</v>
      </c>
      <c r="P523" s="1025">
        <f>ROUND(O523*N523,2)</f>
        <v>6000</v>
      </c>
    </row>
    <row r="524" spans="1:16" hidden="1" x14ac:dyDescent="0.2">
      <c r="A524" s="260" t="s">
        <v>20</v>
      </c>
      <c r="B524" s="1021" t="s">
        <v>21</v>
      </c>
      <c r="C524" s="1022" t="s">
        <v>46</v>
      </c>
      <c r="D524" s="1023">
        <v>30</v>
      </c>
      <c r="E524" s="1024">
        <f>unskilled</f>
        <v>770</v>
      </c>
      <c r="F524" s="1025">
        <f>ROUND(E524*D524,2)</f>
        <v>23100</v>
      </c>
      <c r="G524" s="1035"/>
      <c r="H524" s="1022"/>
      <c r="I524" s="1023"/>
      <c r="J524" s="1024"/>
      <c r="K524" s="1025"/>
      <c r="L524" s="1021" t="s">
        <v>1493</v>
      </c>
      <c r="M524" s="1022" t="s">
        <v>28</v>
      </c>
      <c r="N524" s="1023">
        <v>6</v>
      </c>
      <c r="O524" s="1024">
        <f>generator</f>
        <v>1500</v>
      </c>
      <c r="P524" s="1025">
        <f>ROUND(O524*N524,2)</f>
        <v>9000</v>
      </c>
    </row>
    <row r="525" spans="1:16" hidden="1" x14ac:dyDescent="0.2">
      <c r="A525" s="260"/>
      <c r="B525" s="1021"/>
      <c r="C525" s="1022"/>
      <c r="D525" s="1023"/>
      <c r="E525" s="1024"/>
      <c r="F525" s="1025"/>
      <c r="G525" s="1035" t="s">
        <v>1498</v>
      </c>
      <c r="H525" s="1022" t="s">
        <v>38</v>
      </c>
      <c r="I525" s="1023">
        <v>8.1</v>
      </c>
      <c r="J525" s="1024">
        <f>_Agg20</f>
        <v>2574.1999999999998</v>
      </c>
      <c r="K525" s="1025">
        <f t="shared" si="18"/>
        <v>20851.02</v>
      </c>
      <c r="L525" s="1021"/>
      <c r="M525" s="1022"/>
      <c r="N525" s="1023"/>
      <c r="O525" s="1024"/>
      <c r="P525" s="1025"/>
    </row>
    <row r="526" spans="1:16" hidden="1" x14ac:dyDescent="0.2">
      <c r="A526" s="260"/>
      <c r="B526" s="1021"/>
      <c r="C526" s="1022"/>
      <c r="D526" s="1023"/>
      <c r="E526" s="1024"/>
      <c r="F526" s="1025"/>
      <c r="G526" s="1035" t="s">
        <v>1499</v>
      </c>
      <c r="H526" s="1022" t="s">
        <v>38</v>
      </c>
      <c r="I526" s="1023">
        <v>5.4</v>
      </c>
      <c r="J526" s="1024">
        <f>_agg10</f>
        <v>2574.1999999999998</v>
      </c>
      <c r="K526" s="1025">
        <f t="shared" si="18"/>
        <v>13900.68</v>
      </c>
      <c r="L526" s="1021"/>
      <c r="M526" s="1022"/>
      <c r="N526" s="1023"/>
      <c r="O526" s="1024"/>
      <c r="P526" s="1025"/>
    </row>
    <row r="527" spans="1:16" hidden="1" x14ac:dyDescent="0.2">
      <c r="A527" s="231"/>
      <c r="B527" s="1021"/>
      <c r="C527" s="1022"/>
      <c r="D527" s="1023"/>
      <c r="E527" s="1024"/>
      <c r="F527" s="1025"/>
      <c r="G527" s="1035" t="s">
        <v>45</v>
      </c>
      <c r="H527" s="1022" t="s">
        <v>38</v>
      </c>
      <c r="I527" s="1023">
        <v>6.75</v>
      </c>
      <c r="J527" s="1024">
        <f>sand</f>
        <v>2503.2750000000001</v>
      </c>
      <c r="K527" s="1025">
        <f>ROUND(J527*I527,2)</f>
        <v>16897.11</v>
      </c>
      <c r="L527" s="1021"/>
      <c r="M527" s="1022"/>
      <c r="N527" s="1023"/>
      <c r="O527" s="1024"/>
      <c r="P527" s="1025"/>
    </row>
    <row r="528" spans="1:16" ht="15" hidden="1" x14ac:dyDescent="0.2">
      <c r="A528" s="231"/>
      <c r="B528" s="1021"/>
      <c r="C528" s="1022"/>
      <c r="D528" s="1023"/>
      <c r="E528" s="1024"/>
      <c r="F528" s="1025"/>
      <c r="G528" s="659" t="s">
        <v>267</v>
      </c>
      <c r="H528" s="660" t="s">
        <v>44</v>
      </c>
      <c r="I528" s="661">
        <v>0.1</v>
      </c>
      <c r="J528" s="662">
        <f>petrol</f>
        <v>170</v>
      </c>
      <c r="K528" s="663">
        <f>ROUND(J528*I528,2)</f>
        <v>17</v>
      </c>
      <c r="L528" s="1021"/>
      <c r="M528" s="1022"/>
      <c r="N528" s="1023"/>
      <c r="O528" s="1024"/>
      <c r="P528" s="1025"/>
    </row>
    <row r="529" spans="1:16" ht="15" hidden="1" x14ac:dyDescent="0.2">
      <c r="A529" s="231"/>
      <c r="B529" s="1021"/>
      <c r="C529" s="1022"/>
      <c r="D529" s="1023"/>
      <c r="E529" s="1024"/>
      <c r="F529" s="1025"/>
      <c r="G529" s="659" t="s">
        <v>268</v>
      </c>
      <c r="H529" s="660" t="s">
        <v>44</v>
      </c>
      <c r="I529" s="661">
        <v>3</v>
      </c>
      <c r="J529" s="662">
        <f>diesel</f>
        <v>160</v>
      </c>
      <c r="K529" s="663">
        <f>ROUND(J529*I529,2)</f>
        <v>480</v>
      </c>
      <c r="L529" s="1021"/>
      <c r="M529" s="1022"/>
      <c r="N529" s="1023"/>
      <c r="O529" s="1024"/>
      <c r="P529" s="1025"/>
    </row>
    <row r="530" spans="1:16" hidden="1" x14ac:dyDescent="0.2">
      <c r="A530" s="231"/>
      <c r="B530" s="1021"/>
      <c r="C530" s="1022"/>
      <c r="D530" s="1023"/>
      <c r="E530" s="1024"/>
      <c r="F530" s="1025"/>
      <c r="G530" s="1035" t="s">
        <v>51</v>
      </c>
      <c r="H530" s="1022" t="s">
        <v>44</v>
      </c>
      <c r="I530" s="572">
        <v>3000</v>
      </c>
      <c r="J530" s="1024">
        <f>water</f>
        <v>0.24955999999999998</v>
      </c>
      <c r="K530" s="1025">
        <f>ROUND(J530*I530,2)</f>
        <v>748.68</v>
      </c>
      <c r="L530" s="1021"/>
      <c r="M530" s="1022"/>
      <c r="N530" s="1023"/>
      <c r="O530" s="1024"/>
      <c r="P530" s="1025"/>
    </row>
    <row r="531" spans="1:16" hidden="1" x14ac:dyDescent="0.2">
      <c r="A531" s="241"/>
      <c r="B531" s="242"/>
      <c r="C531" s="243"/>
      <c r="D531" s="243"/>
      <c r="E531" s="244" t="s">
        <v>39</v>
      </c>
      <c r="F531" s="245">
        <f>SUM(F523:F530)</f>
        <v>26310</v>
      </c>
      <c r="G531" s="242"/>
      <c r="H531" s="243"/>
      <c r="I531" s="243"/>
      <c r="J531" s="244" t="s">
        <v>40</v>
      </c>
      <c r="K531" s="245">
        <f>SUM(K523:K530)</f>
        <v>141535.45000000001</v>
      </c>
      <c r="L531" s="242"/>
      <c r="M531" s="243"/>
      <c r="N531" s="243"/>
      <c r="O531" s="246" t="s">
        <v>41</v>
      </c>
      <c r="P531" s="245">
        <f>SUM(P523:P530)</f>
        <v>15000</v>
      </c>
    </row>
    <row r="532" spans="1:16" hidden="1" x14ac:dyDescent="0.2">
      <c r="A532" s="247"/>
      <c r="B532" s="575"/>
      <c r="C532" s="575"/>
      <c r="D532" s="575"/>
      <c r="E532" s="575"/>
      <c r="F532" s="1020" t="s">
        <v>29</v>
      </c>
      <c r="G532" s="248">
        <f>F531+K531+P531</f>
        <v>182845.45</v>
      </c>
      <c r="H532" s="575"/>
      <c r="I532" s="249"/>
      <c r="J532" s="250"/>
      <c r="K532" s="251"/>
      <c r="L532" s="575"/>
      <c r="M532" s="575"/>
      <c r="N532" s="575"/>
      <c r="O532" s="575"/>
      <c r="P532" s="575"/>
    </row>
    <row r="533" spans="1:16" hidden="1" x14ac:dyDescent="0.2">
      <c r="A533" s="247"/>
      <c r="B533" s="575"/>
      <c r="C533" s="575"/>
      <c r="D533" s="1423" t="s">
        <v>1526</v>
      </c>
      <c r="E533" s="1423"/>
      <c r="F533" s="1423"/>
      <c r="G533" s="248">
        <f>G532*0.12</f>
        <v>21941.454000000002</v>
      </c>
      <c r="H533" s="575"/>
      <c r="I533" s="249"/>
      <c r="J533" s="250"/>
      <c r="K533" s="251"/>
      <c r="L533" s="575"/>
      <c r="M533" s="575"/>
      <c r="N533" s="575"/>
      <c r="O533" s="575"/>
      <c r="P533" s="575"/>
    </row>
    <row r="534" spans="1:16" hidden="1" x14ac:dyDescent="0.2">
      <c r="A534" s="247"/>
      <c r="B534" s="575"/>
      <c r="C534" s="575"/>
      <c r="D534" s="1020"/>
      <c r="E534" s="1423" t="s">
        <v>1538</v>
      </c>
      <c r="F534" s="1423"/>
      <c r="G534" s="248">
        <f>G532*0.02</f>
        <v>3656.9090000000001</v>
      </c>
      <c r="H534" s="575"/>
      <c r="I534" s="249"/>
      <c r="J534" s="250"/>
      <c r="K534" s="251"/>
      <c r="L534" s="575"/>
      <c r="M534" s="575"/>
      <c r="N534" s="575"/>
      <c r="O534" s="575"/>
      <c r="P534" s="575"/>
    </row>
    <row r="535" spans="1:16" hidden="1" x14ac:dyDescent="0.2">
      <c r="A535" s="247"/>
      <c r="B535" s="575"/>
      <c r="C535" s="575"/>
      <c r="D535" s="575"/>
      <c r="E535" s="575"/>
      <c r="F535" s="252" t="s">
        <v>31</v>
      </c>
      <c r="G535" s="248">
        <f>0.15*G532</f>
        <v>27426.817500000001</v>
      </c>
      <c r="H535" s="575"/>
      <c r="I535" s="249"/>
      <c r="J535" s="250"/>
      <c r="K535" s="251"/>
      <c r="L535" s="575"/>
      <c r="M535" s="575"/>
      <c r="N535" s="575"/>
      <c r="O535" s="575"/>
      <c r="P535" s="575"/>
    </row>
    <row r="536" spans="1:16" ht="15" hidden="1" x14ac:dyDescent="0.25">
      <c r="A536" s="253"/>
      <c r="B536" s="249"/>
      <c r="C536" s="249"/>
      <c r="D536" s="249"/>
      <c r="E536" s="575"/>
      <c r="F536" s="277" t="str">
        <f>"Rate for "&amp;O517&amp;" m² :"</f>
        <v>Rate for 15 m² :</v>
      </c>
      <c r="G536" s="1012">
        <f>SUM(G532:G535)</f>
        <v>235870.63050000003</v>
      </c>
      <c r="H536" s="256"/>
      <c r="I536" s="249"/>
      <c r="J536" s="250"/>
      <c r="K536" s="251"/>
      <c r="L536" s="575"/>
      <c r="M536" s="575"/>
      <c r="N536" s="575"/>
      <c r="O536" s="575"/>
      <c r="P536" s="575"/>
    </row>
    <row r="537" spans="1:16" hidden="1" x14ac:dyDescent="0.2">
      <c r="A537" s="247"/>
      <c r="B537" s="575"/>
      <c r="C537" s="575"/>
      <c r="D537" s="575"/>
      <c r="E537" s="1027"/>
      <c r="F537" s="277" t="s">
        <v>1494</v>
      </c>
      <c r="G537" s="278">
        <f>G536/O517</f>
        <v>15724.708700000001</v>
      </c>
      <c r="H537" s="575"/>
      <c r="I537" s="249"/>
      <c r="J537" s="256"/>
      <c r="K537" s="275"/>
      <c r="L537" s="575"/>
      <c r="M537" s="575"/>
      <c r="N537" s="575"/>
      <c r="O537" s="575"/>
      <c r="P537" s="575"/>
    </row>
    <row r="538" spans="1:16" hidden="1" x14ac:dyDescent="0.2">
      <c r="A538" s="253"/>
      <c r="B538" s="249"/>
      <c r="C538" s="249"/>
      <c r="D538" s="249"/>
      <c r="E538" s="249"/>
      <c r="F538" s="254" t="s">
        <v>1</v>
      </c>
      <c r="G538" s="255">
        <f>G537</f>
        <v>15724.708700000001</v>
      </c>
      <c r="H538" s="249" t="s">
        <v>30</v>
      </c>
      <c r="I538" s="222" t="s">
        <v>38</v>
      </c>
      <c r="J538" s="256"/>
      <c r="K538" s="275"/>
      <c r="L538" s="275"/>
      <c r="M538" s="275"/>
      <c r="N538" s="575"/>
      <c r="O538" s="575"/>
      <c r="P538" s="575"/>
    </row>
    <row r="539" spans="1:16" hidden="1" x14ac:dyDescent="0.2">
      <c r="A539" s="575" t="s">
        <v>27</v>
      </c>
      <c r="B539" s="223">
        <f>B517+1</f>
        <v>27</v>
      </c>
      <c r="C539" s="222"/>
      <c r="D539" s="575"/>
      <c r="E539" s="575"/>
      <c r="F539" s="575"/>
      <c r="G539" s="575"/>
      <c r="H539" s="575"/>
      <c r="I539" s="575"/>
      <c r="J539" s="575"/>
      <c r="K539" s="575"/>
      <c r="L539" s="575"/>
      <c r="M539" s="575"/>
      <c r="N539" s="1020" t="s">
        <v>13</v>
      </c>
      <c r="O539" s="248">
        <v>15</v>
      </c>
      <c r="P539" s="222" t="s">
        <v>38</v>
      </c>
    </row>
    <row r="540" spans="1:16" hidden="1" x14ac:dyDescent="0.2">
      <c r="A540" s="223" t="s">
        <v>12</v>
      </c>
      <c r="B540" s="257" t="s">
        <v>1518</v>
      </c>
      <c r="C540" s="257"/>
      <c r="D540" s="257"/>
      <c r="E540" s="257"/>
      <c r="F540" s="257"/>
      <c r="G540" s="257"/>
      <c r="H540" s="257"/>
      <c r="I540" s="257"/>
      <c r="J540" s="257"/>
      <c r="K540" s="257" t="s">
        <v>1502</v>
      </c>
      <c r="L540" s="257"/>
      <c r="M540" s="257"/>
      <c r="N540" s="257"/>
      <c r="O540" s="257"/>
      <c r="P540" s="257"/>
    </row>
    <row r="541" spans="1:16" hidden="1" x14ac:dyDescent="0.2">
      <c r="A541" s="223"/>
      <c r="B541" s="265" t="s">
        <v>1528</v>
      </c>
      <c r="C541" s="265"/>
      <c r="D541" s="265"/>
      <c r="E541" s="265"/>
      <c r="F541" s="265"/>
      <c r="G541" s="265"/>
      <c r="H541" s="265"/>
      <c r="I541" s="265"/>
      <c r="J541" s="265"/>
      <c r="K541" s="265"/>
      <c r="L541" s="265"/>
      <c r="M541" s="265"/>
      <c r="N541" s="265"/>
      <c r="O541" s="265"/>
      <c r="P541" s="265"/>
    </row>
    <row r="542" spans="1:16" hidden="1" x14ac:dyDescent="0.2">
      <c r="A542" s="225" t="s">
        <v>243</v>
      </c>
      <c r="B542" s="226" t="s">
        <v>15</v>
      </c>
      <c r="C542" s="227"/>
      <c r="D542" s="227"/>
      <c r="E542" s="227"/>
      <c r="F542" s="226"/>
      <c r="G542" s="1412" t="s">
        <v>16</v>
      </c>
      <c r="H542" s="1413"/>
      <c r="I542" s="1413"/>
      <c r="J542" s="1413"/>
      <c r="K542" s="1414"/>
      <c r="L542" s="227" t="s">
        <v>17</v>
      </c>
      <c r="M542" s="227"/>
      <c r="N542" s="227"/>
      <c r="O542" s="227"/>
      <c r="P542" s="227"/>
    </row>
    <row r="543" spans="1:16" hidden="1" x14ac:dyDescent="0.2">
      <c r="A543" s="225" t="s">
        <v>273</v>
      </c>
      <c r="B543" s="228" t="s">
        <v>18</v>
      </c>
      <c r="C543" s="229" t="s">
        <v>0</v>
      </c>
      <c r="D543" s="229" t="s">
        <v>5</v>
      </c>
      <c r="E543" s="229" t="s">
        <v>1</v>
      </c>
      <c r="F543" s="230" t="s">
        <v>2</v>
      </c>
      <c r="G543" s="228" t="s">
        <v>19</v>
      </c>
      <c r="H543" s="229" t="s">
        <v>0</v>
      </c>
      <c r="I543" s="229" t="s">
        <v>5</v>
      </c>
      <c r="J543" s="229" t="s">
        <v>1</v>
      </c>
      <c r="K543" s="230" t="s">
        <v>2</v>
      </c>
      <c r="L543" s="228" t="s">
        <v>19</v>
      </c>
      <c r="M543" s="229" t="s">
        <v>0</v>
      </c>
      <c r="N543" s="229" t="s">
        <v>5</v>
      </c>
      <c r="O543" s="229" t="s">
        <v>1</v>
      </c>
      <c r="P543" s="230" t="s">
        <v>2</v>
      </c>
    </row>
    <row r="544" spans="1:16" hidden="1" x14ac:dyDescent="0.2">
      <c r="A544" s="258"/>
      <c r="B544" s="237"/>
      <c r="C544" s="233"/>
      <c r="D544" s="234"/>
      <c r="E544" s="235"/>
      <c r="F544" s="236"/>
      <c r="G544" s="237"/>
      <c r="H544" s="233"/>
      <c r="I544" s="234"/>
      <c r="J544" s="235"/>
      <c r="K544" s="236"/>
      <c r="L544" s="237"/>
      <c r="M544" s="233"/>
      <c r="N544" s="234"/>
      <c r="O544" s="235"/>
      <c r="P544" s="236"/>
    </row>
    <row r="545" spans="1:16" ht="15" hidden="1" x14ac:dyDescent="0.2">
      <c r="A545" s="231" t="s">
        <v>1539</v>
      </c>
      <c r="B545" s="1021" t="s">
        <v>32</v>
      </c>
      <c r="C545" s="1022" t="s">
        <v>46</v>
      </c>
      <c r="D545" s="1023">
        <v>3</v>
      </c>
      <c r="E545" s="1024">
        <f>skilled</f>
        <v>1070</v>
      </c>
      <c r="F545" s="1025">
        <f>ROUND(E545*D545,2)</f>
        <v>3210</v>
      </c>
      <c r="G545" s="1035" t="s">
        <v>9</v>
      </c>
      <c r="H545" s="1022" t="s">
        <v>14</v>
      </c>
      <c r="I545" s="1023">
        <v>5.21</v>
      </c>
      <c r="J545" s="1024">
        <f>cement</f>
        <v>17013.62</v>
      </c>
      <c r="K545" s="1025">
        <f t="shared" ref="K545" si="19">ROUND(J545*I545,2)</f>
        <v>88640.960000000006</v>
      </c>
      <c r="L545" s="259" t="s">
        <v>420</v>
      </c>
      <c r="M545" s="1022" t="s">
        <v>28</v>
      </c>
      <c r="N545" s="1023">
        <v>6</v>
      </c>
      <c r="O545" s="1024">
        <f>mixer</f>
        <v>1000</v>
      </c>
      <c r="P545" s="1025">
        <f>ROUND(O545*N545,2)</f>
        <v>6000</v>
      </c>
    </row>
    <row r="546" spans="1:16" hidden="1" x14ac:dyDescent="0.2">
      <c r="A546" s="260" t="s">
        <v>20</v>
      </c>
      <c r="B546" s="1021" t="s">
        <v>21</v>
      </c>
      <c r="C546" s="1022" t="s">
        <v>46</v>
      </c>
      <c r="D546" s="1023">
        <v>30</v>
      </c>
      <c r="E546" s="1024">
        <f>unskilled</f>
        <v>770</v>
      </c>
      <c r="F546" s="1025">
        <f>ROUND(E546*D546,2)</f>
        <v>23100</v>
      </c>
      <c r="G546" s="1035"/>
      <c r="H546" s="1022"/>
      <c r="I546" s="1023"/>
      <c r="J546" s="1024"/>
      <c r="K546" s="1025"/>
      <c r="L546" s="1021" t="s">
        <v>1493</v>
      </c>
      <c r="M546" s="1022" t="s">
        <v>28</v>
      </c>
      <c r="N546" s="1023">
        <v>6</v>
      </c>
      <c r="O546" s="1024">
        <f>generator</f>
        <v>1500</v>
      </c>
      <c r="P546" s="1025">
        <f>ROUND(O546*N546,2)</f>
        <v>9000</v>
      </c>
    </row>
    <row r="547" spans="1:16" hidden="1" x14ac:dyDescent="0.2">
      <c r="A547" s="260"/>
      <c r="B547" s="1021"/>
      <c r="C547" s="1022"/>
      <c r="D547" s="1023"/>
      <c r="E547" s="1024"/>
      <c r="F547" s="1025"/>
      <c r="G547" s="1035" t="s">
        <v>1498</v>
      </c>
      <c r="H547" s="1022" t="s">
        <v>38</v>
      </c>
      <c r="I547" s="1023">
        <v>8.1</v>
      </c>
      <c r="J547" s="1024">
        <f>_Agg20</f>
        <v>2574.1999999999998</v>
      </c>
      <c r="K547" s="1025">
        <f t="shared" ref="K547:K548" si="20">ROUND(J547*I547,2)</f>
        <v>20851.02</v>
      </c>
      <c r="L547" s="1021"/>
      <c r="M547" s="1022"/>
      <c r="N547" s="1023"/>
      <c r="O547" s="1024"/>
      <c r="P547" s="1025"/>
    </row>
    <row r="548" spans="1:16" hidden="1" x14ac:dyDescent="0.2">
      <c r="A548" s="260"/>
      <c r="B548" s="1021"/>
      <c r="C548" s="1022"/>
      <c r="D548" s="1023"/>
      <c r="E548" s="1024"/>
      <c r="F548" s="1025"/>
      <c r="G548" s="1035" t="s">
        <v>1499</v>
      </c>
      <c r="H548" s="1022" t="s">
        <v>38</v>
      </c>
      <c r="I548" s="1023">
        <v>5.4</v>
      </c>
      <c r="J548" s="1024">
        <f>_agg10</f>
        <v>2574.1999999999998</v>
      </c>
      <c r="K548" s="1025">
        <f t="shared" si="20"/>
        <v>13900.68</v>
      </c>
      <c r="L548" s="1021"/>
      <c r="M548" s="1022"/>
      <c r="N548" s="1023"/>
      <c r="O548" s="1024"/>
      <c r="P548" s="1025"/>
    </row>
    <row r="549" spans="1:16" hidden="1" x14ac:dyDescent="0.2">
      <c r="A549" s="231"/>
      <c r="B549" s="1021"/>
      <c r="C549" s="1022"/>
      <c r="D549" s="1023"/>
      <c r="E549" s="1024"/>
      <c r="F549" s="1025"/>
      <c r="G549" s="1035" t="s">
        <v>45</v>
      </c>
      <c r="H549" s="1022" t="s">
        <v>38</v>
      </c>
      <c r="I549" s="1023">
        <v>6.75</v>
      </c>
      <c r="J549" s="1024">
        <f>sand</f>
        <v>2503.2750000000001</v>
      </c>
      <c r="K549" s="1025">
        <f>ROUND(J549*I549,2)</f>
        <v>16897.11</v>
      </c>
      <c r="L549" s="1021"/>
      <c r="M549" s="1022"/>
      <c r="N549" s="1023"/>
      <c r="O549" s="1024"/>
      <c r="P549" s="1025"/>
    </row>
    <row r="550" spans="1:16" ht="15" hidden="1" x14ac:dyDescent="0.2">
      <c r="A550" s="231"/>
      <c r="B550" s="1021"/>
      <c r="C550" s="1022"/>
      <c r="D550" s="1023"/>
      <c r="E550" s="1024"/>
      <c r="F550" s="1025"/>
      <c r="G550" s="659" t="s">
        <v>267</v>
      </c>
      <c r="H550" s="660" t="s">
        <v>44</v>
      </c>
      <c r="I550" s="661">
        <v>0.1</v>
      </c>
      <c r="J550" s="662">
        <f>petrol</f>
        <v>170</v>
      </c>
      <c r="K550" s="663">
        <f>ROUND(J550*I550,2)</f>
        <v>17</v>
      </c>
      <c r="L550" s="1021"/>
      <c r="M550" s="1022"/>
      <c r="N550" s="1023"/>
      <c r="O550" s="1024"/>
      <c r="P550" s="1025"/>
    </row>
    <row r="551" spans="1:16" ht="15" hidden="1" x14ac:dyDescent="0.2">
      <c r="A551" s="231"/>
      <c r="B551" s="1021"/>
      <c r="C551" s="1022"/>
      <c r="D551" s="1023"/>
      <c r="E551" s="1024"/>
      <c r="F551" s="1025"/>
      <c r="G551" s="659" t="s">
        <v>268</v>
      </c>
      <c r="H551" s="660" t="s">
        <v>44</v>
      </c>
      <c r="I551" s="661">
        <v>3</v>
      </c>
      <c r="J551" s="662">
        <f>diesel</f>
        <v>160</v>
      </c>
      <c r="K551" s="663">
        <f>ROUND(J551*I551,2)</f>
        <v>480</v>
      </c>
      <c r="L551" s="1021"/>
      <c r="M551" s="1022"/>
      <c r="N551" s="1023"/>
      <c r="O551" s="1024"/>
      <c r="P551" s="1025"/>
    </row>
    <row r="552" spans="1:16" hidden="1" x14ac:dyDescent="0.2">
      <c r="A552" s="231"/>
      <c r="B552" s="1021"/>
      <c r="C552" s="1022"/>
      <c r="D552" s="1023"/>
      <c r="E552" s="1024"/>
      <c r="F552" s="1025"/>
      <c r="G552" s="1035" t="s">
        <v>51</v>
      </c>
      <c r="H552" s="1022" t="s">
        <v>44</v>
      </c>
      <c r="I552" s="572">
        <v>3000</v>
      </c>
      <c r="J552" s="1024">
        <f>water</f>
        <v>0.24955999999999998</v>
      </c>
      <c r="K552" s="1025">
        <f>ROUND(J552*I552,2)</f>
        <v>748.68</v>
      </c>
      <c r="L552" s="1021"/>
      <c r="M552" s="1022"/>
      <c r="N552" s="1023"/>
      <c r="O552" s="1024"/>
      <c r="P552" s="1025"/>
    </row>
    <row r="553" spans="1:16" hidden="1" x14ac:dyDescent="0.2">
      <c r="A553" s="241"/>
      <c r="B553" s="242"/>
      <c r="C553" s="243"/>
      <c r="D553" s="243"/>
      <c r="E553" s="244" t="s">
        <v>39</v>
      </c>
      <c r="F553" s="245">
        <f>SUM(F545:F552)</f>
        <v>26310</v>
      </c>
      <c r="G553" s="242"/>
      <c r="H553" s="243"/>
      <c r="I553" s="243"/>
      <c r="J553" s="244" t="s">
        <v>40</v>
      </c>
      <c r="K553" s="245">
        <f>SUM(K545:K552)</f>
        <v>141535.45000000001</v>
      </c>
      <c r="L553" s="242"/>
      <c r="M553" s="243"/>
      <c r="N553" s="243"/>
      <c r="O553" s="246" t="s">
        <v>41</v>
      </c>
      <c r="P553" s="245">
        <f>SUM(P545:P552)</f>
        <v>15000</v>
      </c>
    </row>
    <row r="554" spans="1:16" hidden="1" x14ac:dyDescent="0.2">
      <c r="A554" s="247"/>
      <c r="B554" s="575"/>
      <c r="C554" s="575"/>
      <c r="D554" s="575"/>
      <c r="E554" s="575"/>
      <c r="F554" s="1020" t="s">
        <v>29</v>
      </c>
      <c r="G554" s="248">
        <f>F553+K553+P553</f>
        <v>182845.45</v>
      </c>
      <c r="H554" s="575"/>
      <c r="I554" s="249"/>
      <c r="J554" s="250"/>
      <c r="K554" s="251"/>
      <c r="L554" s="575"/>
      <c r="M554" s="575"/>
      <c r="N554" s="575"/>
      <c r="O554" s="575"/>
      <c r="P554" s="575"/>
    </row>
    <row r="555" spans="1:16" hidden="1" x14ac:dyDescent="0.2">
      <c r="A555" s="247"/>
      <c r="B555" s="575"/>
      <c r="C555" s="575"/>
      <c r="D555" s="1423" t="s">
        <v>1530</v>
      </c>
      <c r="E555" s="1423"/>
      <c r="F555" s="1423"/>
      <c r="G555" s="248">
        <f>G554*0.15</f>
        <v>27426.817500000001</v>
      </c>
      <c r="H555" s="575"/>
      <c r="I555" s="249"/>
      <c r="J555" s="250"/>
      <c r="K555" s="251"/>
      <c r="L555" s="575"/>
      <c r="M555" s="575"/>
      <c r="N555" s="575"/>
      <c r="O555" s="575"/>
      <c r="P555" s="575"/>
    </row>
    <row r="556" spans="1:16" hidden="1" x14ac:dyDescent="0.2">
      <c r="A556" s="247"/>
      <c r="B556" s="575"/>
      <c r="C556" s="575"/>
      <c r="D556" s="1020"/>
      <c r="E556" s="1423" t="s">
        <v>1540</v>
      </c>
      <c r="F556" s="1423"/>
      <c r="G556" s="248">
        <f>G554*0.04</f>
        <v>7313.8180000000002</v>
      </c>
      <c r="H556" s="575"/>
      <c r="I556" s="249"/>
      <c r="J556" s="250"/>
      <c r="K556" s="251"/>
      <c r="L556" s="575"/>
      <c r="M556" s="575"/>
      <c r="N556" s="575"/>
      <c r="O556" s="575"/>
      <c r="P556" s="575"/>
    </row>
    <row r="557" spans="1:16" hidden="1" x14ac:dyDescent="0.2">
      <c r="A557" s="247"/>
      <c r="B557" s="575"/>
      <c r="C557" s="575"/>
      <c r="D557" s="575"/>
      <c r="E557" s="575"/>
      <c r="F557" s="252" t="s">
        <v>31</v>
      </c>
      <c r="G557" s="248">
        <f>0.15*G554</f>
        <v>27426.817500000001</v>
      </c>
      <c r="H557" s="575"/>
      <c r="I557" s="249"/>
      <c r="J557" s="250"/>
      <c r="K557" s="251"/>
      <c r="L557" s="575"/>
      <c r="M557" s="575"/>
      <c r="N557" s="575"/>
      <c r="O557" s="575"/>
      <c r="P557" s="575"/>
    </row>
    <row r="558" spans="1:16" ht="15" hidden="1" x14ac:dyDescent="0.25">
      <c r="A558" s="253"/>
      <c r="B558" s="249"/>
      <c r="C558" s="249"/>
      <c r="D558" s="249"/>
      <c r="E558" s="575"/>
      <c r="F558" s="277" t="str">
        <f>"Rate for "&amp;O539&amp;" m² :"</f>
        <v>Rate for 15 m² :</v>
      </c>
      <c r="G558" s="1012">
        <f>SUM(G554:G557)</f>
        <v>245012.90300000002</v>
      </c>
      <c r="H558" s="256"/>
      <c r="I558" s="249"/>
      <c r="J558" s="250"/>
      <c r="K558" s="251"/>
      <c r="L558" s="575"/>
      <c r="M558" s="575"/>
      <c r="N558" s="575"/>
      <c r="O558" s="575"/>
      <c r="P558" s="575"/>
    </row>
    <row r="559" spans="1:16" hidden="1" x14ac:dyDescent="0.2">
      <c r="A559" s="247"/>
      <c r="B559" s="575"/>
      <c r="C559" s="575"/>
      <c r="D559" s="575"/>
      <c r="E559" s="1027"/>
      <c r="F559" s="277" t="s">
        <v>1494</v>
      </c>
      <c r="G559" s="278">
        <f>G558/O539</f>
        <v>16334.193533333335</v>
      </c>
      <c r="H559" s="575"/>
      <c r="I559" s="249"/>
      <c r="J559" s="256"/>
      <c r="K559" s="275"/>
      <c r="L559" s="575"/>
      <c r="M559" s="575"/>
      <c r="N559" s="575"/>
      <c r="O559" s="575"/>
      <c r="P559" s="575"/>
    </row>
    <row r="560" spans="1:16" hidden="1" x14ac:dyDescent="0.2">
      <c r="A560" s="253"/>
      <c r="B560" s="249"/>
      <c r="C560" s="249"/>
      <c r="D560" s="249"/>
      <c r="E560" s="249"/>
      <c r="F560" s="254" t="s">
        <v>1</v>
      </c>
      <c r="G560" s="255">
        <f>G559</f>
        <v>16334.193533333335</v>
      </c>
      <c r="H560" s="249" t="s">
        <v>30</v>
      </c>
      <c r="I560" s="222" t="s">
        <v>38</v>
      </c>
      <c r="J560" s="256"/>
      <c r="K560" s="275"/>
      <c r="L560" s="275"/>
      <c r="M560" s="275"/>
      <c r="N560" s="575"/>
      <c r="O560" s="575"/>
      <c r="P560" s="575"/>
    </row>
    <row r="561" spans="1:16" hidden="1" x14ac:dyDescent="0.2">
      <c r="A561" s="575" t="s">
        <v>27</v>
      </c>
      <c r="B561" s="223">
        <f>B539+1</f>
        <v>28</v>
      </c>
      <c r="C561" s="222"/>
      <c r="D561" s="575"/>
      <c r="E561" s="575"/>
      <c r="F561" s="575"/>
      <c r="G561" s="575"/>
      <c r="H561" s="575"/>
      <c r="I561" s="575"/>
      <c r="J561" s="575"/>
      <c r="K561" s="575"/>
      <c r="L561" s="575"/>
      <c r="M561" s="575"/>
      <c r="N561" s="1020" t="s">
        <v>13</v>
      </c>
      <c r="O561" s="248">
        <v>15</v>
      </c>
      <c r="P561" s="222" t="s">
        <v>38</v>
      </c>
    </row>
    <row r="562" spans="1:16" hidden="1" x14ac:dyDescent="0.2">
      <c r="A562" s="223" t="s">
        <v>12</v>
      </c>
      <c r="B562" s="257" t="s">
        <v>1518</v>
      </c>
      <c r="C562" s="257"/>
      <c r="D562" s="257"/>
      <c r="E562" s="257"/>
      <c r="F562" s="257"/>
      <c r="G562" s="257"/>
      <c r="H562" s="257"/>
      <c r="I562" s="257"/>
      <c r="J562" s="257"/>
      <c r="K562" s="257" t="s">
        <v>1508</v>
      </c>
      <c r="L562" s="257"/>
      <c r="M562" s="257"/>
      <c r="N562" s="257"/>
      <c r="O562" s="257"/>
      <c r="P562" s="257"/>
    </row>
    <row r="563" spans="1:16" hidden="1" x14ac:dyDescent="0.2">
      <c r="A563" s="223"/>
      <c r="B563" s="265" t="s">
        <v>1519</v>
      </c>
      <c r="C563" s="265"/>
      <c r="D563" s="265"/>
      <c r="E563" s="265"/>
      <c r="F563" s="265"/>
      <c r="G563" s="265"/>
      <c r="H563" s="265"/>
      <c r="I563" s="265"/>
      <c r="J563" s="265"/>
      <c r="K563" s="265"/>
      <c r="L563" s="265"/>
      <c r="M563" s="265"/>
      <c r="N563" s="265"/>
      <c r="O563" s="265"/>
      <c r="P563" s="265"/>
    </row>
    <row r="564" spans="1:16" hidden="1" x14ac:dyDescent="0.2">
      <c r="A564" s="225" t="s">
        <v>243</v>
      </c>
      <c r="B564" s="226" t="s">
        <v>15</v>
      </c>
      <c r="C564" s="227"/>
      <c r="D564" s="227"/>
      <c r="E564" s="227"/>
      <c r="F564" s="226"/>
      <c r="G564" s="1412" t="s">
        <v>16</v>
      </c>
      <c r="H564" s="1413"/>
      <c r="I564" s="1413"/>
      <c r="J564" s="1413"/>
      <c r="K564" s="1414"/>
      <c r="L564" s="227" t="s">
        <v>17</v>
      </c>
      <c r="M564" s="227"/>
      <c r="N564" s="227"/>
      <c r="O564" s="227"/>
      <c r="P564" s="227"/>
    </row>
    <row r="565" spans="1:16" hidden="1" x14ac:dyDescent="0.2">
      <c r="A565" s="225" t="s">
        <v>273</v>
      </c>
      <c r="B565" s="228" t="s">
        <v>18</v>
      </c>
      <c r="C565" s="229" t="s">
        <v>0</v>
      </c>
      <c r="D565" s="229" t="s">
        <v>5</v>
      </c>
      <c r="E565" s="229" t="s">
        <v>1</v>
      </c>
      <c r="F565" s="230" t="s">
        <v>2</v>
      </c>
      <c r="G565" s="228" t="s">
        <v>19</v>
      </c>
      <c r="H565" s="229" t="s">
        <v>0</v>
      </c>
      <c r="I565" s="229" t="s">
        <v>5</v>
      </c>
      <c r="J565" s="229" t="s">
        <v>1</v>
      </c>
      <c r="K565" s="230" t="s">
        <v>2</v>
      </c>
      <c r="L565" s="228" t="s">
        <v>19</v>
      </c>
      <c r="M565" s="229" t="s">
        <v>0</v>
      </c>
      <c r="N565" s="229" t="s">
        <v>5</v>
      </c>
      <c r="O565" s="229" t="s">
        <v>1</v>
      </c>
      <c r="P565" s="230" t="s">
        <v>2</v>
      </c>
    </row>
    <row r="566" spans="1:16" hidden="1" x14ac:dyDescent="0.2">
      <c r="A566" s="258"/>
      <c r="B566" s="237"/>
      <c r="C566" s="233"/>
      <c r="D566" s="234"/>
      <c r="E566" s="235"/>
      <c r="F566" s="236"/>
      <c r="G566" s="237"/>
      <c r="H566" s="233"/>
      <c r="I566" s="234"/>
      <c r="J566" s="235"/>
      <c r="K566" s="236"/>
      <c r="L566" s="237"/>
      <c r="M566" s="233"/>
      <c r="N566" s="234"/>
      <c r="O566" s="235"/>
      <c r="P566" s="236"/>
    </row>
    <row r="567" spans="1:16" ht="15" hidden="1" x14ac:dyDescent="0.2">
      <c r="A567" s="231" t="s">
        <v>1541</v>
      </c>
      <c r="B567" s="1021" t="s">
        <v>32</v>
      </c>
      <c r="C567" s="1022" t="s">
        <v>46</v>
      </c>
      <c r="D567" s="1023">
        <v>3</v>
      </c>
      <c r="E567" s="1024">
        <f>skilled</f>
        <v>1070</v>
      </c>
      <c r="F567" s="1025">
        <f>ROUND(E567*D567,2)</f>
        <v>3210</v>
      </c>
      <c r="G567" s="1035" t="s">
        <v>9</v>
      </c>
      <c r="H567" s="1022" t="s">
        <v>14</v>
      </c>
      <c r="I567" s="1023">
        <v>6.05</v>
      </c>
      <c r="J567" s="1024">
        <f>cement</f>
        <v>17013.62</v>
      </c>
      <c r="K567" s="1025">
        <f t="shared" ref="K567:K570" si="21">ROUND(J567*I567,2)</f>
        <v>102932.4</v>
      </c>
      <c r="L567" s="259" t="s">
        <v>420</v>
      </c>
      <c r="M567" s="1022" t="s">
        <v>28</v>
      </c>
      <c r="N567" s="1023">
        <v>6</v>
      </c>
      <c r="O567" s="1024">
        <f>mixer</f>
        <v>1000</v>
      </c>
      <c r="P567" s="1025">
        <f>ROUND(O567*N567,2)</f>
        <v>6000</v>
      </c>
    </row>
    <row r="568" spans="1:16" hidden="1" x14ac:dyDescent="0.2">
      <c r="A568" s="260" t="s">
        <v>20</v>
      </c>
      <c r="B568" s="1021" t="s">
        <v>21</v>
      </c>
      <c r="C568" s="1022" t="s">
        <v>46</v>
      </c>
      <c r="D568" s="1023">
        <v>30</v>
      </c>
      <c r="E568" s="1024">
        <f>unskilled</f>
        <v>770</v>
      </c>
      <c r="F568" s="1025">
        <f>ROUND(E568*D568,2)</f>
        <v>23100</v>
      </c>
      <c r="G568" s="1035" t="s">
        <v>1542</v>
      </c>
      <c r="H568" s="1022" t="s">
        <v>6</v>
      </c>
      <c r="I568" s="1023">
        <f>I567*0.004*1000</f>
        <v>24.2</v>
      </c>
      <c r="J568" s="1024">
        <f>admixtures</f>
        <v>315.41361999999998</v>
      </c>
      <c r="K568" s="1025">
        <f t="shared" si="21"/>
        <v>7633.01</v>
      </c>
      <c r="L568" s="1021" t="s">
        <v>1493</v>
      </c>
      <c r="M568" s="1022" t="s">
        <v>28</v>
      </c>
      <c r="N568" s="1023">
        <v>6</v>
      </c>
      <c r="O568" s="1024">
        <f>generator</f>
        <v>1500</v>
      </c>
      <c r="P568" s="1025">
        <f>ROUND(O568*N568,2)</f>
        <v>9000</v>
      </c>
    </row>
    <row r="569" spans="1:16" hidden="1" x14ac:dyDescent="0.2">
      <c r="A569" s="260"/>
      <c r="B569" s="1021"/>
      <c r="C569" s="1022"/>
      <c r="D569" s="1023"/>
      <c r="E569" s="1024"/>
      <c r="F569" s="1025"/>
      <c r="G569" s="1035" t="s">
        <v>1498</v>
      </c>
      <c r="H569" s="1022" t="s">
        <v>38</v>
      </c>
      <c r="I569" s="1023">
        <v>8.1</v>
      </c>
      <c r="J569" s="1024">
        <f>_Agg20</f>
        <v>2574.1999999999998</v>
      </c>
      <c r="K569" s="1025">
        <f t="shared" si="21"/>
        <v>20851.02</v>
      </c>
      <c r="L569" s="1021"/>
      <c r="M569" s="1022"/>
      <c r="N569" s="1023"/>
      <c r="O569" s="1024"/>
      <c r="P569" s="1025"/>
    </row>
    <row r="570" spans="1:16" hidden="1" x14ac:dyDescent="0.2">
      <c r="A570" s="260"/>
      <c r="B570" s="1021"/>
      <c r="C570" s="1022"/>
      <c r="D570" s="1023"/>
      <c r="E570" s="1024"/>
      <c r="F570" s="1025"/>
      <c r="G570" s="1035" t="s">
        <v>1499</v>
      </c>
      <c r="H570" s="1022" t="s">
        <v>38</v>
      </c>
      <c r="I570" s="1023">
        <v>5.4</v>
      </c>
      <c r="J570" s="1024">
        <f>_agg10</f>
        <v>2574.1999999999998</v>
      </c>
      <c r="K570" s="1025">
        <f t="shared" si="21"/>
        <v>13900.68</v>
      </c>
      <c r="L570" s="1021"/>
      <c r="M570" s="1022"/>
      <c r="N570" s="1023"/>
      <c r="O570" s="1024"/>
      <c r="P570" s="1025"/>
    </row>
    <row r="571" spans="1:16" hidden="1" x14ac:dyDescent="0.2">
      <c r="A571" s="231"/>
      <c r="B571" s="1021"/>
      <c r="C571" s="1022"/>
      <c r="D571" s="1023"/>
      <c r="E571" s="1024"/>
      <c r="F571" s="1025"/>
      <c r="G571" s="1035" t="s">
        <v>45</v>
      </c>
      <c r="H571" s="1022" t="s">
        <v>38</v>
      </c>
      <c r="I571" s="1023">
        <v>6.75</v>
      </c>
      <c r="J571" s="1024">
        <f>sand</f>
        <v>2503.2750000000001</v>
      </c>
      <c r="K571" s="1025">
        <f>ROUND(J571*I571,2)</f>
        <v>16897.11</v>
      </c>
      <c r="L571" s="1021"/>
      <c r="M571" s="1022"/>
      <c r="N571" s="1023"/>
      <c r="O571" s="1024"/>
      <c r="P571" s="1025"/>
    </row>
    <row r="572" spans="1:16" ht="15" hidden="1" x14ac:dyDescent="0.2">
      <c r="A572" s="231"/>
      <c r="B572" s="1021"/>
      <c r="C572" s="1022"/>
      <c r="D572" s="1023"/>
      <c r="E572" s="1024"/>
      <c r="F572" s="1025"/>
      <c r="G572" s="659" t="s">
        <v>267</v>
      </c>
      <c r="H572" s="660" t="s">
        <v>44</v>
      </c>
      <c r="I572" s="661">
        <v>0.1</v>
      </c>
      <c r="J572" s="662">
        <f>petrol</f>
        <v>170</v>
      </c>
      <c r="K572" s="663">
        <f>ROUND(J572*I572,2)</f>
        <v>17</v>
      </c>
      <c r="L572" s="1021"/>
      <c r="M572" s="1022"/>
      <c r="N572" s="1023"/>
      <c r="O572" s="1024"/>
      <c r="P572" s="1025"/>
    </row>
    <row r="573" spans="1:16" ht="15" hidden="1" x14ac:dyDescent="0.2">
      <c r="A573" s="231"/>
      <c r="B573" s="1021"/>
      <c r="C573" s="1022"/>
      <c r="D573" s="1023"/>
      <c r="E573" s="1024"/>
      <c r="F573" s="1025"/>
      <c r="G573" s="659" t="s">
        <v>268</v>
      </c>
      <c r="H573" s="660" t="s">
        <v>44</v>
      </c>
      <c r="I573" s="661">
        <v>3</v>
      </c>
      <c r="J573" s="662">
        <f>diesel</f>
        <v>160</v>
      </c>
      <c r="K573" s="663">
        <f>ROUND(J573*I573,2)</f>
        <v>480</v>
      </c>
      <c r="L573" s="1021"/>
      <c r="M573" s="1022"/>
      <c r="N573" s="1023"/>
      <c r="O573" s="1024"/>
      <c r="P573" s="1025"/>
    </row>
    <row r="574" spans="1:16" hidden="1" x14ac:dyDescent="0.2">
      <c r="A574" s="231"/>
      <c r="B574" s="1021"/>
      <c r="C574" s="1022"/>
      <c r="D574" s="1023"/>
      <c r="E574" s="1024"/>
      <c r="F574" s="1025"/>
      <c r="G574" s="1035" t="s">
        <v>51</v>
      </c>
      <c r="H574" s="1022" t="s">
        <v>44</v>
      </c>
      <c r="I574" s="572">
        <v>3000</v>
      </c>
      <c r="J574" s="1024">
        <f>water</f>
        <v>0.24955999999999998</v>
      </c>
      <c r="K574" s="1025">
        <f>ROUND(J574*I574,2)</f>
        <v>748.68</v>
      </c>
      <c r="L574" s="1021"/>
      <c r="M574" s="1022"/>
      <c r="N574" s="1023"/>
      <c r="O574" s="1024"/>
      <c r="P574" s="1025"/>
    </row>
    <row r="575" spans="1:16" hidden="1" x14ac:dyDescent="0.2">
      <c r="A575" s="241"/>
      <c r="B575" s="242"/>
      <c r="C575" s="243"/>
      <c r="D575" s="243"/>
      <c r="E575" s="244" t="s">
        <v>39</v>
      </c>
      <c r="F575" s="245">
        <f>SUM(F567:F574)</f>
        <v>26310</v>
      </c>
      <c r="G575" s="242"/>
      <c r="H575" s="243"/>
      <c r="I575" s="243"/>
      <c r="J575" s="244" t="s">
        <v>40</v>
      </c>
      <c r="K575" s="245">
        <f>SUM(K567:K574)</f>
        <v>163459.89999999997</v>
      </c>
      <c r="L575" s="242"/>
      <c r="M575" s="243"/>
      <c r="N575" s="243"/>
      <c r="O575" s="246" t="s">
        <v>41</v>
      </c>
      <c r="P575" s="245">
        <f>SUM(P567:P574)</f>
        <v>15000</v>
      </c>
    </row>
    <row r="576" spans="1:16" hidden="1" x14ac:dyDescent="0.2">
      <c r="A576" s="247"/>
      <c r="B576" s="575"/>
      <c r="C576" s="575"/>
      <c r="D576" s="575"/>
      <c r="E576" s="575"/>
      <c r="F576" s="1020" t="s">
        <v>29</v>
      </c>
      <c r="G576" s="248">
        <f>F575+K575+P575</f>
        <v>204769.89999999997</v>
      </c>
      <c r="H576" s="575"/>
      <c r="I576" s="249"/>
      <c r="J576" s="250"/>
      <c r="K576" s="251"/>
      <c r="L576" s="575"/>
      <c r="M576" s="575"/>
      <c r="N576" s="575"/>
      <c r="O576" s="575"/>
      <c r="P576" s="575"/>
    </row>
    <row r="577" spans="1:16" hidden="1" x14ac:dyDescent="0.2">
      <c r="A577" s="247"/>
      <c r="B577" s="575"/>
      <c r="C577" s="575"/>
      <c r="D577" s="1423" t="s">
        <v>1521</v>
      </c>
      <c r="E577" s="1423"/>
      <c r="F577" s="1423"/>
      <c r="G577" s="248">
        <f>G576*0.1</f>
        <v>20476.989999999998</v>
      </c>
      <c r="H577" s="575"/>
      <c r="I577" s="249"/>
      <c r="J577" s="250"/>
      <c r="K577" s="251"/>
      <c r="L577" s="575"/>
      <c r="M577" s="575"/>
      <c r="N577" s="575"/>
      <c r="O577" s="575"/>
      <c r="P577" s="575"/>
    </row>
    <row r="578" spans="1:16" hidden="1" x14ac:dyDescent="0.2">
      <c r="A578" s="247"/>
      <c r="B578" s="575"/>
      <c r="C578" s="575"/>
      <c r="D578" s="575"/>
      <c r="E578" s="575"/>
      <c r="F578" s="252" t="s">
        <v>31</v>
      </c>
      <c r="G578" s="248">
        <f>0.15*G576</f>
        <v>30715.484999999993</v>
      </c>
      <c r="H578" s="575"/>
      <c r="I578" s="249"/>
      <c r="J578" s="250"/>
      <c r="K578" s="251"/>
      <c r="L578" s="575"/>
      <c r="M578" s="575"/>
      <c r="N578" s="575"/>
      <c r="O578" s="575"/>
      <c r="P578" s="575"/>
    </row>
    <row r="579" spans="1:16" ht="15" hidden="1" x14ac:dyDescent="0.25">
      <c r="A579" s="253"/>
      <c r="B579" s="249"/>
      <c r="C579" s="249"/>
      <c r="D579" s="249"/>
      <c r="E579" s="575"/>
      <c r="F579" s="277" t="str">
        <f>"Rate for "&amp;O561&amp;" m² :"</f>
        <v>Rate for 15 m² :</v>
      </c>
      <c r="G579" s="1012">
        <f>SUM(G576:G578)</f>
        <v>255962.37499999994</v>
      </c>
      <c r="H579" s="256"/>
      <c r="I579" s="249"/>
      <c r="J579" s="250"/>
      <c r="K579" s="251"/>
      <c r="L579" s="575"/>
      <c r="M579" s="575"/>
      <c r="N579" s="575"/>
      <c r="O579" s="575"/>
      <c r="P579" s="575"/>
    </row>
    <row r="580" spans="1:16" hidden="1" x14ac:dyDescent="0.2">
      <c r="A580" s="247"/>
      <c r="B580" s="575"/>
      <c r="C580" s="575"/>
      <c r="D580" s="575"/>
      <c r="E580" s="1027"/>
      <c r="F580" s="277" t="s">
        <v>1494</v>
      </c>
      <c r="G580" s="278">
        <f>G579/O561</f>
        <v>17064.158333333329</v>
      </c>
      <c r="H580" s="575"/>
      <c r="I580" s="249"/>
      <c r="J580" s="256"/>
      <c r="K580" s="275"/>
      <c r="L580" s="575"/>
      <c r="M580" s="575"/>
      <c r="N580" s="575"/>
      <c r="O580" s="575"/>
      <c r="P580" s="575"/>
    </row>
    <row r="581" spans="1:16" hidden="1" x14ac:dyDescent="0.2">
      <c r="A581" s="253"/>
      <c r="B581" s="249"/>
      <c r="C581" s="249"/>
      <c r="D581" s="249"/>
      <c r="E581" s="249"/>
      <c r="F581" s="254" t="s">
        <v>1</v>
      </c>
      <c r="G581" s="255">
        <f>G580</f>
        <v>17064.158333333329</v>
      </c>
      <c r="H581" s="249" t="s">
        <v>30</v>
      </c>
      <c r="I581" s="222" t="s">
        <v>38</v>
      </c>
      <c r="J581" s="256"/>
      <c r="K581" s="275"/>
      <c r="L581" s="275"/>
      <c r="M581" s="275"/>
      <c r="N581" s="575"/>
      <c r="O581" s="575"/>
      <c r="P581" s="575"/>
    </row>
    <row r="582" spans="1:16" x14ac:dyDescent="0.2">
      <c r="A582" s="575" t="s">
        <v>27</v>
      </c>
      <c r="B582" s="223">
        <f>B274+1</f>
        <v>16</v>
      </c>
      <c r="C582" s="222"/>
      <c r="D582" s="575"/>
      <c r="E582" s="575"/>
      <c r="F582" s="575"/>
      <c r="G582" s="575"/>
      <c r="H582" s="575"/>
      <c r="I582" s="575"/>
      <c r="J582" s="575"/>
      <c r="K582" s="575"/>
      <c r="L582" s="575"/>
      <c r="M582" s="575"/>
      <c r="N582" s="1020" t="s">
        <v>13</v>
      </c>
      <c r="O582" s="248">
        <v>15</v>
      </c>
      <c r="P582" s="222" t="s">
        <v>38</v>
      </c>
    </row>
    <row r="583" spans="1:16" x14ac:dyDescent="0.2">
      <c r="A583" s="223" t="s">
        <v>12</v>
      </c>
      <c r="B583" s="257" t="s">
        <v>1518</v>
      </c>
      <c r="C583" s="257"/>
      <c r="D583" s="257"/>
      <c r="E583" s="257"/>
      <c r="F583" s="257"/>
      <c r="G583" s="257"/>
      <c r="H583" s="257"/>
      <c r="I583" s="257"/>
      <c r="J583" s="257"/>
      <c r="K583" s="257" t="s">
        <v>1508</v>
      </c>
      <c r="L583" s="257"/>
      <c r="M583" s="257"/>
      <c r="N583" s="257"/>
      <c r="O583" s="257"/>
      <c r="P583" s="257"/>
    </row>
    <row r="584" spans="1:16" x14ac:dyDescent="0.2">
      <c r="A584" s="223"/>
      <c r="B584" s="265" t="s">
        <v>1524</v>
      </c>
      <c r="C584" s="265"/>
      <c r="D584" s="265"/>
      <c r="E584" s="265"/>
      <c r="F584" s="265"/>
      <c r="G584" s="265"/>
      <c r="H584" s="265"/>
      <c r="I584" s="265"/>
      <c r="J584" s="265"/>
      <c r="K584" s="265"/>
      <c r="L584" s="265"/>
      <c r="M584" s="265"/>
      <c r="N584" s="265"/>
      <c r="O584" s="265"/>
      <c r="P584" s="265"/>
    </row>
    <row r="585" spans="1:16" x14ac:dyDescent="0.2">
      <c r="A585" s="225" t="s">
        <v>243</v>
      </c>
      <c r="B585" s="226" t="s">
        <v>15</v>
      </c>
      <c r="C585" s="227"/>
      <c r="D585" s="227"/>
      <c r="E585" s="227"/>
      <c r="F585" s="226"/>
      <c r="G585" s="1412" t="s">
        <v>16</v>
      </c>
      <c r="H585" s="1413"/>
      <c r="I585" s="1413"/>
      <c r="J585" s="1413"/>
      <c r="K585" s="1414"/>
      <c r="L585" s="227" t="s">
        <v>17</v>
      </c>
      <c r="M585" s="227"/>
      <c r="N585" s="227"/>
      <c r="O585" s="227"/>
      <c r="P585" s="227"/>
    </row>
    <row r="586" spans="1:16" x14ac:dyDescent="0.2">
      <c r="A586" s="225" t="s">
        <v>273</v>
      </c>
      <c r="B586" s="228" t="s">
        <v>18</v>
      </c>
      <c r="C586" s="229" t="s">
        <v>0</v>
      </c>
      <c r="D586" s="229" t="s">
        <v>5</v>
      </c>
      <c r="E586" s="229" t="s">
        <v>1</v>
      </c>
      <c r="F586" s="230" t="s">
        <v>2</v>
      </c>
      <c r="G586" s="228" t="s">
        <v>19</v>
      </c>
      <c r="H586" s="229" t="s">
        <v>0</v>
      </c>
      <c r="I586" s="229" t="s">
        <v>5</v>
      </c>
      <c r="J586" s="229" t="s">
        <v>1</v>
      </c>
      <c r="K586" s="230" t="s">
        <v>2</v>
      </c>
      <c r="L586" s="228" t="s">
        <v>19</v>
      </c>
      <c r="M586" s="229" t="s">
        <v>0</v>
      </c>
      <c r="N586" s="229" t="s">
        <v>5</v>
      </c>
      <c r="O586" s="229" t="s">
        <v>1</v>
      </c>
      <c r="P586" s="230" t="s">
        <v>2</v>
      </c>
    </row>
    <row r="587" spans="1:16" x14ac:dyDescent="0.2">
      <c r="A587" s="258"/>
      <c r="B587" s="237"/>
      <c r="C587" s="233"/>
      <c r="D587" s="234"/>
      <c r="E587" s="235"/>
      <c r="F587" s="236"/>
      <c r="G587" s="237"/>
      <c r="H587" s="233"/>
      <c r="I587" s="234"/>
      <c r="J587" s="235"/>
      <c r="K587" s="236"/>
      <c r="L587" s="237"/>
      <c r="M587" s="233"/>
      <c r="N587" s="234"/>
      <c r="O587" s="235"/>
      <c r="P587" s="236"/>
    </row>
    <row r="588" spans="1:16" ht="15" x14ac:dyDescent="0.2">
      <c r="A588" s="231" t="s">
        <v>1543</v>
      </c>
      <c r="B588" s="1021" t="s">
        <v>32</v>
      </c>
      <c r="C588" s="1022" t="s">
        <v>46</v>
      </c>
      <c r="D588" s="1023">
        <v>3</v>
      </c>
      <c r="E588" s="1024">
        <f>skilled</f>
        <v>1070</v>
      </c>
      <c r="F588" s="1025">
        <f>ROUND(E588*D588,2)</f>
        <v>3210</v>
      </c>
      <c r="G588" s="1035" t="s">
        <v>9</v>
      </c>
      <c r="H588" s="1022" t="s">
        <v>14</v>
      </c>
      <c r="I588" s="1023">
        <v>6.05</v>
      </c>
      <c r="J588" s="1024">
        <f>cement</f>
        <v>17013.62</v>
      </c>
      <c r="K588" s="1025">
        <f t="shared" ref="K588:K591" si="22">ROUND(J588*I588,2)</f>
        <v>102932.4</v>
      </c>
      <c r="L588" s="259" t="s">
        <v>420</v>
      </c>
      <c r="M588" s="1022" t="s">
        <v>28</v>
      </c>
      <c r="N588" s="1023">
        <v>6</v>
      </c>
      <c r="O588" s="1024">
        <f>mixer</f>
        <v>1000</v>
      </c>
      <c r="P588" s="1025">
        <f>ROUND(O588*N588,2)</f>
        <v>6000</v>
      </c>
    </row>
    <row r="589" spans="1:16" x14ac:dyDescent="0.2">
      <c r="A589" s="260" t="s">
        <v>20</v>
      </c>
      <c r="B589" s="1021" t="s">
        <v>21</v>
      </c>
      <c r="C589" s="1022" t="s">
        <v>46</v>
      </c>
      <c r="D589" s="1023">
        <v>30</v>
      </c>
      <c r="E589" s="1024">
        <f>unskilled</f>
        <v>770</v>
      </c>
      <c r="F589" s="1025">
        <f>ROUND(E589*D589,2)</f>
        <v>23100</v>
      </c>
      <c r="G589" s="1035" t="s">
        <v>1542</v>
      </c>
      <c r="H589" s="1022" t="s">
        <v>6</v>
      </c>
      <c r="I589" s="1023">
        <f>I588*0.004*1000</f>
        <v>24.2</v>
      </c>
      <c r="J589" s="1024">
        <f>admixtures</f>
        <v>315.41361999999998</v>
      </c>
      <c r="K589" s="1025">
        <f t="shared" si="22"/>
        <v>7633.01</v>
      </c>
      <c r="L589" s="1021" t="s">
        <v>1493</v>
      </c>
      <c r="M589" s="1022" t="s">
        <v>28</v>
      </c>
      <c r="N589" s="1023">
        <v>6</v>
      </c>
      <c r="O589" s="1024">
        <f>generator</f>
        <v>1500</v>
      </c>
      <c r="P589" s="1025">
        <f>ROUND(O589*N589,2)</f>
        <v>9000</v>
      </c>
    </row>
    <row r="590" spans="1:16" x14ac:dyDescent="0.2">
      <c r="A590" s="260"/>
      <c r="B590" s="1021"/>
      <c r="C590" s="1022"/>
      <c r="D590" s="1023"/>
      <c r="E590" s="1024"/>
      <c r="F590" s="1025"/>
      <c r="G590" s="1035" t="s">
        <v>1498</v>
      </c>
      <c r="H590" s="1022" t="s">
        <v>38</v>
      </c>
      <c r="I590" s="1023">
        <v>8.1</v>
      </c>
      <c r="J590" s="1024">
        <f>_Agg20</f>
        <v>2574.1999999999998</v>
      </c>
      <c r="K590" s="1025">
        <f t="shared" si="22"/>
        <v>20851.02</v>
      </c>
      <c r="L590" s="1021"/>
      <c r="M590" s="1022"/>
      <c r="N590" s="1023"/>
      <c r="O590" s="1024"/>
      <c r="P590" s="1025"/>
    </row>
    <row r="591" spans="1:16" x14ac:dyDescent="0.2">
      <c r="A591" s="260"/>
      <c r="B591" s="1021"/>
      <c r="C591" s="1022"/>
      <c r="D591" s="1023"/>
      <c r="E591" s="1024"/>
      <c r="F591" s="1025"/>
      <c r="G591" s="1035" t="s">
        <v>1499</v>
      </c>
      <c r="H591" s="1022" t="s">
        <v>38</v>
      </c>
      <c r="I591" s="1023">
        <v>5.4</v>
      </c>
      <c r="J591" s="1024">
        <f>_agg10</f>
        <v>2574.1999999999998</v>
      </c>
      <c r="K591" s="1025">
        <f t="shared" si="22"/>
        <v>13900.68</v>
      </c>
      <c r="L591" s="1021"/>
      <c r="M591" s="1022"/>
      <c r="N591" s="1023"/>
      <c r="O591" s="1024"/>
      <c r="P591" s="1025"/>
    </row>
    <row r="592" spans="1:16" x14ac:dyDescent="0.2">
      <c r="A592" s="231"/>
      <c r="B592" s="1021"/>
      <c r="C592" s="1022"/>
      <c r="D592" s="1023"/>
      <c r="E592" s="1024"/>
      <c r="F592" s="1025"/>
      <c r="G592" s="1035" t="s">
        <v>45</v>
      </c>
      <c r="H592" s="1022" t="s">
        <v>38</v>
      </c>
      <c r="I592" s="1023">
        <v>6.75</v>
      </c>
      <c r="J592" s="1024">
        <f>sand</f>
        <v>2503.2750000000001</v>
      </c>
      <c r="K592" s="1025">
        <f>ROUND(J592*I592,2)</f>
        <v>16897.11</v>
      </c>
      <c r="L592" s="1021"/>
      <c r="M592" s="1022"/>
      <c r="N592" s="1023"/>
      <c r="O592" s="1024"/>
      <c r="P592" s="1025"/>
    </row>
    <row r="593" spans="1:16" ht="15" x14ac:dyDescent="0.2">
      <c r="A593" s="231"/>
      <c r="B593" s="1021"/>
      <c r="C593" s="1022"/>
      <c r="D593" s="1023"/>
      <c r="E593" s="1024"/>
      <c r="F593" s="1025"/>
      <c r="G593" s="659" t="s">
        <v>267</v>
      </c>
      <c r="H593" s="660" t="s">
        <v>44</v>
      </c>
      <c r="I593" s="661">
        <v>0.1</v>
      </c>
      <c r="J593" s="662">
        <f>petrol</f>
        <v>170</v>
      </c>
      <c r="K593" s="663">
        <f>ROUND(J593*I593,2)</f>
        <v>17</v>
      </c>
      <c r="L593" s="1021"/>
      <c r="M593" s="1022"/>
      <c r="N593" s="1023"/>
      <c r="O593" s="1024"/>
      <c r="P593" s="1025"/>
    </row>
    <row r="594" spans="1:16" ht="15" x14ac:dyDescent="0.2">
      <c r="A594" s="231"/>
      <c r="B594" s="1021"/>
      <c r="C594" s="1022"/>
      <c r="D594" s="1023"/>
      <c r="E594" s="1024"/>
      <c r="F594" s="1025"/>
      <c r="G594" s="659" t="s">
        <v>268</v>
      </c>
      <c r="H594" s="660" t="s">
        <v>44</v>
      </c>
      <c r="I594" s="661">
        <v>3</v>
      </c>
      <c r="J594" s="662">
        <f>diesel</f>
        <v>160</v>
      </c>
      <c r="K594" s="663">
        <f>ROUND(J594*I594,2)</f>
        <v>480</v>
      </c>
      <c r="L594" s="1021"/>
      <c r="M594" s="1022"/>
      <c r="N594" s="1023"/>
      <c r="O594" s="1024"/>
      <c r="P594" s="1025"/>
    </row>
    <row r="595" spans="1:16" x14ac:dyDescent="0.2">
      <c r="A595" s="231"/>
      <c r="B595" s="1021"/>
      <c r="C595" s="1022"/>
      <c r="D595" s="1023"/>
      <c r="E595" s="1024"/>
      <c r="F595" s="1025"/>
      <c r="G595" s="1035" t="s">
        <v>51</v>
      </c>
      <c r="H595" s="1022" t="s">
        <v>44</v>
      </c>
      <c r="I595" s="572">
        <v>3000</v>
      </c>
      <c r="J595" s="1024">
        <f>water</f>
        <v>0.24955999999999998</v>
      </c>
      <c r="K595" s="1025">
        <f>ROUND(J595*I595,2)</f>
        <v>748.68</v>
      </c>
      <c r="L595" s="1021"/>
      <c r="M595" s="1022"/>
      <c r="N595" s="1023"/>
      <c r="O595" s="1024"/>
      <c r="P595" s="1025"/>
    </row>
    <row r="596" spans="1:16" x14ac:dyDescent="0.2">
      <c r="A596" s="241"/>
      <c r="B596" s="242"/>
      <c r="C596" s="243"/>
      <c r="D596" s="243"/>
      <c r="E596" s="244" t="s">
        <v>39</v>
      </c>
      <c r="F596" s="245">
        <f>SUM(F588:F595)</f>
        <v>26310</v>
      </c>
      <c r="G596" s="242"/>
      <c r="H596" s="243"/>
      <c r="I596" s="243"/>
      <c r="J596" s="244" t="s">
        <v>40</v>
      </c>
      <c r="K596" s="245">
        <f>SUM(K588:K595)</f>
        <v>163459.89999999997</v>
      </c>
      <c r="L596" s="242"/>
      <c r="M596" s="243"/>
      <c r="N596" s="243"/>
      <c r="O596" s="246" t="s">
        <v>41</v>
      </c>
      <c r="P596" s="245">
        <f>SUM(P588:P595)</f>
        <v>15000</v>
      </c>
    </row>
    <row r="597" spans="1:16" x14ac:dyDescent="0.2">
      <c r="A597" s="247"/>
      <c r="B597" s="575"/>
      <c r="C597" s="575"/>
      <c r="D597" s="575"/>
      <c r="E597" s="575"/>
      <c r="F597" s="1020" t="s">
        <v>29</v>
      </c>
      <c r="G597" s="248">
        <f>F596+K596+P596</f>
        <v>204769.89999999997</v>
      </c>
      <c r="H597" s="575"/>
      <c r="I597" s="249"/>
      <c r="J597" s="250"/>
      <c r="K597" s="251"/>
      <c r="L597" s="575"/>
      <c r="M597" s="575"/>
      <c r="N597" s="575"/>
      <c r="O597" s="575"/>
      <c r="P597" s="575"/>
    </row>
    <row r="598" spans="1:16" x14ac:dyDescent="0.2">
      <c r="A598" s="247"/>
      <c r="B598" s="575"/>
      <c r="C598" s="575"/>
      <c r="D598" s="1423" t="s">
        <v>1526</v>
      </c>
      <c r="E598" s="1423"/>
      <c r="F598" s="1423"/>
      <c r="G598" s="248">
        <f>G597*0.12</f>
        <v>24572.387999999995</v>
      </c>
      <c r="H598" s="575"/>
      <c r="I598" s="249"/>
      <c r="J598" s="250"/>
      <c r="K598" s="251"/>
      <c r="L598" s="575"/>
      <c r="M598" s="575"/>
      <c r="N598" s="575"/>
      <c r="O598" s="575"/>
      <c r="P598" s="575"/>
    </row>
    <row r="599" spans="1:16" x14ac:dyDescent="0.2">
      <c r="A599" s="247"/>
      <c r="B599" s="575"/>
      <c r="C599" s="575"/>
      <c r="D599" s="1020"/>
      <c r="E599" s="1423" t="s">
        <v>1538</v>
      </c>
      <c r="F599" s="1423"/>
      <c r="G599" s="248">
        <f>G597*0.02</f>
        <v>4095.3979999999992</v>
      </c>
      <c r="H599" s="575"/>
      <c r="I599" s="249"/>
      <c r="J599" s="250"/>
      <c r="K599" s="251"/>
      <c r="L599" s="575"/>
      <c r="M599" s="575"/>
      <c r="N599" s="575"/>
      <c r="O599" s="575"/>
      <c r="P599" s="575"/>
    </row>
    <row r="600" spans="1:16" x14ac:dyDescent="0.2">
      <c r="A600" s="247"/>
      <c r="B600" s="575"/>
      <c r="C600" s="575"/>
      <c r="D600" s="575"/>
      <c r="E600" s="575"/>
      <c r="F600" s="252" t="s">
        <v>31</v>
      </c>
      <c r="G600" s="248">
        <f>0.15*G597</f>
        <v>30715.484999999993</v>
      </c>
      <c r="H600" s="575"/>
      <c r="I600" s="249"/>
      <c r="J600" s="250"/>
      <c r="K600" s="251"/>
      <c r="L600" s="575"/>
      <c r="M600" s="575"/>
      <c r="N600" s="575"/>
      <c r="O600" s="575"/>
      <c r="P600" s="575"/>
    </row>
    <row r="601" spans="1:16" ht="15" x14ac:dyDescent="0.25">
      <c r="A601" s="253"/>
      <c r="B601" s="249"/>
      <c r="C601" s="249"/>
      <c r="D601" s="249"/>
      <c r="E601" s="575"/>
      <c r="F601" s="277" t="str">
        <f>"Rate for "&amp;O582&amp;" m² :"</f>
        <v>Rate for 15 m² :</v>
      </c>
      <c r="G601" s="1012">
        <f>SUM(G597:G600)</f>
        <v>264153.17099999997</v>
      </c>
      <c r="H601" s="256"/>
      <c r="I601" s="249"/>
      <c r="J601" s="250"/>
      <c r="K601" s="251"/>
      <c r="L601" s="575"/>
      <c r="M601" s="575"/>
      <c r="N601" s="575"/>
      <c r="O601" s="575"/>
      <c r="P601" s="575"/>
    </row>
    <row r="602" spans="1:16" x14ac:dyDescent="0.2">
      <c r="A602" s="247"/>
      <c r="B602" s="575"/>
      <c r="C602" s="575"/>
      <c r="D602" s="575"/>
      <c r="E602" s="1027"/>
      <c r="F602" s="277" t="s">
        <v>1494</v>
      </c>
      <c r="G602" s="278">
        <f>G601/O582</f>
        <v>17610.211399999997</v>
      </c>
      <c r="H602" s="575"/>
      <c r="I602" s="249"/>
      <c r="J602" s="256"/>
      <c r="K602" s="275"/>
      <c r="L602" s="575"/>
      <c r="M602" s="575"/>
      <c r="N602" s="575"/>
      <c r="O602" s="575"/>
      <c r="P602" s="575"/>
    </row>
    <row r="603" spans="1:16" x14ac:dyDescent="0.2">
      <c r="A603" s="253"/>
      <c r="B603" s="249"/>
      <c r="C603" s="249"/>
      <c r="D603" s="249"/>
      <c r="E603" s="249"/>
      <c r="F603" s="254" t="s">
        <v>1</v>
      </c>
      <c r="G603" s="255">
        <f>G602</f>
        <v>17610.211399999997</v>
      </c>
      <c r="H603" s="249" t="s">
        <v>30</v>
      </c>
      <c r="I603" s="222" t="s">
        <v>38</v>
      </c>
      <c r="J603" s="256"/>
      <c r="K603" s="275"/>
      <c r="L603" s="275"/>
      <c r="M603" s="275"/>
      <c r="N603" s="575"/>
      <c r="O603" s="575"/>
      <c r="P603" s="575"/>
    </row>
    <row r="604" spans="1:16" hidden="1" x14ac:dyDescent="0.2">
      <c r="A604" s="575" t="s">
        <v>27</v>
      </c>
      <c r="B604" s="223">
        <f>B582+1</f>
        <v>17</v>
      </c>
      <c r="C604" s="222"/>
      <c r="D604" s="575"/>
      <c r="E604" s="575"/>
      <c r="F604" s="575"/>
      <c r="G604" s="575"/>
      <c r="H604" s="575"/>
      <c r="I604" s="575"/>
      <c r="J604" s="575"/>
      <c r="K604" s="575"/>
      <c r="L604" s="575"/>
      <c r="M604" s="575"/>
      <c r="N604" s="1020" t="s">
        <v>13</v>
      </c>
      <c r="O604" s="248">
        <v>15</v>
      </c>
      <c r="P604" s="222" t="s">
        <v>38</v>
      </c>
    </row>
    <row r="605" spans="1:16" hidden="1" x14ac:dyDescent="0.2">
      <c r="A605" s="223" t="s">
        <v>12</v>
      </c>
      <c r="B605" s="257" t="s">
        <v>1518</v>
      </c>
      <c r="C605" s="257"/>
      <c r="D605" s="257"/>
      <c r="E605" s="257"/>
      <c r="F605" s="257"/>
      <c r="G605" s="257"/>
      <c r="H605" s="257"/>
      <c r="I605" s="257"/>
      <c r="J605" s="257"/>
      <c r="K605" s="257" t="s">
        <v>1508</v>
      </c>
      <c r="L605" s="257"/>
      <c r="M605" s="257"/>
      <c r="N605" s="257"/>
      <c r="O605" s="257"/>
      <c r="P605" s="257"/>
    </row>
    <row r="606" spans="1:16" hidden="1" x14ac:dyDescent="0.2">
      <c r="A606" s="223"/>
      <c r="B606" s="265" t="s">
        <v>1544</v>
      </c>
      <c r="C606" s="265"/>
      <c r="D606" s="265"/>
      <c r="E606" s="265"/>
      <c r="F606" s="265"/>
      <c r="G606" s="265"/>
      <c r="H606" s="265"/>
      <c r="I606" s="265"/>
      <c r="J606" s="265"/>
      <c r="K606" s="265"/>
      <c r="L606" s="265"/>
      <c r="M606" s="265"/>
      <c r="N606" s="265"/>
      <c r="O606" s="265"/>
      <c r="P606" s="265"/>
    </row>
    <row r="607" spans="1:16" hidden="1" x14ac:dyDescent="0.2">
      <c r="A607" s="225" t="s">
        <v>243</v>
      </c>
      <c r="B607" s="226" t="s">
        <v>15</v>
      </c>
      <c r="C607" s="227"/>
      <c r="D607" s="227"/>
      <c r="E607" s="227"/>
      <c r="F607" s="226"/>
      <c r="G607" s="1412" t="s">
        <v>16</v>
      </c>
      <c r="H607" s="1413"/>
      <c r="I607" s="1413"/>
      <c r="J607" s="1413"/>
      <c r="K607" s="1414"/>
      <c r="L607" s="227" t="s">
        <v>17</v>
      </c>
      <c r="M607" s="227"/>
      <c r="N607" s="227"/>
      <c r="O607" s="227"/>
      <c r="P607" s="227"/>
    </row>
    <row r="608" spans="1:16" hidden="1" x14ac:dyDescent="0.2">
      <c r="A608" s="225" t="s">
        <v>273</v>
      </c>
      <c r="B608" s="228" t="s">
        <v>18</v>
      </c>
      <c r="C608" s="229" t="s">
        <v>0</v>
      </c>
      <c r="D608" s="229" t="s">
        <v>5</v>
      </c>
      <c r="E608" s="229" t="s">
        <v>1</v>
      </c>
      <c r="F608" s="230" t="s">
        <v>2</v>
      </c>
      <c r="G608" s="228" t="s">
        <v>19</v>
      </c>
      <c r="H608" s="229" t="s">
        <v>0</v>
      </c>
      <c r="I608" s="229" t="s">
        <v>5</v>
      </c>
      <c r="J608" s="229" t="s">
        <v>1</v>
      </c>
      <c r="K608" s="230" t="s">
        <v>2</v>
      </c>
      <c r="L608" s="228" t="s">
        <v>19</v>
      </c>
      <c r="M608" s="229" t="s">
        <v>0</v>
      </c>
      <c r="N608" s="229" t="s">
        <v>5</v>
      </c>
      <c r="O608" s="229" t="s">
        <v>1</v>
      </c>
      <c r="P608" s="230" t="s">
        <v>2</v>
      </c>
    </row>
    <row r="609" spans="1:16" hidden="1" x14ac:dyDescent="0.2">
      <c r="A609" s="258"/>
      <c r="B609" s="237"/>
      <c r="C609" s="233"/>
      <c r="D609" s="234"/>
      <c r="E609" s="235"/>
      <c r="F609" s="236"/>
      <c r="G609" s="237"/>
      <c r="H609" s="233"/>
      <c r="I609" s="234"/>
      <c r="J609" s="235"/>
      <c r="K609" s="236"/>
      <c r="L609" s="237"/>
      <c r="M609" s="233"/>
      <c r="N609" s="234"/>
      <c r="O609" s="235"/>
      <c r="P609" s="236"/>
    </row>
    <row r="610" spans="1:16" ht="15" hidden="1" x14ac:dyDescent="0.2">
      <c r="A610" s="231" t="s">
        <v>1545</v>
      </c>
      <c r="B610" s="1021" t="s">
        <v>32</v>
      </c>
      <c r="C610" s="1022" t="s">
        <v>46</v>
      </c>
      <c r="D610" s="1023">
        <v>3</v>
      </c>
      <c r="E610" s="1024">
        <f>skilled</f>
        <v>1070</v>
      </c>
      <c r="F610" s="1025">
        <f>ROUND(E610*D610,2)</f>
        <v>3210</v>
      </c>
      <c r="G610" s="1035" t="s">
        <v>9</v>
      </c>
      <c r="H610" s="1022" t="s">
        <v>14</v>
      </c>
      <c r="I610" s="1023">
        <v>6.05</v>
      </c>
      <c r="J610" s="1024">
        <f>cement</f>
        <v>17013.62</v>
      </c>
      <c r="K610" s="1025">
        <f t="shared" ref="K610:K613" si="23">ROUND(J610*I610,2)</f>
        <v>102932.4</v>
      </c>
      <c r="L610" s="259" t="s">
        <v>420</v>
      </c>
      <c r="M610" s="1022" t="s">
        <v>28</v>
      </c>
      <c r="N610" s="1023">
        <v>6</v>
      </c>
      <c r="O610" s="1024">
        <f>mixer</f>
        <v>1000</v>
      </c>
      <c r="P610" s="1025">
        <f>ROUND(O610*N610,2)</f>
        <v>6000</v>
      </c>
    </row>
    <row r="611" spans="1:16" hidden="1" x14ac:dyDescent="0.2">
      <c r="A611" s="260" t="s">
        <v>20</v>
      </c>
      <c r="B611" s="1021" t="s">
        <v>21</v>
      </c>
      <c r="C611" s="1022" t="s">
        <v>46</v>
      </c>
      <c r="D611" s="1023">
        <v>30</v>
      </c>
      <c r="E611" s="1024">
        <f>unskilled</f>
        <v>770</v>
      </c>
      <c r="F611" s="1025">
        <f>ROUND(E611*D611,2)</f>
        <v>23100</v>
      </c>
      <c r="G611" s="1035" t="s">
        <v>1542</v>
      </c>
      <c r="H611" s="1022" t="s">
        <v>6</v>
      </c>
      <c r="I611" s="1023">
        <f>I610*0.004*1000</f>
        <v>24.2</v>
      </c>
      <c r="J611" s="1024">
        <f>admixtures</f>
        <v>315.41361999999998</v>
      </c>
      <c r="K611" s="1025">
        <f t="shared" si="23"/>
        <v>7633.01</v>
      </c>
      <c r="L611" s="1021" t="s">
        <v>1493</v>
      </c>
      <c r="M611" s="1022" t="s">
        <v>28</v>
      </c>
      <c r="N611" s="1023">
        <v>6</v>
      </c>
      <c r="O611" s="1024">
        <f>generator</f>
        <v>1500</v>
      </c>
      <c r="P611" s="1025">
        <f>ROUND(O611*N611,2)</f>
        <v>9000</v>
      </c>
    </row>
    <row r="612" spans="1:16" hidden="1" x14ac:dyDescent="0.2">
      <c r="A612" s="260"/>
      <c r="B612" s="1021"/>
      <c r="C612" s="1022"/>
      <c r="D612" s="1023"/>
      <c r="E612" s="1024"/>
      <c r="F612" s="1025"/>
      <c r="G612" s="1035" t="s">
        <v>1498</v>
      </c>
      <c r="H612" s="1022" t="s">
        <v>38</v>
      </c>
      <c r="I612" s="1023">
        <v>8.1</v>
      </c>
      <c r="J612" s="1024">
        <f>_Agg20</f>
        <v>2574.1999999999998</v>
      </c>
      <c r="K612" s="1025">
        <f t="shared" si="23"/>
        <v>20851.02</v>
      </c>
      <c r="L612" s="1021"/>
      <c r="M612" s="1022"/>
      <c r="N612" s="1023"/>
      <c r="O612" s="1024"/>
      <c r="P612" s="1025"/>
    </row>
    <row r="613" spans="1:16" hidden="1" x14ac:dyDescent="0.2">
      <c r="A613" s="260"/>
      <c r="B613" s="1021"/>
      <c r="C613" s="1022"/>
      <c r="D613" s="1023"/>
      <c r="E613" s="1024"/>
      <c r="F613" s="1025"/>
      <c r="G613" s="1035" t="s">
        <v>1499</v>
      </c>
      <c r="H613" s="1022" t="s">
        <v>38</v>
      </c>
      <c r="I613" s="1023">
        <v>5.4</v>
      </c>
      <c r="J613" s="1024">
        <f>_agg10</f>
        <v>2574.1999999999998</v>
      </c>
      <c r="K613" s="1025">
        <f t="shared" si="23"/>
        <v>13900.68</v>
      </c>
      <c r="L613" s="1021"/>
      <c r="M613" s="1022"/>
      <c r="N613" s="1023"/>
      <c r="O613" s="1024"/>
      <c r="P613" s="1025"/>
    </row>
    <row r="614" spans="1:16" hidden="1" x14ac:dyDescent="0.2">
      <c r="A614" s="231"/>
      <c r="B614" s="1021"/>
      <c r="C614" s="1022"/>
      <c r="D614" s="1023"/>
      <c r="E614" s="1024"/>
      <c r="F614" s="1025"/>
      <c r="G614" s="1035" t="s">
        <v>45</v>
      </c>
      <c r="H614" s="1022" t="s">
        <v>38</v>
      </c>
      <c r="I614" s="1023">
        <v>6.75</v>
      </c>
      <c r="J614" s="1024">
        <f>sand</f>
        <v>2503.2750000000001</v>
      </c>
      <c r="K614" s="1025">
        <f>ROUND(J614*I614,2)</f>
        <v>16897.11</v>
      </c>
      <c r="L614" s="1021"/>
      <c r="M614" s="1022"/>
      <c r="N614" s="1023"/>
      <c r="O614" s="1024"/>
      <c r="P614" s="1025"/>
    </row>
    <row r="615" spans="1:16" ht="15" hidden="1" x14ac:dyDescent="0.2">
      <c r="A615" s="231"/>
      <c r="B615" s="1021"/>
      <c r="C615" s="1022"/>
      <c r="D615" s="1023"/>
      <c r="E615" s="1024"/>
      <c r="F615" s="1025"/>
      <c r="G615" s="659" t="s">
        <v>267</v>
      </c>
      <c r="H615" s="660" t="s">
        <v>44</v>
      </c>
      <c r="I615" s="661">
        <v>0.1</v>
      </c>
      <c r="J615" s="662">
        <f>petrol</f>
        <v>170</v>
      </c>
      <c r="K615" s="663">
        <f>ROUND(J615*I615,2)</f>
        <v>17</v>
      </c>
      <c r="L615" s="1021"/>
      <c r="M615" s="1022"/>
      <c r="N615" s="1023"/>
      <c r="O615" s="1024"/>
      <c r="P615" s="1025"/>
    </row>
    <row r="616" spans="1:16" ht="15" hidden="1" x14ac:dyDescent="0.2">
      <c r="A616" s="231"/>
      <c r="B616" s="1021"/>
      <c r="C616" s="1022"/>
      <c r="D616" s="1023"/>
      <c r="E616" s="1024"/>
      <c r="F616" s="1025"/>
      <c r="G616" s="659" t="s">
        <v>268</v>
      </c>
      <c r="H616" s="660" t="s">
        <v>44</v>
      </c>
      <c r="I616" s="661">
        <v>3</v>
      </c>
      <c r="J616" s="662">
        <f>diesel</f>
        <v>160</v>
      </c>
      <c r="K616" s="663">
        <f>ROUND(J616*I616,2)</f>
        <v>480</v>
      </c>
      <c r="L616" s="1021"/>
      <c r="M616" s="1022"/>
      <c r="N616" s="1023"/>
      <c r="O616" s="1024"/>
      <c r="P616" s="1025"/>
    </row>
    <row r="617" spans="1:16" hidden="1" x14ac:dyDescent="0.2">
      <c r="A617" s="231"/>
      <c r="B617" s="1021"/>
      <c r="C617" s="1022"/>
      <c r="D617" s="1023"/>
      <c r="E617" s="1024"/>
      <c r="F617" s="1025"/>
      <c r="G617" s="1035" t="s">
        <v>51</v>
      </c>
      <c r="H617" s="1022" t="s">
        <v>44</v>
      </c>
      <c r="I617" s="572">
        <v>3000</v>
      </c>
      <c r="J617" s="1024">
        <f>water</f>
        <v>0.24955999999999998</v>
      </c>
      <c r="K617" s="1025">
        <f>ROUND(J617*I617,2)</f>
        <v>748.68</v>
      </c>
      <c r="L617" s="1021"/>
      <c r="M617" s="1022"/>
      <c r="N617" s="1023"/>
      <c r="O617" s="1024"/>
      <c r="P617" s="1025"/>
    </row>
    <row r="618" spans="1:16" hidden="1" x14ac:dyDescent="0.2">
      <c r="A618" s="241"/>
      <c r="B618" s="242"/>
      <c r="C618" s="243"/>
      <c r="D618" s="243"/>
      <c r="E618" s="244" t="s">
        <v>39</v>
      </c>
      <c r="F618" s="245">
        <f>SUM(F610:F617)</f>
        <v>26310</v>
      </c>
      <c r="G618" s="242"/>
      <c r="H618" s="243"/>
      <c r="I618" s="243"/>
      <c r="J618" s="244" t="s">
        <v>40</v>
      </c>
      <c r="K618" s="245">
        <f>SUM(K610:K617)</f>
        <v>163459.89999999997</v>
      </c>
      <c r="L618" s="242"/>
      <c r="M618" s="243"/>
      <c r="N618" s="243"/>
      <c r="O618" s="246" t="s">
        <v>41</v>
      </c>
      <c r="P618" s="245">
        <f>SUM(P610:P617)</f>
        <v>15000</v>
      </c>
    </row>
    <row r="619" spans="1:16" hidden="1" x14ac:dyDescent="0.2">
      <c r="A619" s="247"/>
      <c r="B619" s="575"/>
      <c r="C619" s="575"/>
      <c r="D619" s="575"/>
      <c r="E619" s="575"/>
      <c r="F619" s="1020" t="s">
        <v>29</v>
      </c>
      <c r="G619" s="248">
        <f>F618+K618+P618</f>
        <v>204769.89999999997</v>
      </c>
      <c r="H619" s="575"/>
      <c r="I619" s="249"/>
      <c r="J619" s="250"/>
      <c r="K619" s="251"/>
      <c r="L619" s="575"/>
      <c r="M619" s="575"/>
      <c r="N619" s="575"/>
      <c r="O619" s="575"/>
      <c r="P619" s="575"/>
    </row>
    <row r="620" spans="1:16" hidden="1" x14ac:dyDescent="0.2">
      <c r="A620" s="247"/>
      <c r="B620" s="575"/>
      <c r="C620" s="575"/>
      <c r="D620" s="1423" t="s">
        <v>1530</v>
      </c>
      <c r="E620" s="1423"/>
      <c r="F620" s="1423"/>
      <c r="G620" s="248">
        <f>G619*0.15</f>
        <v>30715.484999999993</v>
      </c>
      <c r="H620" s="575"/>
      <c r="I620" s="249"/>
      <c r="J620" s="250"/>
      <c r="K620" s="251"/>
      <c r="L620" s="575"/>
      <c r="M620" s="575"/>
      <c r="N620" s="575"/>
      <c r="O620" s="575"/>
      <c r="P620" s="575"/>
    </row>
    <row r="621" spans="1:16" hidden="1" x14ac:dyDescent="0.2">
      <c r="A621" s="247"/>
      <c r="B621" s="575"/>
      <c r="C621" s="575"/>
      <c r="D621" s="1020"/>
      <c r="E621" s="1423" t="s">
        <v>1540</v>
      </c>
      <c r="F621" s="1423"/>
      <c r="G621" s="248">
        <f>G619*0.04</f>
        <v>8190.7959999999985</v>
      </c>
      <c r="H621" s="575"/>
      <c r="I621" s="249"/>
      <c r="J621" s="250"/>
      <c r="K621" s="251"/>
      <c r="L621" s="575"/>
      <c r="M621" s="575"/>
      <c r="N621" s="575"/>
      <c r="O621" s="575"/>
      <c r="P621" s="575"/>
    </row>
    <row r="622" spans="1:16" hidden="1" x14ac:dyDescent="0.2">
      <c r="A622" s="247"/>
      <c r="B622" s="575"/>
      <c r="C622" s="575"/>
      <c r="D622" s="575"/>
      <c r="E622" s="575"/>
      <c r="F622" s="252" t="s">
        <v>31</v>
      </c>
      <c r="G622" s="248">
        <f>0.15*G619</f>
        <v>30715.484999999993</v>
      </c>
      <c r="H622" s="575"/>
      <c r="I622" s="249"/>
      <c r="J622" s="250"/>
      <c r="K622" s="251"/>
      <c r="L622" s="575"/>
      <c r="M622" s="575"/>
      <c r="N622" s="575"/>
      <c r="O622" s="575"/>
      <c r="P622" s="575"/>
    </row>
    <row r="623" spans="1:16" ht="15" hidden="1" x14ac:dyDescent="0.25">
      <c r="A623" s="253"/>
      <c r="B623" s="249"/>
      <c r="C623" s="249"/>
      <c r="D623" s="249"/>
      <c r="E623" s="575"/>
      <c r="F623" s="277" t="str">
        <f>"Rate for "&amp;O604&amp;" m² :"</f>
        <v>Rate for 15 m² :</v>
      </c>
      <c r="G623" s="1012">
        <f>SUM(G619:G622)</f>
        <v>274391.66599999997</v>
      </c>
      <c r="H623" s="256"/>
      <c r="I623" s="249"/>
      <c r="J623" s="250"/>
      <c r="K623" s="251"/>
      <c r="L623" s="575"/>
      <c r="M623" s="575"/>
      <c r="N623" s="575"/>
      <c r="O623" s="575"/>
      <c r="P623" s="575"/>
    </row>
    <row r="624" spans="1:16" hidden="1" x14ac:dyDescent="0.2">
      <c r="A624" s="247"/>
      <c r="B624" s="575"/>
      <c r="C624" s="575"/>
      <c r="D624" s="575"/>
      <c r="E624" s="1027"/>
      <c r="F624" s="277" t="s">
        <v>1494</v>
      </c>
      <c r="G624" s="278">
        <f>G623/O604</f>
        <v>18292.777733333332</v>
      </c>
      <c r="H624" s="575"/>
      <c r="I624" s="249"/>
      <c r="J624" s="256"/>
      <c r="K624" s="275"/>
      <c r="L624" s="575"/>
      <c r="M624" s="575"/>
      <c r="N624" s="575"/>
      <c r="O624" s="575"/>
      <c r="P624" s="575"/>
    </row>
    <row r="625" spans="1:16" hidden="1" x14ac:dyDescent="0.2">
      <c r="A625" s="253"/>
      <c r="B625" s="249"/>
      <c r="C625" s="249"/>
      <c r="D625" s="249"/>
      <c r="E625" s="249"/>
      <c r="F625" s="254" t="s">
        <v>1</v>
      </c>
      <c r="G625" s="255">
        <f>G624</f>
        <v>18292.777733333332</v>
      </c>
      <c r="H625" s="249" t="s">
        <v>30</v>
      </c>
      <c r="I625" s="222" t="s">
        <v>38</v>
      </c>
      <c r="J625" s="256"/>
      <c r="K625" s="275"/>
      <c r="L625" s="275"/>
      <c r="M625" s="275"/>
      <c r="N625" s="575"/>
      <c r="O625" s="575"/>
      <c r="P625" s="575"/>
    </row>
    <row r="626" spans="1:16" x14ac:dyDescent="0.2">
      <c r="A626" s="575" t="s">
        <v>27</v>
      </c>
      <c r="B626" s="223">
        <f>B582+1</f>
        <v>17</v>
      </c>
      <c r="C626" s="222"/>
      <c r="D626" s="575"/>
      <c r="E626" s="575"/>
      <c r="F626" s="575"/>
      <c r="G626" s="575"/>
      <c r="H626" s="575"/>
      <c r="I626" s="575"/>
      <c r="J626" s="575"/>
      <c r="K626" s="575"/>
      <c r="L626" s="575"/>
      <c r="M626" s="575"/>
      <c r="N626" s="1020" t="s">
        <v>13</v>
      </c>
      <c r="O626" s="248">
        <v>15</v>
      </c>
      <c r="P626" s="222" t="s">
        <v>38</v>
      </c>
    </row>
    <row r="627" spans="1:16" x14ac:dyDescent="0.2">
      <c r="A627" s="223" t="s">
        <v>12</v>
      </c>
      <c r="B627" s="257" t="s">
        <v>1518</v>
      </c>
      <c r="C627" s="257"/>
      <c r="D627" s="257"/>
      <c r="E627" s="257"/>
      <c r="F627" s="257"/>
      <c r="G627" s="257"/>
      <c r="H627" s="257"/>
      <c r="I627" s="257"/>
      <c r="J627" s="257"/>
      <c r="K627" s="257" t="s">
        <v>1514</v>
      </c>
      <c r="L627" s="257"/>
      <c r="M627" s="257"/>
      <c r="N627" s="257"/>
      <c r="O627" s="257"/>
      <c r="P627" s="257"/>
    </row>
    <row r="628" spans="1:16" x14ac:dyDescent="0.2">
      <c r="A628" s="223"/>
      <c r="B628" s="265" t="s">
        <v>1519</v>
      </c>
      <c r="C628" s="265"/>
      <c r="D628" s="265"/>
      <c r="E628" s="265"/>
      <c r="F628" s="265"/>
      <c r="G628" s="265"/>
      <c r="H628" s="265"/>
      <c r="I628" s="265"/>
      <c r="J628" s="265"/>
      <c r="K628" s="265"/>
      <c r="L628" s="265"/>
      <c r="M628" s="265"/>
      <c r="N628" s="265"/>
      <c r="O628" s="265"/>
      <c r="P628" s="265"/>
    </row>
    <row r="629" spans="1:16" x14ac:dyDescent="0.2">
      <c r="A629" s="225" t="s">
        <v>243</v>
      </c>
      <c r="B629" s="226" t="s">
        <v>15</v>
      </c>
      <c r="C629" s="227"/>
      <c r="D629" s="227"/>
      <c r="E629" s="227"/>
      <c r="F629" s="226"/>
      <c r="G629" s="1412" t="s">
        <v>16</v>
      </c>
      <c r="H629" s="1413"/>
      <c r="I629" s="1413"/>
      <c r="J629" s="1413"/>
      <c r="K629" s="1414"/>
      <c r="L629" s="227" t="s">
        <v>17</v>
      </c>
      <c r="M629" s="227"/>
      <c r="N629" s="227"/>
      <c r="O629" s="227"/>
      <c r="P629" s="227"/>
    </row>
    <row r="630" spans="1:16" x14ac:dyDescent="0.2">
      <c r="A630" s="225" t="s">
        <v>273</v>
      </c>
      <c r="B630" s="228" t="s">
        <v>18</v>
      </c>
      <c r="C630" s="229" t="s">
        <v>0</v>
      </c>
      <c r="D630" s="229" t="s">
        <v>5</v>
      </c>
      <c r="E630" s="229" t="s">
        <v>1</v>
      </c>
      <c r="F630" s="230" t="s">
        <v>2</v>
      </c>
      <c r="G630" s="228" t="s">
        <v>19</v>
      </c>
      <c r="H630" s="229" t="s">
        <v>0</v>
      </c>
      <c r="I630" s="229" t="s">
        <v>5</v>
      </c>
      <c r="J630" s="229" t="s">
        <v>1</v>
      </c>
      <c r="K630" s="230" t="s">
        <v>2</v>
      </c>
      <c r="L630" s="228" t="s">
        <v>19</v>
      </c>
      <c r="M630" s="229" t="s">
        <v>0</v>
      </c>
      <c r="N630" s="229" t="s">
        <v>5</v>
      </c>
      <c r="O630" s="229" t="s">
        <v>1</v>
      </c>
      <c r="P630" s="230" t="s">
        <v>2</v>
      </c>
    </row>
    <row r="631" spans="1:16" x14ac:dyDescent="0.2">
      <c r="A631" s="258"/>
      <c r="B631" s="237"/>
      <c r="C631" s="233"/>
      <c r="D631" s="234"/>
      <c r="E631" s="235"/>
      <c r="F631" s="236"/>
      <c r="G631" s="237"/>
      <c r="H631" s="233"/>
      <c r="I631" s="234"/>
      <c r="J631" s="235"/>
      <c r="K631" s="236"/>
      <c r="L631" s="237"/>
      <c r="M631" s="233"/>
      <c r="N631" s="234"/>
      <c r="O631" s="235"/>
      <c r="P631" s="236"/>
    </row>
    <row r="632" spans="1:16" ht="15" x14ac:dyDescent="0.2">
      <c r="A632" s="231" t="s">
        <v>1546</v>
      </c>
      <c r="B632" s="1021" t="s">
        <v>32</v>
      </c>
      <c r="C632" s="1022" t="s">
        <v>46</v>
      </c>
      <c r="D632" s="1023">
        <v>3</v>
      </c>
      <c r="E632" s="1024">
        <f>skilled</f>
        <v>1070</v>
      </c>
      <c r="F632" s="1025">
        <f>ROUND(E632*D632,2)</f>
        <v>3210</v>
      </c>
      <c r="G632" s="1035" t="s">
        <v>9</v>
      </c>
      <c r="H632" s="1022" t="s">
        <v>14</v>
      </c>
      <c r="I632" s="1023">
        <v>6.1</v>
      </c>
      <c r="J632" s="1024">
        <f>cement</f>
        <v>17013.62</v>
      </c>
      <c r="K632" s="1025">
        <f t="shared" ref="K632:K635" si="24">ROUND(J632*I632,2)</f>
        <v>103783.08</v>
      </c>
      <c r="L632" s="259" t="s">
        <v>420</v>
      </c>
      <c r="M632" s="1022" t="s">
        <v>28</v>
      </c>
      <c r="N632" s="1023">
        <v>6</v>
      </c>
      <c r="O632" s="1024">
        <f>mixer</f>
        <v>1000</v>
      </c>
      <c r="P632" s="1025">
        <f>ROUND(O632*N632,2)</f>
        <v>6000</v>
      </c>
    </row>
    <row r="633" spans="1:16" x14ac:dyDescent="0.2">
      <c r="A633" s="260" t="s">
        <v>20</v>
      </c>
      <c r="B633" s="1021" t="s">
        <v>21</v>
      </c>
      <c r="C633" s="1022" t="s">
        <v>46</v>
      </c>
      <c r="D633" s="1023">
        <v>30</v>
      </c>
      <c r="E633" s="1024">
        <f>unskilled</f>
        <v>770</v>
      </c>
      <c r="F633" s="1025">
        <f>ROUND(E633*D633,2)</f>
        <v>23100</v>
      </c>
      <c r="G633" s="1035" t="s">
        <v>1542</v>
      </c>
      <c r="H633" s="1022" t="s">
        <v>6</v>
      </c>
      <c r="I633" s="1023">
        <f>I632*0.004*1000</f>
        <v>24.4</v>
      </c>
      <c r="J633" s="1024">
        <f>admixtures</f>
        <v>315.41361999999998</v>
      </c>
      <c r="K633" s="1025">
        <f t="shared" si="24"/>
        <v>7696.09</v>
      </c>
      <c r="L633" s="1021" t="s">
        <v>1493</v>
      </c>
      <c r="M633" s="1022" t="s">
        <v>28</v>
      </c>
      <c r="N633" s="1023">
        <v>6</v>
      </c>
      <c r="O633" s="1024">
        <f>generator</f>
        <v>1500</v>
      </c>
      <c r="P633" s="1025">
        <f>ROUND(O633*N633,2)</f>
        <v>9000</v>
      </c>
    </row>
    <row r="634" spans="1:16" x14ac:dyDescent="0.2">
      <c r="A634" s="260"/>
      <c r="B634" s="1021"/>
      <c r="C634" s="1022"/>
      <c r="D634" s="1023"/>
      <c r="E634" s="1024"/>
      <c r="F634" s="1025"/>
      <c r="G634" s="1035" t="s">
        <v>1498</v>
      </c>
      <c r="H634" s="1022" t="s">
        <v>38</v>
      </c>
      <c r="I634" s="1023">
        <v>8.1</v>
      </c>
      <c r="J634" s="1024">
        <f>_Agg20</f>
        <v>2574.1999999999998</v>
      </c>
      <c r="K634" s="1025">
        <f t="shared" si="24"/>
        <v>20851.02</v>
      </c>
      <c r="L634" s="1021"/>
      <c r="M634" s="1022"/>
      <c r="N634" s="1023"/>
      <c r="O634" s="1024"/>
      <c r="P634" s="1025"/>
    </row>
    <row r="635" spans="1:16" x14ac:dyDescent="0.2">
      <c r="A635" s="260"/>
      <c r="B635" s="1021"/>
      <c r="C635" s="1022"/>
      <c r="D635" s="1023"/>
      <c r="E635" s="1024"/>
      <c r="F635" s="1025"/>
      <c r="G635" s="1035" t="s">
        <v>1499</v>
      </c>
      <c r="H635" s="1022" t="s">
        <v>38</v>
      </c>
      <c r="I635" s="1023">
        <v>5.4</v>
      </c>
      <c r="J635" s="1024">
        <f>_agg10</f>
        <v>2574.1999999999998</v>
      </c>
      <c r="K635" s="1025">
        <f t="shared" si="24"/>
        <v>13900.68</v>
      </c>
      <c r="L635" s="1021"/>
      <c r="M635" s="1022"/>
      <c r="N635" s="1023"/>
      <c r="O635" s="1024"/>
      <c r="P635" s="1025"/>
    </row>
    <row r="636" spans="1:16" x14ac:dyDescent="0.2">
      <c r="A636" s="231"/>
      <c r="B636" s="1021"/>
      <c r="C636" s="1022"/>
      <c r="D636" s="1023"/>
      <c r="E636" s="1024"/>
      <c r="F636" s="1025"/>
      <c r="G636" s="1035" t="s">
        <v>45</v>
      </c>
      <c r="H636" s="1022" t="s">
        <v>38</v>
      </c>
      <c r="I636" s="1023">
        <v>6.75</v>
      </c>
      <c r="J636" s="1024">
        <f>sand</f>
        <v>2503.2750000000001</v>
      </c>
      <c r="K636" s="1025">
        <f>ROUND(J636*I636,2)</f>
        <v>16897.11</v>
      </c>
      <c r="L636" s="1021"/>
      <c r="M636" s="1022"/>
      <c r="N636" s="1023"/>
      <c r="O636" s="1024"/>
      <c r="P636" s="1025"/>
    </row>
    <row r="637" spans="1:16" ht="15" x14ac:dyDescent="0.2">
      <c r="A637" s="231"/>
      <c r="B637" s="1021"/>
      <c r="C637" s="1022"/>
      <c r="D637" s="1023"/>
      <c r="E637" s="1024"/>
      <c r="F637" s="1025"/>
      <c r="G637" s="659" t="s">
        <v>267</v>
      </c>
      <c r="H637" s="660" t="s">
        <v>44</v>
      </c>
      <c r="I637" s="661">
        <v>0.1</v>
      </c>
      <c r="J637" s="662">
        <f>petrol</f>
        <v>170</v>
      </c>
      <c r="K637" s="663">
        <f>ROUND(J637*I637,2)</f>
        <v>17</v>
      </c>
      <c r="L637" s="1021"/>
      <c r="M637" s="1022"/>
      <c r="N637" s="1023"/>
      <c r="O637" s="1024"/>
      <c r="P637" s="1025"/>
    </row>
    <row r="638" spans="1:16" ht="15" x14ac:dyDescent="0.2">
      <c r="A638" s="231"/>
      <c r="B638" s="1021"/>
      <c r="C638" s="1022"/>
      <c r="D638" s="1023"/>
      <c r="E638" s="1024"/>
      <c r="F638" s="1025"/>
      <c r="G638" s="659" t="s">
        <v>268</v>
      </c>
      <c r="H638" s="660" t="s">
        <v>44</v>
      </c>
      <c r="I638" s="661">
        <v>3</v>
      </c>
      <c r="J638" s="662">
        <f>diesel</f>
        <v>160</v>
      </c>
      <c r="K638" s="663">
        <f>ROUND(J638*I638,2)</f>
        <v>480</v>
      </c>
      <c r="L638" s="1021"/>
      <c r="M638" s="1022"/>
      <c r="N638" s="1023"/>
      <c r="O638" s="1024"/>
      <c r="P638" s="1025"/>
    </row>
    <row r="639" spans="1:16" x14ac:dyDescent="0.2">
      <c r="A639" s="231"/>
      <c r="B639" s="1021"/>
      <c r="C639" s="1022"/>
      <c r="D639" s="1023"/>
      <c r="E639" s="1024"/>
      <c r="F639" s="1025"/>
      <c r="G639" s="1035" t="s">
        <v>51</v>
      </c>
      <c r="H639" s="1022" t="s">
        <v>44</v>
      </c>
      <c r="I639" s="572">
        <v>3000</v>
      </c>
      <c r="J639" s="1024">
        <f>water</f>
        <v>0.24955999999999998</v>
      </c>
      <c r="K639" s="1025">
        <f>ROUND(J639*I639,2)</f>
        <v>748.68</v>
      </c>
      <c r="L639" s="1021"/>
      <c r="M639" s="1022"/>
      <c r="N639" s="1023"/>
      <c r="O639" s="1024"/>
      <c r="P639" s="1025"/>
    </row>
    <row r="640" spans="1:16" x14ac:dyDescent="0.2">
      <c r="A640" s="241"/>
      <c r="B640" s="242"/>
      <c r="C640" s="243"/>
      <c r="D640" s="243"/>
      <c r="E640" s="244" t="s">
        <v>39</v>
      </c>
      <c r="F640" s="245">
        <f>SUM(F632:F639)</f>
        <v>26310</v>
      </c>
      <c r="G640" s="242"/>
      <c r="H640" s="243"/>
      <c r="I640" s="243"/>
      <c r="J640" s="244" t="s">
        <v>40</v>
      </c>
      <c r="K640" s="245">
        <f>SUM(K632:K639)</f>
        <v>164373.65999999997</v>
      </c>
      <c r="L640" s="242"/>
      <c r="M640" s="243"/>
      <c r="N640" s="243"/>
      <c r="O640" s="246" t="s">
        <v>41</v>
      </c>
      <c r="P640" s="245">
        <f>SUM(P632:P639)</f>
        <v>15000</v>
      </c>
    </row>
    <row r="641" spans="1:16" x14ac:dyDescent="0.2">
      <c r="A641" s="247"/>
      <c r="B641" s="575"/>
      <c r="C641" s="575"/>
      <c r="D641" s="575"/>
      <c r="E641" s="575"/>
      <c r="F641" s="1020" t="s">
        <v>29</v>
      </c>
      <c r="G641" s="248">
        <f>F640+K640+P640</f>
        <v>205683.65999999997</v>
      </c>
      <c r="H641" s="575"/>
      <c r="I641" s="249"/>
      <c r="J641" s="250"/>
      <c r="K641" s="251"/>
      <c r="L641" s="575"/>
      <c r="M641" s="575"/>
      <c r="N641" s="575"/>
      <c r="O641" s="575"/>
      <c r="P641" s="575"/>
    </row>
    <row r="642" spans="1:16" x14ac:dyDescent="0.2">
      <c r="A642" s="247"/>
      <c r="B642" s="575"/>
      <c r="C642" s="575"/>
      <c r="D642" s="1423" t="s">
        <v>1521</v>
      </c>
      <c r="E642" s="1423"/>
      <c r="F642" s="1423"/>
      <c r="G642" s="248">
        <f>G641*0.1</f>
        <v>20568.365999999998</v>
      </c>
      <c r="H642" s="575"/>
      <c r="I642" s="249"/>
      <c r="J642" s="250"/>
      <c r="K642" s="251"/>
      <c r="L642" s="575"/>
      <c r="M642" s="575"/>
      <c r="N642" s="575"/>
      <c r="O642" s="575"/>
      <c r="P642" s="575"/>
    </row>
    <row r="643" spans="1:16" x14ac:dyDescent="0.2">
      <c r="A643" s="247"/>
      <c r="B643" s="575"/>
      <c r="C643" s="575"/>
      <c r="D643" s="575"/>
      <c r="E643" s="575"/>
      <c r="F643" s="252" t="s">
        <v>31</v>
      </c>
      <c r="G643" s="248">
        <f>0.15*G641</f>
        <v>30852.548999999995</v>
      </c>
      <c r="H643" s="575"/>
      <c r="I643" s="249"/>
      <c r="J643" s="250"/>
      <c r="K643" s="251"/>
      <c r="L643" s="575"/>
      <c r="M643" s="575"/>
      <c r="N643" s="575"/>
      <c r="O643" s="575"/>
      <c r="P643" s="575"/>
    </row>
    <row r="644" spans="1:16" ht="15" x14ac:dyDescent="0.25">
      <c r="A644" s="253"/>
      <c r="B644" s="249"/>
      <c r="C644" s="249"/>
      <c r="D644" s="249"/>
      <c r="E644" s="575"/>
      <c r="F644" s="277" t="str">
        <f>"Rate for "&amp;O626&amp;" m² :"</f>
        <v>Rate for 15 m² :</v>
      </c>
      <c r="G644" s="1012">
        <f>SUM(G641:G643)</f>
        <v>257104.57499999998</v>
      </c>
      <c r="H644" s="256"/>
      <c r="I644" s="249"/>
      <c r="J644" s="250"/>
      <c r="K644" s="251"/>
      <c r="L644" s="575"/>
      <c r="M644" s="575"/>
      <c r="N644" s="575"/>
      <c r="O644" s="575"/>
      <c r="P644" s="575"/>
    </row>
    <row r="645" spans="1:16" x14ac:dyDescent="0.2">
      <c r="A645" s="247"/>
      <c r="B645" s="575"/>
      <c r="C645" s="575"/>
      <c r="D645" s="575"/>
      <c r="E645" s="1027"/>
      <c r="F645" s="277" t="s">
        <v>1494</v>
      </c>
      <c r="G645" s="278">
        <f>G644/O626</f>
        <v>17140.305</v>
      </c>
      <c r="H645" s="575"/>
      <c r="I645" s="249"/>
      <c r="J645" s="256"/>
      <c r="K645" s="275"/>
      <c r="L645" s="575"/>
      <c r="M645" s="575"/>
      <c r="N645" s="575"/>
      <c r="O645" s="575"/>
      <c r="P645" s="575"/>
    </row>
    <row r="646" spans="1:16" x14ac:dyDescent="0.2">
      <c r="A646" s="253"/>
      <c r="B646" s="249"/>
      <c r="C646" s="249"/>
      <c r="D646" s="249"/>
      <c r="E646" s="249"/>
      <c r="F646" s="254" t="s">
        <v>1</v>
      </c>
      <c r="G646" s="255">
        <f>G645</f>
        <v>17140.305</v>
      </c>
      <c r="H646" s="249" t="s">
        <v>30</v>
      </c>
      <c r="I646" s="222" t="s">
        <v>38</v>
      </c>
      <c r="J646" s="256"/>
      <c r="K646" s="275"/>
      <c r="L646" s="275"/>
      <c r="M646" s="275"/>
      <c r="N646" s="575"/>
      <c r="O646" s="575"/>
      <c r="P646" s="575"/>
    </row>
    <row r="647" spans="1:16" x14ac:dyDescent="0.2">
      <c r="A647" s="253"/>
      <c r="B647" s="249"/>
      <c r="C647" s="249"/>
      <c r="D647" s="249"/>
      <c r="E647" s="249"/>
      <c r="F647" s="254"/>
      <c r="G647" s="255"/>
      <c r="H647" s="249"/>
      <c r="I647" s="222"/>
      <c r="J647" s="256"/>
      <c r="K647" s="275"/>
      <c r="L647" s="275"/>
      <c r="M647" s="275"/>
      <c r="N647" s="575"/>
      <c r="O647" s="575"/>
      <c r="P647" s="575"/>
    </row>
    <row r="648" spans="1:16" x14ac:dyDescent="0.2">
      <c r="A648" s="575" t="s">
        <v>27</v>
      </c>
      <c r="B648" s="223">
        <f>B626+1</f>
        <v>18</v>
      </c>
      <c r="C648" s="222"/>
      <c r="D648" s="575"/>
      <c r="E648" s="575"/>
      <c r="F648" s="575"/>
      <c r="G648" s="575"/>
      <c r="H648" s="575"/>
      <c r="I648" s="575"/>
      <c r="J648" s="575"/>
      <c r="K648" s="575"/>
      <c r="L648" s="575"/>
      <c r="M648" s="575"/>
      <c r="N648" s="1020" t="s">
        <v>13</v>
      </c>
      <c r="O648" s="248">
        <v>15</v>
      </c>
      <c r="P648" s="222" t="s">
        <v>38</v>
      </c>
    </row>
    <row r="649" spans="1:16" x14ac:dyDescent="0.2">
      <c r="A649" s="223" t="s">
        <v>12</v>
      </c>
      <c r="B649" s="257" t="s">
        <v>1518</v>
      </c>
      <c r="C649" s="257"/>
      <c r="D649" s="257"/>
      <c r="E649" s="257"/>
      <c r="F649" s="257"/>
      <c r="G649" s="257"/>
      <c r="H649" s="257"/>
      <c r="I649" s="257"/>
      <c r="J649" s="257"/>
      <c r="K649" s="257" t="s">
        <v>1514</v>
      </c>
      <c r="L649" s="257"/>
      <c r="M649" s="257"/>
      <c r="N649" s="257"/>
      <c r="O649" s="257"/>
      <c r="P649" s="257"/>
    </row>
    <row r="650" spans="1:16" x14ac:dyDescent="0.2">
      <c r="A650" s="223"/>
      <c r="B650" s="265" t="s">
        <v>1524</v>
      </c>
      <c r="C650" s="265"/>
      <c r="D650" s="265"/>
      <c r="E650" s="265"/>
      <c r="F650" s="265"/>
      <c r="G650" s="265"/>
      <c r="H650" s="265"/>
      <c r="I650" s="265"/>
      <c r="J650" s="265"/>
      <c r="K650" s="265"/>
      <c r="L650" s="265"/>
      <c r="M650" s="265"/>
      <c r="N650" s="265"/>
      <c r="O650" s="265"/>
      <c r="P650" s="265"/>
    </row>
    <row r="651" spans="1:16" x14ac:dyDescent="0.2">
      <c r="A651" s="225" t="s">
        <v>243</v>
      </c>
      <c r="B651" s="226" t="s">
        <v>15</v>
      </c>
      <c r="C651" s="227"/>
      <c r="D651" s="227"/>
      <c r="E651" s="227"/>
      <c r="F651" s="226"/>
      <c r="G651" s="1412" t="s">
        <v>16</v>
      </c>
      <c r="H651" s="1413"/>
      <c r="I651" s="1413"/>
      <c r="J651" s="1413"/>
      <c r="K651" s="1414"/>
      <c r="L651" s="227" t="s">
        <v>17</v>
      </c>
      <c r="M651" s="227"/>
      <c r="N651" s="227"/>
      <c r="O651" s="227"/>
      <c r="P651" s="227"/>
    </row>
    <row r="652" spans="1:16" x14ac:dyDescent="0.2">
      <c r="A652" s="225" t="s">
        <v>273</v>
      </c>
      <c r="B652" s="228" t="s">
        <v>18</v>
      </c>
      <c r="C652" s="229" t="s">
        <v>0</v>
      </c>
      <c r="D652" s="229" t="s">
        <v>5</v>
      </c>
      <c r="E652" s="229" t="s">
        <v>1</v>
      </c>
      <c r="F652" s="230" t="s">
        <v>2</v>
      </c>
      <c r="G652" s="228" t="s">
        <v>19</v>
      </c>
      <c r="H652" s="229" t="s">
        <v>0</v>
      </c>
      <c r="I652" s="229" t="s">
        <v>5</v>
      </c>
      <c r="J652" s="229" t="s">
        <v>1</v>
      </c>
      <c r="K652" s="230" t="s">
        <v>2</v>
      </c>
      <c r="L652" s="228" t="s">
        <v>19</v>
      </c>
      <c r="M652" s="229" t="s">
        <v>0</v>
      </c>
      <c r="N652" s="229" t="s">
        <v>5</v>
      </c>
      <c r="O652" s="229" t="s">
        <v>1</v>
      </c>
      <c r="P652" s="230" t="s">
        <v>2</v>
      </c>
    </row>
    <row r="653" spans="1:16" x14ac:dyDescent="0.2">
      <c r="A653" s="258"/>
      <c r="B653" s="237"/>
      <c r="C653" s="233"/>
      <c r="D653" s="234"/>
      <c r="E653" s="235"/>
      <c r="F653" s="236"/>
      <c r="G653" s="237"/>
      <c r="H653" s="233"/>
      <c r="I653" s="234"/>
      <c r="J653" s="235"/>
      <c r="K653" s="236"/>
      <c r="L653" s="237"/>
      <c r="M653" s="233"/>
      <c r="N653" s="234"/>
      <c r="O653" s="235"/>
      <c r="P653" s="236"/>
    </row>
    <row r="654" spans="1:16" ht="15" x14ac:dyDescent="0.2">
      <c r="A654" s="231" t="s">
        <v>1547</v>
      </c>
      <c r="B654" s="1021" t="s">
        <v>32</v>
      </c>
      <c r="C654" s="1022" t="s">
        <v>46</v>
      </c>
      <c r="D654" s="1023">
        <v>3</v>
      </c>
      <c r="E654" s="1024">
        <f>skilled</f>
        <v>1070</v>
      </c>
      <c r="F654" s="1025">
        <f>ROUND(E654*D654,2)</f>
        <v>3210</v>
      </c>
      <c r="G654" s="1035" t="s">
        <v>9</v>
      </c>
      <c r="H654" s="1022" t="s">
        <v>14</v>
      </c>
      <c r="I654" s="1023">
        <v>6.1</v>
      </c>
      <c r="J654" s="1024">
        <f>cement</f>
        <v>17013.62</v>
      </c>
      <c r="K654" s="1025">
        <f t="shared" ref="K654:K657" si="25">ROUND(J654*I654,2)</f>
        <v>103783.08</v>
      </c>
      <c r="L654" s="259" t="s">
        <v>420</v>
      </c>
      <c r="M654" s="1022" t="s">
        <v>28</v>
      </c>
      <c r="N654" s="1023">
        <v>6</v>
      </c>
      <c r="O654" s="1024">
        <f>mixer</f>
        <v>1000</v>
      </c>
      <c r="P654" s="1025">
        <f>ROUND(O654*N654,2)</f>
        <v>6000</v>
      </c>
    </row>
    <row r="655" spans="1:16" x14ac:dyDescent="0.2">
      <c r="A655" s="260" t="s">
        <v>20</v>
      </c>
      <c r="B655" s="1021" t="s">
        <v>21</v>
      </c>
      <c r="C655" s="1022" t="s">
        <v>46</v>
      </c>
      <c r="D655" s="1023">
        <v>30</v>
      </c>
      <c r="E655" s="1024">
        <f>unskilled</f>
        <v>770</v>
      </c>
      <c r="F655" s="1025">
        <f>ROUND(E655*D655,2)</f>
        <v>23100</v>
      </c>
      <c r="G655" s="1035" t="s">
        <v>1542</v>
      </c>
      <c r="H655" s="1022" t="s">
        <v>6</v>
      </c>
      <c r="I655" s="1023">
        <f>I654*0.004*1000</f>
        <v>24.4</v>
      </c>
      <c r="J655" s="1024">
        <f>admixtures</f>
        <v>315.41361999999998</v>
      </c>
      <c r="K655" s="1025">
        <f t="shared" si="25"/>
        <v>7696.09</v>
      </c>
      <c r="L655" s="1021" t="s">
        <v>1493</v>
      </c>
      <c r="M655" s="1022" t="s">
        <v>28</v>
      </c>
      <c r="N655" s="1023">
        <v>6</v>
      </c>
      <c r="O655" s="1024">
        <f>generator</f>
        <v>1500</v>
      </c>
      <c r="P655" s="1025">
        <f>ROUND(O655*N655,2)</f>
        <v>9000</v>
      </c>
    </row>
    <row r="656" spans="1:16" x14ac:dyDescent="0.2">
      <c r="A656" s="260"/>
      <c r="B656" s="1021"/>
      <c r="C656" s="1022"/>
      <c r="D656" s="1023"/>
      <c r="E656" s="1024"/>
      <c r="F656" s="1025"/>
      <c r="G656" s="1035" t="s">
        <v>1498</v>
      </c>
      <c r="H656" s="1022" t="s">
        <v>38</v>
      </c>
      <c r="I656" s="1023">
        <v>8.1</v>
      </c>
      <c r="J656" s="1024">
        <f>_Agg20</f>
        <v>2574.1999999999998</v>
      </c>
      <c r="K656" s="1025">
        <f t="shared" si="25"/>
        <v>20851.02</v>
      </c>
      <c r="L656" s="1021"/>
      <c r="M656" s="1022"/>
      <c r="N656" s="1023"/>
      <c r="O656" s="1024"/>
      <c r="P656" s="1025"/>
    </row>
    <row r="657" spans="1:16" x14ac:dyDescent="0.2">
      <c r="A657" s="260"/>
      <c r="B657" s="1021"/>
      <c r="C657" s="1022"/>
      <c r="D657" s="1023"/>
      <c r="E657" s="1024"/>
      <c r="F657" s="1025"/>
      <c r="G657" s="1035" t="s">
        <v>1499</v>
      </c>
      <c r="H657" s="1022" t="s">
        <v>38</v>
      </c>
      <c r="I657" s="1023">
        <v>5.4</v>
      </c>
      <c r="J657" s="1024">
        <f>_agg10</f>
        <v>2574.1999999999998</v>
      </c>
      <c r="K657" s="1025">
        <f t="shared" si="25"/>
        <v>13900.68</v>
      </c>
      <c r="L657" s="1021"/>
      <c r="M657" s="1022"/>
      <c r="N657" s="1023"/>
      <c r="O657" s="1024"/>
      <c r="P657" s="1025"/>
    </row>
    <row r="658" spans="1:16" x14ac:dyDescent="0.2">
      <c r="A658" s="231"/>
      <c r="B658" s="1021"/>
      <c r="C658" s="1022"/>
      <c r="D658" s="1023"/>
      <c r="E658" s="1024"/>
      <c r="F658" s="1025"/>
      <c r="G658" s="1035" t="s">
        <v>45</v>
      </c>
      <c r="H658" s="1022" t="s">
        <v>38</v>
      </c>
      <c r="I658" s="1023">
        <v>6.75</v>
      </c>
      <c r="J658" s="1024">
        <f>sand</f>
        <v>2503.2750000000001</v>
      </c>
      <c r="K658" s="1025">
        <f>ROUND(J658*I658,2)</f>
        <v>16897.11</v>
      </c>
      <c r="L658" s="1021"/>
      <c r="M658" s="1022"/>
      <c r="N658" s="1023"/>
      <c r="O658" s="1024"/>
      <c r="P658" s="1025"/>
    </row>
    <row r="659" spans="1:16" ht="15" x14ac:dyDescent="0.2">
      <c r="A659" s="231"/>
      <c r="B659" s="1021"/>
      <c r="C659" s="1022"/>
      <c r="D659" s="1023"/>
      <c r="E659" s="1024"/>
      <c r="F659" s="1025"/>
      <c r="G659" s="659" t="s">
        <v>267</v>
      </c>
      <c r="H659" s="660" t="s">
        <v>44</v>
      </c>
      <c r="I659" s="661">
        <v>0.1</v>
      </c>
      <c r="J659" s="662">
        <f>petrol</f>
        <v>170</v>
      </c>
      <c r="K659" s="663">
        <f>ROUND(J659*I659,2)</f>
        <v>17</v>
      </c>
      <c r="L659" s="1021"/>
      <c r="M659" s="1022"/>
      <c r="N659" s="1023"/>
      <c r="O659" s="1024"/>
      <c r="P659" s="1025"/>
    </row>
    <row r="660" spans="1:16" ht="15" x14ac:dyDescent="0.2">
      <c r="A660" s="231"/>
      <c r="B660" s="1021"/>
      <c r="C660" s="1022"/>
      <c r="D660" s="1023"/>
      <c r="E660" s="1024"/>
      <c r="F660" s="1025"/>
      <c r="G660" s="659" t="s">
        <v>268</v>
      </c>
      <c r="H660" s="660" t="s">
        <v>44</v>
      </c>
      <c r="I660" s="661">
        <v>3</v>
      </c>
      <c r="J660" s="662">
        <f>diesel</f>
        <v>160</v>
      </c>
      <c r="K660" s="663">
        <f>ROUND(J660*I660,2)</f>
        <v>480</v>
      </c>
      <c r="L660" s="1021"/>
      <c r="M660" s="1022"/>
      <c r="N660" s="1023"/>
      <c r="O660" s="1024"/>
      <c r="P660" s="1025"/>
    </row>
    <row r="661" spans="1:16" x14ac:dyDescent="0.2">
      <c r="A661" s="231"/>
      <c r="B661" s="1021"/>
      <c r="C661" s="1022"/>
      <c r="D661" s="1023"/>
      <c r="E661" s="1024"/>
      <c r="F661" s="1025"/>
      <c r="G661" s="1035" t="s">
        <v>51</v>
      </c>
      <c r="H661" s="1022" t="s">
        <v>44</v>
      </c>
      <c r="I661" s="572">
        <v>3000</v>
      </c>
      <c r="J661" s="1024">
        <f>water</f>
        <v>0.24955999999999998</v>
      </c>
      <c r="K661" s="1025">
        <f>ROUND(J661*I661,2)</f>
        <v>748.68</v>
      </c>
      <c r="L661" s="1021"/>
      <c r="M661" s="1022"/>
      <c r="N661" s="1023"/>
      <c r="O661" s="1024"/>
      <c r="P661" s="1025"/>
    </row>
    <row r="662" spans="1:16" x14ac:dyDescent="0.2">
      <c r="A662" s="241"/>
      <c r="B662" s="242"/>
      <c r="C662" s="243"/>
      <c r="D662" s="243"/>
      <c r="E662" s="244" t="s">
        <v>39</v>
      </c>
      <c r="F662" s="245">
        <f>SUM(F654:F661)</f>
        <v>26310</v>
      </c>
      <c r="G662" s="242"/>
      <c r="H662" s="243"/>
      <c r="I662" s="243"/>
      <c r="J662" s="244" t="s">
        <v>40</v>
      </c>
      <c r="K662" s="245">
        <f>SUM(K654:K661)</f>
        <v>164373.65999999997</v>
      </c>
      <c r="L662" s="242"/>
      <c r="M662" s="243"/>
      <c r="N662" s="243"/>
      <c r="O662" s="246" t="s">
        <v>41</v>
      </c>
      <c r="P662" s="245">
        <f>SUM(P654:P661)</f>
        <v>15000</v>
      </c>
    </row>
    <row r="663" spans="1:16" x14ac:dyDescent="0.2">
      <c r="A663" s="247"/>
      <c r="B663" s="575"/>
      <c r="C663" s="575"/>
      <c r="D663" s="575"/>
      <c r="E663" s="575"/>
      <c r="F663" s="1020" t="s">
        <v>29</v>
      </c>
      <c r="G663" s="248">
        <f>F662+K662+P662</f>
        <v>205683.65999999997</v>
      </c>
      <c r="H663" s="575"/>
      <c r="I663" s="249"/>
      <c r="J663" s="250"/>
      <c r="K663" s="251"/>
      <c r="L663" s="575"/>
      <c r="M663" s="575"/>
      <c r="N663" s="575"/>
      <c r="O663" s="575"/>
      <c r="P663" s="575"/>
    </row>
    <row r="664" spans="1:16" x14ac:dyDescent="0.2">
      <c r="A664" s="247"/>
      <c r="B664" s="575"/>
      <c r="C664" s="575"/>
      <c r="D664" s="1423" t="s">
        <v>1526</v>
      </c>
      <c r="E664" s="1423"/>
      <c r="F664" s="1423"/>
      <c r="G664" s="248">
        <f>G663*0.12</f>
        <v>24682.039199999996</v>
      </c>
      <c r="H664" s="575"/>
      <c r="I664" s="249"/>
      <c r="J664" s="250"/>
      <c r="K664" s="251"/>
      <c r="L664" s="575"/>
      <c r="M664" s="575"/>
      <c r="N664" s="575"/>
      <c r="O664" s="575"/>
      <c r="P664" s="575"/>
    </row>
    <row r="665" spans="1:16" x14ac:dyDescent="0.2">
      <c r="A665" s="247"/>
      <c r="B665" s="575"/>
      <c r="C665" s="575"/>
      <c r="D665" s="1020"/>
      <c r="E665" s="1423" t="s">
        <v>1538</v>
      </c>
      <c r="F665" s="1423"/>
      <c r="G665" s="248">
        <f>G663*0.02</f>
        <v>4113.6731999999993</v>
      </c>
      <c r="H665" s="575"/>
      <c r="I665" s="249"/>
      <c r="J665" s="250"/>
      <c r="K665" s="251"/>
      <c r="L665" s="575"/>
      <c r="M665" s="575"/>
      <c r="N665" s="575"/>
      <c r="O665" s="575"/>
      <c r="P665" s="575"/>
    </row>
    <row r="666" spans="1:16" x14ac:dyDescent="0.2">
      <c r="A666" s="247"/>
      <c r="B666" s="575"/>
      <c r="C666" s="575"/>
      <c r="D666" s="575"/>
      <c r="E666" s="575"/>
      <c r="F666" s="252" t="s">
        <v>31</v>
      </c>
      <c r="G666" s="248">
        <f>0.15*G663</f>
        <v>30852.548999999995</v>
      </c>
      <c r="H666" s="575"/>
      <c r="I666" s="249"/>
      <c r="J666" s="250"/>
      <c r="K666" s="251"/>
      <c r="L666" s="575"/>
      <c r="M666" s="575"/>
      <c r="N666" s="575"/>
      <c r="O666" s="575"/>
      <c r="P666" s="575"/>
    </row>
    <row r="667" spans="1:16" ht="15" x14ac:dyDescent="0.25">
      <c r="A667" s="253"/>
      <c r="B667" s="249"/>
      <c r="C667" s="249"/>
      <c r="D667" s="249"/>
      <c r="E667" s="575"/>
      <c r="F667" s="277" t="str">
        <f>"Rate for "&amp;O648&amp;" m² :"</f>
        <v>Rate for 15 m² :</v>
      </c>
      <c r="G667" s="1012">
        <f>SUM(G663:G666)</f>
        <v>265331.92139999993</v>
      </c>
      <c r="H667" s="256"/>
      <c r="I667" s="249"/>
      <c r="J667" s="250"/>
      <c r="K667" s="251"/>
      <c r="L667" s="575"/>
      <c r="M667" s="575"/>
      <c r="N667" s="575"/>
      <c r="O667" s="575"/>
      <c r="P667" s="575"/>
    </row>
    <row r="668" spans="1:16" x14ac:dyDescent="0.2">
      <c r="A668" s="247"/>
      <c r="B668" s="575"/>
      <c r="C668" s="575"/>
      <c r="D668" s="575"/>
      <c r="E668" s="1027"/>
      <c r="F668" s="277" t="s">
        <v>1494</v>
      </c>
      <c r="G668" s="278">
        <f>G667/O648</f>
        <v>17688.794759999997</v>
      </c>
      <c r="H668" s="575"/>
      <c r="I668" s="249"/>
      <c r="J668" s="256"/>
      <c r="K668" s="275"/>
      <c r="L668" s="575"/>
      <c r="M668" s="575"/>
      <c r="N668" s="575"/>
      <c r="O668" s="575"/>
      <c r="P668" s="575"/>
    </row>
    <row r="669" spans="1:16" x14ac:dyDescent="0.2">
      <c r="A669" s="253"/>
      <c r="B669" s="249"/>
      <c r="C669" s="249"/>
      <c r="D669" s="249"/>
      <c r="E669" s="249"/>
      <c r="F669" s="254" t="s">
        <v>1</v>
      </c>
      <c r="G669" s="255">
        <f>G668</f>
        <v>17688.794759999997</v>
      </c>
      <c r="H669" s="249" t="s">
        <v>30</v>
      </c>
      <c r="I669" s="222" t="s">
        <v>38</v>
      </c>
      <c r="J669" s="256"/>
      <c r="K669" s="275"/>
      <c r="L669" s="275"/>
      <c r="M669" s="275"/>
      <c r="N669" s="575"/>
      <c r="O669" s="575"/>
      <c r="P669" s="575"/>
    </row>
    <row r="670" spans="1:16" x14ac:dyDescent="0.2">
      <c r="A670" s="575" t="s">
        <v>27</v>
      </c>
      <c r="B670" s="223">
        <f>B648+1</f>
        <v>19</v>
      </c>
      <c r="C670" s="222"/>
      <c r="D670" s="575"/>
      <c r="E670" s="575"/>
      <c r="F670" s="575"/>
      <c r="G670" s="575"/>
      <c r="H670" s="575"/>
      <c r="I670" s="575"/>
      <c r="J670" s="575"/>
      <c r="K670" s="575"/>
      <c r="L670" s="575"/>
      <c r="M670" s="575"/>
      <c r="N670" s="1020" t="s">
        <v>13</v>
      </c>
      <c r="O670" s="248">
        <v>15</v>
      </c>
      <c r="P670" s="222" t="s">
        <v>38</v>
      </c>
    </row>
    <row r="671" spans="1:16" x14ac:dyDescent="0.2">
      <c r="A671" s="223" t="s">
        <v>12</v>
      </c>
      <c r="B671" s="257" t="s">
        <v>1518</v>
      </c>
      <c r="C671" s="257"/>
      <c r="D671" s="257"/>
      <c r="E671" s="257"/>
      <c r="F671" s="257"/>
      <c r="G671" s="257"/>
      <c r="H671" s="257"/>
      <c r="I671" s="257"/>
      <c r="J671" s="257"/>
      <c r="K671" s="257" t="s">
        <v>1514</v>
      </c>
      <c r="L671" s="257"/>
      <c r="M671" s="257"/>
      <c r="N671" s="257"/>
      <c r="O671" s="257"/>
      <c r="P671" s="257"/>
    </row>
    <row r="672" spans="1:16" x14ac:dyDescent="0.2">
      <c r="A672" s="223"/>
      <c r="B672" s="265" t="s">
        <v>1528</v>
      </c>
      <c r="C672" s="265"/>
      <c r="D672" s="265"/>
      <c r="E672" s="265"/>
      <c r="F672" s="265"/>
      <c r="G672" s="265"/>
      <c r="H672" s="265"/>
      <c r="I672" s="265"/>
      <c r="J672" s="265"/>
      <c r="K672" s="265"/>
      <c r="L672" s="265"/>
      <c r="M672" s="265"/>
      <c r="N672" s="265"/>
      <c r="O672" s="265"/>
      <c r="P672" s="265"/>
    </row>
    <row r="673" spans="1:16" x14ac:dyDescent="0.2">
      <c r="A673" s="225" t="s">
        <v>243</v>
      </c>
      <c r="B673" s="226" t="s">
        <v>15</v>
      </c>
      <c r="C673" s="227"/>
      <c r="D673" s="227"/>
      <c r="E673" s="227"/>
      <c r="F673" s="226"/>
      <c r="G673" s="1412" t="s">
        <v>16</v>
      </c>
      <c r="H673" s="1413"/>
      <c r="I673" s="1413"/>
      <c r="J673" s="1413"/>
      <c r="K673" s="1414"/>
      <c r="L673" s="227" t="s">
        <v>17</v>
      </c>
      <c r="M673" s="227"/>
      <c r="N673" s="227"/>
      <c r="O673" s="227"/>
      <c r="P673" s="227"/>
    </row>
    <row r="674" spans="1:16" x14ac:dyDescent="0.2">
      <c r="A674" s="225" t="s">
        <v>273</v>
      </c>
      <c r="B674" s="228" t="s">
        <v>18</v>
      </c>
      <c r="C674" s="229" t="s">
        <v>0</v>
      </c>
      <c r="D674" s="229" t="s">
        <v>5</v>
      </c>
      <c r="E674" s="229" t="s">
        <v>1</v>
      </c>
      <c r="F674" s="230" t="s">
        <v>2</v>
      </c>
      <c r="G674" s="228" t="s">
        <v>19</v>
      </c>
      <c r="H674" s="229" t="s">
        <v>0</v>
      </c>
      <c r="I674" s="229" t="s">
        <v>5</v>
      </c>
      <c r="J674" s="229" t="s">
        <v>1</v>
      </c>
      <c r="K674" s="230" t="s">
        <v>2</v>
      </c>
      <c r="L674" s="228" t="s">
        <v>19</v>
      </c>
      <c r="M674" s="229" t="s">
        <v>0</v>
      </c>
      <c r="N674" s="229" t="s">
        <v>5</v>
      </c>
      <c r="O674" s="229" t="s">
        <v>1</v>
      </c>
      <c r="P674" s="230" t="s">
        <v>2</v>
      </c>
    </row>
    <row r="675" spans="1:16" x14ac:dyDescent="0.2">
      <c r="A675" s="258"/>
      <c r="B675" s="237"/>
      <c r="C675" s="233"/>
      <c r="D675" s="234"/>
      <c r="E675" s="235"/>
      <c r="F675" s="236"/>
      <c r="G675" s="237"/>
      <c r="H675" s="233"/>
      <c r="I675" s="234"/>
      <c r="J675" s="235"/>
      <c r="K675" s="236"/>
      <c r="L675" s="237"/>
      <c r="M675" s="233"/>
      <c r="N675" s="234"/>
      <c r="O675" s="235"/>
      <c r="P675" s="236"/>
    </row>
    <row r="676" spans="1:16" ht="15" x14ac:dyDescent="0.2">
      <c r="A676" s="231" t="s">
        <v>1548</v>
      </c>
      <c r="B676" s="1021" t="s">
        <v>32</v>
      </c>
      <c r="C676" s="1022" t="s">
        <v>46</v>
      </c>
      <c r="D676" s="1023">
        <v>3</v>
      </c>
      <c r="E676" s="1024">
        <f>skilled</f>
        <v>1070</v>
      </c>
      <c r="F676" s="1025">
        <f>ROUND(E676*D676,2)</f>
        <v>3210</v>
      </c>
      <c r="G676" s="1035" t="s">
        <v>9</v>
      </c>
      <c r="H676" s="1022" t="s">
        <v>14</v>
      </c>
      <c r="I676" s="1023">
        <v>6.1</v>
      </c>
      <c r="J676" s="1024">
        <f>cement</f>
        <v>17013.62</v>
      </c>
      <c r="K676" s="1025">
        <f t="shared" ref="K676" si="26">ROUND(J676*I676,2)</f>
        <v>103783.08</v>
      </c>
      <c r="L676" s="259" t="s">
        <v>420</v>
      </c>
      <c r="M676" s="1022" t="s">
        <v>28</v>
      </c>
      <c r="N676" s="1023">
        <v>6</v>
      </c>
      <c r="O676" s="1024">
        <f>mixer</f>
        <v>1000</v>
      </c>
      <c r="P676" s="1025">
        <f>ROUND(O676*N676,2)</f>
        <v>6000</v>
      </c>
    </row>
    <row r="677" spans="1:16" x14ac:dyDescent="0.2">
      <c r="A677" s="260" t="s">
        <v>20</v>
      </c>
      <c r="B677" s="1021" t="s">
        <v>21</v>
      </c>
      <c r="C677" s="1022" t="s">
        <v>46</v>
      </c>
      <c r="D677" s="1023">
        <v>30</v>
      </c>
      <c r="E677" s="1024">
        <f>unskilled</f>
        <v>770</v>
      </c>
      <c r="F677" s="1025">
        <f>ROUND(E677*D677,2)</f>
        <v>23100</v>
      </c>
      <c r="G677" s="1035" t="s">
        <v>1542</v>
      </c>
      <c r="H677" s="1022" t="s">
        <v>6</v>
      </c>
      <c r="I677" s="1023">
        <f>I676*0.004*1000</f>
        <v>24.4</v>
      </c>
      <c r="J677" s="1024">
        <f>admixtures</f>
        <v>315.41361999999998</v>
      </c>
      <c r="K677" s="1025">
        <f>I677*J677</f>
        <v>7696.0923279999988</v>
      </c>
      <c r="L677" s="1021" t="s">
        <v>1493</v>
      </c>
      <c r="M677" s="1022" t="s">
        <v>28</v>
      </c>
      <c r="N677" s="1023">
        <v>6</v>
      </c>
      <c r="O677" s="1024">
        <f>generator</f>
        <v>1500</v>
      </c>
      <c r="P677" s="1025">
        <f>ROUND(O677*N677,2)</f>
        <v>9000</v>
      </c>
    </row>
    <row r="678" spans="1:16" x14ac:dyDescent="0.2">
      <c r="A678" s="260"/>
      <c r="B678" s="1021"/>
      <c r="C678" s="1022"/>
      <c r="D678" s="1023"/>
      <c r="E678" s="1024"/>
      <c r="F678" s="1025"/>
      <c r="G678" s="1035" t="s">
        <v>1498</v>
      </c>
      <c r="H678" s="1022" t="s">
        <v>38</v>
      </c>
      <c r="I678" s="1023">
        <v>8.1</v>
      </c>
      <c r="J678" s="1024">
        <f>_Agg20</f>
        <v>2574.1999999999998</v>
      </c>
      <c r="K678" s="1025">
        <f t="shared" ref="K678:K679" si="27">ROUND(J678*I678,2)</f>
        <v>20851.02</v>
      </c>
      <c r="L678" s="1021"/>
      <c r="M678" s="1022"/>
      <c r="N678" s="1023"/>
      <c r="O678" s="1024"/>
      <c r="P678" s="1025"/>
    </row>
    <row r="679" spans="1:16" x14ac:dyDescent="0.2">
      <c r="A679" s="260"/>
      <c r="B679" s="1021"/>
      <c r="C679" s="1022"/>
      <c r="D679" s="1023"/>
      <c r="E679" s="1024"/>
      <c r="F679" s="1025"/>
      <c r="G679" s="1035" t="s">
        <v>1499</v>
      </c>
      <c r="H679" s="1022" t="s">
        <v>38</v>
      </c>
      <c r="I679" s="1023">
        <v>5.4</v>
      </c>
      <c r="J679" s="1024">
        <f>_agg10</f>
        <v>2574.1999999999998</v>
      </c>
      <c r="K679" s="1025">
        <f t="shared" si="27"/>
        <v>13900.68</v>
      </c>
      <c r="L679" s="1021"/>
      <c r="M679" s="1022"/>
      <c r="N679" s="1023"/>
      <c r="O679" s="1024"/>
      <c r="P679" s="1025"/>
    </row>
    <row r="680" spans="1:16" x14ac:dyDescent="0.2">
      <c r="A680" s="231"/>
      <c r="B680" s="1021"/>
      <c r="C680" s="1022"/>
      <c r="D680" s="1023"/>
      <c r="E680" s="1024"/>
      <c r="F680" s="1025"/>
      <c r="G680" s="1035" t="s">
        <v>45</v>
      </c>
      <c r="H680" s="1022" t="s">
        <v>38</v>
      </c>
      <c r="I680" s="1023">
        <v>6.75</v>
      </c>
      <c r="J680" s="1024">
        <f>sand</f>
        <v>2503.2750000000001</v>
      </c>
      <c r="K680" s="1025">
        <f>ROUND(J680*I680,2)</f>
        <v>16897.11</v>
      </c>
      <c r="L680" s="1021"/>
      <c r="M680" s="1022"/>
      <c r="N680" s="1023"/>
      <c r="O680" s="1024"/>
      <c r="P680" s="1025"/>
    </row>
    <row r="681" spans="1:16" ht="15" x14ac:dyDescent="0.2">
      <c r="A681" s="231"/>
      <c r="B681" s="1021"/>
      <c r="C681" s="1022"/>
      <c r="D681" s="1023"/>
      <c r="E681" s="1024"/>
      <c r="F681" s="1025"/>
      <c r="G681" s="659" t="s">
        <v>267</v>
      </c>
      <c r="H681" s="660" t="s">
        <v>44</v>
      </c>
      <c r="I681" s="661">
        <v>0.1</v>
      </c>
      <c r="J681" s="662">
        <f>petrol</f>
        <v>170</v>
      </c>
      <c r="K681" s="663">
        <f>ROUND(J681*I681,2)</f>
        <v>17</v>
      </c>
      <c r="L681" s="1021"/>
      <c r="M681" s="1022"/>
      <c r="N681" s="1023"/>
      <c r="O681" s="1024"/>
      <c r="P681" s="1025"/>
    </row>
    <row r="682" spans="1:16" ht="15" x14ac:dyDescent="0.2">
      <c r="A682" s="231"/>
      <c r="B682" s="1021"/>
      <c r="C682" s="1022"/>
      <c r="D682" s="1023"/>
      <c r="E682" s="1024"/>
      <c r="F682" s="1025"/>
      <c r="G682" s="659" t="s">
        <v>268</v>
      </c>
      <c r="H682" s="660" t="s">
        <v>44</v>
      </c>
      <c r="I682" s="661">
        <v>3</v>
      </c>
      <c r="J682" s="662">
        <f>diesel</f>
        <v>160</v>
      </c>
      <c r="K682" s="663">
        <f>ROUND(J682*I682,2)</f>
        <v>480</v>
      </c>
      <c r="L682" s="1021"/>
      <c r="M682" s="1022"/>
      <c r="N682" s="1023"/>
      <c r="O682" s="1024"/>
      <c r="P682" s="1025"/>
    </row>
    <row r="683" spans="1:16" x14ac:dyDescent="0.2">
      <c r="A683" s="231"/>
      <c r="B683" s="1021"/>
      <c r="C683" s="1022"/>
      <c r="D683" s="1023"/>
      <c r="E683" s="1024"/>
      <c r="F683" s="1025"/>
      <c r="G683" s="1035" t="s">
        <v>51</v>
      </c>
      <c r="H683" s="1022" t="s">
        <v>44</v>
      </c>
      <c r="I683" s="572">
        <v>3000</v>
      </c>
      <c r="J683" s="1024">
        <f>water</f>
        <v>0.24955999999999998</v>
      </c>
      <c r="K683" s="1025">
        <f>ROUND(J683*I683,2)</f>
        <v>748.68</v>
      </c>
      <c r="L683" s="1021"/>
      <c r="M683" s="1022"/>
      <c r="N683" s="1023"/>
      <c r="O683" s="1024"/>
      <c r="P683" s="1025"/>
    </row>
    <row r="684" spans="1:16" x14ac:dyDescent="0.2">
      <c r="A684" s="241"/>
      <c r="B684" s="242"/>
      <c r="C684" s="243"/>
      <c r="D684" s="243"/>
      <c r="E684" s="244" t="s">
        <v>39</v>
      </c>
      <c r="F684" s="245">
        <f>SUM(F676:F683)</f>
        <v>26310</v>
      </c>
      <c r="G684" s="242"/>
      <c r="H684" s="243"/>
      <c r="I684" s="243"/>
      <c r="J684" s="244" t="s">
        <v>40</v>
      </c>
      <c r="K684" s="245">
        <f>SUM(K676:K683)</f>
        <v>164373.66232800001</v>
      </c>
      <c r="L684" s="242"/>
      <c r="M684" s="243"/>
      <c r="N684" s="243"/>
      <c r="O684" s="246" t="s">
        <v>41</v>
      </c>
      <c r="P684" s="245">
        <f>SUM(P676:P683)</f>
        <v>15000</v>
      </c>
    </row>
    <row r="685" spans="1:16" x14ac:dyDescent="0.2">
      <c r="A685" s="247"/>
      <c r="B685" s="575"/>
      <c r="C685" s="575"/>
      <c r="D685" s="575"/>
      <c r="E685" s="575"/>
      <c r="F685" s="1020" t="s">
        <v>29</v>
      </c>
      <c r="G685" s="248">
        <f>F684+K684+P684</f>
        <v>205683.66232800001</v>
      </c>
      <c r="H685" s="575"/>
      <c r="I685" s="249"/>
      <c r="J685" s="250"/>
      <c r="K685" s="251"/>
      <c r="L685" s="575"/>
      <c r="M685" s="575"/>
      <c r="N685" s="575"/>
      <c r="O685" s="575"/>
      <c r="P685" s="575"/>
    </row>
    <row r="686" spans="1:16" x14ac:dyDescent="0.2">
      <c r="A686" s="247"/>
      <c r="B686" s="575"/>
      <c r="C686" s="575"/>
      <c r="D686" s="1423" t="s">
        <v>1530</v>
      </c>
      <c r="E686" s="1423"/>
      <c r="F686" s="1423"/>
      <c r="G686" s="248">
        <f>G685*0.15</f>
        <v>30852.549349199999</v>
      </c>
      <c r="H686" s="575"/>
      <c r="I686" s="249"/>
      <c r="J686" s="250"/>
      <c r="K686" s="251"/>
      <c r="L686" s="575"/>
      <c r="M686" s="575"/>
      <c r="N686" s="575"/>
      <c r="O686" s="575"/>
      <c r="P686" s="575"/>
    </row>
    <row r="687" spans="1:16" x14ac:dyDescent="0.2">
      <c r="A687" s="247"/>
      <c r="B687" s="575"/>
      <c r="C687" s="575"/>
      <c r="D687" s="1020"/>
      <c r="E687" s="1423" t="s">
        <v>1540</v>
      </c>
      <c r="F687" s="1423"/>
      <c r="G687" s="248">
        <f>G685*0.04</f>
        <v>8227.3464931199996</v>
      </c>
      <c r="H687" s="575"/>
      <c r="I687" s="249"/>
      <c r="J687" s="250"/>
      <c r="K687" s="251"/>
      <c r="L687" s="575"/>
      <c r="M687" s="575"/>
      <c r="N687" s="575"/>
      <c r="O687" s="575"/>
      <c r="P687" s="575"/>
    </row>
    <row r="688" spans="1:16" x14ac:dyDescent="0.2">
      <c r="A688" s="247"/>
      <c r="B688" s="575"/>
      <c r="C688" s="575"/>
      <c r="D688" s="575"/>
      <c r="E688" s="575"/>
      <c r="F688" s="252" t="s">
        <v>31</v>
      </c>
      <c r="G688" s="248">
        <f>0.15*G685</f>
        <v>30852.549349199999</v>
      </c>
      <c r="H688" s="575"/>
      <c r="I688" s="249"/>
      <c r="J688" s="250"/>
      <c r="K688" s="251"/>
      <c r="L688" s="575"/>
      <c r="M688" s="575"/>
      <c r="N688" s="575"/>
      <c r="O688" s="575"/>
      <c r="P688" s="575"/>
    </row>
    <row r="689" spans="1:16" ht="15" x14ac:dyDescent="0.25">
      <c r="A689" s="253"/>
      <c r="B689" s="249"/>
      <c r="C689" s="249"/>
      <c r="D689" s="249"/>
      <c r="E689" s="575"/>
      <c r="F689" s="277" t="str">
        <f>"Rate for "&amp;O670&amp;" m² :"</f>
        <v>Rate for 15 m² :</v>
      </c>
      <c r="G689" s="1012">
        <f>SUM(G685:G688)</f>
        <v>275616.10751951998</v>
      </c>
      <c r="H689" s="256"/>
      <c r="I689" s="249"/>
      <c r="J689" s="250"/>
      <c r="K689" s="251"/>
      <c r="L689" s="575"/>
      <c r="M689" s="575"/>
      <c r="N689" s="575"/>
      <c r="O689" s="575"/>
      <c r="P689" s="575"/>
    </row>
    <row r="690" spans="1:16" x14ac:dyDescent="0.2">
      <c r="A690" s="247"/>
      <c r="B690" s="575"/>
      <c r="C690" s="575"/>
      <c r="D690" s="575"/>
      <c r="E690" s="1027"/>
      <c r="F690" s="277" t="s">
        <v>1494</v>
      </c>
      <c r="G690" s="278">
        <f>G689/O670</f>
        <v>18374.407167967998</v>
      </c>
      <c r="H690" s="575"/>
      <c r="I690" s="249"/>
      <c r="J690" s="256"/>
      <c r="K690" s="275"/>
      <c r="L690" s="575"/>
      <c r="M690" s="575"/>
      <c r="N690" s="575"/>
      <c r="O690" s="575"/>
      <c r="P690" s="575"/>
    </row>
    <row r="691" spans="1:16" x14ac:dyDescent="0.2">
      <c r="A691" s="253"/>
      <c r="B691" s="249"/>
      <c r="C691" s="249"/>
      <c r="D691" s="249"/>
      <c r="E691" s="249"/>
      <c r="F691" s="254" t="s">
        <v>1</v>
      </c>
      <c r="G691" s="255">
        <f>G690</f>
        <v>18374.407167967998</v>
      </c>
      <c r="H691" s="249" t="s">
        <v>30</v>
      </c>
      <c r="I691" s="222" t="s">
        <v>38</v>
      </c>
      <c r="J691" s="256"/>
      <c r="K691" s="275"/>
      <c r="L691" s="275"/>
      <c r="M691" s="275"/>
      <c r="N691" s="575"/>
      <c r="O691" s="575"/>
      <c r="P691" s="575"/>
    </row>
    <row r="692" spans="1:16" x14ac:dyDescent="0.2">
      <c r="A692" s="575" t="s">
        <v>27</v>
      </c>
      <c r="B692" s="223">
        <f>B670+1</f>
        <v>20</v>
      </c>
      <c r="C692" s="222"/>
      <c r="D692" s="575"/>
      <c r="E692" s="575"/>
      <c r="F692" s="575"/>
      <c r="G692" s="575"/>
      <c r="H692" s="575"/>
      <c r="I692" s="575"/>
      <c r="J692" s="575"/>
      <c r="K692" s="575"/>
      <c r="L692" s="575"/>
      <c r="M692" s="575"/>
      <c r="N692" s="1020" t="s">
        <v>13</v>
      </c>
      <c r="O692" s="248">
        <v>15</v>
      </c>
      <c r="P692" s="222" t="s">
        <v>38</v>
      </c>
    </row>
    <row r="693" spans="1:16" x14ac:dyDescent="0.2">
      <c r="A693" s="223" t="s">
        <v>12</v>
      </c>
      <c r="B693" s="257" t="s">
        <v>1549</v>
      </c>
      <c r="C693" s="257"/>
      <c r="D693" s="257"/>
      <c r="E693" s="257"/>
      <c r="F693" s="257"/>
      <c r="G693" s="257"/>
      <c r="H693" s="257"/>
      <c r="I693" s="257"/>
      <c r="J693" s="257"/>
      <c r="K693" s="257" t="s">
        <v>1508</v>
      </c>
      <c r="L693" s="257"/>
      <c r="M693" s="257"/>
      <c r="N693" s="257"/>
      <c r="O693" s="257"/>
      <c r="P693" s="257"/>
    </row>
    <row r="694" spans="1:16" x14ac:dyDescent="0.2">
      <c r="A694" s="223"/>
      <c r="B694" s="265" t="s">
        <v>1550</v>
      </c>
      <c r="C694" s="265"/>
      <c r="D694" s="265"/>
      <c r="E694" s="265"/>
      <c r="F694" s="265"/>
      <c r="G694" s="265"/>
      <c r="H694" s="265"/>
      <c r="I694" s="265"/>
      <c r="J694" s="265"/>
      <c r="K694" s="265"/>
      <c r="L694" s="265"/>
      <c r="M694" s="265"/>
      <c r="N694" s="265"/>
      <c r="O694" s="265"/>
      <c r="P694" s="265"/>
    </row>
    <row r="695" spans="1:16" x14ac:dyDescent="0.2">
      <c r="A695" s="223"/>
      <c r="B695" s="265" t="s">
        <v>1524</v>
      </c>
      <c r="C695" s="265"/>
      <c r="D695" s="265"/>
      <c r="E695" s="265"/>
      <c r="F695" s="265"/>
      <c r="G695" s="265"/>
      <c r="H695" s="265"/>
      <c r="I695" s="265"/>
      <c r="J695" s="265"/>
      <c r="K695" s="265"/>
      <c r="L695" s="265"/>
      <c r="M695" s="265"/>
      <c r="N695" s="265"/>
      <c r="O695" s="265"/>
      <c r="P695" s="265"/>
    </row>
    <row r="696" spans="1:16" x14ac:dyDescent="0.2">
      <c r="A696" s="225" t="s">
        <v>243</v>
      </c>
      <c r="B696" s="226" t="s">
        <v>15</v>
      </c>
      <c r="C696" s="227"/>
      <c r="D696" s="227"/>
      <c r="E696" s="227"/>
      <c r="F696" s="226"/>
      <c r="G696" s="1412" t="s">
        <v>16</v>
      </c>
      <c r="H696" s="1413"/>
      <c r="I696" s="1413"/>
      <c r="J696" s="1413"/>
      <c r="K696" s="1414"/>
      <c r="L696" s="227" t="s">
        <v>17</v>
      </c>
      <c r="M696" s="227"/>
      <c r="N696" s="227"/>
      <c r="O696" s="227"/>
      <c r="P696" s="227"/>
    </row>
    <row r="697" spans="1:16" x14ac:dyDescent="0.2">
      <c r="A697" s="225" t="s">
        <v>273</v>
      </c>
      <c r="B697" s="228" t="s">
        <v>18</v>
      </c>
      <c r="C697" s="229" t="s">
        <v>0</v>
      </c>
      <c r="D697" s="229" t="s">
        <v>5</v>
      </c>
      <c r="E697" s="229" t="s">
        <v>1</v>
      </c>
      <c r="F697" s="230" t="s">
        <v>2</v>
      </c>
      <c r="G697" s="228" t="s">
        <v>19</v>
      </c>
      <c r="H697" s="229" t="s">
        <v>0</v>
      </c>
      <c r="I697" s="229" t="s">
        <v>5</v>
      </c>
      <c r="J697" s="229" t="s">
        <v>1</v>
      </c>
      <c r="K697" s="230" t="s">
        <v>2</v>
      </c>
      <c r="L697" s="228" t="s">
        <v>19</v>
      </c>
      <c r="M697" s="229" t="s">
        <v>0</v>
      </c>
      <c r="N697" s="229" t="s">
        <v>5</v>
      </c>
      <c r="O697" s="229" t="s">
        <v>1</v>
      </c>
      <c r="P697" s="230" t="s">
        <v>2</v>
      </c>
    </row>
    <row r="698" spans="1:16" x14ac:dyDescent="0.2">
      <c r="A698" s="258"/>
      <c r="B698" s="237"/>
      <c r="C698" s="233"/>
      <c r="D698" s="234"/>
      <c r="E698" s="235"/>
      <c r="F698" s="236"/>
      <c r="G698" s="237"/>
      <c r="H698" s="233"/>
      <c r="I698" s="234"/>
      <c r="J698" s="235"/>
      <c r="K698" s="236"/>
      <c r="L698" s="237"/>
      <c r="M698" s="233"/>
      <c r="N698" s="234"/>
      <c r="O698" s="235"/>
      <c r="P698" s="236"/>
    </row>
    <row r="699" spans="1:16" ht="15" x14ac:dyDescent="0.2">
      <c r="A699" s="231" t="s">
        <v>1553</v>
      </c>
      <c r="B699" s="1021" t="s">
        <v>32</v>
      </c>
      <c r="C699" s="1022" t="s">
        <v>46</v>
      </c>
      <c r="D699" s="1023">
        <v>3</v>
      </c>
      <c r="E699" s="1024">
        <f>skilled</f>
        <v>1070</v>
      </c>
      <c r="F699" s="1025">
        <f>ROUND(E699*D699,2)</f>
        <v>3210</v>
      </c>
      <c r="G699" s="1035" t="s">
        <v>9</v>
      </c>
      <c r="H699" s="1022" t="s">
        <v>14</v>
      </c>
      <c r="I699" s="1023">
        <v>5.99</v>
      </c>
      <c r="J699" s="1024">
        <f>cement</f>
        <v>17013.62</v>
      </c>
      <c r="K699" s="1025">
        <f t="shared" ref="K699:K702" si="28">ROUND(J699*I699,2)</f>
        <v>101911.58</v>
      </c>
      <c r="L699" s="259" t="s">
        <v>420</v>
      </c>
      <c r="M699" s="1022" t="s">
        <v>28</v>
      </c>
      <c r="N699" s="1023">
        <v>6</v>
      </c>
      <c r="O699" s="1024">
        <f>mixer</f>
        <v>1000</v>
      </c>
      <c r="P699" s="1025">
        <f>ROUND(O699*N699,2)</f>
        <v>6000</v>
      </c>
    </row>
    <row r="700" spans="1:16" x14ac:dyDescent="0.2">
      <c r="A700" s="260" t="s">
        <v>20</v>
      </c>
      <c r="B700" s="1021" t="s">
        <v>21</v>
      </c>
      <c r="C700" s="1022" t="s">
        <v>46</v>
      </c>
      <c r="D700" s="1023">
        <v>30</v>
      </c>
      <c r="E700" s="1024">
        <f>unskilled</f>
        <v>770</v>
      </c>
      <c r="F700" s="1025">
        <f>ROUND(E700*D700,2)</f>
        <v>23100</v>
      </c>
      <c r="G700" s="1035" t="s">
        <v>1542</v>
      </c>
      <c r="H700" s="1022" t="s">
        <v>6</v>
      </c>
      <c r="I700" s="1023">
        <f>I699*0.004*1000</f>
        <v>23.96</v>
      </c>
      <c r="J700" s="1024">
        <f>admixtures</f>
        <v>315.41361999999998</v>
      </c>
      <c r="K700" s="1025">
        <f t="shared" si="28"/>
        <v>7557.31</v>
      </c>
      <c r="L700" s="1021" t="s">
        <v>1493</v>
      </c>
      <c r="M700" s="1022" t="s">
        <v>28</v>
      </c>
      <c r="N700" s="1023">
        <v>6</v>
      </c>
      <c r="O700" s="1024">
        <f>generator</f>
        <v>1500</v>
      </c>
      <c r="P700" s="1025">
        <f>ROUND(O700*N700,2)</f>
        <v>9000</v>
      </c>
    </row>
    <row r="701" spans="1:16" x14ac:dyDescent="0.2">
      <c r="A701" s="260"/>
      <c r="B701" s="1021"/>
      <c r="C701" s="1022"/>
      <c r="D701" s="1023"/>
      <c r="E701" s="1024"/>
      <c r="F701" s="1025"/>
      <c r="G701" s="1035" t="s">
        <v>1498</v>
      </c>
      <c r="H701" s="1022" t="s">
        <v>38</v>
      </c>
      <c r="I701" s="1023">
        <v>8.1</v>
      </c>
      <c r="J701" s="1024">
        <f>_Agg20</f>
        <v>2574.1999999999998</v>
      </c>
      <c r="K701" s="1025">
        <f t="shared" si="28"/>
        <v>20851.02</v>
      </c>
      <c r="L701" s="1021"/>
      <c r="M701" s="1022"/>
      <c r="N701" s="1023"/>
      <c r="O701" s="1024"/>
      <c r="P701" s="1025"/>
    </row>
    <row r="702" spans="1:16" x14ac:dyDescent="0.2">
      <c r="A702" s="260"/>
      <c r="B702" s="1021"/>
      <c r="C702" s="1022"/>
      <c r="D702" s="1023"/>
      <c r="E702" s="1024"/>
      <c r="F702" s="1025"/>
      <c r="G702" s="1035" t="s">
        <v>1499</v>
      </c>
      <c r="H702" s="1022" t="s">
        <v>38</v>
      </c>
      <c r="I702" s="1023">
        <v>5.4</v>
      </c>
      <c r="J702" s="1024">
        <f>_agg10</f>
        <v>2574.1999999999998</v>
      </c>
      <c r="K702" s="1025">
        <f t="shared" si="28"/>
        <v>13900.68</v>
      </c>
      <c r="L702" s="1021"/>
      <c r="M702" s="1022"/>
      <c r="N702" s="1023"/>
      <c r="O702" s="1024"/>
      <c r="P702" s="1025"/>
    </row>
    <row r="703" spans="1:16" x14ac:dyDescent="0.2">
      <c r="A703" s="231"/>
      <c r="B703" s="1021"/>
      <c r="C703" s="1022"/>
      <c r="D703" s="1023"/>
      <c r="E703" s="1024"/>
      <c r="F703" s="1025"/>
      <c r="G703" s="1035" t="s">
        <v>45</v>
      </c>
      <c r="H703" s="1022" t="s">
        <v>38</v>
      </c>
      <c r="I703" s="1023">
        <v>6.75</v>
      </c>
      <c r="J703" s="1024">
        <f>sand</f>
        <v>2503.2750000000001</v>
      </c>
      <c r="K703" s="1025">
        <f>ROUND(J703*I703,2)</f>
        <v>16897.11</v>
      </c>
      <c r="L703" s="1021"/>
      <c r="M703" s="1022"/>
      <c r="N703" s="1023"/>
      <c r="O703" s="1024"/>
      <c r="P703" s="1025"/>
    </row>
    <row r="704" spans="1:16" ht="15" x14ac:dyDescent="0.2">
      <c r="A704" s="231"/>
      <c r="B704" s="1021"/>
      <c r="C704" s="1022"/>
      <c r="D704" s="1023"/>
      <c r="E704" s="1024"/>
      <c r="F704" s="1025"/>
      <c r="G704" s="659" t="s">
        <v>267</v>
      </c>
      <c r="H704" s="660" t="s">
        <v>44</v>
      </c>
      <c r="I704" s="661">
        <v>0.1</v>
      </c>
      <c r="J704" s="662">
        <f>petrol</f>
        <v>170</v>
      </c>
      <c r="K704" s="663">
        <f>ROUND(J704*I704,2)</f>
        <v>17</v>
      </c>
      <c r="L704" s="1021"/>
      <c r="M704" s="1022"/>
      <c r="N704" s="1023"/>
      <c r="O704" s="1024"/>
      <c r="P704" s="1025"/>
    </row>
    <row r="705" spans="1:16" ht="15" x14ac:dyDescent="0.2">
      <c r="A705" s="231"/>
      <c r="B705" s="1021"/>
      <c r="C705" s="1022"/>
      <c r="D705" s="1023"/>
      <c r="E705" s="1024"/>
      <c r="F705" s="1025"/>
      <c r="G705" s="659" t="s">
        <v>268</v>
      </c>
      <c r="H705" s="660" t="s">
        <v>44</v>
      </c>
      <c r="I705" s="661">
        <v>3</v>
      </c>
      <c r="J705" s="662">
        <f>diesel</f>
        <v>160</v>
      </c>
      <c r="K705" s="663">
        <f>ROUND(J705*I705,2)</f>
        <v>480</v>
      </c>
      <c r="L705" s="1021"/>
      <c r="M705" s="1022"/>
      <c r="N705" s="1023"/>
      <c r="O705" s="1024"/>
      <c r="P705" s="1025"/>
    </row>
    <row r="706" spans="1:16" x14ac:dyDescent="0.2">
      <c r="A706" s="231"/>
      <c r="B706" s="1021"/>
      <c r="C706" s="1022"/>
      <c r="D706" s="1023"/>
      <c r="E706" s="1024"/>
      <c r="F706" s="1025"/>
      <c r="G706" s="1035" t="s">
        <v>51</v>
      </c>
      <c r="H706" s="1022" t="s">
        <v>44</v>
      </c>
      <c r="I706" s="572">
        <v>3000</v>
      </c>
      <c r="J706" s="1024">
        <f>water</f>
        <v>0.24955999999999998</v>
      </c>
      <c r="K706" s="1025">
        <f>ROUND(J706*I706,2)</f>
        <v>748.68</v>
      </c>
      <c r="L706" s="1021"/>
      <c r="M706" s="1022"/>
      <c r="N706" s="1023"/>
      <c r="O706" s="1024"/>
      <c r="P706" s="1025"/>
    </row>
    <row r="707" spans="1:16" x14ac:dyDescent="0.2">
      <c r="A707" s="241"/>
      <c r="B707" s="242"/>
      <c r="C707" s="243"/>
      <c r="D707" s="243"/>
      <c r="E707" s="244" t="s">
        <v>39</v>
      </c>
      <c r="F707" s="245">
        <f>SUM(F699:F706)</f>
        <v>26310</v>
      </c>
      <c r="G707" s="242"/>
      <c r="H707" s="243"/>
      <c r="I707" s="243"/>
      <c r="J707" s="244" t="s">
        <v>40</v>
      </c>
      <c r="K707" s="245">
        <f>SUM(K699:K706)</f>
        <v>162363.38</v>
      </c>
      <c r="L707" s="242"/>
      <c r="M707" s="243"/>
      <c r="N707" s="243"/>
      <c r="O707" s="246" t="s">
        <v>41</v>
      </c>
      <c r="P707" s="245">
        <f>SUM(P699:P706)</f>
        <v>15000</v>
      </c>
    </row>
    <row r="708" spans="1:16" x14ac:dyDescent="0.2">
      <c r="A708" s="247"/>
      <c r="B708" s="575"/>
      <c r="C708" s="575"/>
      <c r="D708" s="575"/>
      <c r="E708" s="575"/>
      <c r="F708" s="1020" t="s">
        <v>29</v>
      </c>
      <c r="G708" s="248">
        <f>F707+K707+P707</f>
        <v>203673.38</v>
      </c>
      <c r="H708" s="575"/>
      <c r="I708" s="249"/>
      <c r="J708" s="250"/>
      <c r="K708" s="251"/>
      <c r="L708" s="575"/>
      <c r="M708" s="575"/>
      <c r="N708" s="575"/>
      <c r="O708" s="575"/>
      <c r="P708" s="575"/>
    </row>
    <row r="709" spans="1:16" x14ac:dyDescent="0.2">
      <c r="A709" s="247"/>
      <c r="B709" s="575"/>
      <c r="C709" s="575"/>
      <c r="D709" s="1423" t="s">
        <v>1551</v>
      </c>
      <c r="E709" s="1423"/>
      <c r="F709" s="1423"/>
      <c r="G709" s="248">
        <f>G708*0.25</f>
        <v>50918.345000000001</v>
      </c>
      <c r="H709" s="575"/>
      <c r="I709" s="249"/>
      <c r="J709" s="250"/>
      <c r="K709" s="251"/>
      <c r="L709" s="575"/>
      <c r="M709" s="575"/>
      <c r="N709" s="575"/>
      <c r="O709" s="575"/>
      <c r="P709" s="575"/>
    </row>
    <row r="710" spans="1:16" x14ac:dyDescent="0.2">
      <c r="A710" s="247"/>
      <c r="B710" s="575"/>
      <c r="C710" s="575"/>
      <c r="D710" s="575"/>
      <c r="E710" s="575"/>
      <c r="F710" s="252" t="s">
        <v>31</v>
      </c>
      <c r="G710" s="248">
        <f>0.15*G708</f>
        <v>30551.006999999998</v>
      </c>
      <c r="H710" s="575"/>
      <c r="I710" s="249"/>
      <c r="J710" s="250"/>
      <c r="K710" s="251"/>
      <c r="L710" s="575"/>
      <c r="M710" s="575"/>
      <c r="N710" s="575"/>
      <c r="O710" s="575"/>
      <c r="P710" s="575"/>
    </row>
    <row r="711" spans="1:16" ht="15" x14ac:dyDescent="0.25">
      <c r="A711" s="253"/>
      <c r="B711" s="249"/>
      <c r="C711" s="249"/>
      <c r="D711" s="249"/>
      <c r="E711" s="575"/>
      <c r="F711" s="277" t="str">
        <f>"Rate for "&amp;O692&amp;" m² :"</f>
        <v>Rate for 15 m² :</v>
      </c>
      <c r="G711" s="1012">
        <f>SUM(G708:G710)</f>
        <v>285142.73200000002</v>
      </c>
      <c r="H711" s="256"/>
      <c r="I711" s="249"/>
      <c r="J711" s="250"/>
      <c r="K711" s="251"/>
      <c r="L711" s="575"/>
      <c r="M711" s="575"/>
      <c r="N711" s="575"/>
      <c r="O711" s="575"/>
      <c r="P711" s="575"/>
    </row>
    <row r="712" spans="1:16" x14ac:dyDescent="0.2">
      <c r="A712" s="247"/>
      <c r="B712" s="575"/>
      <c r="C712" s="575"/>
      <c r="D712" s="575"/>
      <c r="E712" s="1027"/>
      <c r="F712" s="277" t="s">
        <v>1494</v>
      </c>
      <c r="G712" s="278">
        <f>G711/O692</f>
        <v>19009.515466666668</v>
      </c>
      <c r="H712" s="575"/>
      <c r="I712" s="249"/>
      <c r="J712" s="256"/>
      <c r="K712" s="275"/>
      <c r="L712" s="575"/>
      <c r="M712" s="575"/>
      <c r="N712" s="575"/>
      <c r="O712" s="575"/>
      <c r="P712" s="575"/>
    </row>
    <row r="713" spans="1:16" x14ac:dyDescent="0.2">
      <c r="A713" s="253"/>
      <c r="B713" s="249"/>
      <c r="C713" s="249"/>
      <c r="D713" s="249"/>
      <c r="E713" s="249"/>
      <c r="F713" s="254" t="s">
        <v>1</v>
      </c>
      <c r="G713" s="255">
        <f>G712</f>
        <v>19009.515466666668</v>
      </c>
      <c r="H713" s="249" t="s">
        <v>30</v>
      </c>
      <c r="I713" s="222" t="s">
        <v>38</v>
      </c>
      <c r="J713" s="256"/>
      <c r="K713" s="275"/>
      <c r="L713" s="275"/>
      <c r="M713" s="275"/>
      <c r="N713" s="575"/>
      <c r="O713" s="575"/>
      <c r="P713" s="575"/>
    </row>
    <row r="714" spans="1:16" x14ac:dyDescent="0.2">
      <c r="A714" s="253"/>
      <c r="B714" s="249"/>
      <c r="C714" s="249"/>
      <c r="D714" s="249"/>
      <c r="E714" s="249"/>
      <c r="F714" s="254"/>
      <c r="G714" s="255"/>
      <c r="H714" s="249"/>
      <c r="I714" s="222"/>
      <c r="J714" s="256"/>
      <c r="K714" s="275"/>
      <c r="L714" s="275"/>
      <c r="M714" s="275"/>
      <c r="N714" s="575"/>
      <c r="O714" s="575"/>
      <c r="P714" s="575"/>
    </row>
    <row r="715" spans="1:16" x14ac:dyDescent="0.2">
      <c r="A715" s="575" t="s">
        <v>27</v>
      </c>
      <c r="B715" s="223">
        <f>B692+1</f>
        <v>21</v>
      </c>
      <c r="C715" s="222"/>
      <c r="D715" s="575"/>
      <c r="E715" s="575"/>
      <c r="F715" s="575"/>
      <c r="G715" s="575"/>
      <c r="H715" s="575"/>
      <c r="I715" s="575"/>
      <c r="J715" s="575"/>
      <c r="K715" s="575"/>
      <c r="L715" s="575"/>
      <c r="M715" s="575"/>
      <c r="N715" s="1020" t="s">
        <v>13</v>
      </c>
      <c r="O715" s="248">
        <v>15</v>
      </c>
      <c r="P715" s="222" t="s">
        <v>38</v>
      </c>
    </row>
    <row r="716" spans="1:16" x14ac:dyDescent="0.2">
      <c r="A716" s="223" t="s">
        <v>12</v>
      </c>
      <c r="B716" s="257" t="s">
        <v>1549</v>
      </c>
      <c r="C716" s="257"/>
      <c r="D716" s="257"/>
      <c r="E716" s="257"/>
      <c r="F716" s="257"/>
      <c r="G716" s="257"/>
      <c r="H716" s="257"/>
      <c r="I716" s="257"/>
      <c r="J716" s="257"/>
      <c r="K716" s="257" t="s">
        <v>1508</v>
      </c>
      <c r="L716" s="257"/>
      <c r="M716" s="257"/>
      <c r="N716" s="257"/>
      <c r="O716" s="257"/>
      <c r="P716" s="257"/>
    </row>
    <row r="717" spans="1:16" x14ac:dyDescent="0.2">
      <c r="A717" s="223"/>
      <c r="B717" s="265" t="s">
        <v>1550</v>
      </c>
      <c r="C717" s="265"/>
      <c r="D717" s="265"/>
      <c r="E717" s="265"/>
      <c r="F717" s="265"/>
      <c r="G717" s="265"/>
      <c r="H717" s="265"/>
      <c r="I717" s="265"/>
      <c r="J717" s="265"/>
      <c r="K717" s="265"/>
      <c r="L717" s="265"/>
      <c r="M717" s="265"/>
      <c r="N717" s="265"/>
      <c r="O717" s="265"/>
      <c r="P717" s="265"/>
    </row>
    <row r="718" spans="1:16" x14ac:dyDescent="0.2">
      <c r="A718" s="223"/>
      <c r="B718" s="265" t="s">
        <v>1528</v>
      </c>
      <c r="C718" s="265"/>
      <c r="D718" s="265"/>
      <c r="E718" s="265"/>
      <c r="F718" s="265"/>
      <c r="G718" s="265"/>
      <c r="H718" s="265"/>
      <c r="I718" s="265"/>
      <c r="J718" s="265"/>
      <c r="K718" s="265"/>
      <c r="L718" s="265"/>
      <c r="M718" s="265"/>
      <c r="N718" s="265"/>
      <c r="O718" s="265"/>
      <c r="P718" s="265"/>
    </row>
    <row r="719" spans="1:16" x14ac:dyDescent="0.2">
      <c r="A719" s="225" t="s">
        <v>243</v>
      </c>
      <c r="B719" s="226" t="s">
        <v>15</v>
      </c>
      <c r="C719" s="227"/>
      <c r="D719" s="227"/>
      <c r="E719" s="227"/>
      <c r="F719" s="226"/>
      <c r="G719" s="1412" t="s">
        <v>16</v>
      </c>
      <c r="H719" s="1413"/>
      <c r="I719" s="1413"/>
      <c r="J719" s="1413"/>
      <c r="K719" s="1414"/>
      <c r="L719" s="227" t="s">
        <v>17</v>
      </c>
      <c r="M719" s="227"/>
      <c r="N719" s="227"/>
      <c r="O719" s="227"/>
      <c r="P719" s="227"/>
    </row>
    <row r="720" spans="1:16" x14ac:dyDescent="0.2">
      <c r="A720" s="225" t="s">
        <v>273</v>
      </c>
      <c r="B720" s="228" t="s">
        <v>18</v>
      </c>
      <c r="C720" s="229" t="s">
        <v>0</v>
      </c>
      <c r="D720" s="229" t="s">
        <v>5</v>
      </c>
      <c r="E720" s="229" t="s">
        <v>1</v>
      </c>
      <c r="F720" s="230" t="s">
        <v>2</v>
      </c>
      <c r="G720" s="228" t="s">
        <v>19</v>
      </c>
      <c r="H720" s="229" t="s">
        <v>0</v>
      </c>
      <c r="I720" s="229" t="s">
        <v>5</v>
      </c>
      <c r="J720" s="229" t="s">
        <v>1</v>
      </c>
      <c r="K720" s="230" t="s">
        <v>2</v>
      </c>
      <c r="L720" s="228" t="s">
        <v>19</v>
      </c>
      <c r="M720" s="229" t="s">
        <v>0</v>
      </c>
      <c r="N720" s="229" t="s">
        <v>5</v>
      </c>
      <c r="O720" s="229" t="s">
        <v>1</v>
      </c>
      <c r="P720" s="230" t="s">
        <v>2</v>
      </c>
    </row>
    <row r="721" spans="1:16" x14ac:dyDescent="0.2">
      <c r="A721" s="258"/>
      <c r="B721" s="237"/>
      <c r="C721" s="233"/>
      <c r="D721" s="234"/>
      <c r="E721" s="235"/>
      <c r="F721" s="236"/>
      <c r="G721" s="237"/>
      <c r="H721" s="233"/>
      <c r="I721" s="234"/>
      <c r="J721" s="235"/>
      <c r="K721" s="236"/>
      <c r="L721" s="237"/>
      <c r="M721" s="233"/>
      <c r="N721" s="234"/>
      <c r="O721" s="235"/>
      <c r="P721" s="236"/>
    </row>
    <row r="722" spans="1:16" ht="15" x14ac:dyDescent="0.2">
      <c r="A722" s="231" t="s">
        <v>1554</v>
      </c>
      <c r="B722" s="1021" t="s">
        <v>32</v>
      </c>
      <c r="C722" s="1022" t="s">
        <v>46</v>
      </c>
      <c r="D722" s="1023">
        <v>3</v>
      </c>
      <c r="E722" s="1024">
        <f>skilled</f>
        <v>1070</v>
      </c>
      <c r="F722" s="1025">
        <f>ROUND(E722*D722,2)</f>
        <v>3210</v>
      </c>
      <c r="G722" s="1035" t="s">
        <v>9</v>
      </c>
      <c r="H722" s="1022" t="s">
        <v>14</v>
      </c>
      <c r="I722" s="1023">
        <v>5.99</v>
      </c>
      <c r="J722" s="1024">
        <f>cement</f>
        <v>17013.62</v>
      </c>
      <c r="K722" s="1025">
        <f t="shared" ref="K722:K725" si="29">ROUND(J722*I722,2)</f>
        <v>101911.58</v>
      </c>
      <c r="L722" s="259" t="s">
        <v>420</v>
      </c>
      <c r="M722" s="1022" t="s">
        <v>28</v>
      </c>
      <c r="N722" s="1023">
        <v>6</v>
      </c>
      <c r="O722" s="1024">
        <f>mixer</f>
        <v>1000</v>
      </c>
      <c r="P722" s="1025">
        <f>ROUND(O722*N722,2)</f>
        <v>6000</v>
      </c>
    </row>
    <row r="723" spans="1:16" x14ac:dyDescent="0.2">
      <c r="A723" s="260" t="s">
        <v>20</v>
      </c>
      <c r="B723" s="1021" t="s">
        <v>21</v>
      </c>
      <c r="C723" s="1022" t="s">
        <v>46</v>
      </c>
      <c r="D723" s="1023">
        <v>30</v>
      </c>
      <c r="E723" s="1024">
        <f>unskilled</f>
        <v>770</v>
      </c>
      <c r="F723" s="1025">
        <f>ROUND(E723*D723,2)</f>
        <v>23100</v>
      </c>
      <c r="G723" s="1035" t="s">
        <v>1542</v>
      </c>
      <c r="H723" s="1022" t="s">
        <v>6</v>
      </c>
      <c r="I723" s="1023">
        <f>I722*0.004*1000</f>
        <v>23.96</v>
      </c>
      <c r="J723" s="1024">
        <f>admixtures</f>
        <v>315.41361999999998</v>
      </c>
      <c r="K723" s="1025">
        <f t="shared" si="29"/>
        <v>7557.31</v>
      </c>
      <c r="L723" s="1021" t="s">
        <v>1493</v>
      </c>
      <c r="M723" s="1022" t="s">
        <v>28</v>
      </c>
      <c r="N723" s="1023">
        <v>6</v>
      </c>
      <c r="O723" s="1024">
        <f>generator</f>
        <v>1500</v>
      </c>
      <c r="P723" s="1025">
        <f>ROUND(O723*N723,2)</f>
        <v>9000</v>
      </c>
    </row>
    <row r="724" spans="1:16" x14ac:dyDescent="0.2">
      <c r="A724" s="260"/>
      <c r="B724" s="1021"/>
      <c r="C724" s="1022"/>
      <c r="D724" s="1023"/>
      <c r="E724" s="1024"/>
      <c r="F724" s="1025"/>
      <c r="G724" s="1035" t="s">
        <v>1498</v>
      </c>
      <c r="H724" s="1022" t="s">
        <v>38</v>
      </c>
      <c r="I724" s="1023">
        <v>8.1</v>
      </c>
      <c r="J724" s="1024">
        <f>_Agg20</f>
        <v>2574.1999999999998</v>
      </c>
      <c r="K724" s="1025">
        <f t="shared" si="29"/>
        <v>20851.02</v>
      </c>
      <c r="L724" s="1021"/>
      <c r="M724" s="1022"/>
      <c r="N724" s="1023"/>
      <c r="O724" s="1024"/>
      <c r="P724" s="1025"/>
    </row>
    <row r="725" spans="1:16" x14ac:dyDescent="0.2">
      <c r="A725" s="260"/>
      <c r="B725" s="1021"/>
      <c r="C725" s="1022"/>
      <c r="D725" s="1023"/>
      <c r="E725" s="1024"/>
      <c r="F725" s="1025"/>
      <c r="G725" s="1035" t="s">
        <v>1499</v>
      </c>
      <c r="H725" s="1022" t="s">
        <v>38</v>
      </c>
      <c r="I725" s="1023">
        <v>5.4</v>
      </c>
      <c r="J725" s="1024">
        <f>_agg10</f>
        <v>2574.1999999999998</v>
      </c>
      <c r="K725" s="1025">
        <f t="shared" si="29"/>
        <v>13900.68</v>
      </c>
      <c r="L725" s="1021"/>
      <c r="M725" s="1022"/>
      <c r="N725" s="1023"/>
      <c r="O725" s="1024"/>
      <c r="P725" s="1025"/>
    </row>
    <row r="726" spans="1:16" x14ac:dyDescent="0.2">
      <c r="A726" s="231"/>
      <c r="B726" s="1021"/>
      <c r="C726" s="1022"/>
      <c r="D726" s="1023"/>
      <c r="E726" s="1024"/>
      <c r="F726" s="1025"/>
      <c r="G726" s="1035" t="s">
        <v>45</v>
      </c>
      <c r="H726" s="1022" t="s">
        <v>38</v>
      </c>
      <c r="I726" s="1023">
        <v>6.75</v>
      </c>
      <c r="J726" s="1024">
        <f>sand</f>
        <v>2503.2750000000001</v>
      </c>
      <c r="K726" s="1025">
        <f>ROUND(J726*I726,2)</f>
        <v>16897.11</v>
      </c>
      <c r="L726" s="1021"/>
      <c r="M726" s="1022"/>
      <c r="N726" s="1023"/>
      <c r="O726" s="1024"/>
      <c r="P726" s="1025"/>
    </row>
    <row r="727" spans="1:16" ht="15" x14ac:dyDescent="0.2">
      <c r="A727" s="231"/>
      <c r="B727" s="1021"/>
      <c r="C727" s="1022"/>
      <c r="D727" s="1023"/>
      <c r="E727" s="1024"/>
      <c r="F727" s="1025"/>
      <c r="G727" s="659" t="s">
        <v>267</v>
      </c>
      <c r="H727" s="660" t="s">
        <v>44</v>
      </c>
      <c r="I727" s="661">
        <v>0.1</v>
      </c>
      <c r="J727" s="662">
        <f>petrol</f>
        <v>170</v>
      </c>
      <c r="K727" s="663">
        <f>ROUND(J727*I727,2)</f>
        <v>17</v>
      </c>
      <c r="L727" s="1021"/>
      <c r="M727" s="1022"/>
      <c r="N727" s="1023"/>
      <c r="O727" s="1024"/>
      <c r="P727" s="1025"/>
    </row>
    <row r="728" spans="1:16" ht="15" x14ac:dyDescent="0.2">
      <c r="A728" s="231"/>
      <c r="B728" s="1021"/>
      <c r="C728" s="1022"/>
      <c r="D728" s="1023"/>
      <c r="E728" s="1024"/>
      <c r="F728" s="1025"/>
      <c r="G728" s="659" t="s">
        <v>268</v>
      </c>
      <c r="H728" s="660" t="s">
        <v>44</v>
      </c>
      <c r="I728" s="661">
        <v>3</v>
      </c>
      <c r="J728" s="662">
        <f>diesel</f>
        <v>160</v>
      </c>
      <c r="K728" s="663">
        <f>ROUND(J728*I728,2)</f>
        <v>480</v>
      </c>
      <c r="L728" s="1021"/>
      <c r="M728" s="1022"/>
      <c r="N728" s="1023"/>
      <c r="O728" s="1024"/>
      <c r="P728" s="1025"/>
    </row>
    <row r="729" spans="1:16" x14ac:dyDescent="0.2">
      <c r="A729" s="231"/>
      <c r="B729" s="1021"/>
      <c r="C729" s="1022"/>
      <c r="D729" s="1023"/>
      <c r="E729" s="1024"/>
      <c r="F729" s="1025"/>
      <c r="G729" s="1035" t="s">
        <v>51</v>
      </c>
      <c r="H729" s="1022" t="s">
        <v>44</v>
      </c>
      <c r="I729" s="572">
        <v>3000</v>
      </c>
      <c r="J729" s="1024">
        <f>water</f>
        <v>0.24955999999999998</v>
      </c>
      <c r="K729" s="1025">
        <f>ROUND(J729*I729,2)</f>
        <v>748.68</v>
      </c>
      <c r="L729" s="1021"/>
      <c r="M729" s="1022"/>
      <c r="N729" s="1023"/>
      <c r="O729" s="1024"/>
      <c r="P729" s="1025"/>
    </row>
    <row r="730" spans="1:16" x14ac:dyDescent="0.2">
      <c r="A730" s="241"/>
      <c r="B730" s="242"/>
      <c r="C730" s="243"/>
      <c r="D730" s="243"/>
      <c r="E730" s="244" t="s">
        <v>39</v>
      </c>
      <c r="F730" s="245">
        <f>SUM(F722:F729)</f>
        <v>26310</v>
      </c>
      <c r="G730" s="242"/>
      <c r="H730" s="243"/>
      <c r="I730" s="243"/>
      <c r="J730" s="244" t="s">
        <v>40</v>
      </c>
      <c r="K730" s="245">
        <f>SUM(K722:K729)</f>
        <v>162363.38</v>
      </c>
      <c r="L730" s="242"/>
      <c r="M730" s="243"/>
      <c r="N730" s="243"/>
      <c r="O730" s="246" t="s">
        <v>41</v>
      </c>
      <c r="P730" s="245">
        <f>SUM(P722:P729)</f>
        <v>15000</v>
      </c>
    </row>
    <row r="731" spans="1:16" x14ac:dyDescent="0.2">
      <c r="A731" s="247"/>
      <c r="B731" s="575"/>
      <c r="C731" s="575"/>
      <c r="D731" s="575"/>
      <c r="E731" s="575"/>
      <c r="F731" s="1020" t="s">
        <v>29</v>
      </c>
      <c r="G731" s="248">
        <f>F730+K730+P730</f>
        <v>203673.38</v>
      </c>
      <c r="H731" s="575"/>
      <c r="I731" s="249"/>
      <c r="J731" s="250"/>
      <c r="K731" s="251"/>
      <c r="L731" s="575"/>
      <c r="M731" s="575"/>
      <c r="N731" s="575"/>
      <c r="O731" s="575"/>
      <c r="P731" s="575"/>
    </row>
    <row r="732" spans="1:16" x14ac:dyDescent="0.2">
      <c r="A732" s="247"/>
      <c r="B732" s="575"/>
      <c r="C732" s="575"/>
      <c r="D732" s="1423" t="s">
        <v>1552</v>
      </c>
      <c r="E732" s="1423"/>
      <c r="F732" s="1423"/>
      <c r="G732" s="248">
        <f>G731*0.3</f>
        <v>61102.013999999996</v>
      </c>
      <c r="H732" s="575"/>
      <c r="I732" s="249"/>
      <c r="J732" s="250"/>
      <c r="K732" s="251"/>
      <c r="L732" s="575"/>
      <c r="M732" s="575"/>
      <c r="N732" s="575"/>
      <c r="O732" s="575"/>
      <c r="P732" s="575"/>
    </row>
    <row r="733" spans="1:16" x14ac:dyDescent="0.2">
      <c r="A733" s="247"/>
      <c r="B733" s="575"/>
      <c r="C733" s="575"/>
      <c r="D733" s="575"/>
      <c r="E733" s="575"/>
      <c r="F733" s="252" t="s">
        <v>31</v>
      </c>
      <c r="G733" s="248">
        <f>0.15*G731</f>
        <v>30551.006999999998</v>
      </c>
      <c r="H733" s="575"/>
      <c r="I733" s="249"/>
      <c r="J733" s="250"/>
      <c r="K733" s="251"/>
      <c r="L733" s="575"/>
      <c r="M733" s="575"/>
      <c r="N733" s="575"/>
      <c r="O733" s="575"/>
      <c r="P733" s="575"/>
    </row>
    <row r="734" spans="1:16" ht="15" x14ac:dyDescent="0.25">
      <c r="A734" s="253"/>
      <c r="B734" s="249"/>
      <c r="C734" s="249"/>
      <c r="D734" s="249"/>
      <c r="E734" s="575"/>
      <c r="F734" s="277" t="str">
        <f>"Rate for "&amp;O715&amp;" m² :"</f>
        <v>Rate for 15 m² :</v>
      </c>
      <c r="G734" s="1012">
        <f>SUM(G731:G733)</f>
        <v>295326.40099999995</v>
      </c>
      <c r="H734" s="256"/>
      <c r="I734" s="249"/>
      <c r="J734" s="250"/>
      <c r="K734" s="251"/>
      <c r="L734" s="575"/>
      <c r="M734" s="575"/>
      <c r="N734" s="575"/>
      <c r="O734" s="575"/>
      <c r="P734" s="575"/>
    </row>
    <row r="735" spans="1:16" x14ac:dyDescent="0.2">
      <c r="A735" s="247"/>
      <c r="B735" s="575"/>
      <c r="C735" s="575"/>
      <c r="D735" s="575"/>
      <c r="E735" s="1027"/>
      <c r="F735" s="277" t="s">
        <v>1494</v>
      </c>
      <c r="G735" s="278">
        <f>G734/O715</f>
        <v>19688.42673333333</v>
      </c>
      <c r="H735" s="575"/>
      <c r="I735" s="249"/>
      <c r="J735" s="256"/>
      <c r="K735" s="275"/>
      <c r="L735" s="575"/>
      <c r="M735" s="575"/>
      <c r="N735" s="575"/>
      <c r="O735" s="575"/>
      <c r="P735" s="575"/>
    </row>
    <row r="736" spans="1:16" x14ac:dyDescent="0.2">
      <c r="A736" s="253"/>
      <c r="B736" s="249"/>
      <c r="C736" s="249"/>
      <c r="D736" s="249"/>
      <c r="E736" s="249"/>
      <c r="F736" s="254" t="s">
        <v>1</v>
      </c>
      <c r="G736" s="255">
        <f>G735</f>
        <v>19688.42673333333</v>
      </c>
      <c r="H736" s="249" t="s">
        <v>30</v>
      </c>
      <c r="I736" s="222" t="s">
        <v>38</v>
      </c>
      <c r="J736" s="256"/>
      <c r="K736" s="275"/>
      <c r="L736" s="275"/>
      <c r="M736" s="275"/>
      <c r="N736" s="575"/>
      <c r="O736" s="575"/>
      <c r="P736" s="575"/>
    </row>
    <row r="737" spans="1:16" x14ac:dyDescent="0.2">
      <c r="A737" s="575" t="s">
        <v>27</v>
      </c>
      <c r="B737" s="223">
        <f>B715+1</f>
        <v>22</v>
      </c>
      <c r="C737" s="222"/>
      <c r="D737" s="575"/>
      <c r="E737" s="575"/>
      <c r="F737" s="575"/>
      <c r="G737" s="575"/>
      <c r="H737" s="575"/>
      <c r="I737" s="575"/>
      <c r="J737" s="575"/>
      <c r="K737" s="575"/>
      <c r="L737" s="575"/>
      <c r="M737" s="575"/>
      <c r="N737" s="1020" t="s">
        <v>13</v>
      </c>
      <c r="O737" s="248">
        <v>15</v>
      </c>
      <c r="P737" s="222" t="s">
        <v>38</v>
      </c>
    </row>
    <row r="738" spans="1:16" x14ac:dyDescent="0.2">
      <c r="A738" s="223" t="s">
        <v>12</v>
      </c>
      <c r="B738" s="257" t="s">
        <v>1733</v>
      </c>
      <c r="C738" s="257"/>
      <c r="D738" s="257"/>
      <c r="E738" s="257"/>
      <c r="F738" s="257"/>
      <c r="G738" s="257"/>
      <c r="H738" s="257"/>
      <c r="I738" s="257"/>
      <c r="J738" s="257"/>
      <c r="K738" s="257" t="s">
        <v>1555</v>
      </c>
      <c r="L738" s="257"/>
      <c r="M738" s="257"/>
      <c r="N738" s="257"/>
      <c r="O738" s="257"/>
      <c r="P738" s="257"/>
    </row>
    <row r="739" spans="1:16" x14ac:dyDescent="0.2">
      <c r="A739" s="223"/>
      <c r="B739" s="265" t="s">
        <v>1556</v>
      </c>
      <c r="C739" s="265"/>
      <c r="D739" s="265"/>
      <c r="E739" s="265"/>
      <c r="F739" s="265"/>
      <c r="G739" s="265"/>
      <c r="H739" s="265"/>
      <c r="I739" s="265"/>
      <c r="J739" s="265"/>
      <c r="K739" s="265"/>
      <c r="L739" s="265"/>
      <c r="M739" s="265"/>
      <c r="N739" s="265"/>
      <c r="O739" s="265"/>
      <c r="P739" s="265"/>
    </row>
    <row r="740" spans="1:16" x14ac:dyDescent="0.2">
      <c r="A740" s="223"/>
      <c r="B740" s="265" t="s">
        <v>1524</v>
      </c>
      <c r="C740" s="265"/>
      <c r="D740" s="265"/>
      <c r="E740" s="265"/>
      <c r="F740" s="265"/>
      <c r="G740" s="265"/>
      <c r="H740" s="265"/>
      <c r="I740" s="265"/>
      <c r="J740" s="265"/>
      <c r="K740" s="265"/>
      <c r="L740" s="265"/>
      <c r="M740" s="265"/>
      <c r="N740" s="265"/>
      <c r="O740" s="265"/>
      <c r="P740" s="265"/>
    </row>
    <row r="741" spans="1:16" x14ac:dyDescent="0.2">
      <c r="A741" s="225" t="s">
        <v>243</v>
      </c>
      <c r="B741" s="226" t="s">
        <v>15</v>
      </c>
      <c r="C741" s="227"/>
      <c r="D741" s="227"/>
      <c r="E741" s="227"/>
      <c r="F741" s="226"/>
      <c r="G741" s="1412" t="s">
        <v>16</v>
      </c>
      <c r="H741" s="1413"/>
      <c r="I741" s="1413"/>
      <c r="J741" s="1413"/>
      <c r="K741" s="1414"/>
      <c r="L741" s="227" t="s">
        <v>17</v>
      </c>
      <c r="M741" s="227"/>
      <c r="N741" s="227"/>
      <c r="O741" s="227"/>
      <c r="P741" s="227"/>
    </row>
    <row r="742" spans="1:16" x14ac:dyDescent="0.2">
      <c r="A742" s="225" t="s">
        <v>273</v>
      </c>
      <c r="B742" s="228" t="s">
        <v>18</v>
      </c>
      <c r="C742" s="229" t="s">
        <v>0</v>
      </c>
      <c r="D742" s="229" t="s">
        <v>5</v>
      </c>
      <c r="E742" s="229" t="s">
        <v>1</v>
      </c>
      <c r="F742" s="230" t="s">
        <v>2</v>
      </c>
      <c r="G742" s="228" t="s">
        <v>19</v>
      </c>
      <c r="H742" s="229" t="s">
        <v>0</v>
      </c>
      <c r="I742" s="229" t="s">
        <v>5</v>
      </c>
      <c r="J742" s="229" t="s">
        <v>1</v>
      </c>
      <c r="K742" s="230" t="s">
        <v>2</v>
      </c>
      <c r="L742" s="228" t="s">
        <v>19</v>
      </c>
      <c r="M742" s="229" t="s">
        <v>0</v>
      </c>
      <c r="N742" s="229" t="s">
        <v>5</v>
      </c>
      <c r="O742" s="229" t="s">
        <v>1</v>
      </c>
      <c r="P742" s="230" t="s">
        <v>2</v>
      </c>
    </row>
    <row r="743" spans="1:16" x14ac:dyDescent="0.2">
      <c r="A743" s="258"/>
      <c r="B743" s="237"/>
      <c r="C743" s="233"/>
      <c r="D743" s="234"/>
      <c r="E743" s="235"/>
      <c r="F743" s="236"/>
      <c r="G743" s="237"/>
      <c r="H743" s="233"/>
      <c r="I743" s="234"/>
      <c r="J743" s="235"/>
      <c r="K743" s="236"/>
      <c r="L743" s="237"/>
      <c r="M743" s="233"/>
      <c r="N743" s="234"/>
      <c r="O743" s="235"/>
      <c r="P743" s="236"/>
    </row>
    <row r="744" spans="1:16" ht="15" x14ac:dyDescent="0.2">
      <c r="A744" s="231" t="s">
        <v>1557</v>
      </c>
      <c r="B744" s="1021" t="s">
        <v>32</v>
      </c>
      <c r="C744" s="1022" t="s">
        <v>46</v>
      </c>
      <c r="D744" s="1023">
        <v>4</v>
      </c>
      <c r="E744" s="1024">
        <f>skilled</f>
        <v>1070</v>
      </c>
      <c r="F744" s="1025">
        <f>ROUND(E744*D744,2)</f>
        <v>4280</v>
      </c>
      <c r="G744" s="1035" t="s">
        <v>9</v>
      </c>
      <c r="H744" s="1022" t="s">
        <v>14</v>
      </c>
      <c r="I744" s="1023">
        <v>6.9749999999999996</v>
      </c>
      <c r="J744" s="1024">
        <f>cement</f>
        <v>17013.62</v>
      </c>
      <c r="K744" s="1025">
        <f t="shared" ref="K744:K747" si="30">ROUND(J744*I744,2)</f>
        <v>118670</v>
      </c>
      <c r="L744" s="259" t="s">
        <v>420</v>
      </c>
      <c r="M744" s="1022" t="s">
        <v>28</v>
      </c>
      <c r="N744" s="1023">
        <v>6</v>
      </c>
      <c r="O744" s="1024">
        <f>mixer</f>
        <v>1000</v>
      </c>
      <c r="P744" s="1025">
        <f>ROUND(O744*N744,2)</f>
        <v>6000</v>
      </c>
    </row>
    <row r="745" spans="1:16" x14ac:dyDescent="0.2">
      <c r="A745" s="260" t="s">
        <v>20</v>
      </c>
      <c r="B745" s="1021" t="s">
        <v>21</v>
      </c>
      <c r="C745" s="1022" t="s">
        <v>46</v>
      </c>
      <c r="D745" s="1023">
        <v>33</v>
      </c>
      <c r="E745" s="1024">
        <f>unskilled</f>
        <v>770</v>
      </c>
      <c r="F745" s="1025">
        <f>ROUND(E745*D745,2)</f>
        <v>25410</v>
      </c>
      <c r="G745" s="1035" t="s">
        <v>1542</v>
      </c>
      <c r="H745" s="1022" t="s">
        <v>6</v>
      </c>
      <c r="I745" s="1023">
        <f>I744*0.004*1000</f>
        <v>27.9</v>
      </c>
      <c r="J745" s="1024">
        <f>admixtures</f>
        <v>315.41361999999998</v>
      </c>
      <c r="K745" s="1025">
        <f t="shared" si="30"/>
        <v>8800.0400000000009</v>
      </c>
      <c r="L745" s="1021" t="s">
        <v>1493</v>
      </c>
      <c r="M745" s="1022" t="s">
        <v>28</v>
      </c>
      <c r="N745" s="1023">
        <v>6</v>
      </c>
      <c r="O745" s="1024">
        <f>generator</f>
        <v>1500</v>
      </c>
      <c r="P745" s="1025">
        <f>ROUND(O745*N745,2)</f>
        <v>9000</v>
      </c>
    </row>
    <row r="746" spans="1:16" x14ac:dyDescent="0.2">
      <c r="A746" s="260"/>
      <c r="B746" s="1021"/>
      <c r="C746" s="1022"/>
      <c r="D746" s="1023"/>
      <c r="E746" s="1024"/>
      <c r="F746" s="1025"/>
      <c r="G746" s="1035" t="s">
        <v>1498</v>
      </c>
      <c r="H746" s="1022" t="s">
        <v>38</v>
      </c>
      <c r="I746" s="1023">
        <v>8.1</v>
      </c>
      <c r="J746" s="1024">
        <f>_Agg20</f>
        <v>2574.1999999999998</v>
      </c>
      <c r="K746" s="1025">
        <f t="shared" si="30"/>
        <v>20851.02</v>
      </c>
      <c r="L746" s="1021"/>
      <c r="M746" s="1022"/>
      <c r="N746" s="1023"/>
      <c r="O746" s="1024"/>
      <c r="P746" s="1025"/>
    </row>
    <row r="747" spans="1:16" x14ac:dyDescent="0.2">
      <c r="A747" s="260"/>
      <c r="B747" s="1021"/>
      <c r="C747" s="1022"/>
      <c r="D747" s="1023"/>
      <c r="E747" s="1024"/>
      <c r="F747" s="1025"/>
      <c r="G747" s="1035" t="s">
        <v>1499</v>
      </c>
      <c r="H747" s="1022" t="s">
        <v>38</v>
      </c>
      <c r="I747" s="1023">
        <v>5.4</v>
      </c>
      <c r="J747" s="1024">
        <f>_agg10</f>
        <v>2574.1999999999998</v>
      </c>
      <c r="K747" s="1025">
        <f t="shared" si="30"/>
        <v>13900.68</v>
      </c>
      <c r="L747" s="1021"/>
      <c r="M747" s="1022"/>
      <c r="N747" s="1023"/>
      <c r="O747" s="1024"/>
      <c r="P747" s="1025"/>
    </row>
    <row r="748" spans="1:16" x14ac:dyDescent="0.2">
      <c r="A748" s="231"/>
      <c r="B748" s="1021"/>
      <c r="C748" s="1022"/>
      <c r="D748" s="1023"/>
      <c r="E748" s="1024"/>
      <c r="F748" s="1025"/>
      <c r="G748" s="1035" t="s">
        <v>45</v>
      </c>
      <c r="H748" s="1022" t="s">
        <v>38</v>
      </c>
      <c r="I748" s="1023">
        <v>6.75</v>
      </c>
      <c r="J748" s="1024">
        <f>sand</f>
        <v>2503.2750000000001</v>
      </c>
      <c r="K748" s="1025">
        <f>ROUND(J748*I748,2)</f>
        <v>16897.11</v>
      </c>
      <c r="L748" s="1021"/>
      <c r="M748" s="1022"/>
      <c r="N748" s="1023"/>
      <c r="O748" s="1024"/>
      <c r="P748" s="1025"/>
    </row>
    <row r="749" spans="1:16" ht="15" x14ac:dyDescent="0.2">
      <c r="A749" s="231"/>
      <c r="B749" s="1021"/>
      <c r="C749" s="1022"/>
      <c r="D749" s="1023"/>
      <c r="E749" s="1024"/>
      <c r="F749" s="1025"/>
      <c r="G749" s="659" t="s">
        <v>267</v>
      </c>
      <c r="H749" s="660" t="s">
        <v>44</v>
      </c>
      <c r="I749" s="661">
        <v>0.1</v>
      </c>
      <c r="J749" s="662">
        <f>petrol</f>
        <v>170</v>
      </c>
      <c r="K749" s="663">
        <f>ROUND(J749*I749,2)</f>
        <v>17</v>
      </c>
      <c r="L749" s="1021"/>
      <c r="M749" s="1022"/>
      <c r="N749" s="1023"/>
      <c r="O749" s="1024"/>
      <c r="P749" s="1025"/>
    </row>
    <row r="750" spans="1:16" ht="15" x14ac:dyDescent="0.2">
      <c r="A750" s="231"/>
      <c r="B750" s="1021"/>
      <c r="C750" s="1022"/>
      <c r="D750" s="1023"/>
      <c r="E750" s="1024"/>
      <c r="F750" s="1025"/>
      <c r="G750" s="659" t="s">
        <v>268</v>
      </c>
      <c r="H750" s="660" t="s">
        <v>44</v>
      </c>
      <c r="I750" s="661">
        <v>3</v>
      </c>
      <c r="J750" s="662">
        <f>diesel</f>
        <v>160</v>
      </c>
      <c r="K750" s="663">
        <f>ROUND(J750*I750,2)</f>
        <v>480</v>
      </c>
      <c r="L750" s="1021"/>
      <c r="M750" s="1022"/>
      <c r="N750" s="1023"/>
      <c r="O750" s="1024"/>
      <c r="P750" s="1025"/>
    </row>
    <row r="751" spans="1:16" x14ac:dyDescent="0.2">
      <c r="A751" s="231"/>
      <c r="B751" s="1021"/>
      <c r="C751" s="1022"/>
      <c r="D751" s="1023"/>
      <c r="E751" s="1024"/>
      <c r="F751" s="1025"/>
      <c r="G751" s="1035" t="s">
        <v>51</v>
      </c>
      <c r="H751" s="1022" t="s">
        <v>44</v>
      </c>
      <c r="I751" s="572">
        <v>3000</v>
      </c>
      <c r="J751" s="1024">
        <f>water</f>
        <v>0.24955999999999998</v>
      </c>
      <c r="K751" s="1025">
        <f>ROUND(J751*I751,2)</f>
        <v>748.68</v>
      </c>
      <c r="L751" s="1021"/>
      <c r="M751" s="1022"/>
      <c r="N751" s="1023"/>
      <c r="O751" s="1024"/>
      <c r="P751" s="1025"/>
    </row>
    <row r="752" spans="1:16" x14ac:dyDescent="0.2">
      <c r="A752" s="241"/>
      <c r="B752" s="242"/>
      <c r="C752" s="243"/>
      <c r="D752" s="243"/>
      <c r="E752" s="244" t="s">
        <v>39</v>
      </c>
      <c r="F752" s="245">
        <f>SUM(F744:F751)</f>
        <v>29690</v>
      </c>
      <c r="G752" s="242"/>
      <c r="H752" s="243"/>
      <c r="I752" s="243"/>
      <c r="J752" s="244" t="s">
        <v>40</v>
      </c>
      <c r="K752" s="245">
        <f>SUM(K744:K751)</f>
        <v>180364.52999999997</v>
      </c>
      <c r="L752" s="242"/>
      <c r="M752" s="243"/>
      <c r="N752" s="243"/>
      <c r="O752" s="246" t="s">
        <v>41</v>
      </c>
      <c r="P752" s="245">
        <f>SUM(P744:P751)</f>
        <v>15000</v>
      </c>
    </row>
    <row r="753" spans="1:16" x14ac:dyDescent="0.2">
      <c r="A753" s="247"/>
      <c r="B753" s="575"/>
      <c r="C753" s="575"/>
      <c r="D753" s="575"/>
      <c r="E753" s="575"/>
      <c r="F753" s="1020" t="s">
        <v>29</v>
      </c>
      <c r="G753" s="248">
        <f>F752+K752+P752</f>
        <v>225054.52999999997</v>
      </c>
      <c r="H753" s="575"/>
      <c r="I753" s="249"/>
      <c r="J753" s="250"/>
      <c r="K753" s="251"/>
      <c r="L753" s="575"/>
      <c r="M753" s="575"/>
      <c r="N753" s="575"/>
      <c r="O753" s="575"/>
      <c r="P753" s="575"/>
    </row>
    <row r="754" spans="1:16" x14ac:dyDescent="0.2">
      <c r="A754" s="247"/>
      <c r="B754" s="575"/>
      <c r="C754" s="575"/>
      <c r="D754" s="1423" t="s">
        <v>1551</v>
      </c>
      <c r="E754" s="1423"/>
      <c r="F754" s="1423"/>
      <c r="G754" s="248">
        <f>G753*0.25</f>
        <v>56263.632499999992</v>
      </c>
      <c r="H754" s="575"/>
      <c r="I754" s="249"/>
      <c r="J754" s="250"/>
      <c r="K754" s="251"/>
      <c r="L754" s="575"/>
      <c r="M754" s="575"/>
      <c r="N754" s="575"/>
      <c r="O754" s="575"/>
      <c r="P754" s="575"/>
    </row>
    <row r="755" spans="1:16" x14ac:dyDescent="0.2">
      <c r="A755" s="247"/>
      <c r="B755" s="575"/>
      <c r="C755" s="575"/>
      <c r="D755" s="575"/>
      <c r="E755" s="575"/>
      <c r="F755" s="252" t="s">
        <v>31</v>
      </c>
      <c r="G755" s="248">
        <f>0.15*G753</f>
        <v>33758.179499999991</v>
      </c>
      <c r="H755" s="575"/>
      <c r="I755" s="249"/>
      <c r="J755" s="250"/>
      <c r="K755" s="251"/>
      <c r="L755" s="575"/>
      <c r="M755" s="575"/>
      <c r="N755" s="575"/>
      <c r="O755" s="575"/>
      <c r="P755" s="575"/>
    </row>
    <row r="756" spans="1:16" ht="15" x14ac:dyDescent="0.25">
      <c r="A756" s="253"/>
      <c r="B756" s="249"/>
      <c r="C756" s="249"/>
      <c r="D756" s="249"/>
      <c r="E756" s="575"/>
      <c r="F756" s="277" t="str">
        <f>"Rate for "&amp;O737&amp;" m² :"</f>
        <v>Rate for 15 m² :</v>
      </c>
      <c r="G756" s="1012">
        <f>SUM(G753:G755)</f>
        <v>315076.34199999995</v>
      </c>
      <c r="H756" s="256"/>
      <c r="I756" s="249"/>
      <c r="J756" s="250"/>
      <c r="K756" s="251"/>
      <c r="L756" s="575"/>
      <c r="M756" s="575"/>
      <c r="N756" s="575"/>
      <c r="O756" s="575"/>
      <c r="P756" s="575"/>
    </row>
    <row r="757" spans="1:16" x14ac:dyDescent="0.2">
      <c r="A757" s="247"/>
      <c r="B757" s="575"/>
      <c r="C757" s="575"/>
      <c r="D757" s="575"/>
      <c r="E757" s="1027"/>
      <c r="F757" s="277" t="s">
        <v>1494</v>
      </c>
      <c r="G757" s="278">
        <f>G756/O737</f>
        <v>21005.089466666665</v>
      </c>
      <c r="H757" s="575"/>
      <c r="I757" s="249"/>
      <c r="J757" s="256"/>
      <c r="K757" s="275"/>
      <c r="L757" s="575"/>
      <c r="M757" s="575"/>
      <c r="N757" s="575"/>
      <c r="O757" s="575"/>
      <c r="P757" s="575"/>
    </row>
    <row r="758" spans="1:16" x14ac:dyDescent="0.2">
      <c r="A758" s="253"/>
      <c r="B758" s="249"/>
      <c r="C758" s="249"/>
      <c r="D758" s="249"/>
      <c r="E758" s="249"/>
      <c r="F758" s="254" t="s">
        <v>1</v>
      </c>
      <c r="G758" s="255">
        <f>G757</f>
        <v>21005.089466666665</v>
      </c>
      <c r="H758" s="249" t="s">
        <v>30</v>
      </c>
      <c r="I758" s="222" t="s">
        <v>38</v>
      </c>
      <c r="J758" s="256"/>
      <c r="K758" s="275"/>
      <c r="L758" s="275"/>
      <c r="M758" s="275"/>
      <c r="N758" s="575"/>
      <c r="O758" s="575"/>
      <c r="P758" s="575"/>
    </row>
    <row r="759" spans="1:16" x14ac:dyDescent="0.2">
      <c r="A759" s="575" t="s">
        <v>27</v>
      </c>
      <c r="B759" s="223">
        <f>B737+1</f>
        <v>23</v>
      </c>
      <c r="C759" s="222"/>
      <c r="D759" s="575"/>
      <c r="E759" s="575"/>
      <c r="F759" s="575"/>
      <c r="G759" s="575"/>
      <c r="H759" s="575"/>
      <c r="I759" s="575"/>
      <c r="J759" s="575"/>
      <c r="K759" s="575"/>
      <c r="L759" s="575"/>
      <c r="M759" s="575"/>
      <c r="N759" s="1020" t="s">
        <v>13</v>
      </c>
      <c r="O759" s="248">
        <v>15</v>
      </c>
      <c r="P759" s="222" t="s">
        <v>38</v>
      </c>
    </row>
    <row r="760" spans="1:16" x14ac:dyDescent="0.2">
      <c r="A760" s="223" t="s">
        <v>12</v>
      </c>
      <c r="B760" s="257" t="s">
        <v>1549</v>
      </c>
      <c r="C760" s="257"/>
      <c r="D760" s="257"/>
      <c r="E760" s="257"/>
      <c r="F760" s="257"/>
      <c r="G760" s="257"/>
      <c r="H760" s="257"/>
      <c r="I760" s="257"/>
      <c r="J760" s="257"/>
      <c r="K760" s="257" t="s">
        <v>1555</v>
      </c>
      <c r="L760" s="257"/>
      <c r="M760" s="257"/>
      <c r="N760" s="257"/>
      <c r="O760" s="257"/>
      <c r="P760" s="257"/>
    </row>
    <row r="761" spans="1:16" x14ac:dyDescent="0.2">
      <c r="A761" s="223"/>
      <c r="B761" s="265" t="s">
        <v>1556</v>
      </c>
      <c r="C761" s="265"/>
      <c r="D761" s="265"/>
      <c r="E761" s="265"/>
      <c r="F761" s="265"/>
      <c r="G761" s="265"/>
      <c r="H761" s="265"/>
      <c r="I761" s="265"/>
      <c r="J761" s="265"/>
      <c r="K761" s="265"/>
      <c r="L761" s="265"/>
      <c r="M761" s="265"/>
      <c r="N761" s="265"/>
      <c r="O761" s="265"/>
      <c r="P761" s="265"/>
    </row>
    <row r="762" spans="1:16" x14ac:dyDescent="0.2">
      <c r="A762" s="223"/>
      <c r="B762" s="265" t="s">
        <v>1528</v>
      </c>
      <c r="C762" s="265"/>
      <c r="D762" s="265"/>
      <c r="E762" s="265"/>
      <c r="F762" s="265"/>
      <c r="G762" s="265"/>
      <c r="H762" s="265"/>
      <c r="I762" s="265"/>
      <c r="J762" s="265"/>
      <c r="K762" s="265"/>
      <c r="L762" s="265"/>
      <c r="M762" s="265"/>
      <c r="N762" s="265"/>
      <c r="O762" s="265"/>
      <c r="P762" s="265"/>
    </row>
    <row r="763" spans="1:16" x14ac:dyDescent="0.2">
      <c r="A763" s="225" t="s">
        <v>243</v>
      </c>
      <c r="B763" s="226" t="s">
        <v>15</v>
      </c>
      <c r="C763" s="227"/>
      <c r="D763" s="227"/>
      <c r="E763" s="227"/>
      <c r="F763" s="226"/>
      <c r="G763" s="1412" t="s">
        <v>16</v>
      </c>
      <c r="H763" s="1413"/>
      <c r="I763" s="1413"/>
      <c r="J763" s="1413"/>
      <c r="K763" s="1414"/>
      <c r="L763" s="227" t="s">
        <v>17</v>
      </c>
      <c r="M763" s="227"/>
      <c r="N763" s="227"/>
      <c r="O763" s="227"/>
      <c r="P763" s="227"/>
    </row>
    <row r="764" spans="1:16" x14ac:dyDescent="0.2">
      <c r="A764" s="225" t="s">
        <v>273</v>
      </c>
      <c r="B764" s="228" t="s">
        <v>18</v>
      </c>
      <c r="C764" s="229" t="s">
        <v>0</v>
      </c>
      <c r="D764" s="229" t="s">
        <v>5</v>
      </c>
      <c r="E764" s="229" t="s">
        <v>1</v>
      </c>
      <c r="F764" s="230" t="s">
        <v>2</v>
      </c>
      <c r="G764" s="228" t="s">
        <v>19</v>
      </c>
      <c r="H764" s="229" t="s">
        <v>0</v>
      </c>
      <c r="I764" s="229" t="s">
        <v>5</v>
      </c>
      <c r="J764" s="229" t="s">
        <v>1</v>
      </c>
      <c r="K764" s="230" t="s">
        <v>2</v>
      </c>
      <c r="L764" s="228" t="s">
        <v>19</v>
      </c>
      <c r="M764" s="229" t="s">
        <v>0</v>
      </c>
      <c r="N764" s="229" t="s">
        <v>5</v>
      </c>
      <c r="O764" s="229" t="s">
        <v>1</v>
      </c>
      <c r="P764" s="230" t="s">
        <v>2</v>
      </c>
    </row>
    <row r="765" spans="1:16" x14ac:dyDescent="0.2">
      <c r="A765" s="258"/>
      <c r="B765" s="237"/>
      <c r="C765" s="233"/>
      <c r="D765" s="234"/>
      <c r="E765" s="235"/>
      <c r="F765" s="236"/>
      <c r="G765" s="237"/>
      <c r="H765" s="233"/>
      <c r="I765" s="234"/>
      <c r="J765" s="235"/>
      <c r="K765" s="236"/>
      <c r="L765" s="237"/>
      <c r="M765" s="233"/>
      <c r="N765" s="234"/>
      <c r="O765" s="235"/>
      <c r="P765" s="236"/>
    </row>
    <row r="766" spans="1:16" ht="15" x14ac:dyDescent="0.2">
      <c r="A766" s="231" t="s">
        <v>1558</v>
      </c>
      <c r="B766" s="1021" t="s">
        <v>32</v>
      </c>
      <c r="C766" s="1022" t="s">
        <v>46</v>
      </c>
      <c r="D766" s="1023">
        <v>4</v>
      </c>
      <c r="E766" s="1024">
        <f>skilled</f>
        <v>1070</v>
      </c>
      <c r="F766" s="1025">
        <f>ROUND(E766*D766,2)</f>
        <v>4280</v>
      </c>
      <c r="G766" s="1035" t="s">
        <v>9</v>
      </c>
      <c r="H766" s="1022" t="s">
        <v>14</v>
      </c>
      <c r="I766" s="1023">
        <v>6.9749999999999996</v>
      </c>
      <c r="J766" s="1024">
        <f>cement</f>
        <v>17013.62</v>
      </c>
      <c r="K766" s="1025">
        <f t="shared" ref="K766:K769" si="31">ROUND(J766*I766,2)</f>
        <v>118670</v>
      </c>
      <c r="L766" s="259" t="s">
        <v>420</v>
      </c>
      <c r="M766" s="1022" t="s">
        <v>28</v>
      </c>
      <c r="N766" s="1023">
        <v>6</v>
      </c>
      <c r="O766" s="1024">
        <f>mixer</f>
        <v>1000</v>
      </c>
      <c r="P766" s="1025">
        <f>ROUND(O766*N766,2)</f>
        <v>6000</v>
      </c>
    </row>
    <row r="767" spans="1:16" x14ac:dyDescent="0.2">
      <c r="A767" s="260" t="s">
        <v>20</v>
      </c>
      <c r="B767" s="1021" t="s">
        <v>21</v>
      </c>
      <c r="C767" s="1022" t="s">
        <v>46</v>
      </c>
      <c r="D767" s="1023">
        <v>33</v>
      </c>
      <c r="E767" s="1024">
        <f>unskilled</f>
        <v>770</v>
      </c>
      <c r="F767" s="1025">
        <f>ROUND(E767*D767,2)</f>
        <v>25410</v>
      </c>
      <c r="G767" s="1035" t="s">
        <v>1542</v>
      </c>
      <c r="H767" s="1022" t="s">
        <v>6</v>
      </c>
      <c r="I767" s="1023">
        <f>I766*0.004*1000</f>
        <v>27.9</v>
      </c>
      <c r="J767" s="1024">
        <f>admixtures</f>
        <v>315.41361999999998</v>
      </c>
      <c r="K767" s="1025">
        <f t="shared" si="31"/>
        <v>8800.0400000000009</v>
      </c>
      <c r="L767" s="1021" t="s">
        <v>1493</v>
      </c>
      <c r="M767" s="1022" t="s">
        <v>28</v>
      </c>
      <c r="N767" s="1023">
        <v>6</v>
      </c>
      <c r="O767" s="1024">
        <f>generator</f>
        <v>1500</v>
      </c>
      <c r="P767" s="1025">
        <f>ROUND(O767*N767,2)</f>
        <v>9000</v>
      </c>
    </row>
    <row r="768" spans="1:16" x14ac:dyDescent="0.2">
      <c r="A768" s="260"/>
      <c r="B768" s="1021"/>
      <c r="C768" s="1022"/>
      <c r="D768" s="1023"/>
      <c r="E768" s="1024"/>
      <c r="F768" s="1025"/>
      <c r="G768" s="1035" t="s">
        <v>1498</v>
      </c>
      <c r="H768" s="1022" t="s">
        <v>38</v>
      </c>
      <c r="I768" s="1023">
        <v>8.1</v>
      </c>
      <c r="J768" s="1024">
        <f>_Agg20</f>
        <v>2574.1999999999998</v>
      </c>
      <c r="K768" s="1025">
        <f t="shared" si="31"/>
        <v>20851.02</v>
      </c>
      <c r="L768" s="1021"/>
      <c r="M768" s="1022"/>
      <c r="N768" s="1023"/>
      <c r="O768" s="1024"/>
      <c r="P768" s="1025"/>
    </row>
    <row r="769" spans="1:16" x14ac:dyDescent="0.2">
      <c r="A769" s="260"/>
      <c r="B769" s="1021"/>
      <c r="C769" s="1022"/>
      <c r="D769" s="1023"/>
      <c r="E769" s="1024"/>
      <c r="F769" s="1025"/>
      <c r="G769" s="1035" t="s">
        <v>1499</v>
      </c>
      <c r="H769" s="1022" t="s">
        <v>38</v>
      </c>
      <c r="I769" s="1023">
        <v>5.4</v>
      </c>
      <c r="J769" s="1024">
        <f>_agg10</f>
        <v>2574.1999999999998</v>
      </c>
      <c r="K769" s="1025">
        <f t="shared" si="31"/>
        <v>13900.68</v>
      </c>
      <c r="L769" s="1021"/>
      <c r="M769" s="1022"/>
      <c r="N769" s="1023"/>
      <c r="O769" s="1024"/>
      <c r="P769" s="1025"/>
    </row>
    <row r="770" spans="1:16" x14ac:dyDescent="0.2">
      <c r="A770" s="231"/>
      <c r="B770" s="1021"/>
      <c r="C770" s="1022"/>
      <c r="D770" s="1023"/>
      <c r="E770" s="1024"/>
      <c r="F770" s="1025"/>
      <c r="G770" s="1035" t="s">
        <v>45</v>
      </c>
      <c r="H770" s="1022" t="s">
        <v>38</v>
      </c>
      <c r="I770" s="1023">
        <v>6.75</v>
      </c>
      <c r="J770" s="1024">
        <f>sand</f>
        <v>2503.2750000000001</v>
      </c>
      <c r="K770" s="1025">
        <f>ROUND(J770*I770,2)</f>
        <v>16897.11</v>
      </c>
      <c r="L770" s="1021"/>
      <c r="M770" s="1022"/>
      <c r="N770" s="1023"/>
      <c r="O770" s="1024"/>
      <c r="P770" s="1025"/>
    </row>
    <row r="771" spans="1:16" ht="15" x14ac:dyDescent="0.2">
      <c r="A771" s="231"/>
      <c r="B771" s="1021"/>
      <c r="C771" s="1022"/>
      <c r="D771" s="1023"/>
      <c r="E771" s="1024"/>
      <c r="F771" s="1025"/>
      <c r="G771" s="659" t="s">
        <v>267</v>
      </c>
      <c r="H771" s="660" t="s">
        <v>44</v>
      </c>
      <c r="I771" s="661">
        <v>0.1</v>
      </c>
      <c r="J771" s="662">
        <f>petrol</f>
        <v>170</v>
      </c>
      <c r="K771" s="663">
        <f>ROUND(J771*I771,2)</f>
        <v>17</v>
      </c>
      <c r="L771" s="1021"/>
      <c r="M771" s="1022"/>
      <c r="N771" s="1023"/>
      <c r="O771" s="1024"/>
      <c r="P771" s="1025"/>
    </row>
    <row r="772" spans="1:16" ht="15" x14ac:dyDescent="0.2">
      <c r="A772" s="231"/>
      <c r="B772" s="1021"/>
      <c r="C772" s="1022"/>
      <c r="D772" s="1023"/>
      <c r="E772" s="1024"/>
      <c r="F772" s="1025"/>
      <c r="G772" s="659" t="s">
        <v>268</v>
      </c>
      <c r="H772" s="660" t="s">
        <v>44</v>
      </c>
      <c r="I772" s="661">
        <v>3</v>
      </c>
      <c r="J772" s="662">
        <f>diesel</f>
        <v>160</v>
      </c>
      <c r="K772" s="663">
        <f>ROUND(J772*I772,2)</f>
        <v>480</v>
      </c>
      <c r="L772" s="1021"/>
      <c r="M772" s="1022"/>
      <c r="N772" s="1023"/>
      <c r="O772" s="1024"/>
      <c r="P772" s="1025"/>
    </row>
    <row r="773" spans="1:16" x14ac:dyDescent="0.2">
      <c r="A773" s="231"/>
      <c r="B773" s="1021"/>
      <c r="C773" s="1022"/>
      <c r="D773" s="1023"/>
      <c r="E773" s="1024"/>
      <c r="F773" s="1025"/>
      <c r="G773" s="1035" t="s">
        <v>51</v>
      </c>
      <c r="H773" s="1022" t="s">
        <v>44</v>
      </c>
      <c r="I773" s="572">
        <v>3000</v>
      </c>
      <c r="J773" s="1024">
        <f>water</f>
        <v>0.24955999999999998</v>
      </c>
      <c r="K773" s="1025">
        <f>ROUND(J773*I773,2)</f>
        <v>748.68</v>
      </c>
      <c r="L773" s="1021"/>
      <c r="M773" s="1022"/>
      <c r="N773" s="1023"/>
      <c r="O773" s="1024"/>
      <c r="P773" s="1025"/>
    </row>
    <row r="774" spans="1:16" x14ac:dyDescent="0.2">
      <c r="A774" s="241"/>
      <c r="B774" s="242"/>
      <c r="C774" s="243"/>
      <c r="D774" s="243"/>
      <c r="E774" s="244" t="s">
        <v>39</v>
      </c>
      <c r="F774" s="245">
        <f>SUM(F766:F773)</f>
        <v>29690</v>
      </c>
      <c r="G774" s="242"/>
      <c r="H774" s="243"/>
      <c r="I774" s="243"/>
      <c r="J774" s="244" t="s">
        <v>40</v>
      </c>
      <c r="K774" s="245">
        <f>SUM(K766:K773)</f>
        <v>180364.52999999997</v>
      </c>
      <c r="L774" s="242"/>
      <c r="M774" s="243"/>
      <c r="N774" s="243"/>
      <c r="O774" s="246" t="s">
        <v>41</v>
      </c>
      <c r="P774" s="245">
        <f>SUM(P766:P773)</f>
        <v>15000</v>
      </c>
    </row>
    <row r="775" spans="1:16" x14ac:dyDescent="0.2">
      <c r="A775" s="247"/>
      <c r="B775" s="575"/>
      <c r="C775" s="575"/>
      <c r="D775" s="575"/>
      <c r="E775" s="575"/>
      <c r="F775" s="1020" t="s">
        <v>29</v>
      </c>
      <c r="G775" s="248">
        <f>F774+K774+P774</f>
        <v>225054.52999999997</v>
      </c>
      <c r="H775" s="575"/>
      <c r="I775" s="249"/>
      <c r="J775" s="250"/>
      <c r="K775" s="251"/>
      <c r="L775" s="575"/>
      <c r="M775" s="575"/>
      <c r="N775" s="575"/>
      <c r="O775" s="575"/>
      <c r="P775" s="575"/>
    </row>
    <row r="776" spans="1:16" x14ac:dyDescent="0.2">
      <c r="A776" s="247"/>
      <c r="B776" s="575"/>
      <c r="C776" s="575"/>
      <c r="D776" s="1423" t="s">
        <v>1552</v>
      </c>
      <c r="E776" s="1423"/>
      <c r="F776" s="1423"/>
      <c r="G776" s="248">
        <f>G775*0.3</f>
        <v>67516.358999999982</v>
      </c>
      <c r="H776" s="575"/>
      <c r="I776" s="249"/>
      <c r="J776" s="250"/>
      <c r="K776" s="251"/>
      <c r="L776" s="575"/>
      <c r="M776" s="575"/>
      <c r="N776" s="575"/>
      <c r="O776" s="575"/>
      <c r="P776" s="575"/>
    </row>
    <row r="777" spans="1:16" x14ac:dyDescent="0.2">
      <c r="A777" s="247"/>
      <c r="B777" s="575"/>
      <c r="C777" s="575"/>
      <c r="D777" s="575"/>
      <c r="E777" s="575"/>
      <c r="F777" s="252" t="s">
        <v>31</v>
      </c>
      <c r="G777" s="248">
        <f>0.15*G775</f>
        <v>33758.179499999991</v>
      </c>
      <c r="H777" s="575"/>
      <c r="I777" s="249"/>
      <c r="J777" s="250"/>
      <c r="K777" s="251"/>
      <c r="L777" s="575"/>
      <c r="M777" s="575"/>
      <c r="N777" s="575"/>
      <c r="O777" s="575"/>
      <c r="P777" s="575"/>
    </row>
    <row r="778" spans="1:16" ht="15" x14ac:dyDescent="0.25">
      <c r="A778" s="253"/>
      <c r="B778" s="249"/>
      <c r="C778" s="249"/>
      <c r="D778" s="249"/>
      <c r="E778" s="575"/>
      <c r="F778" s="277" t="str">
        <f>"Rate for "&amp;O759&amp;" m² :"</f>
        <v>Rate for 15 m² :</v>
      </c>
      <c r="G778" s="1012">
        <f>SUM(G775:G777)</f>
        <v>326329.06849999994</v>
      </c>
      <c r="H778" s="256"/>
      <c r="I778" s="249"/>
      <c r="J778" s="250"/>
      <c r="K778" s="251"/>
      <c r="L778" s="575"/>
      <c r="M778" s="575"/>
      <c r="N778" s="575"/>
      <c r="O778" s="575"/>
      <c r="P778" s="575"/>
    </row>
    <row r="779" spans="1:16" x14ac:dyDescent="0.2">
      <c r="A779" s="247"/>
      <c r="B779" s="575"/>
      <c r="C779" s="575"/>
      <c r="D779" s="575"/>
      <c r="E779" s="1027"/>
      <c r="F779" s="277" t="s">
        <v>1494</v>
      </c>
      <c r="G779" s="278">
        <f>G778/O759</f>
        <v>21755.271233333329</v>
      </c>
      <c r="H779" s="575"/>
      <c r="I779" s="249"/>
      <c r="J779" s="256"/>
      <c r="K779" s="275"/>
      <c r="L779" s="575"/>
      <c r="M779" s="575"/>
      <c r="N779" s="575"/>
      <c r="O779" s="575"/>
      <c r="P779" s="575"/>
    </row>
    <row r="780" spans="1:16" x14ac:dyDescent="0.2">
      <c r="A780" s="253"/>
      <c r="B780" s="249"/>
      <c r="C780" s="249"/>
      <c r="D780" s="249"/>
      <c r="E780" s="249"/>
      <c r="F780" s="254" t="s">
        <v>1</v>
      </c>
      <c r="G780" s="255">
        <f>G779</f>
        <v>21755.271233333329</v>
      </c>
      <c r="H780" s="249" t="s">
        <v>30</v>
      </c>
      <c r="I780" s="222" t="s">
        <v>38</v>
      </c>
      <c r="J780" s="256"/>
      <c r="K780" s="275"/>
      <c r="L780" s="275"/>
      <c r="M780" s="275"/>
      <c r="N780" s="575"/>
      <c r="O780" s="575"/>
      <c r="P780" s="575"/>
    </row>
    <row r="781" spans="1:16" x14ac:dyDescent="0.2">
      <c r="A781" s="575" t="s">
        <v>27</v>
      </c>
      <c r="B781" s="223">
        <f>B759+1</f>
        <v>24</v>
      </c>
      <c r="C781" s="222"/>
      <c r="D781" s="575"/>
      <c r="E781" s="575"/>
      <c r="F781" s="575"/>
      <c r="G781" s="264"/>
      <c r="H781" s="256"/>
      <c r="I781" s="222"/>
      <c r="J781" s="575"/>
      <c r="K781" s="575"/>
      <c r="L781" s="575"/>
      <c r="M781" s="575"/>
      <c r="N781" s="1020" t="s">
        <v>13</v>
      </c>
      <c r="O781" s="248">
        <v>1</v>
      </c>
      <c r="P781" s="222" t="s">
        <v>14</v>
      </c>
    </row>
    <row r="782" spans="1:16" x14ac:dyDescent="0.2">
      <c r="A782" s="224" t="s">
        <v>12</v>
      </c>
      <c r="B782" s="265" t="s">
        <v>1560</v>
      </c>
      <c r="C782" s="266"/>
      <c r="D782" s="266"/>
      <c r="E782" s="266"/>
      <c r="F782" s="266"/>
      <c r="G782" s="266"/>
      <c r="H782" s="266"/>
      <c r="I782" s="266"/>
      <c r="J782" s="266"/>
      <c r="K782" s="266"/>
      <c r="L782" s="266"/>
      <c r="M782" s="266"/>
      <c r="N782" s="266"/>
      <c r="O782" s="266"/>
      <c r="P782" s="266"/>
    </row>
    <row r="783" spans="1:16" x14ac:dyDescent="0.2">
      <c r="A783" s="225" t="s">
        <v>1559</v>
      </c>
      <c r="B783" s="267" t="s">
        <v>15</v>
      </c>
      <c r="C783" s="268"/>
      <c r="D783" s="268"/>
      <c r="E783" s="268"/>
      <c r="F783" s="267"/>
      <c r="G783" s="1415" t="s">
        <v>16</v>
      </c>
      <c r="H783" s="1416"/>
      <c r="I783" s="1416"/>
      <c r="J783" s="1416"/>
      <c r="K783" s="1417"/>
      <c r="L783" s="268" t="s">
        <v>17</v>
      </c>
      <c r="M783" s="268"/>
      <c r="N783" s="268"/>
      <c r="O783" s="268"/>
      <c r="P783" s="268"/>
    </row>
    <row r="784" spans="1:16" x14ac:dyDescent="0.2">
      <c r="A784" s="225" t="s">
        <v>273</v>
      </c>
      <c r="B784" s="228" t="s">
        <v>18</v>
      </c>
      <c r="C784" s="229" t="s">
        <v>0</v>
      </c>
      <c r="D784" s="229" t="s">
        <v>5</v>
      </c>
      <c r="E784" s="229" t="s">
        <v>1</v>
      </c>
      <c r="F784" s="230" t="s">
        <v>2</v>
      </c>
      <c r="G784" s="228" t="s">
        <v>19</v>
      </c>
      <c r="H784" s="229" t="s">
        <v>0</v>
      </c>
      <c r="I784" s="229" t="s">
        <v>5</v>
      </c>
      <c r="J784" s="229" t="s">
        <v>1</v>
      </c>
      <c r="K784" s="230" t="s">
        <v>2</v>
      </c>
      <c r="L784" s="228" t="s">
        <v>19</v>
      </c>
      <c r="M784" s="229" t="s">
        <v>0</v>
      </c>
      <c r="N784" s="229" t="s">
        <v>5</v>
      </c>
      <c r="O784" s="229" t="s">
        <v>1</v>
      </c>
      <c r="P784" s="230" t="s">
        <v>2</v>
      </c>
    </row>
    <row r="785" spans="1:16" x14ac:dyDescent="0.2">
      <c r="A785" s="231">
        <v>20.3</v>
      </c>
      <c r="B785" s="1021" t="s">
        <v>32</v>
      </c>
      <c r="C785" s="1022" t="s">
        <v>46</v>
      </c>
      <c r="D785" s="1023">
        <v>4</v>
      </c>
      <c r="E785" s="1024">
        <f>skilled</f>
        <v>1070</v>
      </c>
      <c r="F785" s="1025">
        <f>ROUND(E785*D785,2)</f>
        <v>4280</v>
      </c>
      <c r="G785" s="1035" t="s">
        <v>1561</v>
      </c>
      <c r="H785" s="1022" t="s">
        <v>26</v>
      </c>
      <c r="I785" s="1023">
        <v>1.1000000000000001</v>
      </c>
      <c r="J785" s="1024">
        <f>reinforcement</f>
        <v>83567.62</v>
      </c>
      <c r="K785" s="1025">
        <f>ROUND(J785*I785,2)</f>
        <v>91924.38</v>
      </c>
      <c r="L785" s="1021"/>
      <c r="M785" s="1022"/>
      <c r="N785" s="1023"/>
      <c r="O785" s="1024"/>
      <c r="P785" s="1025"/>
    </row>
    <row r="786" spans="1:16" x14ac:dyDescent="0.2">
      <c r="A786" s="260" t="s">
        <v>20</v>
      </c>
      <c r="B786" s="1021" t="s">
        <v>21</v>
      </c>
      <c r="C786" s="1022" t="s">
        <v>46</v>
      </c>
      <c r="D786" s="1023">
        <v>9</v>
      </c>
      <c r="E786" s="1024">
        <f>unskilled</f>
        <v>770</v>
      </c>
      <c r="F786" s="1025">
        <f>ROUND(E786*D786,2)</f>
        <v>6930</v>
      </c>
      <c r="G786" s="1035" t="s">
        <v>34</v>
      </c>
      <c r="H786" s="1022" t="s">
        <v>7</v>
      </c>
      <c r="I786" s="1023">
        <v>8</v>
      </c>
      <c r="J786" s="1024">
        <f>binding/1000</f>
        <v>95.413619999999995</v>
      </c>
      <c r="K786" s="1025">
        <f>ROUND(J786*I786,2)</f>
        <v>763.31</v>
      </c>
      <c r="L786" s="1021"/>
      <c r="M786" s="1022"/>
      <c r="N786" s="1023"/>
      <c r="O786" s="1024"/>
      <c r="P786" s="1025"/>
    </row>
    <row r="787" spans="1:16" x14ac:dyDescent="0.2">
      <c r="A787" s="241"/>
      <c r="B787" s="242"/>
      <c r="C787" s="243"/>
      <c r="D787" s="243"/>
      <c r="E787" s="244" t="s">
        <v>39</v>
      </c>
      <c r="F787" s="245">
        <f>SUM(F785:F786)</f>
        <v>11210</v>
      </c>
      <c r="G787" s="242"/>
      <c r="H787" s="243"/>
      <c r="I787" s="243"/>
      <c r="J787" s="244" t="s">
        <v>40</v>
      </c>
      <c r="K787" s="245">
        <f>SUM(K785:K786)</f>
        <v>92687.69</v>
      </c>
      <c r="L787" s="242"/>
      <c r="M787" s="243"/>
      <c r="N787" s="243"/>
      <c r="O787" s="246" t="s">
        <v>41</v>
      </c>
      <c r="P787" s="245">
        <f>SUM(P785:P786)</f>
        <v>0</v>
      </c>
    </row>
    <row r="788" spans="1:16" x14ac:dyDescent="0.2">
      <c r="A788" s="247"/>
      <c r="B788" s="575"/>
      <c r="C788" s="575"/>
      <c r="D788" s="575"/>
      <c r="E788" s="575"/>
      <c r="F788" s="1020" t="s">
        <v>29</v>
      </c>
      <c r="G788" s="248">
        <f>F787+K787+P787</f>
        <v>103897.69</v>
      </c>
      <c r="H788" s="575"/>
      <c r="I788" s="249"/>
      <c r="J788" s="250"/>
      <c r="K788" s="251"/>
      <c r="L788" s="575"/>
      <c r="M788" s="575"/>
      <c r="N788" s="575"/>
      <c r="O788" s="575"/>
      <c r="P788" s="575"/>
    </row>
    <row r="789" spans="1:16" x14ac:dyDescent="0.2">
      <c r="A789" s="247"/>
      <c r="B789" s="575"/>
      <c r="C789" s="575"/>
      <c r="D789" s="575"/>
      <c r="E789" s="575"/>
      <c r="F789" s="252" t="s">
        <v>31</v>
      </c>
      <c r="G789" s="248">
        <f>G788*0.15</f>
        <v>15584.6535</v>
      </c>
      <c r="H789" s="575"/>
      <c r="I789" s="249"/>
      <c r="J789" s="250"/>
      <c r="K789" s="251"/>
      <c r="L789" s="575"/>
      <c r="M789" s="575"/>
      <c r="N789" s="575"/>
      <c r="O789" s="575"/>
      <c r="P789" s="575"/>
    </row>
    <row r="790" spans="1:16" x14ac:dyDescent="0.2">
      <c r="A790" s="253"/>
      <c r="B790" s="249"/>
      <c r="C790" s="249"/>
      <c r="D790" s="249"/>
      <c r="E790" s="249"/>
      <c r="F790" s="269" t="str">
        <f>"Rate for "&amp;O781&amp;P781&amp;" :"</f>
        <v>Rate for 1mt :</v>
      </c>
      <c r="G790" s="255">
        <f>SUM(G788:G789)</f>
        <v>119482.3435</v>
      </c>
      <c r="H790" s="249" t="s">
        <v>30</v>
      </c>
      <c r="I790" s="249" t="str">
        <f>+P781</f>
        <v>mt</v>
      </c>
      <c r="J790" s="250"/>
      <c r="K790" s="255"/>
      <c r="L790" s="575"/>
      <c r="M790" s="575"/>
      <c r="N790" s="575"/>
      <c r="O790" s="575"/>
      <c r="P790" s="575"/>
    </row>
    <row r="791" spans="1:16" x14ac:dyDescent="0.2">
      <c r="A791" s="575" t="s">
        <v>27</v>
      </c>
      <c r="B791" s="223">
        <f>B781+1</f>
        <v>25</v>
      </c>
      <c r="C791" s="222"/>
      <c r="D791" s="575"/>
      <c r="E791" s="575"/>
      <c r="F791" s="575"/>
      <c r="G791" s="264"/>
      <c r="H791" s="256"/>
      <c r="I791" s="222"/>
      <c r="J791" s="575"/>
      <c r="K791" s="575"/>
      <c r="L791" s="575"/>
      <c r="M791" s="575"/>
      <c r="N791" s="1020" t="s">
        <v>13</v>
      </c>
      <c r="O791" s="248">
        <v>1</v>
      </c>
      <c r="P791" s="222" t="s">
        <v>14</v>
      </c>
    </row>
    <row r="792" spans="1:16" x14ac:dyDescent="0.2">
      <c r="A792" s="224" t="s">
        <v>12</v>
      </c>
      <c r="B792" s="265" t="s">
        <v>1562</v>
      </c>
      <c r="C792" s="266"/>
      <c r="D792" s="266"/>
      <c r="E792" s="266"/>
      <c r="F792" s="266"/>
      <c r="G792" s="266"/>
      <c r="H792" s="266"/>
      <c r="I792" s="266"/>
      <c r="J792" s="266"/>
      <c r="K792" s="266"/>
      <c r="L792" s="266"/>
      <c r="M792" s="266"/>
      <c r="N792" s="266"/>
      <c r="O792" s="266"/>
      <c r="P792" s="266"/>
    </row>
    <row r="793" spans="1:16" x14ac:dyDescent="0.2">
      <c r="A793" s="225" t="s">
        <v>1559</v>
      </c>
      <c r="B793" s="267" t="s">
        <v>15</v>
      </c>
      <c r="C793" s="268"/>
      <c r="D793" s="268"/>
      <c r="E793" s="268"/>
      <c r="F793" s="267"/>
      <c r="G793" s="1415" t="s">
        <v>16</v>
      </c>
      <c r="H793" s="1416"/>
      <c r="I793" s="1416"/>
      <c r="J793" s="1416"/>
      <c r="K793" s="1417"/>
      <c r="L793" s="268" t="s">
        <v>17</v>
      </c>
      <c r="M793" s="268"/>
      <c r="N793" s="268"/>
      <c r="O793" s="268"/>
      <c r="P793" s="268"/>
    </row>
    <row r="794" spans="1:16" x14ac:dyDescent="0.2">
      <c r="A794" s="225" t="s">
        <v>273</v>
      </c>
      <c r="B794" s="228" t="s">
        <v>18</v>
      </c>
      <c r="C794" s="229" t="s">
        <v>0</v>
      </c>
      <c r="D794" s="229" t="s">
        <v>5</v>
      </c>
      <c r="E794" s="229" t="s">
        <v>1</v>
      </c>
      <c r="F794" s="230" t="s">
        <v>2</v>
      </c>
      <c r="G794" s="228" t="s">
        <v>19</v>
      </c>
      <c r="H794" s="229" t="s">
        <v>0</v>
      </c>
      <c r="I794" s="229" t="s">
        <v>5</v>
      </c>
      <c r="J794" s="229" t="s">
        <v>1</v>
      </c>
      <c r="K794" s="230" t="s">
        <v>2</v>
      </c>
      <c r="L794" s="228" t="s">
        <v>19</v>
      </c>
      <c r="M794" s="229" t="s">
        <v>0</v>
      </c>
      <c r="N794" s="229" t="s">
        <v>5</v>
      </c>
      <c r="O794" s="229" t="s">
        <v>1</v>
      </c>
      <c r="P794" s="230" t="s">
        <v>2</v>
      </c>
    </row>
    <row r="795" spans="1:16" x14ac:dyDescent="0.2">
      <c r="A795" s="231">
        <v>20.5</v>
      </c>
      <c r="B795" s="1021" t="s">
        <v>32</v>
      </c>
      <c r="C795" s="1022" t="s">
        <v>46</v>
      </c>
      <c r="D795" s="1023">
        <v>4</v>
      </c>
      <c r="E795" s="1024">
        <f>skilled</f>
        <v>1070</v>
      </c>
      <c r="F795" s="1025">
        <f>ROUND(E795*D795,2)</f>
        <v>4280</v>
      </c>
      <c r="G795" s="1035" t="s">
        <v>1563</v>
      </c>
      <c r="H795" s="1022" t="s">
        <v>26</v>
      </c>
      <c r="I795" s="1023">
        <v>1.1000000000000001</v>
      </c>
      <c r="J795" s="1024">
        <f>reinforcement</f>
        <v>83567.62</v>
      </c>
      <c r="K795" s="1025">
        <f>ROUND(J795*I795,2)</f>
        <v>91924.38</v>
      </c>
      <c r="L795" s="1021"/>
      <c r="M795" s="1022"/>
      <c r="N795" s="1023"/>
      <c r="O795" s="1024"/>
      <c r="P795" s="1025"/>
    </row>
    <row r="796" spans="1:16" x14ac:dyDescent="0.2">
      <c r="A796" s="260" t="s">
        <v>20</v>
      </c>
      <c r="B796" s="1021" t="s">
        <v>21</v>
      </c>
      <c r="C796" s="1022" t="s">
        <v>46</v>
      </c>
      <c r="D796" s="1023">
        <v>9</v>
      </c>
      <c r="E796" s="1024">
        <f>unskilled</f>
        <v>770</v>
      </c>
      <c r="F796" s="1025">
        <f>ROUND(E796*D796,2)</f>
        <v>6930</v>
      </c>
      <c r="G796" s="1035" t="s">
        <v>34</v>
      </c>
      <c r="H796" s="1022" t="s">
        <v>7</v>
      </c>
      <c r="I796" s="1023">
        <v>8</v>
      </c>
      <c r="J796" s="1024">
        <f>binding/1000</f>
        <v>95.413619999999995</v>
      </c>
      <c r="K796" s="1025">
        <f>ROUND(J796*I796,2)</f>
        <v>763.31</v>
      </c>
      <c r="L796" s="1021"/>
      <c r="M796" s="1022"/>
      <c r="N796" s="1023"/>
      <c r="O796" s="1024"/>
      <c r="P796" s="1025"/>
    </row>
    <row r="797" spans="1:16" x14ac:dyDescent="0.2">
      <c r="A797" s="241"/>
      <c r="B797" s="242"/>
      <c r="C797" s="243"/>
      <c r="D797" s="243"/>
      <c r="E797" s="244" t="s">
        <v>39</v>
      </c>
      <c r="F797" s="245">
        <f>SUM(F795:F796)</f>
        <v>11210</v>
      </c>
      <c r="G797" s="242"/>
      <c r="H797" s="243"/>
      <c r="I797" s="243"/>
      <c r="J797" s="244" t="s">
        <v>40</v>
      </c>
      <c r="K797" s="245">
        <f>SUM(K795:K796)</f>
        <v>92687.69</v>
      </c>
      <c r="L797" s="242"/>
      <c r="M797" s="243"/>
      <c r="N797" s="243"/>
      <c r="O797" s="246" t="s">
        <v>41</v>
      </c>
      <c r="P797" s="245">
        <f>SUM(P795:P796)</f>
        <v>0</v>
      </c>
    </row>
    <row r="798" spans="1:16" x14ac:dyDescent="0.2">
      <c r="A798" s="247"/>
      <c r="B798" s="575"/>
      <c r="C798" s="575"/>
      <c r="D798" s="575"/>
      <c r="E798" s="575"/>
      <c r="F798" s="1020" t="s">
        <v>29</v>
      </c>
      <c r="G798" s="248">
        <f>F797+K797+P797</f>
        <v>103897.69</v>
      </c>
      <c r="H798" s="575"/>
      <c r="I798" s="249"/>
      <c r="J798" s="250"/>
      <c r="K798" s="251"/>
      <c r="L798" s="575"/>
      <c r="M798" s="575"/>
      <c r="N798" s="575"/>
      <c r="O798" s="575"/>
      <c r="P798" s="575"/>
    </row>
    <row r="799" spans="1:16" x14ac:dyDescent="0.2">
      <c r="A799" s="247"/>
      <c r="B799" s="575"/>
      <c r="C799" s="575"/>
      <c r="D799" s="575"/>
      <c r="E799" s="575"/>
      <c r="F799" s="252" t="s">
        <v>31</v>
      </c>
      <c r="G799" s="248">
        <f>G798*0.15</f>
        <v>15584.6535</v>
      </c>
      <c r="H799" s="575"/>
      <c r="I799" s="249"/>
      <c r="J799" s="250"/>
      <c r="K799" s="251"/>
      <c r="L799" s="575"/>
      <c r="M799" s="575"/>
      <c r="N799" s="575"/>
      <c r="O799" s="575"/>
      <c r="P799" s="575"/>
    </row>
    <row r="800" spans="1:16" x14ac:dyDescent="0.2">
      <c r="A800" s="253"/>
      <c r="B800" s="249"/>
      <c r="C800" s="249"/>
      <c r="D800" s="249"/>
      <c r="E800" s="249"/>
      <c r="F800" s="269" t="str">
        <f>"Rate for "&amp;O791&amp;P791&amp;" :"</f>
        <v>Rate for 1mt :</v>
      </c>
      <c r="G800" s="255">
        <f>SUM(G798:G799)</f>
        <v>119482.3435</v>
      </c>
      <c r="H800" s="249" t="s">
        <v>30</v>
      </c>
      <c r="I800" s="249" t="str">
        <f>+P791</f>
        <v>mt</v>
      </c>
      <c r="J800" s="250"/>
      <c r="K800" s="255"/>
      <c r="L800" s="575"/>
      <c r="M800" s="575"/>
      <c r="N800" s="575"/>
      <c r="O800" s="575"/>
      <c r="P800" s="575"/>
    </row>
    <row r="801" spans="1:16" x14ac:dyDescent="0.2">
      <c r="A801" s="575" t="s">
        <v>27</v>
      </c>
      <c r="B801" s="223">
        <f>B791+1</f>
        <v>26</v>
      </c>
      <c r="C801" s="222"/>
      <c r="D801" s="575"/>
      <c r="E801" s="575"/>
      <c r="F801" s="575"/>
      <c r="G801" s="264"/>
      <c r="H801" s="256"/>
      <c r="I801" s="222"/>
      <c r="J801" s="575"/>
      <c r="K801" s="575"/>
      <c r="L801" s="575"/>
      <c r="M801" s="575"/>
      <c r="N801" s="1020" t="s">
        <v>13</v>
      </c>
      <c r="O801" s="248">
        <v>1</v>
      </c>
      <c r="P801" s="222" t="s">
        <v>14</v>
      </c>
    </row>
    <row r="802" spans="1:16" x14ac:dyDescent="0.2">
      <c r="A802" s="224" t="s">
        <v>12</v>
      </c>
      <c r="B802" s="265" t="s">
        <v>1564</v>
      </c>
      <c r="C802" s="266"/>
      <c r="D802" s="266"/>
      <c r="E802" s="266"/>
      <c r="F802" s="266"/>
      <c r="G802" s="266"/>
      <c r="H802" s="266"/>
      <c r="I802" s="266"/>
      <c r="J802" s="266"/>
      <c r="K802" s="266"/>
      <c r="L802" s="266"/>
      <c r="M802" s="266"/>
      <c r="N802" s="266"/>
      <c r="O802" s="266"/>
      <c r="P802" s="266"/>
    </row>
    <row r="803" spans="1:16" x14ac:dyDescent="0.2">
      <c r="A803" s="225" t="s">
        <v>1559</v>
      </c>
      <c r="B803" s="267" t="s">
        <v>15</v>
      </c>
      <c r="C803" s="268"/>
      <c r="D803" s="268"/>
      <c r="E803" s="268"/>
      <c r="F803" s="267"/>
      <c r="G803" s="1415" t="s">
        <v>16</v>
      </c>
      <c r="H803" s="1416"/>
      <c r="I803" s="1416"/>
      <c r="J803" s="1416"/>
      <c r="K803" s="1417"/>
      <c r="L803" s="268" t="s">
        <v>17</v>
      </c>
      <c r="M803" s="268"/>
      <c r="N803" s="268"/>
      <c r="O803" s="268"/>
      <c r="P803" s="268"/>
    </row>
    <row r="804" spans="1:16" x14ac:dyDescent="0.2">
      <c r="A804" s="225" t="s">
        <v>273</v>
      </c>
      <c r="B804" s="228" t="s">
        <v>18</v>
      </c>
      <c r="C804" s="229" t="s">
        <v>0</v>
      </c>
      <c r="D804" s="229" t="s">
        <v>5</v>
      </c>
      <c r="E804" s="229" t="s">
        <v>1</v>
      </c>
      <c r="F804" s="230" t="s">
        <v>2</v>
      </c>
      <c r="G804" s="228" t="s">
        <v>19</v>
      </c>
      <c r="H804" s="229" t="s">
        <v>0</v>
      </c>
      <c r="I804" s="229" t="s">
        <v>5</v>
      </c>
      <c r="J804" s="229" t="s">
        <v>1</v>
      </c>
      <c r="K804" s="230" t="s">
        <v>2</v>
      </c>
      <c r="L804" s="228" t="s">
        <v>19</v>
      </c>
      <c r="M804" s="229" t="s">
        <v>0</v>
      </c>
      <c r="N804" s="229" t="s">
        <v>5</v>
      </c>
      <c r="O804" s="229" t="s">
        <v>1</v>
      </c>
      <c r="P804" s="230" t="s">
        <v>2</v>
      </c>
    </row>
    <row r="805" spans="1:16" x14ac:dyDescent="0.2">
      <c r="A805" s="231">
        <v>20.9</v>
      </c>
      <c r="B805" s="1021" t="s">
        <v>32</v>
      </c>
      <c r="C805" s="1022" t="s">
        <v>46</v>
      </c>
      <c r="D805" s="1023">
        <v>4</v>
      </c>
      <c r="E805" s="1024">
        <f>skilled</f>
        <v>1070</v>
      </c>
      <c r="F805" s="1025">
        <f>ROUND(E805*D805,2)</f>
        <v>4280</v>
      </c>
      <c r="G805" s="1035" t="s">
        <v>1563</v>
      </c>
      <c r="H805" s="1022" t="s">
        <v>26</v>
      </c>
      <c r="I805" s="1023">
        <v>1.1000000000000001</v>
      </c>
      <c r="J805" s="1024">
        <f>reinforcement</f>
        <v>83567.62</v>
      </c>
      <c r="K805" s="1025">
        <f>ROUND(J805*I805,2)</f>
        <v>91924.38</v>
      </c>
      <c r="L805" s="1021"/>
      <c r="M805" s="1022"/>
      <c r="N805" s="1023"/>
      <c r="O805" s="1024"/>
      <c r="P805" s="1025"/>
    </row>
    <row r="806" spans="1:16" x14ac:dyDescent="0.2">
      <c r="A806" s="260" t="s">
        <v>20</v>
      </c>
      <c r="B806" s="1021" t="s">
        <v>21</v>
      </c>
      <c r="C806" s="1022" t="s">
        <v>46</v>
      </c>
      <c r="D806" s="1023">
        <v>12</v>
      </c>
      <c r="E806" s="1024">
        <f>unskilled</f>
        <v>770</v>
      </c>
      <c r="F806" s="1025">
        <f>ROUND(E806*D806,2)</f>
        <v>9240</v>
      </c>
      <c r="G806" s="1035" t="s">
        <v>34</v>
      </c>
      <c r="H806" s="1022" t="s">
        <v>7</v>
      </c>
      <c r="I806" s="1023">
        <v>8</v>
      </c>
      <c r="J806" s="1024">
        <f>binding/1000</f>
        <v>95.413619999999995</v>
      </c>
      <c r="K806" s="1025">
        <f>ROUND(J806*I806,2)</f>
        <v>763.31</v>
      </c>
      <c r="L806" s="1021"/>
      <c r="M806" s="1022"/>
      <c r="N806" s="1023"/>
      <c r="O806" s="1024"/>
      <c r="P806" s="1025"/>
    </row>
    <row r="807" spans="1:16" x14ac:dyDescent="0.2">
      <c r="A807" s="241"/>
      <c r="B807" s="242"/>
      <c r="C807" s="243"/>
      <c r="D807" s="243"/>
      <c r="E807" s="244" t="s">
        <v>39</v>
      </c>
      <c r="F807" s="245">
        <f>SUM(F805:F806)</f>
        <v>13520</v>
      </c>
      <c r="G807" s="242"/>
      <c r="H807" s="243"/>
      <c r="I807" s="243"/>
      <c r="J807" s="244" t="s">
        <v>40</v>
      </c>
      <c r="K807" s="245">
        <f>SUM(K805:K806)</f>
        <v>92687.69</v>
      </c>
      <c r="L807" s="242"/>
      <c r="M807" s="243"/>
      <c r="N807" s="243"/>
      <c r="O807" s="246" t="s">
        <v>41</v>
      </c>
      <c r="P807" s="245">
        <f>SUM(P805:P806)</f>
        <v>0</v>
      </c>
    </row>
    <row r="808" spans="1:16" x14ac:dyDescent="0.2">
      <c r="A808" s="247"/>
      <c r="B808" s="575"/>
      <c r="C808" s="575"/>
      <c r="D808" s="575"/>
      <c r="E808" s="575"/>
      <c r="F808" s="1020" t="s">
        <v>29</v>
      </c>
      <c r="G808" s="248">
        <f>F807+K807+P807</f>
        <v>106207.69</v>
      </c>
      <c r="H808" s="575"/>
      <c r="I808" s="249"/>
      <c r="J808" s="250"/>
      <c r="K808" s="251"/>
      <c r="L808" s="575"/>
      <c r="M808" s="575"/>
      <c r="N808" s="575"/>
      <c r="O808" s="575"/>
      <c r="P808" s="575"/>
    </row>
    <row r="809" spans="1:16" x14ac:dyDescent="0.2">
      <c r="A809" s="247"/>
      <c r="B809" s="575"/>
      <c r="C809" s="575"/>
      <c r="D809" s="575"/>
      <c r="E809" s="575"/>
      <c r="F809" s="252" t="s">
        <v>31</v>
      </c>
      <c r="G809" s="248">
        <f>G808*0.15</f>
        <v>15931.1535</v>
      </c>
      <c r="H809" s="575"/>
      <c r="I809" s="249"/>
      <c r="J809" s="250"/>
      <c r="K809" s="251"/>
      <c r="L809" s="575"/>
      <c r="M809" s="575"/>
      <c r="N809" s="575"/>
      <c r="O809" s="575"/>
      <c r="P809" s="575"/>
    </row>
    <row r="810" spans="1:16" x14ac:dyDescent="0.2">
      <c r="A810" s="253"/>
      <c r="B810" s="249"/>
      <c r="C810" s="249"/>
      <c r="D810" s="249"/>
      <c r="E810" s="249"/>
      <c r="F810" s="269" t="str">
        <f>"Rate for "&amp;O801&amp;P801&amp;" :"</f>
        <v>Rate for 1mt :</v>
      </c>
      <c r="G810" s="255">
        <f>SUM(G808:G809)</f>
        <v>122138.8435</v>
      </c>
      <c r="H810" s="249" t="s">
        <v>30</v>
      </c>
      <c r="I810" s="249" t="str">
        <f>+P801</f>
        <v>mt</v>
      </c>
      <c r="J810" s="250"/>
      <c r="K810" s="255"/>
      <c r="L810" s="575"/>
      <c r="M810" s="575"/>
      <c r="N810" s="575"/>
      <c r="O810" s="575"/>
      <c r="P810" s="575"/>
    </row>
    <row r="811" spans="1:16" x14ac:dyDescent="0.2">
      <c r="A811" s="575" t="s">
        <v>27</v>
      </c>
      <c r="B811" s="223">
        <f>B801+1</f>
        <v>27</v>
      </c>
      <c r="C811" s="222"/>
      <c r="D811" s="575"/>
      <c r="E811" s="575"/>
      <c r="F811" s="575"/>
      <c r="G811" s="575"/>
      <c r="H811" s="575"/>
      <c r="I811" s="575"/>
      <c r="J811" s="575"/>
      <c r="K811" s="575"/>
      <c r="L811" s="575"/>
      <c r="M811" s="575"/>
      <c r="N811" s="1020" t="s">
        <v>13</v>
      </c>
      <c r="O811" s="575">
        <v>10</v>
      </c>
      <c r="P811" s="223" t="s">
        <v>4</v>
      </c>
    </row>
    <row r="812" spans="1:16" x14ac:dyDescent="0.2">
      <c r="A812" s="224" t="s">
        <v>12</v>
      </c>
      <c r="B812" s="270" t="s">
        <v>1565</v>
      </c>
      <c r="C812" s="270"/>
      <c r="D812" s="270"/>
      <c r="E812" s="270"/>
      <c r="F812" s="270"/>
      <c r="G812" s="270"/>
      <c r="H812" s="270"/>
      <c r="I812" s="270"/>
      <c r="J812" s="270"/>
      <c r="K812" s="270"/>
      <c r="L812" s="270"/>
      <c r="M812" s="270"/>
      <c r="N812" s="270"/>
      <c r="O812" s="270"/>
      <c r="P812" s="270"/>
    </row>
    <row r="813" spans="1:16" x14ac:dyDescent="0.2">
      <c r="A813" s="224"/>
      <c r="B813" s="576" t="s">
        <v>1566</v>
      </c>
      <c r="C813" s="576"/>
      <c r="D813" s="576"/>
      <c r="E813" s="576"/>
      <c r="F813" s="576"/>
      <c r="G813" s="576"/>
      <c r="H813" s="576"/>
      <c r="I813" s="576"/>
      <c r="J813" s="576"/>
      <c r="K813" s="576"/>
      <c r="L813" s="576"/>
      <c r="M813" s="576"/>
      <c r="N813" s="576"/>
      <c r="O813" s="576"/>
      <c r="P813" s="576"/>
    </row>
    <row r="814" spans="1:16" x14ac:dyDescent="0.2">
      <c r="A814" s="224"/>
      <c r="B814" s="576" t="s">
        <v>1567</v>
      </c>
      <c r="C814" s="576"/>
      <c r="D814" s="576"/>
      <c r="E814" s="576"/>
      <c r="F814" s="576"/>
      <c r="G814" s="576"/>
      <c r="H814" s="576"/>
      <c r="I814" s="576"/>
      <c r="J814" s="576"/>
      <c r="K814" s="576"/>
      <c r="L814" s="576"/>
      <c r="M814" s="576"/>
      <c r="N814" s="576"/>
      <c r="O814" s="576"/>
      <c r="P814" s="576"/>
    </row>
    <row r="815" spans="1:16" x14ac:dyDescent="0.2">
      <c r="A815" s="225" t="s">
        <v>245</v>
      </c>
      <c r="B815" s="226" t="s">
        <v>15</v>
      </c>
      <c r="C815" s="227"/>
      <c r="D815" s="227"/>
      <c r="E815" s="227"/>
      <c r="F815" s="226"/>
      <c r="G815" s="1412" t="s">
        <v>16</v>
      </c>
      <c r="H815" s="1413"/>
      <c r="I815" s="1413"/>
      <c r="J815" s="1413"/>
      <c r="K815" s="1414"/>
      <c r="L815" s="227" t="s">
        <v>17</v>
      </c>
      <c r="M815" s="227"/>
      <c r="N815" s="227"/>
      <c r="O815" s="227"/>
      <c r="P815" s="227"/>
    </row>
    <row r="816" spans="1:16" x14ac:dyDescent="0.2">
      <c r="A816" s="225" t="s">
        <v>273</v>
      </c>
      <c r="B816" s="228" t="s">
        <v>18</v>
      </c>
      <c r="C816" s="229" t="s">
        <v>0</v>
      </c>
      <c r="D816" s="229" t="s">
        <v>5</v>
      </c>
      <c r="E816" s="229" t="s">
        <v>1</v>
      </c>
      <c r="F816" s="230" t="s">
        <v>2</v>
      </c>
      <c r="G816" s="228" t="s">
        <v>19</v>
      </c>
      <c r="H816" s="229" t="s">
        <v>0</v>
      </c>
      <c r="I816" s="229" t="s">
        <v>5</v>
      </c>
      <c r="J816" s="229" t="s">
        <v>1</v>
      </c>
      <c r="K816" s="230" t="s">
        <v>2</v>
      </c>
      <c r="L816" s="228" t="s">
        <v>19</v>
      </c>
      <c r="M816" s="229" t="s">
        <v>0</v>
      </c>
      <c r="N816" s="229" t="s">
        <v>5</v>
      </c>
      <c r="O816" s="229" t="s">
        <v>1</v>
      </c>
      <c r="P816" s="230" t="s">
        <v>2</v>
      </c>
    </row>
    <row r="817" spans="1:16" x14ac:dyDescent="0.2">
      <c r="A817" s="231"/>
      <c r="B817" s="1021" t="s">
        <v>32</v>
      </c>
      <c r="C817" s="1022" t="s">
        <v>46</v>
      </c>
      <c r="D817" s="1023">
        <v>1.5</v>
      </c>
      <c r="E817" s="1024">
        <f>skilled</f>
        <v>1070</v>
      </c>
      <c r="F817" s="1025">
        <f>ROUND(E817*D817,2)</f>
        <v>1605</v>
      </c>
      <c r="G817" s="1035" t="s">
        <v>1568</v>
      </c>
      <c r="H817" s="1022" t="s">
        <v>6</v>
      </c>
      <c r="I817" s="1023">
        <v>530</v>
      </c>
      <c r="J817" s="577">
        <f>mssheetandangle/60</f>
        <v>2</v>
      </c>
      <c r="K817" s="1025">
        <f>J817*I817</f>
        <v>1060</v>
      </c>
      <c r="L817" s="1021"/>
      <c r="M817" s="1022"/>
      <c r="N817" s="1023"/>
      <c r="O817" s="1024"/>
      <c r="P817" s="1025"/>
    </row>
    <row r="818" spans="1:16" x14ac:dyDescent="0.2">
      <c r="A818" s="260" t="s">
        <v>1580</v>
      </c>
      <c r="B818" s="1021" t="s">
        <v>21</v>
      </c>
      <c r="C818" s="1022" t="s">
        <v>46</v>
      </c>
      <c r="D818" s="1023">
        <v>2.5</v>
      </c>
      <c r="E818" s="1024">
        <f>unskilled</f>
        <v>770</v>
      </c>
      <c r="F818" s="1025">
        <f>ROUND(E818*D818,2)</f>
        <v>1925</v>
      </c>
      <c r="G818" s="1035" t="s">
        <v>1569</v>
      </c>
      <c r="H818" s="1022" t="s">
        <v>42</v>
      </c>
      <c r="I818" s="1023">
        <v>36</v>
      </c>
      <c r="J818" s="1024">
        <f>MSpipe40/90</f>
        <v>5.9</v>
      </c>
      <c r="K818" s="1025">
        <f t="shared" ref="K818:K820" si="32">J818*I818</f>
        <v>212.4</v>
      </c>
      <c r="L818" s="1021"/>
      <c r="M818" s="1022"/>
      <c r="N818" s="1023"/>
      <c r="O818" s="1024"/>
      <c r="P818" s="1025"/>
    </row>
    <row r="819" spans="1:16" x14ac:dyDescent="0.2">
      <c r="A819" s="271"/>
      <c r="B819" s="1021"/>
      <c r="C819" s="1022"/>
      <c r="D819" s="1023"/>
      <c r="E819" s="1024"/>
      <c r="F819" s="1025"/>
      <c r="G819" s="1035" t="s">
        <v>1570</v>
      </c>
      <c r="H819" s="1022" t="s">
        <v>203</v>
      </c>
      <c r="I819" s="1023">
        <v>21</v>
      </c>
      <c r="J819" s="1024">
        <f>Clamp/60</f>
        <v>0.83333333333333337</v>
      </c>
      <c r="K819" s="1025">
        <f t="shared" si="32"/>
        <v>17.5</v>
      </c>
      <c r="L819" s="1021"/>
      <c r="M819" s="1022"/>
      <c r="N819" s="1023"/>
      <c r="O819" s="1024"/>
      <c r="P819" s="1025"/>
    </row>
    <row r="820" spans="1:16" x14ac:dyDescent="0.2">
      <c r="A820" s="231"/>
      <c r="B820" s="1021"/>
      <c r="C820" s="1022"/>
      <c r="D820" s="1023"/>
      <c r="E820" s="1024"/>
      <c r="F820" s="1025"/>
      <c r="G820" s="1035" t="s">
        <v>1571</v>
      </c>
      <c r="H820" s="1022" t="s">
        <v>203</v>
      </c>
      <c r="I820" s="1023">
        <v>178</v>
      </c>
      <c r="J820" s="1024">
        <f>nuts/40</f>
        <v>9.5</v>
      </c>
      <c r="K820" s="1025">
        <f t="shared" si="32"/>
        <v>1691</v>
      </c>
      <c r="L820" s="1021"/>
      <c r="M820" s="1022"/>
      <c r="N820" s="1023"/>
      <c r="O820" s="1024"/>
      <c r="P820" s="1025"/>
    </row>
    <row r="821" spans="1:16" x14ac:dyDescent="0.2">
      <c r="A821" s="241"/>
      <c r="B821" s="242"/>
      <c r="C821" s="243"/>
      <c r="D821" s="243"/>
      <c r="E821" s="244" t="s">
        <v>39</v>
      </c>
      <c r="F821" s="245">
        <f>SUM(F817:F820)</f>
        <v>3530</v>
      </c>
      <c r="G821" s="242"/>
      <c r="H821" s="243"/>
      <c r="I821" s="243"/>
      <c r="J821" s="244" t="s">
        <v>40</v>
      </c>
      <c r="K821" s="245">
        <f>SUM(K817:K820)</f>
        <v>2980.9</v>
      </c>
      <c r="L821" s="242"/>
      <c r="M821" s="243"/>
      <c r="N821" s="243"/>
      <c r="O821" s="246" t="s">
        <v>41</v>
      </c>
      <c r="P821" s="245">
        <f>SUM(P817:P820)</f>
        <v>0</v>
      </c>
    </row>
    <row r="822" spans="1:16" x14ac:dyDescent="0.2">
      <c r="A822" s="247"/>
      <c r="B822" s="575"/>
      <c r="C822" s="575"/>
      <c r="D822" s="575"/>
      <c r="E822" s="575"/>
      <c r="F822" s="252" t="s">
        <v>29</v>
      </c>
      <c r="G822" s="248">
        <f>F821+K821+P821</f>
        <v>6510.9</v>
      </c>
      <c r="H822" s="575"/>
      <c r="I822" s="272"/>
      <c r="J822" s="273"/>
      <c r="K822" s="275" t="s">
        <v>1572</v>
      </c>
      <c r="L822" s="272"/>
      <c r="M822" s="272"/>
      <c r="N822" s="575"/>
      <c r="O822" s="575"/>
      <c r="P822" s="575"/>
    </row>
    <row r="823" spans="1:16" x14ac:dyDescent="0.2">
      <c r="A823" s="247"/>
      <c r="B823" s="575"/>
      <c r="C823" s="575"/>
      <c r="D823" s="575"/>
      <c r="E823" s="575"/>
      <c r="F823" s="252" t="s">
        <v>33</v>
      </c>
      <c r="G823" s="248">
        <f>G822*0.15</f>
        <v>976.63499999999988</v>
      </c>
      <c r="H823" s="575"/>
      <c r="I823" s="249"/>
      <c r="J823" s="274"/>
      <c r="K823" s="275" t="s">
        <v>1575</v>
      </c>
      <c r="L823" s="276"/>
      <c r="M823" s="272"/>
      <c r="N823" s="575"/>
      <c r="O823" s="575"/>
      <c r="P823" s="575"/>
    </row>
    <row r="824" spans="1:16" x14ac:dyDescent="0.2">
      <c r="A824" s="247"/>
      <c r="B824" s="575"/>
      <c r="C824" s="575"/>
      <c r="D824" s="575"/>
      <c r="E824" s="1027"/>
      <c r="F824" s="578" t="str">
        <f>"Rate for "&amp;O811&amp;P811&amp; ":"</f>
        <v>Rate for 10m²:</v>
      </c>
      <c r="G824" s="278">
        <f>SUM(G822:G823)</f>
        <v>7487.5349999999999</v>
      </c>
      <c r="H824" s="575"/>
      <c r="I824" s="249"/>
      <c r="J824" s="256"/>
      <c r="K824" s="275" t="s">
        <v>1573</v>
      </c>
      <c r="L824" s="575"/>
      <c r="M824" s="575"/>
      <c r="N824" s="575"/>
      <c r="O824" s="575"/>
      <c r="P824" s="575"/>
    </row>
    <row r="825" spans="1:16" ht="15" x14ac:dyDescent="0.2">
      <c r="A825" s="253"/>
      <c r="B825" s="249"/>
      <c r="C825" s="249"/>
      <c r="D825" s="249"/>
      <c r="E825" s="249"/>
      <c r="F825" s="254" t="s">
        <v>1576</v>
      </c>
      <c r="G825" s="255">
        <f>G824/10</f>
        <v>748.75350000000003</v>
      </c>
      <c r="H825" s="249" t="s">
        <v>30</v>
      </c>
      <c r="I825" s="249" t="str">
        <f>+P811</f>
        <v>m²</v>
      </c>
      <c r="J825" s="256"/>
      <c r="K825" s="275" t="s">
        <v>1574</v>
      </c>
      <c r="L825" s="275"/>
      <c r="M825" s="275"/>
      <c r="N825" s="575"/>
      <c r="O825" s="575"/>
      <c r="P825" s="575"/>
    </row>
    <row r="826" spans="1:16" x14ac:dyDescent="0.2">
      <c r="A826" s="575" t="s">
        <v>27</v>
      </c>
      <c r="B826" s="223">
        <f>B811+1</f>
        <v>28</v>
      </c>
      <c r="C826" s="222"/>
      <c r="D826" s="575"/>
      <c r="E826" s="575"/>
      <c r="F826" s="575"/>
      <c r="G826" s="575"/>
      <c r="H826" s="575"/>
      <c r="I826" s="575"/>
      <c r="J826" s="575"/>
      <c r="K826" s="575"/>
      <c r="L826" s="575"/>
      <c r="M826" s="575"/>
      <c r="N826" s="1020" t="s">
        <v>13</v>
      </c>
      <c r="O826" s="575">
        <v>10</v>
      </c>
      <c r="P826" s="223" t="s">
        <v>4</v>
      </c>
    </row>
    <row r="827" spans="1:16" x14ac:dyDescent="0.2">
      <c r="A827" s="224" t="s">
        <v>12</v>
      </c>
      <c r="B827" s="270" t="s">
        <v>1577</v>
      </c>
      <c r="C827" s="270"/>
      <c r="D827" s="270"/>
      <c r="E827" s="270"/>
      <c r="F827" s="270"/>
      <c r="G827" s="270"/>
      <c r="H827" s="270"/>
      <c r="I827" s="270"/>
      <c r="J827" s="270"/>
      <c r="K827" s="270"/>
      <c r="L827" s="270"/>
      <c r="M827" s="270"/>
      <c r="N827" s="270"/>
      <c r="O827" s="270"/>
      <c r="P827" s="270"/>
    </row>
    <row r="828" spans="1:16" x14ac:dyDescent="0.2">
      <c r="A828" s="224"/>
      <c r="B828" s="576" t="s">
        <v>1578</v>
      </c>
      <c r="C828" s="576" t="s">
        <v>1582</v>
      </c>
      <c r="D828" s="576" t="s">
        <v>1567</v>
      </c>
      <c r="E828" s="576"/>
      <c r="F828" s="576"/>
      <c r="G828" s="576"/>
      <c r="H828" s="576"/>
      <c r="I828" s="576"/>
      <c r="J828" s="576"/>
      <c r="K828" s="576"/>
      <c r="L828" s="576"/>
      <c r="M828" s="576"/>
      <c r="N828" s="576"/>
      <c r="O828" s="576"/>
      <c r="P828" s="576"/>
    </row>
    <row r="829" spans="1:16" x14ac:dyDescent="0.2">
      <c r="A829" s="224"/>
      <c r="B829" s="576" t="s">
        <v>1579</v>
      </c>
      <c r="C829" s="576"/>
      <c r="D829" s="576"/>
      <c r="E829" s="576"/>
      <c r="F829" s="576"/>
      <c r="G829" s="576"/>
      <c r="H829" s="576"/>
      <c r="I829" s="576"/>
      <c r="J829" s="576"/>
      <c r="K829" s="576"/>
      <c r="L829" s="576"/>
      <c r="M829" s="576"/>
      <c r="N829" s="576"/>
      <c r="O829" s="576"/>
      <c r="P829" s="576"/>
    </row>
    <row r="830" spans="1:16" x14ac:dyDescent="0.2">
      <c r="A830" s="225" t="s">
        <v>245</v>
      </c>
      <c r="B830" s="226" t="s">
        <v>15</v>
      </c>
      <c r="C830" s="227"/>
      <c r="D830" s="227"/>
      <c r="E830" s="227"/>
      <c r="F830" s="226"/>
      <c r="G830" s="1412" t="s">
        <v>16</v>
      </c>
      <c r="H830" s="1413"/>
      <c r="I830" s="1413"/>
      <c r="J830" s="1413"/>
      <c r="K830" s="1414"/>
      <c r="L830" s="227" t="s">
        <v>17</v>
      </c>
      <c r="M830" s="227"/>
      <c r="N830" s="227"/>
      <c r="O830" s="227"/>
      <c r="P830" s="227"/>
    </row>
    <row r="831" spans="1:16" x14ac:dyDescent="0.2">
      <c r="A831" s="225" t="s">
        <v>273</v>
      </c>
      <c r="B831" s="228" t="s">
        <v>18</v>
      </c>
      <c r="C831" s="229" t="s">
        <v>0</v>
      </c>
      <c r="D831" s="229" t="s">
        <v>5</v>
      </c>
      <c r="E831" s="229" t="s">
        <v>1</v>
      </c>
      <c r="F831" s="230" t="s">
        <v>2</v>
      </c>
      <c r="G831" s="228" t="s">
        <v>19</v>
      </c>
      <c r="H831" s="229" t="s">
        <v>0</v>
      </c>
      <c r="I831" s="229" t="s">
        <v>5</v>
      </c>
      <c r="J831" s="229" t="s">
        <v>1</v>
      </c>
      <c r="K831" s="230" t="s">
        <v>2</v>
      </c>
      <c r="L831" s="228" t="s">
        <v>19</v>
      </c>
      <c r="M831" s="229" t="s">
        <v>0</v>
      </c>
      <c r="N831" s="229" t="s">
        <v>5</v>
      </c>
      <c r="O831" s="229" t="s">
        <v>1</v>
      </c>
      <c r="P831" s="230" t="s">
        <v>2</v>
      </c>
    </row>
    <row r="832" spans="1:16" ht="25.5" x14ac:dyDescent="0.2">
      <c r="A832" s="231"/>
      <c r="B832" s="1021" t="s">
        <v>32</v>
      </c>
      <c r="C832" s="1022" t="s">
        <v>46</v>
      </c>
      <c r="D832" s="1023">
        <v>2.2999999999999998</v>
      </c>
      <c r="E832" s="1024">
        <f>skilled</f>
        <v>1070</v>
      </c>
      <c r="F832" s="1025">
        <f>ROUND(E832*D832,2)</f>
        <v>2461</v>
      </c>
      <c r="G832" s="279" t="s">
        <v>1568</v>
      </c>
      <c r="H832" s="1022" t="s">
        <v>6</v>
      </c>
      <c r="I832" s="1023">
        <v>530</v>
      </c>
      <c r="J832" s="579">
        <f>mssheetandangle/60</f>
        <v>2</v>
      </c>
      <c r="K832" s="1025">
        <f>J832*I832</f>
        <v>1060</v>
      </c>
      <c r="L832" s="1021"/>
      <c r="M832" s="1022"/>
      <c r="N832" s="1023"/>
      <c r="O832" s="1024"/>
      <c r="P832" s="1025"/>
    </row>
    <row r="833" spans="1:16" x14ac:dyDescent="0.2">
      <c r="A833" s="260" t="s">
        <v>1581</v>
      </c>
      <c r="B833" s="1021" t="s">
        <v>21</v>
      </c>
      <c r="C833" s="1022" t="s">
        <v>46</v>
      </c>
      <c r="D833" s="1023">
        <v>4</v>
      </c>
      <c r="E833" s="1024">
        <f>unskilled</f>
        <v>770</v>
      </c>
      <c r="F833" s="1025">
        <f>ROUND(E833*D833,2)</f>
        <v>3080</v>
      </c>
      <c r="G833" s="1035" t="s">
        <v>1569</v>
      </c>
      <c r="H833" s="1022" t="s">
        <v>42</v>
      </c>
      <c r="I833" s="1023">
        <v>112</v>
      </c>
      <c r="J833" s="1024">
        <f>MSpipe40/90</f>
        <v>5.9</v>
      </c>
      <c r="K833" s="1025">
        <f t="shared" ref="K833:K835" si="33">J833*I833</f>
        <v>660.80000000000007</v>
      </c>
      <c r="L833" s="1021"/>
      <c r="M833" s="1022"/>
      <c r="N833" s="1023"/>
      <c r="O833" s="1024"/>
      <c r="P833" s="1025"/>
    </row>
    <row r="834" spans="1:16" x14ac:dyDescent="0.2">
      <c r="A834" s="271"/>
      <c r="B834" s="1021"/>
      <c r="C834" s="1022"/>
      <c r="D834" s="1023"/>
      <c r="E834" s="1024"/>
      <c r="F834" s="1025"/>
      <c r="G834" s="1035" t="s">
        <v>1570</v>
      </c>
      <c r="H834" s="1022" t="s">
        <v>203</v>
      </c>
      <c r="I834" s="1023">
        <v>64</v>
      </c>
      <c r="J834" s="1024">
        <f>Clamp/60</f>
        <v>0.83333333333333337</v>
      </c>
      <c r="K834" s="1025">
        <f t="shared" si="33"/>
        <v>53.333333333333336</v>
      </c>
      <c r="L834" s="1021"/>
      <c r="M834" s="1022"/>
      <c r="N834" s="1023"/>
      <c r="O834" s="1024"/>
      <c r="P834" s="1025"/>
    </row>
    <row r="835" spans="1:16" ht="38.25" x14ac:dyDescent="0.2">
      <c r="A835" s="231"/>
      <c r="B835" s="1021"/>
      <c r="C835" s="1022"/>
      <c r="D835" s="1023"/>
      <c r="E835" s="1024"/>
      <c r="F835" s="1025"/>
      <c r="G835" s="279" t="s">
        <v>1571</v>
      </c>
      <c r="H835" s="1022" t="s">
        <v>203</v>
      </c>
      <c r="I835" s="1023">
        <v>178</v>
      </c>
      <c r="J835" s="1024">
        <f>nuts/40</f>
        <v>9.5</v>
      </c>
      <c r="K835" s="1025">
        <f t="shared" si="33"/>
        <v>1691</v>
      </c>
      <c r="L835" s="1021"/>
      <c r="M835" s="1022"/>
      <c r="N835" s="1023"/>
      <c r="O835" s="1024"/>
      <c r="P835" s="1025"/>
    </row>
    <row r="836" spans="1:16" x14ac:dyDescent="0.2">
      <c r="A836" s="241"/>
      <c r="B836" s="242"/>
      <c r="C836" s="243"/>
      <c r="D836" s="243"/>
      <c r="E836" s="244" t="s">
        <v>39</v>
      </c>
      <c r="F836" s="245">
        <f>SUM(F832:F835)</f>
        <v>5541</v>
      </c>
      <c r="G836" s="242"/>
      <c r="H836" s="243"/>
      <c r="I836" s="243"/>
      <c r="J836" s="244" t="s">
        <v>40</v>
      </c>
      <c r="K836" s="245">
        <f>SUM(K832:K835)</f>
        <v>3465.1333333333332</v>
      </c>
      <c r="L836" s="242"/>
      <c r="M836" s="243"/>
      <c r="N836" s="243"/>
      <c r="O836" s="246" t="s">
        <v>41</v>
      </c>
      <c r="P836" s="245">
        <f>SUM(P832:P835)</f>
        <v>0</v>
      </c>
    </row>
    <row r="837" spans="1:16" x14ac:dyDescent="0.2">
      <c r="A837" s="247"/>
      <c r="B837" s="575"/>
      <c r="C837" s="575"/>
      <c r="D837" s="575"/>
      <c r="E837" s="575"/>
      <c r="F837" s="252" t="s">
        <v>29</v>
      </c>
      <c r="G837" s="248">
        <f>F836+K836+P836</f>
        <v>9006.1333333333332</v>
      </c>
      <c r="H837" s="575"/>
      <c r="I837" s="272"/>
      <c r="J837" s="273"/>
      <c r="K837" s="275" t="s">
        <v>1572</v>
      </c>
      <c r="L837" s="272"/>
      <c r="M837" s="272"/>
      <c r="N837" s="575"/>
      <c r="O837" s="575"/>
      <c r="P837" s="575"/>
    </row>
    <row r="838" spans="1:16" x14ac:dyDescent="0.2">
      <c r="A838" s="247"/>
      <c r="B838" s="575"/>
      <c r="C838" s="575"/>
      <c r="D838" s="575"/>
      <c r="E838" s="575"/>
      <c r="F838" s="252" t="s">
        <v>33</v>
      </c>
      <c r="G838" s="248">
        <f>G837*0.15</f>
        <v>1350.9199999999998</v>
      </c>
      <c r="H838" s="575"/>
      <c r="I838" s="249"/>
      <c r="J838" s="274"/>
      <c r="K838" s="275" t="s">
        <v>1575</v>
      </c>
      <c r="L838" s="276"/>
      <c r="M838" s="272"/>
      <c r="N838" s="575"/>
      <c r="O838" s="575"/>
      <c r="P838" s="575"/>
    </row>
    <row r="839" spans="1:16" x14ac:dyDescent="0.2">
      <c r="A839" s="247"/>
      <c r="B839" s="575"/>
      <c r="C839" s="575"/>
      <c r="D839" s="575"/>
      <c r="E839" s="1027"/>
      <c r="F839" s="578" t="str">
        <f>"Rate for "&amp;O826&amp;P826&amp; ":"</f>
        <v>Rate for 10m²:</v>
      </c>
      <c r="G839" s="278">
        <f>SUM(G837:G838)</f>
        <v>10357.053333333333</v>
      </c>
      <c r="H839" s="575"/>
      <c r="I839" s="249"/>
      <c r="J839" s="256"/>
      <c r="K839" s="275" t="s">
        <v>1573</v>
      </c>
      <c r="L839" s="575"/>
      <c r="M839" s="575"/>
      <c r="N839" s="575"/>
      <c r="O839" s="575"/>
      <c r="P839" s="575"/>
    </row>
    <row r="840" spans="1:16" ht="15" x14ac:dyDescent="0.2">
      <c r="A840" s="253"/>
      <c r="B840" s="249"/>
      <c r="C840" s="249"/>
      <c r="D840" s="249"/>
      <c r="E840" s="249"/>
      <c r="F840" s="254" t="s">
        <v>1576</v>
      </c>
      <c r="G840" s="255">
        <f>G839/10</f>
        <v>1035.7053333333333</v>
      </c>
      <c r="H840" s="249" t="s">
        <v>30</v>
      </c>
      <c r="I840" s="249" t="str">
        <f>+P826</f>
        <v>m²</v>
      </c>
      <c r="J840" s="256"/>
      <c r="K840" s="275" t="s">
        <v>1574</v>
      </c>
      <c r="L840" s="275"/>
      <c r="M840" s="275"/>
      <c r="N840" s="575"/>
      <c r="O840" s="575"/>
      <c r="P840" s="575"/>
    </row>
    <row r="841" spans="1:16" x14ac:dyDescent="0.2">
      <c r="A841" s="253"/>
      <c r="B841" s="249"/>
      <c r="C841" s="249"/>
      <c r="D841" s="249"/>
      <c r="E841" s="249"/>
      <c r="F841" s="254"/>
      <c r="G841" s="255"/>
      <c r="H841" s="249"/>
      <c r="I841" s="249"/>
      <c r="J841" s="256"/>
      <c r="K841" s="275"/>
      <c r="L841" s="275"/>
      <c r="M841" s="275"/>
      <c r="N841" s="575"/>
      <c r="O841" s="575"/>
      <c r="P841" s="575"/>
    </row>
    <row r="842" spans="1:16" x14ac:dyDescent="0.2">
      <c r="A842" s="253"/>
      <c r="B842" s="249"/>
      <c r="C842" s="249"/>
      <c r="D842" s="249"/>
      <c r="E842" s="249"/>
      <c r="F842" s="254"/>
      <c r="G842" s="255"/>
      <c r="H842" s="249"/>
      <c r="I842" s="249"/>
      <c r="J842" s="256"/>
      <c r="K842" s="275"/>
      <c r="L842" s="275"/>
      <c r="M842" s="275"/>
      <c r="N842" s="575"/>
      <c r="O842" s="575"/>
      <c r="P842" s="575"/>
    </row>
    <row r="843" spans="1:16" x14ac:dyDescent="0.2">
      <c r="A843" s="575" t="s">
        <v>27</v>
      </c>
      <c r="B843" s="223">
        <f>B826+1</f>
        <v>29</v>
      </c>
      <c r="C843" s="222"/>
      <c r="D843" s="575"/>
      <c r="E843" s="575"/>
      <c r="F843" s="575"/>
      <c r="G843" s="575"/>
      <c r="H843" s="575"/>
      <c r="I843" s="575"/>
      <c r="J843" s="575"/>
      <c r="K843" s="575"/>
      <c r="L843" s="575"/>
      <c r="M843" s="575"/>
      <c r="N843" s="1020" t="s">
        <v>13</v>
      </c>
      <c r="O843" s="575">
        <v>10</v>
      </c>
      <c r="P843" s="223" t="s">
        <v>4</v>
      </c>
    </row>
    <row r="844" spans="1:16" x14ac:dyDescent="0.2">
      <c r="A844" s="224" t="s">
        <v>12</v>
      </c>
      <c r="B844" s="270" t="s">
        <v>1585</v>
      </c>
      <c r="C844" s="270"/>
      <c r="D844" s="270"/>
      <c r="E844" s="270"/>
      <c r="F844" s="270"/>
      <c r="G844" s="270"/>
      <c r="H844" s="270"/>
      <c r="I844" s="270"/>
      <c r="J844" s="270"/>
      <c r="K844" s="270"/>
      <c r="L844" s="270"/>
      <c r="M844" s="270"/>
      <c r="N844" s="270"/>
      <c r="O844" s="270"/>
      <c r="P844" s="270"/>
    </row>
    <row r="845" spans="1:16" x14ac:dyDescent="0.2">
      <c r="A845" s="224"/>
      <c r="B845" s="576" t="s">
        <v>1578</v>
      </c>
      <c r="C845" s="261" t="s">
        <v>1584</v>
      </c>
      <c r="E845" s="576" t="s">
        <v>1567</v>
      </c>
      <c r="F845" s="576"/>
      <c r="G845" s="576"/>
      <c r="H845" s="576"/>
      <c r="I845" s="576"/>
      <c r="J845" s="576"/>
      <c r="K845" s="576"/>
      <c r="L845" s="576"/>
      <c r="M845" s="576"/>
      <c r="N845" s="576"/>
      <c r="O845" s="576"/>
      <c r="P845" s="576"/>
    </row>
    <row r="846" spans="1:16" x14ac:dyDescent="0.2">
      <c r="A846" s="225" t="s">
        <v>245</v>
      </c>
      <c r="B846" s="281" t="s">
        <v>15</v>
      </c>
      <c r="C846" s="227"/>
      <c r="D846" s="227"/>
      <c r="E846" s="227"/>
      <c r="F846" s="226"/>
      <c r="G846" s="1412" t="s">
        <v>16</v>
      </c>
      <c r="H846" s="1413"/>
      <c r="I846" s="1413"/>
      <c r="J846" s="1413"/>
      <c r="K846" s="1414"/>
      <c r="L846" s="227" t="s">
        <v>17</v>
      </c>
      <c r="M846" s="227"/>
      <c r="N846" s="227"/>
      <c r="O846" s="227"/>
      <c r="P846" s="227"/>
    </row>
    <row r="847" spans="1:16" x14ac:dyDescent="0.2">
      <c r="A847" s="225" t="s">
        <v>273</v>
      </c>
      <c r="B847" s="228" t="s">
        <v>18</v>
      </c>
      <c r="C847" s="229" t="s">
        <v>0</v>
      </c>
      <c r="D847" s="229" t="s">
        <v>5</v>
      </c>
      <c r="E847" s="229" t="s">
        <v>1</v>
      </c>
      <c r="F847" s="230" t="s">
        <v>2</v>
      </c>
      <c r="G847" s="228" t="s">
        <v>19</v>
      </c>
      <c r="H847" s="229" t="s">
        <v>0</v>
      </c>
      <c r="I847" s="229" t="s">
        <v>5</v>
      </c>
      <c r="J847" s="229" t="s">
        <v>1</v>
      </c>
      <c r="K847" s="230" t="s">
        <v>2</v>
      </c>
      <c r="L847" s="228" t="s">
        <v>19</v>
      </c>
      <c r="M847" s="229" t="s">
        <v>0</v>
      </c>
      <c r="N847" s="229" t="s">
        <v>5</v>
      </c>
      <c r="O847" s="229" t="s">
        <v>1</v>
      </c>
      <c r="P847" s="230" t="s">
        <v>2</v>
      </c>
    </row>
    <row r="848" spans="1:16" ht="25.5" x14ac:dyDescent="0.2">
      <c r="A848" s="231"/>
      <c r="B848" s="1021" t="s">
        <v>32</v>
      </c>
      <c r="C848" s="1022" t="s">
        <v>46</v>
      </c>
      <c r="D848" s="1023">
        <v>2</v>
      </c>
      <c r="E848" s="1024">
        <f>skilled</f>
        <v>1070</v>
      </c>
      <c r="F848" s="1025">
        <f>ROUND(E848*D848,2)</f>
        <v>2140</v>
      </c>
      <c r="G848" s="279" t="s">
        <v>1568</v>
      </c>
      <c r="H848" s="1022" t="s">
        <v>6</v>
      </c>
      <c r="I848" s="1023">
        <v>530</v>
      </c>
      <c r="J848" s="579">
        <f>mssheetandangle/40</f>
        <v>3</v>
      </c>
      <c r="K848" s="1025">
        <f>J848*I848</f>
        <v>1590</v>
      </c>
      <c r="L848" s="1021"/>
      <c r="M848" s="1022"/>
      <c r="N848" s="1023"/>
      <c r="O848" s="1024"/>
      <c r="P848" s="1025"/>
    </row>
    <row r="849" spans="1:16" x14ac:dyDescent="0.2">
      <c r="A849" s="260" t="s">
        <v>1586</v>
      </c>
      <c r="B849" s="1021" t="s">
        <v>21</v>
      </c>
      <c r="C849" s="1022" t="s">
        <v>46</v>
      </c>
      <c r="D849" s="1023">
        <v>3</v>
      </c>
      <c r="E849" s="1024">
        <f>unskilled</f>
        <v>770</v>
      </c>
      <c r="F849" s="1025">
        <f>ROUND(E849*D849,2)</f>
        <v>2310</v>
      </c>
      <c r="G849" s="1035" t="s">
        <v>1569</v>
      </c>
      <c r="H849" s="1022" t="s">
        <v>42</v>
      </c>
      <c r="I849" s="1023">
        <v>32</v>
      </c>
      <c r="J849" s="1024">
        <f>MSpipe40/60</f>
        <v>8.85</v>
      </c>
      <c r="K849" s="1025">
        <f t="shared" ref="K849:K850" si="34">J849*I849</f>
        <v>283.2</v>
      </c>
      <c r="L849" s="1021"/>
      <c r="M849" s="1022"/>
      <c r="N849" s="1023"/>
      <c r="O849" s="1024"/>
      <c r="P849" s="1025"/>
    </row>
    <row r="850" spans="1:16" x14ac:dyDescent="0.2">
      <c r="A850" s="271"/>
      <c r="B850" s="1021"/>
      <c r="C850" s="1022"/>
      <c r="D850" s="1023"/>
      <c r="E850" s="1024"/>
      <c r="F850" s="1025"/>
      <c r="G850" s="1035" t="s">
        <v>1570</v>
      </c>
      <c r="H850" s="1022" t="s">
        <v>203</v>
      </c>
      <c r="I850" s="1023">
        <v>18</v>
      </c>
      <c r="J850" s="1024">
        <f>Clamp/40</f>
        <v>1.25</v>
      </c>
      <c r="K850" s="1025">
        <f t="shared" si="34"/>
        <v>22.5</v>
      </c>
      <c r="L850" s="1021"/>
      <c r="M850" s="1022"/>
      <c r="N850" s="1023"/>
      <c r="O850" s="1024"/>
      <c r="P850" s="1025"/>
    </row>
    <row r="851" spans="1:16" ht="38.25" x14ac:dyDescent="0.2">
      <c r="A851" s="231"/>
      <c r="B851" s="1021"/>
      <c r="C851" s="1022"/>
      <c r="D851" s="1023"/>
      <c r="E851" s="1024"/>
      <c r="F851" s="1025"/>
      <c r="G851" s="279" t="s">
        <v>1571</v>
      </c>
      <c r="H851" s="1022" t="s">
        <v>203</v>
      </c>
      <c r="I851" s="1023">
        <v>178</v>
      </c>
      <c r="J851" s="1024">
        <f>nuts/30</f>
        <v>12.666666666666666</v>
      </c>
      <c r="K851" s="1025">
        <f t="shared" ref="K851" si="35">J851*I851</f>
        <v>2254.6666666666665</v>
      </c>
      <c r="L851" s="1021"/>
      <c r="M851" s="1022"/>
      <c r="N851" s="1023"/>
      <c r="O851" s="1024"/>
      <c r="P851" s="1025"/>
    </row>
    <row r="852" spans="1:16" x14ac:dyDescent="0.2">
      <c r="A852" s="241"/>
      <c r="B852" s="242"/>
      <c r="C852" s="243"/>
      <c r="D852" s="243"/>
      <c r="E852" s="244" t="s">
        <v>39</v>
      </c>
      <c r="F852" s="245">
        <f>SUM(F848:F851)</f>
        <v>4450</v>
      </c>
      <c r="G852" s="242"/>
      <c r="H852" s="243"/>
      <c r="I852" s="243"/>
      <c r="J852" s="244" t="s">
        <v>40</v>
      </c>
      <c r="K852" s="245">
        <f>SUM(K848:K851)</f>
        <v>4150.3666666666668</v>
      </c>
      <c r="L852" s="242"/>
      <c r="M852" s="243"/>
      <c r="N852" s="243"/>
      <c r="O852" s="246" t="s">
        <v>41</v>
      </c>
      <c r="P852" s="245">
        <f>SUM(P848:P851)</f>
        <v>0</v>
      </c>
    </row>
    <row r="853" spans="1:16" x14ac:dyDescent="0.2">
      <c r="A853" s="247"/>
      <c r="B853" s="575"/>
      <c r="C853" s="575"/>
      <c r="D853" s="575"/>
      <c r="E853" s="575"/>
      <c r="F853" s="252" t="s">
        <v>29</v>
      </c>
      <c r="G853" s="248">
        <f>F852+K852+P852</f>
        <v>8600.3666666666668</v>
      </c>
      <c r="H853" s="575"/>
      <c r="I853" s="272"/>
      <c r="J853" s="273"/>
      <c r="K853" s="275" t="s">
        <v>1587</v>
      </c>
      <c r="L853" s="272"/>
      <c r="M853" s="272"/>
      <c r="N853" s="575"/>
      <c r="O853" s="575"/>
      <c r="P853" s="575"/>
    </row>
    <row r="854" spans="1:16" x14ac:dyDescent="0.2">
      <c r="A854" s="247"/>
      <c r="B854" s="575"/>
      <c r="C854" s="575"/>
      <c r="D854" s="575"/>
      <c r="E854" s="575"/>
      <c r="F854" s="252" t="s">
        <v>33</v>
      </c>
      <c r="G854" s="248">
        <f>G853*0.15</f>
        <v>1290.0550000000001</v>
      </c>
      <c r="H854" s="575"/>
      <c r="I854" s="249"/>
      <c r="J854" s="274"/>
      <c r="K854" s="275" t="s">
        <v>1588</v>
      </c>
      <c r="L854" s="276"/>
      <c r="M854" s="272"/>
      <c r="N854" s="575"/>
      <c r="O854" s="575"/>
      <c r="P854" s="575"/>
    </row>
    <row r="855" spans="1:16" x14ac:dyDescent="0.2">
      <c r="A855" s="247"/>
      <c r="B855" s="575"/>
      <c r="C855" s="575"/>
      <c r="D855" s="575"/>
      <c r="E855" s="1027"/>
      <c r="F855" s="578" t="str">
        <f>"Rate for "&amp;O843&amp;P843&amp; ":"</f>
        <v>Rate for 10m²:</v>
      </c>
      <c r="G855" s="278">
        <f>SUM(G853:G854)</f>
        <v>9890.4216666666671</v>
      </c>
      <c r="H855" s="575"/>
      <c r="I855" s="249"/>
      <c r="J855" s="256"/>
      <c r="K855" s="275" t="s">
        <v>1589</v>
      </c>
      <c r="L855" s="575"/>
      <c r="M855" s="575"/>
      <c r="N855" s="575"/>
      <c r="O855" s="575"/>
      <c r="P855" s="575"/>
    </row>
    <row r="856" spans="1:16" ht="15" x14ac:dyDescent="0.2">
      <c r="A856" s="253"/>
      <c r="B856" s="249"/>
      <c r="C856" s="249"/>
      <c r="D856" s="249"/>
      <c r="E856" s="249"/>
      <c r="F856" s="254" t="s">
        <v>1576</v>
      </c>
      <c r="G856" s="255">
        <f>G855/10</f>
        <v>989.04216666666673</v>
      </c>
      <c r="H856" s="249" t="s">
        <v>30</v>
      </c>
      <c r="I856" s="249" t="str">
        <f>+P843</f>
        <v>m²</v>
      </c>
      <c r="J856" s="256"/>
      <c r="K856" s="275" t="s">
        <v>1590</v>
      </c>
      <c r="L856" s="275"/>
      <c r="M856" s="275"/>
      <c r="N856" s="575"/>
      <c r="O856" s="575"/>
      <c r="P856" s="575"/>
    </row>
    <row r="857" spans="1:16" x14ac:dyDescent="0.2">
      <c r="A857" s="575" t="s">
        <v>27</v>
      </c>
      <c r="B857" s="223">
        <f>B843+1</f>
        <v>30</v>
      </c>
      <c r="C857" s="222"/>
      <c r="D857" s="575"/>
      <c r="E857" s="575"/>
      <c r="F857" s="575"/>
      <c r="G857" s="575"/>
      <c r="H857" s="575"/>
      <c r="I857" s="575"/>
      <c r="J857" s="575"/>
      <c r="K857" s="575"/>
      <c r="L857" s="575"/>
      <c r="M857" s="575"/>
      <c r="N857" s="1020" t="s">
        <v>13</v>
      </c>
      <c r="O857" s="575">
        <v>10</v>
      </c>
      <c r="P857" s="223" t="s">
        <v>4</v>
      </c>
    </row>
    <row r="858" spans="1:16" x14ac:dyDescent="0.2">
      <c r="A858" s="224" t="s">
        <v>12</v>
      </c>
      <c r="B858" s="270" t="s">
        <v>1605</v>
      </c>
      <c r="C858" s="270"/>
      <c r="D858" s="270"/>
      <c r="E858" s="270"/>
      <c r="F858" s="270"/>
      <c r="G858" s="270"/>
      <c r="H858" s="270"/>
      <c r="I858" s="270"/>
      <c r="J858" s="270"/>
      <c r="K858" s="270"/>
      <c r="L858" s="270"/>
      <c r="M858" s="270"/>
      <c r="N858" s="270"/>
      <c r="O858" s="270"/>
      <c r="P858" s="270"/>
    </row>
    <row r="859" spans="1:16" x14ac:dyDescent="0.2">
      <c r="A859" s="224"/>
      <c r="B859" s="576" t="s">
        <v>1607</v>
      </c>
      <c r="D859" s="576" t="s">
        <v>1567</v>
      </c>
      <c r="E859" s="576" t="s">
        <v>1609</v>
      </c>
      <c r="F859" s="576"/>
      <c r="G859" s="576"/>
      <c r="H859" s="576"/>
      <c r="I859" s="576"/>
      <c r="J859" s="576"/>
      <c r="K859" s="576"/>
      <c r="L859" s="576"/>
      <c r="M859" s="576"/>
      <c r="N859" s="576"/>
      <c r="O859" s="576"/>
      <c r="P859" s="576"/>
    </row>
    <row r="860" spans="1:16" x14ac:dyDescent="0.2">
      <c r="A860" s="225" t="s">
        <v>246</v>
      </c>
      <c r="B860" s="281" t="s">
        <v>15</v>
      </c>
      <c r="C860" s="227"/>
      <c r="D860" s="227"/>
      <c r="E860" s="227"/>
      <c r="F860" s="226"/>
      <c r="G860" s="1412" t="s">
        <v>16</v>
      </c>
      <c r="H860" s="1413"/>
      <c r="I860" s="1413"/>
      <c r="J860" s="1413"/>
      <c r="K860" s="1414"/>
      <c r="L860" s="227" t="s">
        <v>17</v>
      </c>
      <c r="M860" s="227"/>
      <c r="N860" s="227"/>
      <c r="O860" s="227"/>
      <c r="P860" s="227"/>
    </row>
    <row r="861" spans="1:16" x14ac:dyDescent="0.2">
      <c r="A861" s="225" t="s">
        <v>273</v>
      </c>
      <c r="B861" s="228" t="s">
        <v>18</v>
      </c>
      <c r="C861" s="229" t="s">
        <v>0</v>
      </c>
      <c r="D861" s="229" t="s">
        <v>5</v>
      </c>
      <c r="E861" s="229" t="s">
        <v>1</v>
      </c>
      <c r="F861" s="230" t="s">
        <v>2</v>
      </c>
      <c r="G861" s="228" t="s">
        <v>19</v>
      </c>
      <c r="H861" s="229" t="s">
        <v>0</v>
      </c>
      <c r="I861" s="229" t="s">
        <v>5</v>
      </c>
      <c r="J861" s="229" t="s">
        <v>1</v>
      </c>
      <c r="K861" s="230" t="s">
        <v>2</v>
      </c>
      <c r="L861" s="228" t="s">
        <v>19</v>
      </c>
      <c r="M861" s="229" t="s">
        <v>0</v>
      </c>
      <c r="N861" s="229" t="s">
        <v>5</v>
      </c>
      <c r="O861" s="229" t="s">
        <v>1</v>
      </c>
      <c r="P861" s="230" t="s">
        <v>2</v>
      </c>
    </row>
    <row r="862" spans="1:16" x14ac:dyDescent="0.2">
      <c r="A862" s="231"/>
      <c r="B862" s="1021" t="s">
        <v>32</v>
      </c>
      <c r="C862" s="1022" t="s">
        <v>46</v>
      </c>
      <c r="D862" s="1023">
        <v>14</v>
      </c>
      <c r="E862" s="1024">
        <f>skilled</f>
        <v>1070</v>
      </c>
      <c r="F862" s="1025">
        <f>ROUND(E862*D862,2)</f>
        <v>14980</v>
      </c>
      <c r="G862" s="279"/>
      <c r="H862" s="1022"/>
      <c r="I862" s="1023"/>
      <c r="J862" s="579"/>
      <c r="K862" s="1025"/>
      <c r="L862" s="1021"/>
      <c r="M862" s="1022"/>
      <c r="N862" s="1023"/>
      <c r="O862" s="1024"/>
      <c r="P862" s="1025"/>
    </row>
    <row r="863" spans="1:16" x14ac:dyDescent="0.2">
      <c r="A863" s="260" t="s">
        <v>1608</v>
      </c>
      <c r="B863" s="1021" t="s">
        <v>21</v>
      </c>
      <c r="C863" s="1022" t="s">
        <v>46</v>
      </c>
      <c r="D863" s="1023">
        <v>25</v>
      </c>
      <c r="E863" s="1024">
        <f>unskilled</f>
        <v>770</v>
      </c>
      <c r="F863" s="1025">
        <f>ROUND(E863*D863,2)</f>
        <v>19250</v>
      </c>
      <c r="G863" s="1035" t="s">
        <v>1569</v>
      </c>
      <c r="H863" s="1022" t="s">
        <v>42</v>
      </c>
      <c r="I863" s="1023">
        <v>600</v>
      </c>
      <c r="J863" s="1024">
        <f>MSpipe40/60</f>
        <v>8.85</v>
      </c>
      <c r="K863" s="1025">
        <f t="shared" ref="K863:K865" si="36">J863*I863</f>
        <v>5310</v>
      </c>
      <c r="L863" s="1021"/>
      <c r="M863" s="1022"/>
      <c r="N863" s="1023"/>
      <c r="O863" s="1024"/>
      <c r="P863" s="1025"/>
    </row>
    <row r="864" spans="1:16" x14ac:dyDescent="0.2">
      <c r="A864" s="271"/>
      <c r="B864" s="1021"/>
      <c r="C864" s="1022"/>
      <c r="D864" s="1023"/>
      <c r="E864" s="1024"/>
      <c r="F864" s="1025"/>
      <c r="G864" s="1035" t="s">
        <v>1570</v>
      </c>
      <c r="H864" s="1022" t="s">
        <v>203</v>
      </c>
      <c r="I864" s="1023">
        <v>342</v>
      </c>
      <c r="J864" s="1024">
        <f>Clamp/40</f>
        <v>1.25</v>
      </c>
      <c r="K864" s="1025">
        <f t="shared" si="36"/>
        <v>427.5</v>
      </c>
      <c r="L864" s="1021"/>
      <c r="M864" s="1022"/>
      <c r="N864" s="1023"/>
      <c r="O864" s="1024"/>
      <c r="P864" s="1025"/>
    </row>
    <row r="865" spans="1:16" ht="38.25" x14ac:dyDescent="0.2">
      <c r="A865" s="231"/>
      <c r="B865" s="1021"/>
      <c r="C865" s="1022"/>
      <c r="D865" s="1023"/>
      <c r="E865" s="1024"/>
      <c r="F865" s="1025"/>
      <c r="G865" s="279" t="s">
        <v>1571</v>
      </c>
      <c r="H865" s="1022" t="s">
        <v>203</v>
      </c>
      <c r="I865" s="1023">
        <v>178</v>
      </c>
      <c r="J865" s="1024">
        <f>nuts/30</f>
        <v>12.666666666666666</v>
      </c>
      <c r="K865" s="1025">
        <f t="shared" si="36"/>
        <v>2254.6666666666665</v>
      </c>
      <c r="L865" s="1021"/>
      <c r="M865" s="1022"/>
      <c r="N865" s="1023"/>
      <c r="O865" s="1024"/>
      <c r="P865" s="1025"/>
    </row>
    <row r="866" spans="1:16" x14ac:dyDescent="0.2">
      <c r="A866" s="241"/>
      <c r="B866" s="242"/>
      <c r="C866" s="243"/>
      <c r="D866" s="243"/>
      <c r="E866" s="244" t="s">
        <v>39</v>
      </c>
      <c r="F866" s="245">
        <f>SUM(F862:F865)</f>
        <v>34230</v>
      </c>
      <c r="G866" s="242"/>
      <c r="H866" s="243"/>
      <c r="I866" s="243"/>
      <c r="J866" s="244" t="s">
        <v>40</v>
      </c>
      <c r="K866" s="245">
        <f>SUM(K862:K865)</f>
        <v>7992.1666666666661</v>
      </c>
      <c r="L866" s="242"/>
      <c r="M866" s="243"/>
      <c r="N866" s="243"/>
      <c r="O866" s="246" t="s">
        <v>41</v>
      </c>
      <c r="P866" s="245">
        <f>SUM(P862:P865)</f>
        <v>0</v>
      </c>
    </row>
    <row r="867" spans="1:16" x14ac:dyDescent="0.2">
      <c r="A867" s="247"/>
      <c r="B867" s="575"/>
      <c r="C867" s="575"/>
      <c r="D867" s="575"/>
      <c r="E867" s="575"/>
      <c r="F867" s="252" t="s">
        <v>29</v>
      </c>
      <c r="G867" s="248">
        <f>F866+K866+P866</f>
        <v>42222.166666666664</v>
      </c>
      <c r="H867" s="575"/>
      <c r="I867" s="272"/>
      <c r="J867" s="273"/>
      <c r="K867" s="275"/>
      <c r="L867" s="272"/>
      <c r="M867" s="272"/>
      <c r="N867" s="575"/>
      <c r="O867" s="575"/>
      <c r="P867" s="575"/>
    </row>
    <row r="868" spans="1:16" x14ac:dyDescent="0.2">
      <c r="A868" s="247"/>
      <c r="B868" s="575"/>
      <c r="C868" s="575"/>
      <c r="D868" s="575"/>
      <c r="E868" s="575"/>
      <c r="F868" s="1020" t="s">
        <v>1606</v>
      </c>
      <c r="G868" s="248">
        <f>0.03*G867</f>
        <v>1266.665</v>
      </c>
      <c r="H868" s="575"/>
      <c r="I868" s="272"/>
      <c r="J868" s="273"/>
      <c r="K868" s="275"/>
      <c r="L868" s="272"/>
      <c r="M868" s="272"/>
      <c r="N868" s="575"/>
      <c r="O868" s="575"/>
      <c r="P868" s="575"/>
    </row>
    <row r="869" spans="1:16" x14ac:dyDescent="0.2">
      <c r="A869" s="247"/>
      <c r="B869" s="575"/>
      <c r="C869" s="575"/>
      <c r="D869" s="575"/>
      <c r="E869" s="575"/>
      <c r="F869" s="252" t="s">
        <v>33</v>
      </c>
      <c r="G869" s="248">
        <f>G867*0.15</f>
        <v>6333.3249999999998</v>
      </c>
      <c r="H869" s="575"/>
      <c r="I869" s="249"/>
      <c r="J869" s="274"/>
      <c r="K869" s="275" t="s">
        <v>1588</v>
      </c>
      <c r="L869" s="276"/>
      <c r="M869" s="272"/>
      <c r="N869" s="575"/>
      <c r="O869" s="575"/>
      <c r="P869" s="575"/>
    </row>
    <row r="870" spans="1:16" x14ac:dyDescent="0.2">
      <c r="A870" s="247"/>
      <c r="B870" s="575"/>
      <c r="C870" s="575"/>
      <c r="D870" s="575"/>
      <c r="E870" s="1027"/>
      <c r="F870" s="578" t="str">
        <f>"Rate for "&amp;O857&amp;P857&amp; ":"</f>
        <v>Rate for 10m²:</v>
      </c>
      <c r="G870" s="278">
        <f>SUM(G867:G869)</f>
        <v>49822.156666666662</v>
      </c>
      <c r="H870" s="575"/>
      <c r="I870" s="249"/>
      <c r="J870" s="256"/>
      <c r="K870" s="275" t="s">
        <v>1589</v>
      </c>
      <c r="L870" s="575"/>
      <c r="M870" s="575"/>
      <c r="N870" s="575"/>
      <c r="O870" s="575"/>
      <c r="P870" s="575"/>
    </row>
    <row r="871" spans="1:16" ht="15" x14ac:dyDescent="0.2">
      <c r="A871" s="253"/>
      <c r="B871" s="249"/>
      <c r="C871" s="249"/>
      <c r="D871" s="249"/>
      <c r="E871" s="249"/>
      <c r="F871" s="254" t="s">
        <v>1576</v>
      </c>
      <c r="G871" s="255">
        <f>G870/10</f>
        <v>4982.215666666666</v>
      </c>
      <c r="H871" s="249" t="s">
        <v>30</v>
      </c>
      <c r="I871" s="249" t="str">
        <f>+P857</f>
        <v>m²</v>
      </c>
      <c r="J871" s="256"/>
      <c r="K871" s="275" t="s">
        <v>1590</v>
      </c>
      <c r="L871" s="275"/>
      <c r="M871" s="275"/>
      <c r="N871" s="575"/>
      <c r="O871" s="575"/>
      <c r="P871" s="575"/>
    </row>
    <row r="872" spans="1:16" x14ac:dyDescent="0.2">
      <c r="A872" s="253"/>
      <c r="B872" s="249"/>
      <c r="C872" s="249"/>
      <c r="D872" s="249"/>
      <c r="E872" s="249"/>
      <c r="F872" s="254"/>
      <c r="G872" s="255"/>
      <c r="H872" s="249"/>
      <c r="I872" s="249"/>
      <c r="J872" s="256"/>
      <c r="K872" s="275"/>
      <c r="L872" s="275"/>
      <c r="M872" s="275"/>
      <c r="N872" s="575"/>
      <c r="O872" s="575"/>
      <c r="P872" s="575"/>
    </row>
    <row r="873" spans="1:16" x14ac:dyDescent="0.2">
      <c r="A873" s="575" t="s">
        <v>27</v>
      </c>
      <c r="B873" s="223">
        <f>B857+1</f>
        <v>31</v>
      </c>
      <c r="C873" s="223"/>
      <c r="D873" s="575"/>
      <c r="E873" s="575"/>
      <c r="F873" s="575"/>
      <c r="G873" s="575"/>
      <c r="H873" s="575" t="s">
        <v>20</v>
      </c>
      <c r="I873" s="575"/>
      <c r="J873" s="575"/>
      <c r="K873" s="575"/>
      <c r="L873" s="575"/>
      <c r="M873" s="575"/>
      <c r="N873" s="1020"/>
      <c r="O873" s="575"/>
      <c r="P873" s="575"/>
    </row>
    <row r="874" spans="1:16" x14ac:dyDescent="0.2">
      <c r="A874" s="223" t="s">
        <v>12</v>
      </c>
      <c r="B874" s="1442" t="s">
        <v>1649</v>
      </c>
      <c r="C874" s="1442"/>
      <c r="D874" s="1442"/>
      <c r="E874" s="1442"/>
      <c r="F874" s="1442"/>
      <c r="G874" s="1442"/>
      <c r="H874" s="1442"/>
      <c r="I874" s="1442"/>
      <c r="J874" s="1442"/>
      <c r="K874" s="1442"/>
      <c r="L874" s="1442"/>
      <c r="M874" s="1442"/>
      <c r="N874" s="1020" t="s">
        <v>13</v>
      </c>
      <c r="O874" s="283">
        <v>1</v>
      </c>
      <c r="P874" s="222" t="s">
        <v>223</v>
      </c>
    </row>
    <row r="875" spans="1:16" x14ac:dyDescent="0.2">
      <c r="A875" s="225" t="s">
        <v>248</v>
      </c>
      <c r="B875" s="281" t="s">
        <v>15</v>
      </c>
      <c r="C875" s="1017"/>
      <c r="D875" s="1017"/>
      <c r="E875" s="1017"/>
      <c r="F875" s="281"/>
      <c r="G875" s="1034" t="s">
        <v>16</v>
      </c>
      <c r="H875" s="1016"/>
      <c r="I875" s="1016"/>
      <c r="J875" s="1016"/>
      <c r="K875" s="1017"/>
      <c r="L875" s="1017" t="s">
        <v>17</v>
      </c>
      <c r="M875" s="1017"/>
      <c r="N875" s="1017"/>
      <c r="O875" s="1017"/>
      <c r="P875" s="227"/>
    </row>
    <row r="876" spans="1:16" x14ac:dyDescent="0.2">
      <c r="A876" s="225" t="s">
        <v>273</v>
      </c>
      <c r="B876" s="228" t="s">
        <v>18</v>
      </c>
      <c r="C876" s="229" t="s">
        <v>0</v>
      </c>
      <c r="D876" s="229" t="s">
        <v>5</v>
      </c>
      <c r="E876" s="229" t="s">
        <v>1</v>
      </c>
      <c r="F876" s="230" t="s">
        <v>2</v>
      </c>
      <c r="G876" s="228" t="s">
        <v>19</v>
      </c>
      <c r="H876" s="229" t="s">
        <v>0</v>
      </c>
      <c r="I876" s="229" t="s">
        <v>5</v>
      </c>
      <c r="J876" s="229" t="s">
        <v>1</v>
      </c>
      <c r="K876" s="230" t="s">
        <v>2</v>
      </c>
      <c r="L876" s="228" t="s">
        <v>19</v>
      </c>
      <c r="M876" s="229" t="s">
        <v>0</v>
      </c>
      <c r="N876" s="229" t="s">
        <v>5</v>
      </c>
      <c r="O876" s="229" t="s">
        <v>1</v>
      </c>
      <c r="P876" s="230" t="s">
        <v>2</v>
      </c>
    </row>
    <row r="877" spans="1:16" ht="90" x14ac:dyDescent="0.2">
      <c r="A877" s="231">
        <v>19.399999999999999</v>
      </c>
      <c r="B877" s="1021" t="s">
        <v>1645</v>
      </c>
      <c r="C877" s="1022" t="s">
        <v>46</v>
      </c>
      <c r="D877" s="1023">
        <v>1</v>
      </c>
      <c r="E877" s="1024">
        <f>skilled</f>
        <v>1070</v>
      </c>
      <c r="F877" s="1025">
        <f>ROUND(E877*D877,2)</f>
        <v>1070</v>
      </c>
      <c r="G877" s="677" t="s">
        <v>1650</v>
      </c>
      <c r="H877" s="1022" t="s">
        <v>1021</v>
      </c>
      <c r="I877" s="1023">
        <v>1</v>
      </c>
      <c r="J877" s="579">
        <f>Bearing</f>
        <v>40000</v>
      </c>
      <c r="K877" s="1025">
        <f>J877*I877</f>
        <v>40000</v>
      </c>
      <c r="L877" s="600"/>
      <c r="M877" s="1022"/>
      <c r="N877" s="1023"/>
      <c r="O877" s="1024"/>
      <c r="P877" s="1025"/>
    </row>
    <row r="878" spans="1:16" x14ac:dyDescent="0.2">
      <c r="A878" s="599"/>
      <c r="B878" s="1021" t="s">
        <v>202</v>
      </c>
      <c r="C878" s="1022" t="s">
        <v>46</v>
      </c>
      <c r="D878" s="1023">
        <v>1</v>
      </c>
      <c r="E878" s="1024">
        <f>unskilled</f>
        <v>770</v>
      </c>
      <c r="F878" s="1025">
        <f>ROUND(E878*D878,2)</f>
        <v>770</v>
      </c>
      <c r="G878" s="1035"/>
      <c r="H878" s="1022"/>
      <c r="I878" s="1023"/>
      <c r="J878" s="1024"/>
      <c r="K878" s="1025"/>
      <c r="L878" s="600"/>
      <c r="M878" s="1022"/>
      <c r="N878" s="1023"/>
      <c r="O878" s="1024"/>
      <c r="P878" s="1025"/>
    </row>
    <row r="879" spans="1:16" x14ac:dyDescent="0.2">
      <c r="A879" s="241"/>
      <c r="B879" s="242"/>
      <c r="C879" s="243"/>
      <c r="D879" s="243"/>
      <c r="E879" s="244" t="s">
        <v>39</v>
      </c>
      <c r="F879" s="245">
        <f>SUM(F877:F878)</f>
        <v>1840</v>
      </c>
      <c r="G879" s="242"/>
      <c r="H879" s="243"/>
      <c r="I879" s="243"/>
      <c r="J879" s="244" t="s">
        <v>40</v>
      </c>
      <c r="K879" s="245">
        <f>K877</f>
        <v>40000</v>
      </c>
      <c r="L879" s="242"/>
      <c r="M879" s="243"/>
      <c r="N879" s="243"/>
      <c r="O879" s="246" t="s">
        <v>41</v>
      </c>
      <c r="P879" s="245">
        <f>P877</f>
        <v>0</v>
      </c>
    </row>
    <row r="880" spans="1:16" x14ac:dyDescent="0.2">
      <c r="A880" s="284"/>
      <c r="B880" s="285"/>
      <c r="C880" s="575"/>
      <c r="D880" s="575"/>
      <c r="E880" s="575"/>
      <c r="F880" s="252" t="s">
        <v>29</v>
      </c>
      <c r="G880" s="248">
        <f>F879+K879+P879</f>
        <v>41840</v>
      </c>
      <c r="H880" s="575"/>
      <c r="I880" s="249"/>
      <c r="J880" s="250"/>
      <c r="K880" s="251"/>
      <c r="L880" s="575"/>
      <c r="M880" s="575"/>
      <c r="N880" s="575"/>
      <c r="O880" s="575"/>
      <c r="P880" s="575"/>
    </row>
    <row r="881" spans="1:16" x14ac:dyDescent="0.2">
      <c r="A881" s="1441" t="s">
        <v>1646</v>
      </c>
      <c r="B881" s="1441"/>
      <c r="C881" s="1441"/>
      <c r="D881" s="1441"/>
      <c r="E881" s="1441"/>
      <c r="F881" s="1441"/>
      <c r="G881" s="248">
        <f>0.01*G880</f>
        <v>418.40000000000003</v>
      </c>
      <c r="H881" s="575"/>
      <c r="I881" s="249"/>
      <c r="J881" s="250"/>
      <c r="K881" s="251"/>
      <c r="L881" s="575"/>
      <c r="M881" s="575"/>
      <c r="N881" s="575"/>
      <c r="O881" s="575"/>
      <c r="P881" s="575"/>
    </row>
    <row r="882" spans="1:16" x14ac:dyDescent="0.2">
      <c r="A882" s="284"/>
      <c r="B882" s="285"/>
      <c r="C882" s="575"/>
      <c r="D882" s="575"/>
      <c r="E882" s="575"/>
      <c r="F882" s="1020" t="s">
        <v>24</v>
      </c>
      <c r="G882" s="248">
        <f>G880+G881</f>
        <v>42258.400000000001</v>
      </c>
      <c r="H882" s="575"/>
      <c r="I882" s="249"/>
      <c r="J882" s="250"/>
      <c r="K882" s="251"/>
      <c r="L882" s="575"/>
      <c r="M882" s="575"/>
      <c r="N882" s="575"/>
      <c r="O882" s="575"/>
      <c r="P882" s="575"/>
    </row>
    <row r="883" spans="1:16" x14ac:dyDescent="0.2">
      <c r="A883" s="284"/>
      <c r="B883" s="285"/>
      <c r="C883" s="575"/>
      <c r="D883" s="575"/>
      <c r="E883" s="575"/>
      <c r="F883" s="252" t="s">
        <v>31</v>
      </c>
      <c r="G883" s="248">
        <f>G882*0.15</f>
        <v>6338.76</v>
      </c>
      <c r="H883" s="575"/>
      <c r="I883" s="249"/>
      <c r="J883" s="250"/>
      <c r="K883" s="251"/>
      <c r="L883" s="575"/>
      <c r="M883" s="575"/>
      <c r="N883" s="575"/>
      <c r="O883" s="575"/>
      <c r="P883" s="575"/>
    </row>
    <row r="884" spans="1:16" x14ac:dyDescent="0.2">
      <c r="A884" s="247"/>
      <c r="B884" s="575"/>
      <c r="C884" s="575"/>
      <c r="D884" s="575"/>
      <c r="E884" s="575"/>
      <c r="F884" s="254" t="s">
        <v>1</v>
      </c>
      <c r="G884" s="255">
        <f>G882+G883</f>
        <v>48597.16</v>
      </c>
      <c r="H884" s="249" t="s">
        <v>30</v>
      </c>
      <c r="I884" s="249" t="str">
        <f>P874</f>
        <v>no</v>
      </c>
      <c r="J884" s="575"/>
      <c r="K884" s="575"/>
      <c r="L884" s="222"/>
      <c r="M884" s="222"/>
      <c r="N884" s="222"/>
      <c r="O884" s="286"/>
      <c r="P884" s="575"/>
    </row>
    <row r="885" spans="1:16" x14ac:dyDescent="0.2">
      <c r="A885" s="253"/>
      <c r="B885" s="249"/>
      <c r="C885" s="249"/>
      <c r="D885" s="249"/>
      <c r="E885" s="249"/>
      <c r="F885" s="254"/>
      <c r="G885" s="255"/>
      <c r="H885" s="249"/>
      <c r="I885" s="249"/>
      <c r="J885" s="256"/>
      <c r="K885" s="275"/>
      <c r="L885" s="275"/>
      <c r="M885" s="275"/>
      <c r="N885" s="575"/>
      <c r="O885" s="575"/>
      <c r="P885" s="575"/>
    </row>
    <row r="886" spans="1:16" x14ac:dyDescent="0.2">
      <c r="A886" s="575" t="s">
        <v>27</v>
      </c>
      <c r="B886" s="223">
        <f>B857+1</f>
        <v>31</v>
      </c>
      <c r="C886" s="223"/>
      <c r="D886" s="575"/>
      <c r="E886" s="575"/>
      <c r="F886" s="575"/>
      <c r="G886" s="575"/>
      <c r="H886" s="575" t="s">
        <v>20</v>
      </c>
      <c r="I886" s="575"/>
      <c r="J886" s="575"/>
      <c r="K886" s="575"/>
      <c r="L886" s="575"/>
      <c r="M886" s="575"/>
      <c r="N886" s="1020"/>
      <c r="O886" s="575"/>
      <c r="P886" s="575"/>
    </row>
    <row r="887" spans="1:16" ht="39" customHeight="1" x14ac:dyDescent="0.2">
      <c r="A887" s="223" t="s">
        <v>12</v>
      </c>
      <c r="B887" s="1442" t="s">
        <v>1644</v>
      </c>
      <c r="C887" s="1442"/>
      <c r="D887" s="1442"/>
      <c r="E887" s="1442"/>
      <c r="F887" s="1442"/>
      <c r="G887" s="1442"/>
      <c r="H887" s="1442"/>
      <c r="I887" s="1442"/>
      <c r="J887" s="1442"/>
      <c r="K887" s="1442"/>
      <c r="L887" s="1442"/>
      <c r="M887" s="1442"/>
      <c r="N887" s="1020" t="s">
        <v>13</v>
      </c>
      <c r="O887" s="283">
        <v>1</v>
      </c>
      <c r="P887" s="222" t="s">
        <v>223</v>
      </c>
    </row>
    <row r="888" spans="1:16" x14ac:dyDescent="0.2">
      <c r="A888" s="225" t="s">
        <v>248</v>
      </c>
      <c r="B888" s="281" t="s">
        <v>15</v>
      </c>
      <c r="C888" s="1017"/>
      <c r="D888" s="1017"/>
      <c r="E888" s="1017"/>
      <c r="F888" s="281"/>
      <c r="G888" s="1034" t="s">
        <v>16</v>
      </c>
      <c r="H888" s="1016"/>
      <c r="I888" s="1016"/>
      <c r="J888" s="1016"/>
      <c r="K888" s="1017"/>
      <c r="L888" s="1017" t="s">
        <v>17</v>
      </c>
      <c r="M888" s="1017"/>
      <c r="N888" s="1017"/>
      <c r="O888" s="1017"/>
      <c r="P888" s="227"/>
    </row>
    <row r="889" spans="1:16" x14ac:dyDescent="0.2">
      <c r="A889" s="225" t="s">
        <v>273</v>
      </c>
      <c r="B889" s="228" t="s">
        <v>18</v>
      </c>
      <c r="C889" s="229" t="s">
        <v>0</v>
      </c>
      <c r="D889" s="229" t="s">
        <v>5</v>
      </c>
      <c r="E889" s="229" t="s">
        <v>1</v>
      </c>
      <c r="F889" s="230" t="s">
        <v>2</v>
      </c>
      <c r="G889" s="228" t="s">
        <v>19</v>
      </c>
      <c r="H889" s="229" t="s">
        <v>0</v>
      </c>
      <c r="I889" s="229" t="s">
        <v>5</v>
      </c>
      <c r="J889" s="229" t="s">
        <v>1</v>
      </c>
      <c r="K889" s="230" t="s">
        <v>2</v>
      </c>
      <c r="L889" s="228" t="s">
        <v>19</v>
      </c>
      <c r="M889" s="229" t="s">
        <v>0</v>
      </c>
      <c r="N889" s="229" t="s">
        <v>5</v>
      </c>
      <c r="O889" s="229" t="s">
        <v>1</v>
      </c>
      <c r="P889" s="230" t="s">
        <v>2</v>
      </c>
    </row>
    <row r="890" spans="1:16" ht="146.25" x14ac:dyDescent="0.2">
      <c r="A890" s="231">
        <v>19.600000000000001</v>
      </c>
      <c r="B890" s="1021" t="s">
        <v>1645</v>
      </c>
      <c r="C890" s="1022" t="s">
        <v>46</v>
      </c>
      <c r="D890" s="1023">
        <v>2</v>
      </c>
      <c r="E890" s="1024">
        <f>skilled</f>
        <v>1070</v>
      </c>
      <c r="F890" s="1025">
        <f>ROUND(E890*D890,2)</f>
        <v>2140</v>
      </c>
      <c r="G890" s="677" t="s">
        <v>1647</v>
      </c>
      <c r="H890" s="1022" t="s">
        <v>1021</v>
      </c>
      <c r="I890" s="1023">
        <v>1</v>
      </c>
      <c r="J890" s="579">
        <f>Bearing</f>
        <v>40000</v>
      </c>
      <c r="K890" s="1025">
        <f>J890*I890</f>
        <v>40000</v>
      </c>
      <c r="L890" s="600"/>
      <c r="M890" s="1022"/>
      <c r="N890" s="1023"/>
      <c r="O890" s="1024"/>
      <c r="P890" s="1025"/>
    </row>
    <row r="891" spans="1:16" x14ac:dyDescent="0.2">
      <c r="A891" s="599" t="s">
        <v>1596</v>
      </c>
      <c r="B891" s="1021" t="s">
        <v>202</v>
      </c>
      <c r="C891" s="1022" t="s">
        <v>46</v>
      </c>
      <c r="D891" s="1023">
        <v>1</v>
      </c>
      <c r="E891" s="1024">
        <f>unskilled</f>
        <v>770</v>
      </c>
      <c r="F891" s="1025">
        <f>ROUND(E891*D891,2)</f>
        <v>770</v>
      </c>
      <c r="G891" s="1035"/>
      <c r="H891" s="1022"/>
      <c r="I891" s="1023"/>
      <c r="J891" s="1024"/>
      <c r="K891" s="1025"/>
      <c r="L891" s="600"/>
      <c r="M891" s="1022"/>
      <c r="N891" s="1023"/>
      <c r="O891" s="1024"/>
      <c r="P891" s="1025"/>
    </row>
    <row r="892" spans="1:16" x14ac:dyDescent="0.2">
      <c r="A892" s="241"/>
      <c r="B892" s="242"/>
      <c r="C892" s="243"/>
      <c r="D892" s="243"/>
      <c r="E892" s="244" t="s">
        <v>39</v>
      </c>
      <c r="F892" s="245">
        <f>SUM(F890:F891)</f>
        <v>2910</v>
      </c>
      <c r="G892" s="242"/>
      <c r="H892" s="243"/>
      <c r="I892" s="243"/>
      <c r="J892" s="244" t="s">
        <v>40</v>
      </c>
      <c r="K892" s="245">
        <f>K890</f>
        <v>40000</v>
      </c>
      <c r="L892" s="242"/>
      <c r="M892" s="243"/>
      <c r="N892" s="243"/>
      <c r="O892" s="246" t="s">
        <v>41</v>
      </c>
      <c r="P892" s="245">
        <f>P890</f>
        <v>0</v>
      </c>
    </row>
    <row r="893" spans="1:16" x14ac:dyDescent="0.2">
      <c r="A893" s="284"/>
      <c r="B893" s="285"/>
      <c r="C893" s="575"/>
      <c r="D893" s="575"/>
      <c r="E893" s="575"/>
      <c r="F893" s="252" t="s">
        <v>29</v>
      </c>
      <c r="G893" s="248">
        <f>F892+K892+P892</f>
        <v>42910</v>
      </c>
      <c r="H893" s="575"/>
      <c r="I893" s="249"/>
      <c r="J893" s="250"/>
      <c r="K893" s="251"/>
      <c r="L893" s="575"/>
      <c r="M893" s="575"/>
      <c r="N893" s="575"/>
      <c r="O893" s="575"/>
      <c r="P893" s="575"/>
    </row>
    <row r="894" spans="1:16" ht="27" customHeight="1" x14ac:dyDescent="0.2">
      <c r="A894" s="1441" t="s">
        <v>1646</v>
      </c>
      <c r="B894" s="1441"/>
      <c r="C894" s="1441"/>
      <c r="D894" s="1441"/>
      <c r="E894" s="1441"/>
      <c r="F894" s="1441"/>
      <c r="G894" s="248">
        <f>0.01*G893</f>
        <v>429.1</v>
      </c>
      <c r="H894" s="575"/>
      <c r="I894" s="249"/>
      <c r="J894" s="250"/>
      <c r="K894" s="251"/>
      <c r="L894" s="575"/>
      <c r="M894" s="575"/>
      <c r="N894" s="575"/>
      <c r="O894" s="575"/>
      <c r="P894" s="575"/>
    </row>
    <row r="895" spans="1:16" x14ac:dyDescent="0.2">
      <c r="A895" s="284"/>
      <c r="B895" s="285"/>
      <c r="C895" s="575"/>
      <c r="D895" s="575"/>
      <c r="E895" s="575"/>
      <c r="F895" s="1020" t="s">
        <v>24</v>
      </c>
      <c r="G895" s="248">
        <f>G893+G894</f>
        <v>43339.1</v>
      </c>
      <c r="H895" s="575"/>
      <c r="I895" s="249"/>
      <c r="J895" s="250"/>
      <c r="K895" s="251"/>
      <c r="L895" s="575"/>
      <c r="M895" s="575"/>
      <c r="N895" s="575"/>
      <c r="O895" s="575"/>
      <c r="P895" s="575"/>
    </row>
    <row r="896" spans="1:16" x14ac:dyDescent="0.2">
      <c r="A896" s="284"/>
      <c r="B896" s="285"/>
      <c r="C896" s="575"/>
      <c r="D896" s="575"/>
      <c r="E896" s="575"/>
      <c r="F896" s="252" t="s">
        <v>31</v>
      </c>
      <c r="G896" s="248">
        <f>G895*0.15</f>
        <v>6500.8649999999998</v>
      </c>
      <c r="H896" s="575"/>
      <c r="I896" s="249"/>
      <c r="J896" s="250"/>
      <c r="K896" s="251"/>
      <c r="L896" s="575"/>
      <c r="M896" s="575"/>
      <c r="N896" s="575"/>
      <c r="O896" s="575"/>
      <c r="P896" s="575"/>
    </row>
    <row r="897" spans="1:16" x14ac:dyDescent="0.2">
      <c r="A897" s="247"/>
      <c r="B897" s="575"/>
      <c r="C897" s="575"/>
      <c r="D897" s="575"/>
      <c r="E897" s="575"/>
      <c r="F897" s="254" t="s">
        <v>1</v>
      </c>
      <c r="G897" s="255">
        <f>G895+G896</f>
        <v>49839.964999999997</v>
      </c>
      <c r="H897" s="249" t="s">
        <v>30</v>
      </c>
      <c r="I897" s="249" t="str">
        <f>P887</f>
        <v>no</v>
      </c>
      <c r="J897" s="575"/>
      <c r="K897" s="575"/>
      <c r="L897" s="222"/>
      <c r="M897" s="222"/>
      <c r="N897" s="222"/>
      <c r="O897" s="286"/>
      <c r="P897" s="575"/>
    </row>
    <row r="899" spans="1:16" x14ac:dyDescent="0.2">
      <c r="A899" s="575" t="s">
        <v>27</v>
      </c>
      <c r="B899" s="223">
        <f>B886+1</f>
        <v>32</v>
      </c>
    </row>
    <row r="900" spans="1:16" ht="25.5" customHeight="1" x14ac:dyDescent="0.2">
      <c r="A900" s="223" t="s">
        <v>12</v>
      </c>
      <c r="B900" s="1440" t="s">
        <v>1767</v>
      </c>
      <c r="C900" s="1440"/>
      <c r="D900" s="1440"/>
      <c r="E900" s="1440"/>
      <c r="F900" s="1440"/>
      <c r="G900" s="1440"/>
      <c r="H900" s="1440"/>
      <c r="I900" s="1440"/>
      <c r="J900" s="1440"/>
      <c r="K900" s="1440"/>
      <c r="L900" s="1440"/>
      <c r="M900" s="1440"/>
      <c r="N900" s="1020" t="s">
        <v>13</v>
      </c>
      <c r="O900" s="283">
        <v>12</v>
      </c>
      <c r="P900" s="222" t="s">
        <v>3</v>
      </c>
    </row>
    <row r="901" spans="1:16" x14ac:dyDescent="0.2">
      <c r="A901" s="225" t="s">
        <v>247</v>
      </c>
      <c r="B901" s="226" t="s">
        <v>15</v>
      </c>
      <c r="C901" s="227"/>
      <c r="D901" s="227"/>
      <c r="E901" s="227"/>
      <c r="F901" s="226"/>
      <c r="G901" s="1415" t="s">
        <v>16</v>
      </c>
      <c r="H901" s="1416"/>
      <c r="I901" s="1416"/>
      <c r="J901" s="1416"/>
      <c r="K901" s="1417"/>
      <c r="L901" s="227" t="s">
        <v>17</v>
      </c>
      <c r="M901" s="227"/>
      <c r="N901" s="227"/>
      <c r="O901" s="227"/>
      <c r="P901" s="227"/>
    </row>
    <row r="902" spans="1:16" x14ac:dyDescent="0.2">
      <c r="A902" s="225" t="s">
        <v>273</v>
      </c>
      <c r="B902" s="228" t="s">
        <v>18</v>
      </c>
      <c r="C902" s="229" t="s">
        <v>0</v>
      </c>
      <c r="D902" s="229" t="s">
        <v>5</v>
      </c>
      <c r="E902" s="229" t="s">
        <v>1</v>
      </c>
      <c r="F902" s="230" t="s">
        <v>2</v>
      </c>
      <c r="G902" s="228" t="s">
        <v>19</v>
      </c>
      <c r="H902" s="229" t="s">
        <v>0</v>
      </c>
      <c r="I902" s="229" t="s">
        <v>5</v>
      </c>
      <c r="J902" s="229" t="s">
        <v>1</v>
      </c>
      <c r="K902" s="230" t="s">
        <v>2</v>
      </c>
      <c r="L902" s="228" t="s">
        <v>19</v>
      </c>
      <c r="M902" s="229" t="s">
        <v>0</v>
      </c>
      <c r="N902" s="229" t="s">
        <v>5</v>
      </c>
      <c r="O902" s="229" t="s">
        <v>1</v>
      </c>
      <c r="P902" s="230" t="s">
        <v>2</v>
      </c>
    </row>
    <row r="903" spans="1:16" x14ac:dyDescent="0.2">
      <c r="A903" s="288"/>
      <c r="B903" s="1021" t="s">
        <v>1645</v>
      </c>
      <c r="C903" s="1022" t="s">
        <v>46</v>
      </c>
      <c r="D903" s="1023">
        <v>1</v>
      </c>
      <c r="E903" s="1024">
        <f>unskilled</f>
        <v>770</v>
      </c>
      <c r="F903" s="1025">
        <f>ROUND(E903*D903,2)</f>
        <v>770</v>
      </c>
      <c r="G903" s="291"/>
      <c r="H903" s="1022"/>
      <c r="I903" s="1022"/>
      <c r="J903" s="1022"/>
      <c r="K903" s="280"/>
      <c r="L903" s="291"/>
      <c r="M903" s="1022"/>
      <c r="N903" s="1022"/>
      <c r="O903" s="1022"/>
      <c r="P903" s="280"/>
    </row>
    <row r="904" spans="1:16" x14ac:dyDescent="0.2">
      <c r="A904" s="231">
        <v>19.100000000000001</v>
      </c>
      <c r="B904" s="1021" t="s">
        <v>202</v>
      </c>
      <c r="C904" s="1022" t="s">
        <v>46</v>
      </c>
      <c r="D904" s="1023">
        <v>1</v>
      </c>
      <c r="E904" s="1024">
        <f>skilled</f>
        <v>1070</v>
      </c>
      <c r="F904" s="1025">
        <f>ROUND(E904*D904,2)</f>
        <v>1070</v>
      </c>
      <c r="G904" s="1035" t="s">
        <v>88</v>
      </c>
      <c r="H904" s="1022" t="s">
        <v>8</v>
      </c>
      <c r="I904" s="1023">
        <v>12</v>
      </c>
      <c r="J904" s="1024">
        <f>expansionjoint</f>
        <v>16000</v>
      </c>
      <c r="K904" s="1025">
        <f>I904*J904</f>
        <v>192000</v>
      </c>
      <c r="L904" s="1021"/>
      <c r="M904" s="1022"/>
      <c r="N904" s="1023"/>
      <c r="O904" s="1024"/>
      <c r="P904" s="1025"/>
    </row>
    <row r="905" spans="1:16" x14ac:dyDescent="0.2">
      <c r="A905" s="241"/>
      <c r="B905" s="242"/>
      <c r="C905" s="243"/>
      <c r="D905" s="243"/>
      <c r="E905" s="244" t="s">
        <v>39</v>
      </c>
      <c r="F905" s="245">
        <f>SUM(F904:F904)</f>
        <v>1070</v>
      </c>
      <c r="G905" s="242"/>
      <c r="H905" s="243"/>
      <c r="I905" s="243"/>
      <c r="J905" s="244" t="s">
        <v>40</v>
      </c>
      <c r="K905" s="245">
        <f>SUM(K904:K904)</f>
        <v>192000</v>
      </c>
      <c r="L905" s="242"/>
      <c r="M905" s="243"/>
      <c r="N905" s="243"/>
      <c r="O905" s="246" t="s">
        <v>41</v>
      </c>
      <c r="P905" s="245">
        <f>SUM(P904:P904)</f>
        <v>0</v>
      </c>
    </row>
    <row r="906" spans="1:16" x14ac:dyDescent="0.2">
      <c r="A906" s="284"/>
      <c r="B906" s="285"/>
      <c r="C906" s="575"/>
      <c r="D906" s="575"/>
      <c r="E906" s="575"/>
      <c r="F906" s="252" t="s">
        <v>29</v>
      </c>
      <c r="G906" s="248">
        <f>F905+K905+P905</f>
        <v>193070</v>
      </c>
      <c r="H906" s="575"/>
      <c r="I906" s="249"/>
      <c r="J906" s="250"/>
      <c r="K906" s="251"/>
      <c r="L906" s="575"/>
      <c r="M906" s="575"/>
      <c r="N906" s="575"/>
      <c r="O906" s="575"/>
      <c r="P906" s="575"/>
    </row>
    <row r="907" spans="1:16" x14ac:dyDescent="0.2">
      <c r="A907" s="284"/>
      <c r="B907" s="285"/>
      <c r="C907" s="575"/>
      <c r="D907" s="575"/>
      <c r="E907" s="575"/>
      <c r="F907" s="1020" t="s">
        <v>1651</v>
      </c>
      <c r="G907" s="248">
        <f>0.05*G906</f>
        <v>9653.5</v>
      </c>
      <c r="H907" s="575"/>
      <c r="I907" s="249"/>
      <c r="J907" s="250"/>
      <c r="K907" s="251"/>
      <c r="L907" s="575"/>
      <c r="M907" s="575"/>
      <c r="N907" s="575"/>
      <c r="O907" s="575"/>
      <c r="P907" s="575"/>
    </row>
    <row r="908" spans="1:16" x14ac:dyDescent="0.2">
      <c r="A908" s="284"/>
      <c r="B908" s="285"/>
      <c r="C908" s="575"/>
      <c r="D908" s="575"/>
      <c r="E908" s="575"/>
      <c r="F908" s="1020" t="s">
        <v>24</v>
      </c>
      <c r="G908" s="248">
        <f>G906+G907</f>
        <v>202723.5</v>
      </c>
      <c r="H908" s="575"/>
      <c r="I908" s="249"/>
      <c r="J908" s="250"/>
      <c r="K908" s="251"/>
      <c r="L908" s="575"/>
      <c r="M908" s="575"/>
      <c r="N908" s="575"/>
      <c r="O908" s="575"/>
      <c r="P908" s="575"/>
    </row>
    <row r="909" spans="1:16" x14ac:dyDescent="0.2">
      <c r="A909" s="284"/>
      <c r="B909" s="285"/>
      <c r="C909" s="575"/>
      <c r="D909" s="575"/>
      <c r="E909" s="575"/>
      <c r="F909" s="252" t="s">
        <v>31</v>
      </c>
      <c r="G909" s="248">
        <f>G908*0.15</f>
        <v>30408.524999999998</v>
      </c>
      <c r="H909" s="575"/>
      <c r="I909" s="249"/>
      <c r="J909" s="250"/>
      <c r="K909" s="251"/>
      <c r="L909" s="575"/>
      <c r="M909" s="575"/>
      <c r="N909" s="575"/>
      <c r="O909" s="575"/>
      <c r="P909" s="575"/>
    </row>
    <row r="910" spans="1:16" x14ac:dyDescent="0.2">
      <c r="A910" s="247"/>
      <c r="B910" s="575"/>
      <c r="C910" s="575"/>
      <c r="D910" s="575"/>
      <c r="E910" s="1027"/>
      <c r="F910" s="578" t="str">
        <f>"Rate for "&amp;O900&amp;" "&amp;P900&amp; ":"</f>
        <v>Rate for 12 rm:</v>
      </c>
      <c r="G910" s="278">
        <f>SUM(G908:G909)</f>
        <v>233132.02499999999</v>
      </c>
      <c r="H910" s="575"/>
      <c r="I910" s="249"/>
      <c r="J910" s="575"/>
      <c r="K910" s="575"/>
      <c r="L910" s="222"/>
      <c r="M910" s="222"/>
      <c r="N910" s="222"/>
      <c r="O910" s="286"/>
      <c r="P910" s="575"/>
    </row>
    <row r="911" spans="1:16" s="598" customFormat="1" x14ac:dyDescent="0.2">
      <c r="A911" s="247"/>
      <c r="B911" s="575"/>
      <c r="C911" s="575"/>
      <c r="D911" s="575"/>
      <c r="E911" s="249"/>
      <c r="F911" s="254" t="s">
        <v>1652</v>
      </c>
      <c r="G911" s="255">
        <f>G910/O900</f>
        <v>19427.668750000001</v>
      </c>
      <c r="H911" s="249" t="s">
        <v>30</v>
      </c>
      <c r="I911" s="249" t="str">
        <f>P900</f>
        <v>rm</v>
      </c>
      <c r="J911" s="273"/>
      <c r="K911" s="275"/>
      <c r="L911" s="272"/>
      <c r="M911" s="272"/>
      <c r="N911" s="575"/>
      <c r="O911" s="575"/>
      <c r="P911" s="575"/>
    </row>
    <row r="912" spans="1:16" x14ac:dyDescent="0.2">
      <c r="A912" s="253"/>
      <c r="B912" s="249"/>
      <c r="C912" s="249"/>
      <c r="D912" s="249"/>
      <c r="E912" s="249"/>
      <c r="F912" s="254"/>
      <c r="G912" s="255"/>
      <c r="H912" s="249"/>
      <c r="I912" s="249"/>
      <c r="J912" s="256"/>
      <c r="K912" s="275"/>
      <c r="L912" s="275"/>
      <c r="M912" s="275"/>
      <c r="N912" s="575"/>
      <c r="O912" s="575"/>
      <c r="P912" s="575"/>
    </row>
    <row r="913" spans="1:16" x14ac:dyDescent="0.2">
      <c r="A913" s="253"/>
      <c r="B913" s="249"/>
      <c r="C913" s="249"/>
      <c r="D913" s="249"/>
      <c r="E913" s="249"/>
      <c r="F913" s="254"/>
      <c r="G913" s="255"/>
      <c r="H913" s="249"/>
      <c r="I913" s="249"/>
      <c r="J913" s="256"/>
      <c r="K913" s="275"/>
      <c r="L913" s="275"/>
      <c r="M913" s="275"/>
      <c r="N913" s="575"/>
      <c r="O913" s="575"/>
      <c r="P913" s="575"/>
    </row>
    <row r="914" spans="1:16" s="1080" customFormat="1" x14ac:dyDescent="0.2">
      <c r="G914" s="261"/>
    </row>
    <row r="915" spans="1:16" x14ac:dyDescent="0.2">
      <c r="A915" s="247" t="s">
        <v>27</v>
      </c>
      <c r="B915" s="575">
        <f>B899+1</f>
        <v>33</v>
      </c>
      <c r="C915" s="575"/>
      <c r="D915" s="575"/>
      <c r="E915" s="575"/>
      <c r="F915" s="254"/>
      <c r="G915" s="255"/>
      <c r="H915" s="249"/>
      <c r="I915" s="249"/>
      <c r="J915" s="575"/>
      <c r="K915" s="575"/>
      <c r="L915" s="222"/>
      <c r="M915" s="222"/>
      <c r="N915" s="222"/>
      <c r="O915" s="286"/>
      <c r="P915" s="575"/>
    </row>
    <row r="916" spans="1:16" ht="39.75" customHeight="1" x14ac:dyDescent="0.2">
      <c r="A916" s="690" t="s">
        <v>417</v>
      </c>
      <c r="B916" s="1418" t="s">
        <v>1663</v>
      </c>
      <c r="C916" s="1418"/>
      <c r="D916" s="1418"/>
      <c r="E916" s="1418"/>
      <c r="F916" s="1418"/>
      <c r="G916" s="1418"/>
      <c r="H916" s="1418"/>
      <c r="I916" s="1418"/>
      <c r="J916" s="1418"/>
      <c r="K916" s="1418"/>
      <c r="L916" s="1418"/>
      <c r="M916" s="1418"/>
      <c r="N916" s="222" t="s">
        <v>278</v>
      </c>
      <c r="O916" s="287">
        <v>6</v>
      </c>
      <c r="P916" s="575" t="s">
        <v>421</v>
      </c>
    </row>
    <row r="917" spans="1:16" x14ac:dyDescent="0.2">
      <c r="A917" s="225" t="s">
        <v>1687</v>
      </c>
      <c r="B917" s="226" t="s">
        <v>15</v>
      </c>
      <c r="C917" s="227"/>
      <c r="D917" s="227"/>
      <c r="E917" s="227"/>
      <c r="F917" s="693"/>
      <c r="G917" s="1415" t="s">
        <v>16</v>
      </c>
      <c r="H917" s="1416"/>
      <c r="I917" s="1416"/>
      <c r="J917" s="1416"/>
      <c r="K917" s="1417"/>
      <c r="L917" s="227" t="s">
        <v>17</v>
      </c>
      <c r="M917" s="227"/>
      <c r="N917" s="227"/>
      <c r="O917" s="227"/>
      <c r="P917" s="227"/>
    </row>
    <row r="918" spans="1:16" x14ac:dyDescent="0.2">
      <c r="A918" s="225" t="s">
        <v>273</v>
      </c>
      <c r="B918" s="228" t="s">
        <v>18</v>
      </c>
      <c r="C918" s="229" t="s">
        <v>0</v>
      </c>
      <c r="D918" s="229" t="s">
        <v>5</v>
      </c>
      <c r="E918" s="229" t="s">
        <v>1</v>
      </c>
      <c r="F918" s="694" t="s">
        <v>2</v>
      </c>
      <c r="G918" s="228" t="s">
        <v>19</v>
      </c>
      <c r="H918" s="229" t="s">
        <v>0</v>
      </c>
      <c r="I918" s="229" t="s">
        <v>5</v>
      </c>
      <c r="J918" s="229" t="s">
        <v>1</v>
      </c>
      <c r="K918" s="230" t="s">
        <v>2</v>
      </c>
      <c r="L918" s="228" t="s">
        <v>19</v>
      </c>
      <c r="M918" s="229" t="s">
        <v>0</v>
      </c>
      <c r="N918" s="229" t="s">
        <v>5</v>
      </c>
      <c r="O918" s="229" t="s">
        <v>1</v>
      </c>
      <c r="P918" s="230" t="s">
        <v>2</v>
      </c>
    </row>
    <row r="919" spans="1:16" x14ac:dyDescent="0.2">
      <c r="A919" s="231" t="s">
        <v>1688</v>
      </c>
      <c r="B919" s="237" t="s">
        <v>21</v>
      </c>
      <c r="C919" s="697" t="s">
        <v>46</v>
      </c>
      <c r="D919" s="697">
        <v>7</v>
      </c>
      <c r="E919" s="697">
        <f>unskilled</f>
        <v>770</v>
      </c>
      <c r="F919" s="236">
        <f>D919*E919</f>
        <v>5390</v>
      </c>
      <c r="G919" s="290" t="s">
        <v>1658</v>
      </c>
      <c r="H919" s="695" t="s">
        <v>190</v>
      </c>
      <c r="I919" s="695">
        <v>70.2</v>
      </c>
      <c r="J919" s="695">
        <f>_gab2/1000</f>
        <v>103.56761999999999</v>
      </c>
      <c r="K919" s="695">
        <f>I919*J919</f>
        <v>7270.4469239999999</v>
      </c>
      <c r="L919" s="1021"/>
      <c r="M919" s="1022"/>
      <c r="N919" s="1023"/>
      <c r="O919" s="1024"/>
      <c r="P919" s="1025"/>
    </row>
    <row r="920" spans="1:16" x14ac:dyDescent="0.2">
      <c r="A920" s="231"/>
      <c r="B920" s="288" t="s">
        <v>1657</v>
      </c>
      <c r="C920" s="695" t="s">
        <v>46</v>
      </c>
      <c r="D920" s="695">
        <v>3</v>
      </c>
      <c r="E920" s="695">
        <f>skilled</f>
        <v>1070</v>
      </c>
      <c r="F920" s="1025">
        <f>D920*E920</f>
        <v>3210</v>
      </c>
      <c r="G920" s="290" t="s">
        <v>1659</v>
      </c>
      <c r="H920" s="695" t="s">
        <v>190</v>
      </c>
      <c r="I920" s="695">
        <v>7.82</v>
      </c>
      <c r="J920" s="695">
        <f>J919</f>
        <v>103.56761999999999</v>
      </c>
      <c r="K920" s="695">
        <f t="shared" ref="K920:K921" si="37">I920*J920</f>
        <v>809.89878839999994</v>
      </c>
      <c r="L920" s="288"/>
      <c r="M920" s="1018"/>
      <c r="N920" s="289"/>
      <c r="O920" s="290"/>
      <c r="P920" s="1025"/>
    </row>
    <row r="921" spans="1:16" x14ac:dyDescent="0.2">
      <c r="A921" s="231"/>
      <c r="B921" s="288"/>
      <c r="C921" s="695"/>
      <c r="D921" s="695"/>
      <c r="E921" s="695"/>
      <c r="F921" s="1025"/>
      <c r="G921" s="290" t="s">
        <v>34</v>
      </c>
      <c r="H921" s="695" t="s">
        <v>190</v>
      </c>
      <c r="I921" s="695">
        <v>3.62</v>
      </c>
      <c r="J921" s="695">
        <f>binding/1000</f>
        <v>95.413619999999995</v>
      </c>
      <c r="K921" s="695">
        <f t="shared" si="37"/>
        <v>345.3973044</v>
      </c>
      <c r="L921" s="288"/>
      <c r="M921" s="1018"/>
      <c r="N921" s="289"/>
      <c r="O921" s="290"/>
      <c r="P921" s="1025"/>
    </row>
    <row r="922" spans="1:16" ht="15" x14ac:dyDescent="0.2">
      <c r="A922" s="231"/>
      <c r="B922" s="288"/>
      <c r="C922" s="695"/>
      <c r="D922" s="695"/>
      <c r="E922" s="695"/>
      <c r="F922" s="1025"/>
      <c r="G922" s="290" t="s">
        <v>311</v>
      </c>
      <c r="H922" s="695" t="s">
        <v>421</v>
      </c>
      <c r="I922" s="695">
        <v>6.6</v>
      </c>
      <c r="J922" s="695">
        <f>stone</f>
        <v>2075.9</v>
      </c>
      <c r="K922" s="695">
        <f>I922*J922</f>
        <v>13700.94</v>
      </c>
      <c r="L922" s="288"/>
      <c r="M922" s="1018"/>
      <c r="N922" s="289"/>
      <c r="O922" s="290"/>
      <c r="P922" s="1025"/>
    </row>
    <row r="923" spans="1:16" x14ac:dyDescent="0.2">
      <c r="A923" s="231"/>
      <c r="B923" s="698"/>
      <c r="C923" s="699"/>
      <c r="D923" s="699"/>
      <c r="E923" s="699"/>
      <c r="F923" s="696"/>
      <c r="G923" s="290"/>
      <c r="H923" s="695"/>
      <c r="I923" s="695"/>
      <c r="J923" s="695"/>
      <c r="K923" s="695"/>
      <c r="L923" s="288"/>
      <c r="M923" s="1018"/>
      <c r="N923" s="289"/>
      <c r="O923" s="290"/>
      <c r="P923" s="1025"/>
    </row>
    <row r="924" spans="1:16" x14ac:dyDescent="0.2">
      <c r="A924" s="241"/>
      <c r="B924" s="242"/>
      <c r="C924" s="243"/>
      <c r="D924" s="243"/>
      <c r="E924" s="244" t="s">
        <v>39</v>
      </c>
      <c r="F924" s="245">
        <f>SUM(F919:F922)</f>
        <v>8600</v>
      </c>
      <c r="G924" s="242"/>
      <c r="H924" s="243"/>
      <c r="I924" s="243"/>
      <c r="J924" s="244" t="s">
        <v>40</v>
      </c>
      <c r="K924" s="245">
        <f>SUM(K919:K922)</f>
        <v>22126.683016800001</v>
      </c>
      <c r="L924" s="242"/>
      <c r="M924" s="243"/>
      <c r="N924" s="243"/>
      <c r="O924" s="246" t="s">
        <v>41</v>
      </c>
      <c r="P924" s="245">
        <f>SUM(P919:P919)</f>
        <v>0</v>
      </c>
    </row>
    <row r="925" spans="1:16" x14ac:dyDescent="0.2">
      <c r="A925" s="284"/>
      <c r="B925" s="285"/>
      <c r="C925" s="575"/>
      <c r="D925" s="575"/>
      <c r="E925" s="575"/>
      <c r="F925" s="252" t="s">
        <v>29</v>
      </c>
      <c r="G925" s="248">
        <f>F924+K924+P924</f>
        <v>30726.683016800001</v>
      </c>
      <c r="H925" s="575"/>
      <c r="I925" s="249"/>
      <c r="J925" s="250"/>
      <c r="K925" s="251"/>
      <c r="L925" s="575"/>
      <c r="M925" s="575"/>
      <c r="N925" s="575"/>
      <c r="O925" s="575"/>
      <c r="P925" s="575"/>
    </row>
    <row r="926" spans="1:16" x14ac:dyDescent="0.2">
      <c r="A926" s="284"/>
      <c r="B926" s="285"/>
      <c r="C926" s="575"/>
      <c r="D926" s="575"/>
      <c r="E926" s="575"/>
      <c r="F926" s="252" t="s">
        <v>31</v>
      </c>
      <c r="G926" s="248">
        <f>G925*0.15</f>
        <v>4609.0024525199997</v>
      </c>
      <c r="H926" s="575"/>
      <c r="I926" s="249"/>
      <c r="J926" s="250"/>
      <c r="K926" s="251"/>
      <c r="L926" s="575"/>
      <c r="M926" s="575"/>
      <c r="N926" s="575"/>
      <c r="O926" s="575"/>
      <c r="P926" s="575"/>
    </row>
    <row r="927" spans="1:16" x14ac:dyDescent="0.2">
      <c r="A927" s="247"/>
      <c r="B927" s="575"/>
      <c r="C927" s="575"/>
      <c r="D927" s="575"/>
      <c r="E927" s="1027"/>
      <c r="F927" s="578" t="str">
        <f>"Rate for "&amp;O916&amp;" "&amp;P916&amp; ":"</f>
        <v>Rate for 6 m3:</v>
      </c>
      <c r="G927" s="278">
        <f>SUM(G925:G926)</f>
        <v>35335.68546932</v>
      </c>
      <c r="H927" s="575"/>
      <c r="I927" s="249"/>
      <c r="J927" s="575"/>
      <c r="K927" s="575"/>
      <c r="L927" s="222"/>
      <c r="M927" s="222"/>
      <c r="N927" s="222"/>
      <c r="O927" s="286"/>
      <c r="P927" s="575"/>
    </row>
    <row r="928" spans="1:16" s="598" customFormat="1" ht="15" x14ac:dyDescent="0.2">
      <c r="A928" s="247"/>
      <c r="B928" s="575"/>
      <c r="C928" s="575"/>
      <c r="D928" s="575"/>
      <c r="E928" s="249"/>
      <c r="F928" s="254" t="s">
        <v>1662</v>
      </c>
      <c r="G928" s="255">
        <f>G927/O916</f>
        <v>5889.2809115533337</v>
      </c>
      <c r="H928" s="249" t="s">
        <v>30</v>
      </c>
      <c r="I928" s="249" t="str">
        <f>P916</f>
        <v>m3</v>
      </c>
      <c r="J928" s="273"/>
      <c r="K928" s="275"/>
      <c r="L928" s="272"/>
      <c r="M928" s="272"/>
      <c r="N928" s="575"/>
      <c r="O928" s="575"/>
      <c r="P928" s="575"/>
    </row>
    <row r="929" spans="1:16" x14ac:dyDescent="0.2">
      <c r="A929" s="253"/>
      <c r="B929" s="249"/>
      <c r="C929" s="249"/>
      <c r="D929" s="249"/>
      <c r="E929" s="249"/>
      <c r="F929" s="254"/>
      <c r="G929" s="255"/>
      <c r="H929" s="249"/>
      <c r="I929" s="249"/>
      <c r="J929" s="256"/>
      <c r="K929" s="275"/>
      <c r="L929" s="275"/>
      <c r="M929" s="275"/>
      <c r="N929" s="575"/>
      <c r="O929" s="575"/>
      <c r="P929" s="575"/>
    </row>
    <row r="930" spans="1:16" x14ac:dyDescent="0.2">
      <c r="A930" s="247" t="s">
        <v>27</v>
      </c>
      <c r="B930" s="575">
        <f>B915+1</f>
        <v>34</v>
      </c>
      <c r="C930" s="575"/>
      <c r="D930" s="575"/>
      <c r="E930" s="575"/>
      <c r="F930" s="254"/>
      <c r="G930" s="255"/>
      <c r="H930" s="249"/>
      <c r="I930" s="249"/>
      <c r="J930" s="575"/>
      <c r="K930" s="575"/>
      <c r="L930" s="222"/>
      <c r="M930" s="222"/>
      <c r="N930" s="222"/>
      <c r="O930" s="286"/>
      <c r="P930" s="575"/>
    </row>
    <row r="931" spans="1:16" ht="39.75" customHeight="1" x14ac:dyDescent="0.2">
      <c r="A931" s="690" t="s">
        <v>417</v>
      </c>
      <c r="B931" s="1418" t="s">
        <v>1664</v>
      </c>
      <c r="C931" s="1418"/>
      <c r="D931" s="1418"/>
      <c r="E931" s="1418"/>
      <c r="F931" s="1418"/>
      <c r="G931" s="1418"/>
      <c r="H931" s="1418"/>
      <c r="I931" s="1418"/>
      <c r="J931" s="1418"/>
      <c r="K931" s="1418"/>
      <c r="L931" s="1418"/>
      <c r="M931" s="1418"/>
      <c r="N931" s="222" t="s">
        <v>278</v>
      </c>
      <c r="O931" s="287">
        <v>6</v>
      </c>
      <c r="P931" s="575" t="s">
        <v>421</v>
      </c>
    </row>
    <row r="932" spans="1:16" x14ac:dyDescent="0.2">
      <c r="A932" s="225" t="s">
        <v>1687</v>
      </c>
      <c r="B932" s="226" t="s">
        <v>15</v>
      </c>
      <c r="C932" s="227"/>
      <c r="D932" s="227"/>
      <c r="E932" s="227"/>
      <c r="F932" s="693"/>
      <c r="G932" s="1415" t="s">
        <v>16</v>
      </c>
      <c r="H932" s="1416"/>
      <c r="I932" s="1416"/>
      <c r="J932" s="1416"/>
      <c r="K932" s="1417"/>
      <c r="L932" s="227" t="s">
        <v>17</v>
      </c>
      <c r="M932" s="227"/>
      <c r="N932" s="227"/>
      <c r="O932" s="227"/>
      <c r="P932" s="227"/>
    </row>
    <row r="933" spans="1:16" x14ac:dyDescent="0.2">
      <c r="A933" s="225" t="s">
        <v>273</v>
      </c>
      <c r="B933" s="228" t="s">
        <v>18</v>
      </c>
      <c r="C933" s="229" t="s">
        <v>0</v>
      </c>
      <c r="D933" s="229" t="s">
        <v>5</v>
      </c>
      <c r="E933" s="229" t="s">
        <v>1</v>
      </c>
      <c r="F933" s="694" t="s">
        <v>2</v>
      </c>
      <c r="G933" s="228" t="s">
        <v>19</v>
      </c>
      <c r="H933" s="229" t="s">
        <v>0</v>
      </c>
      <c r="I933" s="229" t="s">
        <v>5</v>
      </c>
      <c r="J933" s="229" t="s">
        <v>1</v>
      </c>
      <c r="K933" s="230" t="s">
        <v>2</v>
      </c>
      <c r="L933" s="228" t="s">
        <v>19</v>
      </c>
      <c r="M933" s="229" t="s">
        <v>0</v>
      </c>
      <c r="N933" s="229" t="s">
        <v>5</v>
      </c>
      <c r="O933" s="229" t="s">
        <v>1</v>
      </c>
      <c r="P933" s="230" t="s">
        <v>2</v>
      </c>
    </row>
    <row r="934" spans="1:16" x14ac:dyDescent="0.2">
      <c r="A934" s="231" t="s">
        <v>1656</v>
      </c>
      <c r="B934" s="237" t="s">
        <v>21</v>
      </c>
      <c r="C934" s="697" t="s">
        <v>46</v>
      </c>
      <c r="D934" s="697">
        <v>7</v>
      </c>
      <c r="E934" s="697">
        <f>unskilled</f>
        <v>770</v>
      </c>
      <c r="F934" s="236">
        <f>D934*E934</f>
        <v>5390</v>
      </c>
      <c r="G934" s="290" t="s">
        <v>1658</v>
      </c>
      <c r="H934" s="695" t="s">
        <v>190</v>
      </c>
      <c r="I934" s="695">
        <v>72.45</v>
      </c>
      <c r="J934" s="695">
        <f>_gab2/1000</f>
        <v>103.56761999999999</v>
      </c>
      <c r="K934" s="695">
        <f>I934*J934</f>
        <v>7503.4740689999999</v>
      </c>
      <c r="L934" s="1021"/>
      <c r="M934" s="1022"/>
      <c r="N934" s="1023"/>
      <c r="O934" s="1024"/>
      <c r="P934" s="1025"/>
    </row>
    <row r="935" spans="1:16" x14ac:dyDescent="0.2">
      <c r="A935" s="231"/>
      <c r="B935" s="288" t="s">
        <v>1657</v>
      </c>
      <c r="C935" s="695" t="s">
        <v>46</v>
      </c>
      <c r="D935" s="695">
        <v>3</v>
      </c>
      <c r="E935" s="695">
        <f>skilled</f>
        <v>1070</v>
      </c>
      <c r="F935" s="1025">
        <f>D935*E935</f>
        <v>3210</v>
      </c>
      <c r="G935" s="290" t="s">
        <v>1659</v>
      </c>
      <c r="H935" s="695" t="s">
        <v>190</v>
      </c>
      <c r="I935" s="695">
        <v>8.8800000000000008</v>
      </c>
      <c r="J935" s="695">
        <f>J934</f>
        <v>103.56761999999999</v>
      </c>
      <c r="K935" s="695">
        <f t="shared" ref="K935:K936" si="38">I935*J935</f>
        <v>919.68046560000005</v>
      </c>
      <c r="L935" s="288"/>
      <c r="M935" s="1018"/>
      <c r="N935" s="289"/>
      <c r="O935" s="290"/>
      <c r="P935" s="1025"/>
    </row>
    <row r="936" spans="1:16" x14ac:dyDescent="0.2">
      <c r="A936" s="231"/>
      <c r="B936" s="288"/>
      <c r="C936" s="695"/>
      <c r="D936" s="695"/>
      <c r="E936" s="695"/>
      <c r="F936" s="1025"/>
      <c r="G936" s="290" t="s">
        <v>34</v>
      </c>
      <c r="H936" s="695" t="s">
        <v>190</v>
      </c>
      <c r="I936" s="695">
        <v>3.9</v>
      </c>
      <c r="J936" s="695">
        <f>binding/1000</f>
        <v>95.413619999999995</v>
      </c>
      <c r="K936" s="695">
        <f t="shared" si="38"/>
        <v>372.11311799999999</v>
      </c>
      <c r="L936" s="288"/>
      <c r="M936" s="1018"/>
      <c r="N936" s="289"/>
      <c r="O936" s="290"/>
      <c r="P936" s="1025"/>
    </row>
    <row r="937" spans="1:16" ht="15" x14ac:dyDescent="0.2">
      <c r="A937" s="231"/>
      <c r="B937" s="288"/>
      <c r="C937" s="695"/>
      <c r="D937" s="695"/>
      <c r="E937" s="695"/>
      <c r="F937" s="1025"/>
      <c r="G937" s="290" t="s">
        <v>311</v>
      </c>
      <c r="H937" s="695" t="s">
        <v>421</v>
      </c>
      <c r="I937" s="695">
        <v>6.6</v>
      </c>
      <c r="J937" s="695">
        <f>stone</f>
        <v>2075.9</v>
      </c>
      <c r="K937" s="695">
        <f>I937*J937</f>
        <v>13700.94</v>
      </c>
      <c r="L937" s="288"/>
      <c r="M937" s="1018"/>
      <c r="N937" s="289"/>
      <c r="O937" s="290"/>
      <c r="P937" s="1025"/>
    </row>
    <row r="938" spans="1:16" x14ac:dyDescent="0.2">
      <c r="A938" s="231"/>
      <c r="B938" s="698"/>
      <c r="C938" s="699"/>
      <c r="D938" s="699"/>
      <c r="E938" s="699"/>
      <c r="F938" s="696"/>
      <c r="G938" s="290"/>
      <c r="H938" s="695"/>
      <c r="I938" s="695"/>
      <c r="J938" s="695"/>
      <c r="K938" s="695"/>
      <c r="L938" s="288"/>
      <c r="M938" s="1018"/>
      <c r="N938" s="289"/>
      <c r="O938" s="290"/>
      <c r="P938" s="1025"/>
    </row>
    <row r="939" spans="1:16" x14ac:dyDescent="0.2">
      <c r="A939" s="241"/>
      <c r="B939" s="242"/>
      <c r="C939" s="243"/>
      <c r="D939" s="243"/>
      <c r="E939" s="244" t="s">
        <v>39</v>
      </c>
      <c r="F939" s="245">
        <f>SUM(F934:F937)</f>
        <v>8600</v>
      </c>
      <c r="G939" s="242"/>
      <c r="H939" s="243"/>
      <c r="I939" s="243"/>
      <c r="J939" s="244" t="s">
        <v>40</v>
      </c>
      <c r="K939" s="245">
        <f>SUM(K934:K937)</f>
        <v>22496.207652600002</v>
      </c>
      <c r="L939" s="242"/>
      <c r="M939" s="243"/>
      <c r="N939" s="243"/>
      <c r="O939" s="246" t="s">
        <v>41</v>
      </c>
      <c r="P939" s="245">
        <f>SUM(P934:P934)</f>
        <v>0</v>
      </c>
    </row>
    <row r="940" spans="1:16" x14ac:dyDescent="0.2">
      <c r="A940" s="284"/>
      <c r="B940" s="285"/>
      <c r="C940" s="575"/>
      <c r="D940" s="575"/>
      <c r="E940" s="575"/>
      <c r="F940" s="252" t="s">
        <v>29</v>
      </c>
      <c r="G940" s="248">
        <f>F939+K939+P939</f>
        <v>31096.207652600002</v>
      </c>
      <c r="H940" s="575"/>
      <c r="I940" s="249"/>
      <c r="J940" s="250"/>
      <c r="K940" s="251"/>
      <c r="L940" s="575"/>
      <c r="M940" s="575"/>
      <c r="N940" s="575"/>
      <c r="O940" s="575"/>
      <c r="P940" s="575"/>
    </row>
    <row r="941" spans="1:16" x14ac:dyDescent="0.2">
      <c r="A941" s="284"/>
      <c r="B941" s="285"/>
      <c r="C941" s="575"/>
      <c r="D941" s="575"/>
      <c r="E941" s="575"/>
      <c r="F941" s="252" t="s">
        <v>31</v>
      </c>
      <c r="G941" s="248">
        <f>G940*0.15</f>
        <v>4664.4311478899999</v>
      </c>
      <c r="H941" s="575"/>
      <c r="I941" s="249"/>
      <c r="J941" s="250"/>
      <c r="K941" s="251"/>
      <c r="L941" s="575"/>
      <c r="M941" s="575"/>
      <c r="N941" s="575"/>
      <c r="O941" s="575"/>
      <c r="P941" s="575"/>
    </row>
    <row r="942" spans="1:16" x14ac:dyDescent="0.2">
      <c r="A942" s="247"/>
      <c r="B942" s="575"/>
      <c r="C942" s="575"/>
      <c r="D942" s="575"/>
      <c r="E942" s="1027"/>
      <c r="F942" s="578" t="str">
        <f>"Rate for "&amp;O931&amp;" "&amp;P931&amp; ":"</f>
        <v>Rate for 6 m3:</v>
      </c>
      <c r="G942" s="278">
        <f>SUM(G940:G941)</f>
        <v>35760.63880049</v>
      </c>
      <c r="H942" s="575"/>
      <c r="I942" s="249"/>
      <c r="J942" s="575"/>
      <c r="K942" s="575"/>
      <c r="L942" s="222"/>
      <c r="M942" s="222"/>
      <c r="N942" s="222"/>
      <c r="O942" s="286"/>
      <c r="P942" s="575"/>
    </row>
    <row r="943" spans="1:16" s="598" customFormat="1" ht="15" x14ac:dyDescent="0.2">
      <c r="A943" s="247"/>
      <c r="B943" s="575"/>
      <c r="C943" s="575"/>
      <c r="D943" s="575"/>
      <c r="E943" s="249"/>
      <c r="F943" s="254" t="s">
        <v>1662</v>
      </c>
      <c r="G943" s="255">
        <f>G942/O931</f>
        <v>5960.1064667483333</v>
      </c>
      <c r="H943" s="249" t="s">
        <v>30</v>
      </c>
      <c r="I943" s="249" t="str">
        <f>P931</f>
        <v>m3</v>
      </c>
      <c r="J943" s="273"/>
      <c r="K943" s="275"/>
      <c r="L943" s="272"/>
      <c r="M943" s="272"/>
      <c r="N943" s="575"/>
      <c r="O943" s="575"/>
      <c r="P943" s="575"/>
    </row>
    <row r="944" spans="1:16" x14ac:dyDescent="0.2">
      <c r="A944" s="247" t="s">
        <v>27</v>
      </c>
      <c r="B944" s="575">
        <f>B930+1</f>
        <v>35</v>
      </c>
      <c r="C944" s="575"/>
      <c r="D944" s="575"/>
      <c r="E944" s="575"/>
      <c r="F944" s="254"/>
      <c r="G944" s="255"/>
      <c r="H944" s="249"/>
      <c r="I944" s="249"/>
      <c r="J944" s="575"/>
      <c r="K944" s="575"/>
      <c r="L944" s="222"/>
      <c r="M944" s="222"/>
      <c r="N944" s="222"/>
      <c r="O944" s="286"/>
      <c r="P944" s="575"/>
    </row>
    <row r="945" spans="1:16" ht="39.75" customHeight="1" x14ac:dyDescent="0.2">
      <c r="A945" s="690" t="s">
        <v>417</v>
      </c>
      <c r="B945" s="1418" t="s">
        <v>1665</v>
      </c>
      <c r="C945" s="1418"/>
      <c r="D945" s="1418"/>
      <c r="E945" s="1418"/>
      <c r="F945" s="1418"/>
      <c r="G945" s="1418"/>
      <c r="H945" s="1418"/>
      <c r="I945" s="1418"/>
      <c r="J945" s="1418"/>
      <c r="K945" s="1418"/>
      <c r="L945" s="1418"/>
      <c r="M945" s="1418"/>
      <c r="N945" s="222" t="s">
        <v>278</v>
      </c>
      <c r="O945" s="287">
        <v>6</v>
      </c>
      <c r="P945" s="575" t="s">
        <v>421</v>
      </c>
    </row>
    <row r="946" spans="1:16" x14ac:dyDescent="0.2">
      <c r="A946" s="225" t="s">
        <v>1687</v>
      </c>
      <c r="B946" s="226" t="s">
        <v>15</v>
      </c>
      <c r="C946" s="227"/>
      <c r="D946" s="227"/>
      <c r="E946" s="227"/>
      <c r="F946" s="693"/>
      <c r="G946" s="1415" t="s">
        <v>16</v>
      </c>
      <c r="H946" s="1416"/>
      <c r="I946" s="1416"/>
      <c r="J946" s="1416"/>
      <c r="K946" s="1417"/>
      <c r="L946" s="227" t="s">
        <v>17</v>
      </c>
      <c r="M946" s="227"/>
      <c r="N946" s="227"/>
      <c r="O946" s="227"/>
      <c r="P946" s="227"/>
    </row>
    <row r="947" spans="1:16" x14ac:dyDescent="0.2">
      <c r="A947" s="225" t="s">
        <v>273</v>
      </c>
      <c r="B947" s="228" t="s">
        <v>18</v>
      </c>
      <c r="C947" s="229" t="s">
        <v>0</v>
      </c>
      <c r="D947" s="229" t="s">
        <v>5</v>
      </c>
      <c r="E947" s="229" t="s">
        <v>1</v>
      </c>
      <c r="F947" s="694" t="s">
        <v>2</v>
      </c>
      <c r="G947" s="228" t="s">
        <v>19</v>
      </c>
      <c r="H947" s="229" t="s">
        <v>0</v>
      </c>
      <c r="I947" s="229" t="s">
        <v>5</v>
      </c>
      <c r="J947" s="229" t="s">
        <v>1</v>
      </c>
      <c r="K947" s="230" t="s">
        <v>2</v>
      </c>
      <c r="L947" s="228" t="s">
        <v>19</v>
      </c>
      <c r="M947" s="229" t="s">
        <v>0</v>
      </c>
      <c r="N947" s="229" t="s">
        <v>5</v>
      </c>
      <c r="O947" s="229" t="s">
        <v>1</v>
      </c>
      <c r="P947" s="230" t="s">
        <v>2</v>
      </c>
    </row>
    <row r="948" spans="1:16" x14ac:dyDescent="0.2">
      <c r="A948" s="231" t="s">
        <v>1667</v>
      </c>
      <c r="B948" s="237" t="s">
        <v>21</v>
      </c>
      <c r="C948" s="697" t="s">
        <v>46</v>
      </c>
      <c r="D948" s="697">
        <v>8</v>
      </c>
      <c r="E948" s="697">
        <f>unskilled</f>
        <v>770</v>
      </c>
      <c r="F948" s="236">
        <f>D948*E948</f>
        <v>6160</v>
      </c>
      <c r="G948" s="290" t="s">
        <v>1658</v>
      </c>
      <c r="H948" s="695" t="s">
        <v>190</v>
      </c>
      <c r="I948" s="695">
        <v>78.959999999999994</v>
      </c>
      <c r="J948" s="695">
        <f>_gab2/1000</f>
        <v>103.56761999999999</v>
      </c>
      <c r="K948" s="695">
        <f>I948*J948</f>
        <v>8177.6992751999987</v>
      </c>
      <c r="L948" s="1021"/>
      <c r="M948" s="1022"/>
      <c r="N948" s="1023"/>
      <c r="O948" s="1024"/>
      <c r="P948" s="1025"/>
    </row>
    <row r="949" spans="1:16" x14ac:dyDescent="0.2">
      <c r="A949" s="231"/>
      <c r="B949" s="288" t="s">
        <v>1657</v>
      </c>
      <c r="C949" s="695" t="s">
        <v>46</v>
      </c>
      <c r="D949" s="695">
        <v>3</v>
      </c>
      <c r="E949" s="695">
        <f>skilled</f>
        <v>1070</v>
      </c>
      <c r="F949" s="1025">
        <f>D949*E949</f>
        <v>3210</v>
      </c>
      <c r="G949" s="290" t="s">
        <v>1659</v>
      </c>
      <c r="H949" s="695" t="s">
        <v>190</v>
      </c>
      <c r="I949" s="695">
        <v>12.06</v>
      </c>
      <c r="J949" s="695">
        <f>J948</f>
        <v>103.56761999999999</v>
      </c>
      <c r="K949" s="695">
        <f t="shared" ref="K949:K950" si="39">I949*J949</f>
        <v>1249.0254972</v>
      </c>
      <c r="L949" s="288"/>
      <c r="M949" s="1018"/>
      <c r="N949" s="289"/>
      <c r="O949" s="290"/>
      <c r="P949" s="1025"/>
    </row>
    <row r="950" spans="1:16" x14ac:dyDescent="0.2">
      <c r="A950" s="231"/>
      <c r="B950" s="288"/>
      <c r="C950" s="695"/>
      <c r="D950" s="695"/>
      <c r="E950" s="695"/>
      <c r="F950" s="1025"/>
      <c r="G950" s="290" t="s">
        <v>34</v>
      </c>
      <c r="H950" s="695" t="s">
        <v>190</v>
      </c>
      <c r="I950" s="695">
        <v>4.5599999999999996</v>
      </c>
      <c r="J950" s="695">
        <f>binding/1000</f>
        <v>95.413619999999995</v>
      </c>
      <c r="K950" s="695">
        <f t="shared" si="39"/>
        <v>435.08610719999996</v>
      </c>
      <c r="L950" s="288"/>
      <c r="M950" s="1018"/>
      <c r="N950" s="289"/>
      <c r="O950" s="290"/>
      <c r="P950" s="1025"/>
    </row>
    <row r="951" spans="1:16" ht="15" x14ac:dyDescent="0.2">
      <c r="A951" s="231"/>
      <c r="B951" s="288"/>
      <c r="C951" s="695"/>
      <c r="D951" s="695"/>
      <c r="E951" s="695"/>
      <c r="F951" s="1025"/>
      <c r="G951" s="290" t="s">
        <v>311</v>
      </c>
      <c r="H951" s="695" t="s">
        <v>421</v>
      </c>
      <c r="I951" s="695">
        <v>6.6</v>
      </c>
      <c r="J951" s="695">
        <f>stone</f>
        <v>2075.9</v>
      </c>
      <c r="K951" s="695">
        <f>I951*J951</f>
        <v>13700.94</v>
      </c>
      <c r="L951" s="288"/>
      <c r="M951" s="1018"/>
      <c r="N951" s="289"/>
      <c r="O951" s="290"/>
      <c r="P951" s="1025"/>
    </row>
    <row r="952" spans="1:16" x14ac:dyDescent="0.2">
      <c r="A952" s="231"/>
      <c r="B952" s="698"/>
      <c r="C952" s="699"/>
      <c r="D952" s="699"/>
      <c r="E952" s="699"/>
      <c r="F952" s="696"/>
      <c r="G952" s="290"/>
      <c r="H952" s="695"/>
      <c r="I952" s="695"/>
      <c r="J952" s="695"/>
      <c r="K952" s="695"/>
      <c r="L952" s="288"/>
      <c r="M952" s="1018"/>
      <c r="N952" s="289"/>
      <c r="O952" s="290"/>
      <c r="P952" s="1025"/>
    </row>
    <row r="953" spans="1:16" x14ac:dyDescent="0.2">
      <c r="A953" s="241"/>
      <c r="B953" s="242"/>
      <c r="C953" s="243"/>
      <c r="D953" s="243"/>
      <c r="E953" s="244" t="s">
        <v>39</v>
      </c>
      <c r="F953" s="245">
        <f>SUM(F948:F951)</f>
        <v>9370</v>
      </c>
      <c r="G953" s="242"/>
      <c r="H953" s="243"/>
      <c r="I953" s="243"/>
      <c r="J953" s="244" t="s">
        <v>40</v>
      </c>
      <c r="K953" s="245">
        <f>SUM(K948:K951)</f>
        <v>23562.7508796</v>
      </c>
      <c r="L953" s="242"/>
      <c r="M953" s="243"/>
      <c r="N953" s="243"/>
      <c r="O953" s="246" t="s">
        <v>41</v>
      </c>
      <c r="P953" s="245">
        <f>SUM(P948:P948)</f>
        <v>0</v>
      </c>
    </row>
    <row r="954" spans="1:16" x14ac:dyDescent="0.2">
      <c r="A954" s="284"/>
      <c r="B954" s="285"/>
      <c r="C954" s="575"/>
      <c r="D954" s="575"/>
      <c r="E954" s="575"/>
      <c r="F954" s="252" t="s">
        <v>29</v>
      </c>
      <c r="G954" s="248">
        <f>F953+K953+P953</f>
        <v>32932.750879600004</v>
      </c>
      <c r="H954" s="575"/>
      <c r="I954" s="249"/>
      <c r="J954" s="250"/>
      <c r="K954" s="251"/>
      <c r="L954" s="575"/>
      <c r="M954" s="575"/>
      <c r="N954" s="575"/>
      <c r="O954" s="575"/>
      <c r="P954" s="575"/>
    </row>
    <row r="955" spans="1:16" x14ac:dyDescent="0.2">
      <c r="A955" s="284"/>
      <c r="B955" s="285"/>
      <c r="C955" s="575"/>
      <c r="D955" s="575"/>
      <c r="E955" s="575"/>
      <c r="F955" s="252" t="s">
        <v>31</v>
      </c>
      <c r="G955" s="248">
        <f>G954*0.15</f>
        <v>4939.9126319400002</v>
      </c>
      <c r="H955" s="575"/>
      <c r="I955" s="249"/>
      <c r="J955" s="250"/>
      <c r="K955" s="251"/>
      <c r="L955" s="575"/>
      <c r="M955" s="575"/>
      <c r="N955" s="575"/>
      <c r="O955" s="575"/>
      <c r="P955" s="575"/>
    </row>
    <row r="956" spans="1:16" x14ac:dyDescent="0.2">
      <c r="A956" s="247"/>
      <c r="B956" s="575"/>
      <c r="C956" s="575"/>
      <c r="D956" s="575"/>
      <c r="E956" s="1027"/>
      <c r="F956" s="578" t="str">
        <f>"Rate for "&amp;O945&amp;" "&amp;P945&amp; ":"</f>
        <v>Rate for 6 m3:</v>
      </c>
      <c r="G956" s="278">
        <f>SUM(G954:G955)</f>
        <v>37872.663511540006</v>
      </c>
      <c r="H956" s="575"/>
      <c r="I956" s="249"/>
      <c r="J956" s="575"/>
      <c r="K956" s="575"/>
      <c r="L956" s="222"/>
      <c r="M956" s="222"/>
      <c r="N956" s="222"/>
      <c r="O956" s="286"/>
      <c r="P956" s="575"/>
    </row>
    <row r="957" spans="1:16" s="598" customFormat="1" ht="15" x14ac:dyDescent="0.2">
      <c r="A957" s="247"/>
      <c r="B957" s="575"/>
      <c r="C957" s="575"/>
      <c r="D957" s="575"/>
      <c r="E957" s="249"/>
      <c r="F957" s="254" t="s">
        <v>1662</v>
      </c>
      <c r="G957" s="255">
        <f>G956/O945</f>
        <v>6312.1105852566679</v>
      </c>
      <c r="H957" s="249" t="s">
        <v>30</v>
      </c>
      <c r="I957" s="249" t="str">
        <f>P945</f>
        <v>m3</v>
      </c>
      <c r="J957" s="273"/>
      <c r="K957" s="275"/>
      <c r="L957" s="272"/>
      <c r="M957" s="272"/>
      <c r="N957" s="575"/>
      <c r="O957" s="575"/>
      <c r="P957" s="575"/>
    </row>
    <row r="958" spans="1:16" x14ac:dyDescent="0.2">
      <c r="A958" s="253"/>
      <c r="B958" s="249"/>
      <c r="C958" s="249"/>
      <c r="D958" s="249"/>
      <c r="E958" s="249"/>
      <c r="F958" s="254"/>
      <c r="G958" s="255"/>
      <c r="H958" s="249"/>
      <c r="I958" s="249"/>
      <c r="J958" s="256"/>
      <c r="K958" s="275"/>
      <c r="L958" s="275"/>
      <c r="M958" s="275"/>
      <c r="N958" s="575"/>
      <c r="O958" s="575"/>
      <c r="P958" s="575"/>
    </row>
    <row r="959" spans="1:16" x14ac:dyDescent="0.2">
      <c r="A959" s="247" t="s">
        <v>27</v>
      </c>
      <c r="B959" s="575">
        <f>B944+1</f>
        <v>36</v>
      </c>
      <c r="C959" s="575"/>
      <c r="D959" s="575"/>
      <c r="E959" s="575"/>
      <c r="F959" s="254"/>
      <c r="G959" s="255"/>
      <c r="H959" s="249"/>
      <c r="I959" s="249"/>
      <c r="J959" s="575"/>
      <c r="K959" s="575"/>
      <c r="L959" s="222"/>
      <c r="M959" s="222"/>
      <c r="N959" s="222"/>
      <c r="O959" s="286"/>
      <c r="P959" s="575"/>
    </row>
    <row r="960" spans="1:16" ht="15" x14ac:dyDescent="0.2">
      <c r="A960" s="690" t="s">
        <v>417</v>
      </c>
      <c r="B960" s="1418" t="s">
        <v>1671</v>
      </c>
      <c r="C960" s="1418"/>
      <c r="D960" s="1418"/>
      <c r="E960" s="1418"/>
      <c r="F960" s="1418"/>
      <c r="G960" s="1418"/>
      <c r="H960" s="1418"/>
      <c r="I960" s="1418"/>
      <c r="J960" s="1418"/>
      <c r="K960" s="1418"/>
      <c r="L960" s="1418"/>
      <c r="M960" s="1418"/>
      <c r="N960" s="222" t="s">
        <v>278</v>
      </c>
      <c r="O960" s="287">
        <v>5</v>
      </c>
      <c r="P960" s="575" t="s">
        <v>421</v>
      </c>
    </row>
    <row r="961" spans="1:16" x14ac:dyDescent="0.2">
      <c r="A961" s="225" t="s">
        <v>1672</v>
      </c>
      <c r="B961" s="226" t="s">
        <v>15</v>
      </c>
      <c r="C961" s="227"/>
      <c r="D961" s="227"/>
      <c r="E961" s="227"/>
      <c r="F961" s="693"/>
      <c r="G961" s="1415" t="s">
        <v>16</v>
      </c>
      <c r="H961" s="1416"/>
      <c r="I961" s="1416"/>
      <c r="J961" s="1416"/>
      <c r="K961" s="1417"/>
      <c r="L961" s="227" t="s">
        <v>17</v>
      </c>
      <c r="M961" s="227"/>
      <c r="N961" s="227"/>
      <c r="O961" s="227"/>
      <c r="P961" s="227"/>
    </row>
    <row r="962" spans="1:16" x14ac:dyDescent="0.2">
      <c r="A962" s="225" t="s">
        <v>273</v>
      </c>
      <c r="B962" s="228" t="s">
        <v>18</v>
      </c>
      <c r="C962" s="229" t="s">
        <v>0</v>
      </c>
      <c r="D962" s="229" t="s">
        <v>5</v>
      </c>
      <c r="E962" s="229" t="s">
        <v>1</v>
      </c>
      <c r="F962" s="694" t="s">
        <v>2</v>
      </c>
      <c r="G962" s="228" t="s">
        <v>19</v>
      </c>
      <c r="H962" s="229" t="s">
        <v>0</v>
      </c>
      <c r="I962" s="229" t="s">
        <v>5</v>
      </c>
      <c r="J962" s="229" t="s">
        <v>1</v>
      </c>
      <c r="K962" s="230" t="s">
        <v>2</v>
      </c>
      <c r="L962" s="228" t="s">
        <v>19</v>
      </c>
      <c r="M962" s="229" t="s">
        <v>0</v>
      </c>
      <c r="N962" s="229" t="s">
        <v>5</v>
      </c>
      <c r="O962" s="229" t="s">
        <v>1</v>
      </c>
      <c r="P962" s="230" t="s">
        <v>2</v>
      </c>
    </row>
    <row r="963" spans="1:16" x14ac:dyDescent="0.2">
      <c r="A963" s="231" t="s">
        <v>1673</v>
      </c>
      <c r="B963" s="237" t="s">
        <v>21</v>
      </c>
      <c r="C963" s="697" t="s">
        <v>46</v>
      </c>
      <c r="D963" s="697">
        <v>20</v>
      </c>
      <c r="E963" s="697">
        <f>unskilled</f>
        <v>770</v>
      </c>
      <c r="F963" s="236">
        <f>D963*E963</f>
        <v>15400</v>
      </c>
      <c r="G963" s="290" t="s">
        <v>1674</v>
      </c>
      <c r="H963" s="695" t="s">
        <v>198</v>
      </c>
      <c r="I963" s="695">
        <v>5.75</v>
      </c>
      <c r="J963" s="695">
        <f>stone</f>
        <v>2075.9</v>
      </c>
      <c r="K963" s="695">
        <f>I963*J963</f>
        <v>11936.425000000001</v>
      </c>
      <c r="L963" s="237" t="s">
        <v>81</v>
      </c>
      <c r="M963" s="697" t="s">
        <v>23</v>
      </c>
      <c r="N963" s="697">
        <v>0.75</v>
      </c>
      <c r="O963" s="697">
        <f>mixer</f>
        <v>1000</v>
      </c>
      <c r="P963" s="236">
        <f>+O963*N963</f>
        <v>750</v>
      </c>
    </row>
    <row r="964" spans="1:16" x14ac:dyDescent="0.2">
      <c r="A964" s="231"/>
      <c r="B964" s="288" t="s">
        <v>1657</v>
      </c>
      <c r="C964" s="695" t="s">
        <v>46</v>
      </c>
      <c r="D964" s="695">
        <v>7</v>
      </c>
      <c r="E964" s="695">
        <f>skilled</f>
        <v>1070</v>
      </c>
      <c r="F964" s="1025">
        <f>D964*E964</f>
        <v>7490</v>
      </c>
      <c r="G964" s="290" t="s">
        <v>1675</v>
      </c>
      <c r="H964" s="695" t="s">
        <v>1677</v>
      </c>
      <c r="I964" s="695">
        <v>0.66</v>
      </c>
      <c r="J964" s="695">
        <f>+cement</f>
        <v>17013.62</v>
      </c>
      <c r="K964" s="695">
        <f t="shared" ref="K964:K965" si="40">I964*J964</f>
        <v>11228.9892</v>
      </c>
      <c r="L964" s="288"/>
      <c r="M964" s="695"/>
      <c r="N964" s="695"/>
      <c r="O964" s="695"/>
      <c r="P964" s="1025"/>
    </row>
    <row r="965" spans="1:16" x14ac:dyDescent="0.2">
      <c r="A965" s="231"/>
      <c r="B965" s="288"/>
      <c r="C965" s="695"/>
      <c r="D965" s="695"/>
      <c r="E965" s="695"/>
      <c r="F965" s="1025"/>
      <c r="G965" s="290" t="s">
        <v>61</v>
      </c>
      <c r="H965" s="695" t="s">
        <v>198</v>
      </c>
      <c r="I965" s="695">
        <v>1.85</v>
      </c>
      <c r="J965" s="695">
        <f>+sand</f>
        <v>2503.2750000000001</v>
      </c>
      <c r="K965" s="695">
        <f t="shared" si="40"/>
        <v>4631.0587500000001</v>
      </c>
      <c r="L965" s="288"/>
      <c r="M965" s="695"/>
      <c r="N965" s="695"/>
      <c r="O965" s="695"/>
      <c r="P965" s="1025"/>
    </row>
    <row r="966" spans="1:16" x14ac:dyDescent="0.2">
      <c r="A966" s="231"/>
      <c r="B966" s="288"/>
      <c r="C966" s="695"/>
      <c r="D966" s="695"/>
      <c r="E966" s="695"/>
      <c r="F966" s="1025"/>
      <c r="G966" s="290" t="s">
        <v>1676</v>
      </c>
      <c r="H966" s="695" t="s">
        <v>1678</v>
      </c>
      <c r="I966" s="695">
        <v>1</v>
      </c>
      <c r="J966" s="695">
        <f>water*1000</f>
        <v>249.55999999999997</v>
      </c>
      <c r="K966" s="695">
        <f>I966*J966</f>
        <v>249.55999999999997</v>
      </c>
      <c r="L966" s="288"/>
      <c r="M966" s="695"/>
      <c r="N966" s="695"/>
      <c r="O966" s="695"/>
      <c r="P966" s="1025"/>
    </row>
    <row r="967" spans="1:16" x14ac:dyDescent="0.2">
      <c r="A967" s="231"/>
      <c r="B967" s="698"/>
      <c r="C967" s="699"/>
      <c r="D967" s="699"/>
      <c r="E967" s="699"/>
      <c r="F967" s="696"/>
      <c r="G967" s="290"/>
      <c r="H967" s="695"/>
      <c r="I967" s="695"/>
      <c r="J967" s="695"/>
      <c r="K967" s="695"/>
      <c r="L967" s="698"/>
      <c r="M967" s="699"/>
      <c r="N967" s="699"/>
      <c r="O967" s="699"/>
      <c r="P967" s="696"/>
    </row>
    <row r="968" spans="1:16" x14ac:dyDescent="0.2">
      <c r="A968" s="241"/>
      <c r="B968" s="242"/>
      <c r="C968" s="243"/>
      <c r="D968" s="243"/>
      <c r="E968" s="244" t="s">
        <v>39</v>
      </c>
      <c r="F968" s="245">
        <f>SUM(F963:F966)</f>
        <v>22890</v>
      </c>
      <c r="G968" s="242"/>
      <c r="H968" s="243"/>
      <c r="I968" s="243"/>
      <c r="J968" s="244" t="s">
        <v>40</v>
      </c>
      <c r="K968" s="245">
        <f>SUM(K963:K966)</f>
        <v>28046.032950000001</v>
      </c>
      <c r="L968" s="242"/>
      <c r="M968" s="243"/>
      <c r="N968" s="243"/>
      <c r="O968" s="246" t="s">
        <v>41</v>
      </c>
      <c r="P968" s="245">
        <f>SUM(P963:P963)</f>
        <v>750</v>
      </c>
    </row>
    <row r="969" spans="1:16" x14ac:dyDescent="0.2">
      <c r="A969" s="284"/>
      <c r="B969" s="285"/>
      <c r="C969" s="575"/>
      <c r="D969" s="575"/>
      <c r="E969" s="575"/>
      <c r="F969" s="252" t="s">
        <v>29</v>
      </c>
      <c r="G969" s="248">
        <f>F968+K968+P968</f>
        <v>51686.032950000001</v>
      </c>
      <c r="H969" s="575"/>
      <c r="I969" s="249"/>
      <c r="J969" s="1420" t="s">
        <v>1679</v>
      </c>
      <c r="K969" s="1420"/>
      <c r="L969" s="1420"/>
      <c r="M969" s="1420"/>
      <c r="N969" s="1420"/>
      <c r="O969" s="1420"/>
      <c r="P969" s="575"/>
    </row>
    <row r="970" spans="1:16" x14ac:dyDescent="0.2">
      <c r="A970" s="284"/>
      <c r="B970" s="285"/>
      <c r="C970" s="575"/>
      <c r="D970" s="575"/>
      <c r="E970" s="575"/>
      <c r="F970" s="252" t="s">
        <v>31</v>
      </c>
      <c r="G970" s="248">
        <f>G969*0.15</f>
        <v>7752.9049424999994</v>
      </c>
      <c r="H970" s="575"/>
      <c r="I970" s="249"/>
      <c r="J970" s="1421"/>
      <c r="K970" s="1421"/>
      <c r="L970" s="1421"/>
      <c r="M970" s="1421"/>
      <c r="N970" s="1421"/>
      <c r="O970" s="1421"/>
      <c r="P970" s="575"/>
    </row>
    <row r="971" spans="1:16" x14ac:dyDescent="0.2">
      <c r="A971" s="247"/>
      <c r="B971" s="575"/>
      <c r="C971" s="575"/>
      <c r="D971" s="575"/>
      <c r="E971" s="1027"/>
      <c r="F971" s="578" t="str">
        <f>"Rate for "&amp;O960&amp;" "&amp;P960&amp; ":"</f>
        <v>Rate for 5 m3:</v>
      </c>
      <c r="G971" s="278">
        <f>SUM(G969:G970)</f>
        <v>59438.937892499998</v>
      </c>
      <c r="H971" s="575"/>
      <c r="I971" s="249"/>
      <c r="J971" s="1421"/>
      <c r="K971" s="1421"/>
      <c r="L971" s="1421"/>
      <c r="M971" s="1421"/>
      <c r="N971" s="1421"/>
      <c r="O971" s="1421"/>
      <c r="P971" s="575"/>
    </row>
    <row r="972" spans="1:16" s="598" customFormat="1" ht="15" x14ac:dyDescent="0.2">
      <c r="A972" s="247"/>
      <c r="B972" s="575"/>
      <c r="C972" s="575"/>
      <c r="D972" s="575"/>
      <c r="E972" s="249"/>
      <c r="F972" s="254" t="s">
        <v>1662</v>
      </c>
      <c r="G972" s="255">
        <f>G971/O960</f>
        <v>11887.7875785</v>
      </c>
      <c r="H972" s="249" t="s">
        <v>30</v>
      </c>
      <c r="I972" s="249" t="str">
        <f>P960</f>
        <v>m3</v>
      </c>
      <c r="J972" s="1421"/>
      <c r="K972" s="1421"/>
      <c r="L972" s="1421"/>
      <c r="M972" s="1421"/>
      <c r="N972" s="1421"/>
      <c r="O972" s="1421"/>
      <c r="P972" s="575"/>
    </row>
    <row r="974" spans="1:16" hidden="1" x14ac:dyDescent="0.2">
      <c r="A974" s="247" t="s">
        <v>27</v>
      </c>
      <c r="B974" s="575">
        <f>B959+1</f>
        <v>37</v>
      </c>
      <c r="C974" s="575"/>
      <c r="D974" s="575"/>
      <c r="E974" s="575"/>
      <c r="F974" s="254"/>
      <c r="G974" s="255"/>
      <c r="H974" s="249"/>
      <c r="I974" s="249"/>
      <c r="J974" s="575"/>
      <c r="K974" s="575"/>
      <c r="L974" s="222"/>
      <c r="M974" s="222"/>
      <c r="N974" s="222"/>
      <c r="O974" s="286"/>
      <c r="P974" s="575"/>
    </row>
    <row r="975" spans="1:16" ht="41.25" hidden="1" customHeight="1" x14ac:dyDescent="0.2">
      <c r="A975" s="690" t="s">
        <v>417</v>
      </c>
      <c r="B975" s="1418" t="s">
        <v>1680</v>
      </c>
      <c r="C975" s="1418"/>
      <c r="D975" s="1418"/>
      <c r="E975" s="1418"/>
      <c r="F975" s="1418"/>
      <c r="G975" s="1418"/>
      <c r="H975" s="1418"/>
      <c r="I975" s="1418"/>
      <c r="J975" s="1418"/>
      <c r="K975" s="1418"/>
      <c r="L975" s="1418"/>
      <c r="M975" s="1418"/>
      <c r="N975" s="222" t="s">
        <v>278</v>
      </c>
      <c r="O975" s="287">
        <v>5</v>
      </c>
      <c r="P975" s="575" t="s">
        <v>421</v>
      </c>
    </row>
    <row r="976" spans="1:16" hidden="1" x14ac:dyDescent="0.2">
      <c r="A976" s="225" t="s">
        <v>1672</v>
      </c>
      <c r="B976" s="226" t="s">
        <v>15</v>
      </c>
      <c r="C976" s="227"/>
      <c r="D976" s="227"/>
      <c r="E976" s="227"/>
      <c r="F976" s="693"/>
      <c r="G976" s="1415" t="s">
        <v>16</v>
      </c>
      <c r="H976" s="1416"/>
      <c r="I976" s="1416"/>
      <c r="J976" s="1416"/>
      <c r="K976" s="1417"/>
      <c r="L976" s="227" t="s">
        <v>17</v>
      </c>
      <c r="M976" s="227"/>
      <c r="N976" s="227"/>
      <c r="O976" s="227"/>
      <c r="P976" s="227"/>
    </row>
    <row r="977" spans="1:16" hidden="1" x14ac:dyDescent="0.2">
      <c r="A977" s="225" t="s">
        <v>273</v>
      </c>
      <c r="B977" s="228" t="s">
        <v>18</v>
      </c>
      <c r="C977" s="229" t="s">
        <v>0</v>
      </c>
      <c r="D977" s="229" t="s">
        <v>5</v>
      </c>
      <c r="E977" s="229" t="s">
        <v>1</v>
      </c>
      <c r="F977" s="694" t="s">
        <v>2</v>
      </c>
      <c r="G977" s="228" t="s">
        <v>19</v>
      </c>
      <c r="H977" s="229" t="s">
        <v>0</v>
      </c>
      <c r="I977" s="229" t="s">
        <v>5</v>
      </c>
      <c r="J977" s="229" t="s">
        <v>1</v>
      </c>
      <c r="K977" s="230" t="s">
        <v>2</v>
      </c>
      <c r="L977" s="228" t="s">
        <v>19</v>
      </c>
      <c r="M977" s="229" t="s">
        <v>0</v>
      </c>
      <c r="N977" s="229" t="s">
        <v>5</v>
      </c>
      <c r="O977" s="229" t="s">
        <v>1</v>
      </c>
      <c r="P977" s="230" t="s">
        <v>2</v>
      </c>
    </row>
    <row r="978" spans="1:16" hidden="1" x14ac:dyDescent="0.2">
      <c r="A978" s="231" t="s">
        <v>1673</v>
      </c>
      <c r="B978" s="237" t="s">
        <v>21</v>
      </c>
      <c r="C978" s="697" t="s">
        <v>46</v>
      </c>
      <c r="D978" s="697">
        <v>15</v>
      </c>
      <c r="E978" s="697">
        <f>unskilled</f>
        <v>770</v>
      </c>
      <c r="F978" s="236">
        <f>D978*E978</f>
        <v>11550</v>
      </c>
      <c r="G978" s="290" t="s">
        <v>1674</v>
      </c>
      <c r="H978" s="695" t="s">
        <v>198</v>
      </c>
      <c r="I978" s="695">
        <v>5.75</v>
      </c>
      <c r="J978" s="695">
        <f>stone</f>
        <v>2075.9</v>
      </c>
      <c r="K978" s="695">
        <f>I978*J978</f>
        <v>11936.425000000001</v>
      </c>
      <c r="L978" s="237" t="s">
        <v>81</v>
      </c>
      <c r="M978" s="697" t="s">
        <v>23</v>
      </c>
      <c r="N978" s="697">
        <v>0.75</v>
      </c>
      <c r="O978" s="697">
        <f>mixer</f>
        <v>1000</v>
      </c>
      <c r="P978" s="236">
        <f>+O978*N978</f>
        <v>750</v>
      </c>
    </row>
    <row r="979" spans="1:16" hidden="1" x14ac:dyDescent="0.2">
      <c r="A979" s="231"/>
      <c r="B979" s="288" t="s">
        <v>1657</v>
      </c>
      <c r="C979" s="695" t="s">
        <v>46</v>
      </c>
      <c r="D979" s="695">
        <v>7</v>
      </c>
      <c r="E979" s="695">
        <f>skilled</f>
        <v>1070</v>
      </c>
      <c r="F979" s="1025">
        <f>D979*E979</f>
        <v>7490</v>
      </c>
      <c r="G979" s="290" t="s">
        <v>1675</v>
      </c>
      <c r="H979" s="695" t="s">
        <v>1677</v>
      </c>
      <c r="I979" s="695">
        <v>0.66</v>
      </c>
      <c r="J979" s="695">
        <f>+cement</f>
        <v>17013.62</v>
      </c>
      <c r="K979" s="695">
        <f t="shared" ref="K979:K980" si="41">I979*J979</f>
        <v>11228.9892</v>
      </c>
      <c r="L979" s="288"/>
      <c r="M979" s="695"/>
      <c r="N979" s="695"/>
      <c r="O979" s="695"/>
      <c r="P979" s="1025"/>
    </row>
    <row r="980" spans="1:16" hidden="1" x14ac:dyDescent="0.2">
      <c r="A980" s="231"/>
      <c r="B980" s="288"/>
      <c r="C980" s="695"/>
      <c r="D980" s="695"/>
      <c r="E980" s="695"/>
      <c r="F980" s="1025"/>
      <c r="G980" s="290" t="s">
        <v>61</v>
      </c>
      <c r="H980" s="695" t="s">
        <v>198</v>
      </c>
      <c r="I980" s="695">
        <v>1.85</v>
      </c>
      <c r="J980" s="695">
        <f>+sand</f>
        <v>2503.2750000000001</v>
      </c>
      <c r="K980" s="695">
        <f t="shared" si="41"/>
        <v>4631.0587500000001</v>
      </c>
      <c r="L980" s="288"/>
      <c r="M980" s="695"/>
      <c r="N980" s="695"/>
      <c r="O980" s="695"/>
      <c r="P980" s="1025"/>
    </row>
    <row r="981" spans="1:16" hidden="1" x14ac:dyDescent="0.2">
      <c r="A981" s="231"/>
      <c r="B981" s="288"/>
      <c r="C981" s="695"/>
      <c r="D981" s="695"/>
      <c r="E981" s="695"/>
      <c r="F981" s="1025"/>
      <c r="G981" s="290" t="s">
        <v>1676</v>
      </c>
      <c r="H981" s="695" t="s">
        <v>1678</v>
      </c>
      <c r="I981" s="695">
        <v>1</v>
      </c>
      <c r="J981" s="695">
        <f>water*1000</f>
        <v>249.55999999999997</v>
      </c>
      <c r="K981" s="695">
        <f>I981*J981</f>
        <v>249.55999999999997</v>
      </c>
      <c r="L981" s="288"/>
      <c r="M981" s="695"/>
      <c r="N981" s="695"/>
      <c r="O981" s="695"/>
      <c r="P981" s="1025"/>
    </row>
    <row r="982" spans="1:16" hidden="1" x14ac:dyDescent="0.2">
      <c r="A982" s="231"/>
      <c r="B982" s="698"/>
      <c r="C982" s="699"/>
      <c r="D982" s="699"/>
      <c r="E982" s="699"/>
      <c r="F982" s="696"/>
      <c r="G982" s="290"/>
      <c r="H982" s="695"/>
      <c r="I982" s="695"/>
      <c r="J982" s="695"/>
      <c r="K982" s="695"/>
      <c r="L982" s="698"/>
      <c r="M982" s="699"/>
      <c r="N982" s="699"/>
      <c r="O982" s="699"/>
      <c r="P982" s="696"/>
    </row>
    <row r="983" spans="1:16" hidden="1" x14ac:dyDescent="0.2">
      <c r="A983" s="241"/>
      <c r="B983" s="242"/>
      <c r="C983" s="243"/>
      <c r="D983" s="243"/>
      <c r="E983" s="244" t="s">
        <v>39</v>
      </c>
      <c r="F983" s="245">
        <f>SUM(F978:F981)</f>
        <v>19040</v>
      </c>
      <c r="G983" s="242"/>
      <c r="H983" s="243"/>
      <c r="I983" s="243"/>
      <c r="J983" s="244" t="s">
        <v>40</v>
      </c>
      <c r="K983" s="245">
        <f>SUM(K978:K981)</f>
        <v>28046.032950000001</v>
      </c>
      <c r="L983" s="242"/>
      <c r="M983" s="243"/>
      <c r="N983" s="243"/>
      <c r="O983" s="246" t="s">
        <v>41</v>
      </c>
      <c r="P983" s="245">
        <f>SUM(P978:P978)</f>
        <v>750</v>
      </c>
    </row>
    <row r="984" spans="1:16" hidden="1" x14ac:dyDescent="0.2">
      <c r="A984" s="284"/>
      <c r="B984" s="285"/>
      <c r="C984" s="575"/>
      <c r="D984" s="575"/>
      <c r="E984" s="575"/>
      <c r="F984" s="252" t="s">
        <v>29</v>
      </c>
      <c r="G984" s="248">
        <f>F983+K983+P983</f>
        <v>47836.032950000001</v>
      </c>
      <c r="H984" s="575"/>
      <c r="I984" s="249"/>
      <c r="J984" s="1420" t="s">
        <v>1679</v>
      </c>
      <c r="K984" s="1420"/>
      <c r="L984" s="1420"/>
      <c r="M984" s="1420"/>
      <c r="N984" s="1420"/>
      <c r="O984" s="1420"/>
      <c r="P984" s="575"/>
    </row>
    <row r="985" spans="1:16" hidden="1" x14ac:dyDescent="0.2">
      <c r="A985" s="284"/>
      <c r="B985" s="285"/>
      <c r="C985" s="575"/>
      <c r="D985" s="575"/>
      <c r="E985" s="575"/>
      <c r="F985" s="252" t="s">
        <v>31</v>
      </c>
      <c r="G985" s="248">
        <f>G984*0.15</f>
        <v>7175.4049425000003</v>
      </c>
      <c r="H985" s="575"/>
      <c r="I985" s="249"/>
      <c r="J985" s="1421"/>
      <c r="K985" s="1421"/>
      <c r="L985" s="1421"/>
      <c r="M985" s="1421"/>
      <c r="N985" s="1421"/>
      <c r="O985" s="1421"/>
      <c r="P985" s="575"/>
    </row>
    <row r="986" spans="1:16" hidden="1" x14ac:dyDescent="0.2">
      <c r="A986" s="247"/>
      <c r="B986" s="575"/>
      <c r="C986" s="575"/>
      <c r="D986" s="575"/>
      <c r="E986" s="1027"/>
      <c r="F986" s="578" t="str">
        <f>"Rate for "&amp;O975&amp;" "&amp;P975&amp; ":"</f>
        <v>Rate for 5 m3:</v>
      </c>
      <c r="G986" s="278">
        <f>SUM(G984:G985)</f>
        <v>55011.437892499998</v>
      </c>
      <c r="H986" s="575"/>
      <c r="I986" s="249"/>
      <c r="J986" s="1421"/>
      <c r="K986" s="1421"/>
      <c r="L986" s="1421"/>
      <c r="M986" s="1421"/>
      <c r="N986" s="1421"/>
      <c r="O986" s="1421"/>
      <c r="P986" s="575"/>
    </row>
    <row r="987" spans="1:16" s="598" customFormat="1" ht="15" hidden="1" x14ac:dyDescent="0.2">
      <c r="A987" s="247"/>
      <c r="B987" s="575"/>
      <c r="C987" s="575"/>
      <c r="D987" s="575"/>
      <c r="E987" s="249"/>
      <c r="F987" s="254" t="s">
        <v>1662</v>
      </c>
      <c r="G987" s="255">
        <f>G986/O975</f>
        <v>11002.2875785</v>
      </c>
      <c r="H987" s="249" t="s">
        <v>30</v>
      </c>
      <c r="I987" s="249" t="str">
        <f>P975</f>
        <v>m3</v>
      </c>
      <c r="J987" s="1421"/>
      <c r="K987" s="1421"/>
      <c r="L987" s="1421"/>
      <c r="M987" s="1421"/>
      <c r="N987" s="1421"/>
      <c r="O987" s="1421"/>
      <c r="P987" s="575"/>
    </row>
    <row r="988" spans="1:16" hidden="1" x14ac:dyDescent="0.2"/>
    <row r="989" spans="1:16" x14ac:dyDescent="0.2">
      <c r="A989" s="249" t="s">
        <v>27</v>
      </c>
      <c r="B989" s="256">
        <f>B959+1</f>
        <v>37</v>
      </c>
      <c r="C989" s="274"/>
      <c r="D989" s="249"/>
      <c r="E989" s="249"/>
      <c r="F989" s="249"/>
      <c r="G989" s="249"/>
      <c r="H989" s="249"/>
      <c r="I989" s="249"/>
      <c r="J989" s="249"/>
      <c r="K989" s="249"/>
      <c r="L989" s="249"/>
      <c r="M989" s="249"/>
      <c r="N989" s="1013" t="s">
        <v>13</v>
      </c>
      <c r="O989" s="249">
        <v>300</v>
      </c>
      <c r="P989" s="256" t="s">
        <v>38</v>
      </c>
    </row>
    <row r="990" spans="1:16" ht="28.5" customHeight="1" x14ac:dyDescent="0.2">
      <c r="A990" s="1014" t="s">
        <v>12</v>
      </c>
      <c r="B990" s="1422" t="s">
        <v>1681</v>
      </c>
      <c r="C990" s="1422"/>
      <c r="D990" s="1422"/>
      <c r="E990" s="1422"/>
      <c r="F990" s="1422"/>
      <c r="G990" s="1422"/>
      <c r="H990" s="1422"/>
      <c r="I990" s="1422"/>
      <c r="J990" s="1422"/>
      <c r="K990" s="1422"/>
      <c r="L990" s="1422"/>
      <c r="M990" s="1422"/>
      <c r="N990" s="1422"/>
      <c r="O990" s="1422"/>
      <c r="P990" s="1422"/>
    </row>
    <row r="991" spans="1:16" x14ac:dyDescent="0.2">
      <c r="A991" s="225" t="s">
        <v>249</v>
      </c>
      <c r="B991" s="226" t="s">
        <v>15</v>
      </c>
      <c r="C991" s="227"/>
      <c r="D991" s="227"/>
      <c r="E991" s="227"/>
      <c r="F991" s="226"/>
      <c r="G991" s="1415" t="s">
        <v>16</v>
      </c>
      <c r="H991" s="1416"/>
      <c r="I991" s="1416"/>
      <c r="J991" s="1416"/>
      <c r="K991" s="1417"/>
      <c r="L991" s="227" t="s">
        <v>17</v>
      </c>
      <c r="M991" s="227"/>
      <c r="N991" s="227"/>
      <c r="O991" s="227"/>
      <c r="P991" s="227"/>
    </row>
    <row r="992" spans="1:16" x14ac:dyDescent="0.2">
      <c r="A992" s="225" t="s">
        <v>273</v>
      </c>
      <c r="B992" s="228" t="s">
        <v>18</v>
      </c>
      <c r="C992" s="229" t="s">
        <v>0</v>
      </c>
      <c r="D992" s="229" t="s">
        <v>5</v>
      </c>
      <c r="E992" s="229" t="s">
        <v>1</v>
      </c>
      <c r="F992" s="230" t="s">
        <v>2</v>
      </c>
      <c r="G992" s="228" t="s">
        <v>19</v>
      </c>
      <c r="H992" s="229" t="s">
        <v>0</v>
      </c>
      <c r="I992" s="229" t="s">
        <v>5</v>
      </c>
      <c r="J992" s="229" t="s">
        <v>1</v>
      </c>
      <c r="K992" s="230" t="s">
        <v>2</v>
      </c>
      <c r="L992" s="228" t="s">
        <v>19</v>
      </c>
      <c r="M992" s="229" t="s">
        <v>0</v>
      </c>
      <c r="N992" s="229" t="s">
        <v>5</v>
      </c>
      <c r="O992" s="229" t="s">
        <v>1</v>
      </c>
      <c r="P992" s="230" t="s">
        <v>2</v>
      </c>
    </row>
    <row r="993" spans="1:16" x14ac:dyDescent="0.2">
      <c r="A993" s="282"/>
      <c r="B993" s="237"/>
      <c r="C993" s="233"/>
      <c r="D993" s="234"/>
      <c r="E993" s="235"/>
      <c r="F993" s="236"/>
      <c r="G993" s="237"/>
      <c r="H993" s="233"/>
      <c r="I993" s="234"/>
      <c r="J993" s="235"/>
      <c r="K993" s="236"/>
      <c r="L993" s="237" t="s">
        <v>52</v>
      </c>
      <c r="M993" s="233" t="s">
        <v>23</v>
      </c>
      <c r="N993" s="234">
        <f>6</f>
        <v>6</v>
      </c>
      <c r="O993" s="235">
        <f>grader</f>
        <v>1600</v>
      </c>
      <c r="P993" s="236">
        <f>O993*N993</f>
        <v>9600</v>
      </c>
    </row>
    <row r="994" spans="1:16" x14ac:dyDescent="0.2">
      <c r="A994" s="231">
        <v>12.3</v>
      </c>
      <c r="B994" s="1021" t="s">
        <v>32</v>
      </c>
      <c r="C994" s="1022" t="s">
        <v>46</v>
      </c>
      <c r="D994" s="1023">
        <f>3</f>
        <v>3</v>
      </c>
      <c r="E994" s="1024">
        <f>skilled</f>
        <v>1070</v>
      </c>
      <c r="F994" s="1025">
        <f>ROUND(E994*D994,2)</f>
        <v>3210</v>
      </c>
      <c r="G994" s="1035" t="s">
        <v>48</v>
      </c>
      <c r="H994" s="1022" t="s">
        <v>38</v>
      </c>
      <c r="I994" s="1023">
        <f>384</f>
        <v>384</v>
      </c>
      <c r="J994" s="1024">
        <f>filtermat</f>
        <v>2174.1999999999998</v>
      </c>
      <c r="K994" s="1025">
        <f>ROUND(J994*I994,2)</f>
        <v>834892.80000000005</v>
      </c>
      <c r="L994" s="1021" t="s">
        <v>53</v>
      </c>
      <c r="M994" s="1022" t="s">
        <v>23</v>
      </c>
      <c r="N994" s="1023">
        <f>6</f>
        <v>6</v>
      </c>
      <c r="O994" s="1024">
        <f>vibratingroller</f>
        <v>800</v>
      </c>
      <c r="P994" s="1025">
        <f>O994*N994</f>
        <v>4800</v>
      </c>
    </row>
    <row r="995" spans="1:16" x14ac:dyDescent="0.2">
      <c r="A995" s="231"/>
      <c r="B995" s="1021" t="s">
        <v>21</v>
      </c>
      <c r="C995" s="1022" t="s">
        <v>46</v>
      </c>
      <c r="D995" s="1023">
        <f>15</f>
        <v>15</v>
      </c>
      <c r="E995" s="1024">
        <f>unskilled</f>
        <v>770</v>
      </c>
      <c r="F995" s="1025">
        <f>ROUND(E995*D995,2)</f>
        <v>11550</v>
      </c>
      <c r="G995" s="1035" t="s">
        <v>9</v>
      </c>
      <c r="H995" s="1022" t="s">
        <v>1677</v>
      </c>
      <c r="I995" s="1023">
        <f>24</f>
        <v>24</v>
      </c>
      <c r="J995" s="1024">
        <f>cement</f>
        <v>17013.62</v>
      </c>
      <c r="K995" s="1025">
        <f>ROUND(J995*I995,2)</f>
        <v>408326.88</v>
      </c>
      <c r="L995" s="1021"/>
      <c r="M995" s="1022"/>
      <c r="N995" s="1023"/>
      <c r="O995" s="1024"/>
      <c r="P995" s="1025"/>
    </row>
    <row r="996" spans="1:16" x14ac:dyDescent="0.2">
      <c r="A996" s="231"/>
      <c r="B996" s="1021"/>
      <c r="C996" s="1022"/>
      <c r="D996" s="1023"/>
      <c r="E996" s="1024"/>
      <c r="F996" s="1025"/>
      <c r="G996" s="1035" t="s">
        <v>35</v>
      </c>
      <c r="H996" s="1022" t="s">
        <v>1678</v>
      </c>
      <c r="I996" s="1023">
        <f>72</f>
        <v>72</v>
      </c>
      <c r="J996" s="1024">
        <f>water*1000</f>
        <v>249.55999999999997</v>
      </c>
      <c r="K996" s="1025">
        <f>ROUND(J996*I996,2)</f>
        <v>17968.32</v>
      </c>
      <c r="L996" s="1021" t="s">
        <v>54</v>
      </c>
      <c r="M996" s="1022" t="s">
        <v>23</v>
      </c>
      <c r="N996" s="1023">
        <f>12</f>
        <v>12</v>
      </c>
      <c r="O996" s="1024">
        <f>loader</f>
        <v>1000</v>
      </c>
      <c r="P996" s="1025">
        <f>O996*N996</f>
        <v>12000</v>
      </c>
    </row>
    <row r="997" spans="1:16" x14ac:dyDescent="0.2">
      <c r="A997" s="241"/>
      <c r="B997" s="242"/>
      <c r="C997" s="243"/>
      <c r="D997" s="243"/>
      <c r="E997" s="244" t="s">
        <v>39</v>
      </c>
      <c r="F997" s="245">
        <f>SUM(F993:F996)</f>
        <v>14760</v>
      </c>
      <c r="G997" s="242"/>
      <c r="H997" s="243"/>
      <c r="I997" s="243"/>
      <c r="J997" s="244" t="s">
        <v>40</v>
      </c>
      <c r="K997" s="1015">
        <f>SUM(K994:K996)</f>
        <v>1261188.0000000002</v>
      </c>
      <c r="L997" s="242"/>
      <c r="M997" s="243"/>
      <c r="N997" s="243"/>
      <c r="O997" s="246" t="s">
        <v>41</v>
      </c>
      <c r="P997" s="245">
        <f>SUM(P993:P996)</f>
        <v>26400</v>
      </c>
    </row>
    <row r="998" spans="1:16" x14ac:dyDescent="0.2">
      <c r="A998" s="253"/>
      <c r="B998" s="249"/>
      <c r="C998" s="249"/>
      <c r="D998" s="249"/>
      <c r="E998" s="249"/>
      <c r="F998" s="1013" t="s">
        <v>29</v>
      </c>
      <c r="G998" s="251">
        <f>F997+K997+P997</f>
        <v>1302348.0000000002</v>
      </c>
      <c r="H998" s="249"/>
      <c r="I998" s="249"/>
      <c r="J998" s="250"/>
      <c r="K998" s="251"/>
      <c r="L998" s="249"/>
      <c r="M998" s="249"/>
      <c r="N998" s="249"/>
      <c r="O998" s="249"/>
      <c r="P998" s="249"/>
    </row>
    <row r="999" spans="1:16" x14ac:dyDescent="0.2">
      <c r="A999" s="253"/>
      <c r="B999" s="249"/>
      <c r="C999" s="249"/>
      <c r="D999" s="249"/>
      <c r="E999" s="249"/>
      <c r="F999" s="250" t="s">
        <v>31</v>
      </c>
      <c r="G999" s="251">
        <f>ROUND(G998*0.15,2)</f>
        <v>195352.2</v>
      </c>
      <c r="H999" s="249"/>
      <c r="I999" s="249"/>
      <c r="J999" s="249"/>
      <c r="K999" s="249"/>
      <c r="L999" s="249"/>
      <c r="M999" s="249"/>
      <c r="N999" s="249"/>
      <c r="O999" s="249"/>
      <c r="P999" s="249"/>
    </row>
    <row r="1000" spans="1:16" x14ac:dyDescent="0.2">
      <c r="A1000" s="247"/>
      <c r="B1000" s="575"/>
      <c r="C1000" s="575"/>
      <c r="D1000" s="575"/>
      <c r="E1000" s="1027"/>
      <c r="F1000" s="578" t="str">
        <f>"Rate for "&amp;O989&amp;" "&amp;P989&amp; ":"</f>
        <v>Rate for 300 m³:</v>
      </c>
      <c r="G1000" s="278">
        <f>SUM(G998:G999)</f>
        <v>1497700.2000000002</v>
      </c>
      <c r="H1000" s="575"/>
      <c r="I1000" s="249"/>
      <c r="J1000" s="249" t="str">
        <f>P989</f>
        <v>m³</v>
      </c>
      <c r="K1000" s="249"/>
      <c r="L1000" s="249"/>
      <c r="M1000" s="249"/>
      <c r="N1000" s="249"/>
      <c r="O1000" s="249"/>
      <c r="P1000" s="575"/>
    </row>
    <row r="1001" spans="1:16" s="598" customFormat="1" ht="15" x14ac:dyDescent="0.2">
      <c r="A1001" s="247"/>
      <c r="B1001" s="575"/>
      <c r="C1001" s="575"/>
      <c r="D1001" s="575"/>
      <c r="E1001" s="249"/>
      <c r="F1001" s="254" t="s">
        <v>1662</v>
      </c>
      <c r="G1001" s="255">
        <f>G1000/O989</f>
        <v>4992.3340000000007</v>
      </c>
      <c r="H1001" s="249" t="s">
        <v>30</v>
      </c>
      <c r="I1001" s="249" t="str">
        <f>P989</f>
        <v>m³</v>
      </c>
      <c r="J1001" s="261"/>
      <c r="K1001" s="261"/>
      <c r="L1001" s="261"/>
      <c r="M1001" s="261"/>
      <c r="N1001" s="261"/>
      <c r="O1001" s="261"/>
      <c r="P1001" s="575"/>
    </row>
    <row r="1002" spans="1:16" x14ac:dyDescent="0.2">
      <c r="A1002" s="575" t="s">
        <v>27</v>
      </c>
      <c r="B1002" s="223">
        <f>B989+1</f>
        <v>38</v>
      </c>
      <c r="C1002" s="222"/>
      <c r="D1002" s="575"/>
      <c r="E1002" s="575"/>
      <c r="F1002" s="575"/>
      <c r="G1002" s="575"/>
      <c r="H1002" s="575"/>
      <c r="I1002" s="575"/>
      <c r="J1002" s="575"/>
      <c r="K1002" s="575"/>
      <c r="L1002" s="575"/>
      <c r="M1002" s="575"/>
      <c r="N1002" s="1020" t="s">
        <v>13</v>
      </c>
      <c r="O1002" s="575">
        <v>300</v>
      </c>
      <c r="P1002" s="223" t="s">
        <v>60</v>
      </c>
    </row>
    <row r="1003" spans="1:16" x14ac:dyDescent="0.2">
      <c r="A1003" s="224" t="s">
        <v>12</v>
      </c>
      <c r="B1003" s="1419" t="s">
        <v>1705</v>
      </c>
      <c r="C1003" s="1419"/>
      <c r="D1003" s="1419"/>
      <c r="E1003" s="1419"/>
      <c r="F1003" s="1419"/>
      <c r="G1003" s="1419"/>
      <c r="H1003" s="1419"/>
      <c r="I1003" s="1419"/>
      <c r="J1003" s="1419"/>
      <c r="K1003" s="1419"/>
      <c r="L1003" s="1419"/>
      <c r="M1003" s="1419"/>
      <c r="N1003" s="1419"/>
      <c r="O1003" s="1419"/>
      <c r="P1003" s="1419"/>
    </row>
    <row r="1004" spans="1:16" x14ac:dyDescent="0.2">
      <c r="A1004" s="225"/>
      <c r="B1004" s="226" t="s">
        <v>15</v>
      </c>
      <c r="C1004" s="227"/>
      <c r="D1004" s="227"/>
      <c r="E1004" s="227"/>
      <c r="F1004" s="226"/>
      <c r="G1004" s="1415" t="s">
        <v>16</v>
      </c>
      <c r="H1004" s="1416"/>
      <c r="I1004" s="1416"/>
      <c r="J1004" s="1416"/>
      <c r="K1004" s="1417"/>
      <c r="L1004" s="227" t="s">
        <v>17</v>
      </c>
      <c r="M1004" s="227"/>
      <c r="N1004" s="227"/>
      <c r="O1004" s="227"/>
      <c r="P1004" s="227"/>
    </row>
    <row r="1005" spans="1:16" x14ac:dyDescent="0.2">
      <c r="A1005" s="225" t="s">
        <v>273</v>
      </c>
      <c r="B1005" s="228" t="s">
        <v>18</v>
      </c>
      <c r="C1005" s="229" t="s">
        <v>0</v>
      </c>
      <c r="D1005" s="229" t="s">
        <v>5</v>
      </c>
      <c r="E1005" s="229" t="s">
        <v>1</v>
      </c>
      <c r="F1005" s="230" t="s">
        <v>2</v>
      </c>
      <c r="G1005" s="228" t="s">
        <v>19</v>
      </c>
      <c r="H1005" s="229" t="s">
        <v>0</v>
      </c>
      <c r="I1005" s="229" t="s">
        <v>5</v>
      </c>
      <c r="J1005" s="229" t="s">
        <v>1</v>
      </c>
      <c r="K1005" s="230" t="s">
        <v>2</v>
      </c>
      <c r="L1005" s="228" t="s">
        <v>19</v>
      </c>
      <c r="M1005" s="229" t="s">
        <v>0</v>
      </c>
      <c r="N1005" s="229" t="s">
        <v>5</v>
      </c>
      <c r="O1005" s="229" t="s">
        <v>1</v>
      </c>
      <c r="P1005" s="230" t="s">
        <v>2</v>
      </c>
    </row>
    <row r="1006" spans="1:16" x14ac:dyDescent="0.2">
      <c r="A1006" s="258" t="s">
        <v>1706</v>
      </c>
      <c r="B1006" s="237"/>
      <c r="C1006" s="233"/>
      <c r="D1006" s="234"/>
      <c r="E1006" s="235"/>
      <c r="F1006" s="236"/>
      <c r="G1006" s="237"/>
      <c r="H1006" s="233"/>
      <c r="I1006" s="234"/>
      <c r="J1006" s="235"/>
      <c r="K1006" s="236"/>
      <c r="L1006" s="237" t="s">
        <v>1707</v>
      </c>
      <c r="M1006" s="233" t="s">
        <v>23</v>
      </c>
      <c r="N1006" s="234">
        <f>6</f>
        <v>6</v>
      </c>
      <c r="O1006" s="1028">
        <v>5891</v>
      </c>
      <c r="P1006" s="236">
        <f>O1006*N1006</f>
        <v>35346</v>
      </c>
    </row>
    <row r="1007" spans="1:16" x14ac:dyDescent="0.2">
      <c r="A1007" s="1029" t="s">
        <v>1708</v>
      </c>
      <c r="B1007" s="1021" t="s">
        <v>32</v>
      </c>
      <c r="C1007" s="1022" t="s">
        <v>46</v>
      </c>
      <c r="D1007" s="1023">
        <v>1</v>
      </c>
      <c r="E1007" s="1024">
        <f>skilled</f>
        <v>1070</v>
      </c>
      <c r="F1007" s="1025">
        <f>ROUND(E1007*D1007,2)</f>
        <v>1070</v>
      </c>
      <c r="G1007" s="1035" t="s">
        <v>35</v>
      </c>
      <c r="H1007" s="1022" t="s">
        <v>1678</v>
      </c>
      <c r="I1007" s="1023">
        <v>72</v>
      </c>
      <c r="J1007" s="1024">
        <f>water*1000</f>
        <v>249.55999999999997</v>
      </c>
      <c r="K1007" s="1025">
        <f>ROUND(J1007*I1007,2)</f>
        <v>17968.32</v>
      </c>
      <c r="L1007" s="1021" t="s">
        <v>1709</v>
      </c>
      <c r="M1007" s="1022" t="s">
        <v>23</v>
      </c>
      <c r="N1007" s="1023">
        <f>6</f>
        <v>6</v>
      </c>
      <c r="O1007" s="572">
        <v>3618</v>
      </c>
      <c r="P1007" s="1025">
        <f>O1007*N1007</f>
        <v>21708</v>
      </c>
    </row>
    <row r="1008" spans="1:16" x14ac:dyDescent="0.2">
      <c r="A1008" s="1029"/>
      <c r="B1008" s="1021" t="s">
        <v>21</v>
      </c>
      <c r="C1008" s="1022" t="s">
        <v>46</v>
      </c>
      <c r="D1008" s="1023">
        <v>10</v>
      </c>
      <c r="E1008" s="1024">
        <f>unskilled</f>
        <v>770</v>
      </c>
      <c r="F1008" s="1025">
        <f>ROUND(E1008*D1008,2)</f>
        <v>7700</v>
      </c>
      <c r="G1008" s="1035"/>
      <c r="H1008" s="1022"/>
      <c r="I1008" s="1023"/>
      <c r="J1008" s="1024"/>
      <c r="K1008" s="1025">
        <f>ROUND(J1008*I1008,2)</f>
        <v>0</v>
      </c>
      <c r="L1008" s="1021" t="s">
        <v>1710</v>
      </c>
      <c r="M1008" s="1022" t="s">
        <v>23</v>
      </c>
      <c r="N1008" s="1023">
        <v>6</v>
      </c>
      <c r="O1008" s="572">
        <v>2413</v>
      </c>
      <c r="P1008" s="1025">
        <f>O1008*N1008</f>
        <v>14478</v>
      </c>
    </row>
    <row r="1009" spans="1:16" x14ac:dyDescent="0.2">
      <c r="A1009" s="1029"/>
      <c r="B1009" s="1021"/>
      <c r="C1009" s="1022"/>
      <c r="D1009" s="1023"/>
      <c r="E1009" s="1024"/>
      <c r="F1009" s="1025"/>
      <c r="G1009" s="1035"/>
      <c r="H1009" s="1022"/>
      <c r="I1009" s="1023"/>
      <c r="J1009" s="1024"/>
      <c r="K1009" s="1025"/>
      <c r="L1009" s="1021"/>
      <c r="M1009" s="1022"/>
      <c r="N1009" s="1023"/>
      <c r="O1009" s="1024"/>
      <c r="P1009" s="1025"/>
    </row>
    <row r="1010" spans="1:16" x14ac:dyDescent="0.2">
      <c r="A1010" s="1029"/>
      <c r="B1010" s="1021"/>
      <c r="C1010" s="1022"/>
      <c r="D1010" s="1023"/>
      <c r="E1010" s="1024"/>
      <c r="F1010" s="1025"/>
      <c r="G1010" s="1035"/>
      <c r="H1010" s="1022"/>
      <c r="I1010" s="1023"/>
      <c r="J1010" s="1024">
        <f>water*1000</f>
        <v>249.55999999999997</v>
      </c>
      <c r="K1010" s="1025">
        <f>ROUND(J1010*I1010,2)</f>
        <v>0</v>
      </c>
      <c r="L1010" s="1021"/>
      <c r="M1010" s="1022"/>
      <c r="N1010" s="1023"/>
      <c r="O1010" s="572"/>
      <c r="P1010" s="1025"/>
    </row>
    <row r="1011" spans="1:16" x14ac:dyDescent="0.2">
      <c r="A1011" s="242"/>
      <c r="B1011" s="242"/>
      <c r="C1011" s="243"/>
      <c r="D1011" s="243"/>
      <c r="E1011" s="244" t="s">
        <v>39</v>
      </c>
      <c r="F1011" s="245">
        <f>SUM(F1006:F1010)</f>
        <v>8770</v>
      </c>
      <c r="G1011" s="242"/>
      <c r="H1011" s="243"/>
      <c r="I1011" s="243"/>
      <c r="J1011" s="244" t="s">
        <v>40</v>
      </c>
      <c r="K1011" s="245">
        <f>SUM(K1007:K1010)</f>
        <v>17968.32</v>
      </c>
      <c r="L1011" s="242"/>
      <c r="M1011" s="243"/>
      <c r="N1011" s="243"/>
      <c r="O1011" s="246" t="s">
        <v>41</v>
      </c>
      <c r="P1011" s="245">
        <f>SUM(P1006:P1010)</f>
        <v>71532</v>
      </c>
    </row>
    <row r="1012" spans="1:16" x14ac:dyDescent="0.2">
      <c r="A1012" s="575"/>
      <c r="B1012" s="575"/>
      <c r="C1012" s="575"/>
      <c r="D1012" s="575"/>
      <c r="E1012" s="575"/>
      <c r="F1012" s="1020" t="s">
        <v>29</v>
      </c>
      <c r="G1012" s="251">
        <f>F1011+K1011+P1011</f>
        <v>98270.32</v>
      </c>
      <c r="H1012" s="575"/>
      <c r="I1012" s="575"/>
      <c r="J1012" s="252"/>
      <c r="K1012" s="251"/>
      <c r="L1012" s="575"/>
      <c r="M1012" s="575"/>
      <c r="N1012" s="575"/>
      <c r="O1012" s="575"/>
      <c r="P1012" s="575"/>
    </row>
    <row r="1013" spans="1:16" x14ac:dyDescent="0.2">
      <c r="A1013" s="575"/>
      <c r="B1013" s="575"/>
      <c r="C1013" s="575"/>
      <c r="D1013" s="575"/>
      <c r="E1013" s="575"/>
      <c r="F1013" s="252" t="s">
        <v>31</v>
      </c>
      <c r="G1013" s="251">
        <f>ROUND(G1012*0.15,2)</f>
        <v>14740.55</v>
      </c>
      <c r="H1013" s="575"/>
      <c r="I1013" s="575"/>
      <c r="J1013" s="575"/>
      <c r="K1013" s="575"/>
      <c r="L1013" s="575"/>
      <c r="M1013" s="575"/>
      <c r="N1013" s="575"/>
      <c r="O1013" s="575"/>
      <c r="P1013" s="575"/>
    </row>
    <row r="1014" spans="1:16" x14ac:dyDescent="0.2">
      <c r="A1014" s="575"/>
      <c r="B1014" s="575"/>
      <c r="C1014" s="575"/>
      <c r="D1014" s="575"/>
      <c r="E1014" s="1027"/>
      <c r="F1014" s="578" t="str">
        <f>"Rate for "&amp;O1002&amp;" "&amp;P1002&amp; ":"</f>
        <v>Rate for 300 cum:</v>
      </c>
      <c r="G1014" s="278">
        <f>SUM(G1012:G1013)</f>
        <v>113010.87000000001</v>
      </c>
      <c r="H1014" s="575"/>
      <c r="I1014" s="575"/>
      <c r="J1014" s="575" t="str">
        <f>P1002</f>
        <v>cum</v>
      </c>
      <c r="K1014" s="575"/>
      <c r="L1014" s="575"/>
      <c r="M1014" s="575"/>
      <c r="N1014" s="575"/>
      <c r="O1014" s="575"/>
      <c r="P1014" s="575"/>
    </row>
    <row r="1015" spans="1:16" s="598" customFormat="1" ht="15" x14ac:dyDescent="0.2">
      <c r="A1015" s="575"/>
      <c r="B1015" s="575"/>
      <c r="C1015" s="575"/>
      <c r="D1015" s="575"/>
      <c r="E1015" s="575"/>
      <c r="F1015" s="1030" t="s">
        <v>1662</v>
      </c>
      <c r="G1015" s="255">
        <f>G1014/O1002</f>
        <v>376.70290000000006</v>
      </c>
      <c r="H1015" s="575" t="s">
        <v>30</v>
      </c>
      <c r="I1015" s="575" t="str">
        <f>P1002</f>
        <v>cum</v>
      </c>
      <c r="J1015" s="261"/>
      <c r="K1015" s="261"/>
      <c r="L1015" s="261"/>
      <c r="M1015" s="261"/>
      <c r="N1015" s="261"/>
      <c r="O1015" s="261"/>
      <c r="P1015" s="575"/>
    </row>
    <row r="1016" spans="1:16" s="598" customFormat="1" x14ac:dyDescent="0.2">
      <c r="A1016" s="575"/>
      <c r="B1016" s="575"/>
      <c r="C1016" s="575"/>
      <c r="D1016" s="575"/>
      <c r="E1016" s="575"/>
      <c r="F1016" s="1030"/>
      <c r="G1016" s="255"/>
      <c r="H1016" s="575"/>
      <c r="I1016" s="575"/>
      <c r="J1016" s="261"/>
      <c r="K1016" s="261"/>
      <c r="L1016" s="261"/>
      <c r="M1016" s="261"/>
      <c r="N1016" s="261"/>
      <c r="O1016" s="261"/>
      <c r="P1016" s="575"/>
    </row>
    <row r="1017" spans="1:16" x14ac:dyDescent="0.2">
      <c r="A1017" s="575" t="s">
        <v>27</v>
      </c>
      <c r="B1017" s="223">
        <f>B1002+1</f>
        <v>39</v>
      </c>
      <c r="C1017" s="222"/>
      <c r="D1017" s="575"/>
      <c r="E1017" s="575"/>
      <c r="F1017" s="575"/>
      <c r="G1017" s="575"/>
      <c r="H1017" s="575"/>
      <c r="I1017" s="575"/>
      <c r="J1017" s="575"/>
      <c r="K1017" s="575"/>
      <c r="L1017" s="575"/>
      <c r="M1017" s="575"/>
      <c r="N1017" s="1020" t="s">
        <v>13</v>
      </c>
      <c r="O1017" s="575">
        <v>300</v>
      </c>
      <c r="P1017" s="223" t="s">
        <v>60</v>
      </c>
    </row>
    <row r="1018" spans="1:16" x14ac:dyDescent="0.2">
      <c r="A1018" s="224" t="s">
        <v>12</v>
      </c>
      <c r="B1018" s="1419" t="s">
        <v>1711</v>
      </c>
      <c r="C1018" s="1419"/>
      <c r="D1018" s="1419"/>
      <c r="E1018" s="1419"/>
      <c r="F1018" s="1419"/>
      <c r="G1018" s="1419"/>
      <c r="H1018" s="1419"/>
      <c r="I1018" s="1419"/>
      <c r="J1018" s="1419"/>
      <c r="K1018" s="1419"/>
      <c r="L1018" s="1419"/>
      <c r="M1018" s="1419"/>
      <c r="N1018" s="1419"/>
      <c r="O1018" s="1419"/>
      <c r="P1018" s="1419"/>
    </row>
    <row r="1019" spans="1:16" x14ac:dyDescent="0.2">
      <c r="A1019" s="225"/>
      <c r="B1019" s="226" t="s">
        <v>15</v>
      </c>
      <c r="C1019" s="227"/>
      <c r="D1019" s="227"/>
      <c r="E1019" s="227"/>
      <c r="F1019" s="226"/>
      <c r="G1019" s="1415" t="s">
        <v>16</v>
      </c>
      <c r="H1019" s="1416"/>
      <c r="I1019" s="1416"/>
      <c r="J1019" s="1416"/>
      <c r="K1019" s="1417"/>
      <c r="L1019" s="227" t="s">
        <v>17</v>
      </c>
      <c r="M1019" s="227"/>
      <c r="N1019" s="227"/>
      <c r="O1019" s="227"/>
      <c r="P1019" s="227"/>
    </row>
    <row r="1020" spans="1:16" x14ac:dyDescent="0.2">
      <c r="A1020" s="225" t="s">
        <v>273</v>
      </c>
      <c r="B1020" s="228" t="s">
        <v>18</v>
      </c>
      <c r="C1020" s="229" t="s">
        <v>0</v>
      </c>
      <c r="D1020" s="229" t="s">
        <v>5</v>
      </c>
      <c r="E1020" s="229" t="s">
        <v>1</v>
      </c>
      <c r="F1020" s="230" t="s">
        <v>2</v>
      </c>
      <c r="G1020" s="228" t="s">
        <v>19</v>
      </c>
      <c r="H1020" s="229" t="s">
        <v>0</v>
      </c>
      <c r="I1020" s="229" t="s">
        <v>5</v>
      </c>
      <c r="J1020" s="229" t="s">
        <v>1</v>
      </c>
      <c r="K1020" s="230" t="s">
        <v>2</v>
      </c>
      <c r="L1020" s="228" t="s">
        <v>19</v>
      </c>
      <c r="M1020" s="229" t="s">
        <v>0</v>
      </c>
      <c r="N1020" s="229" t="s">
        <v>5</v>
      </c>
      <c r="O1020" s="229" t="s">
        <v>1</v>
      </c>
      <c r="P1020" s="230" t="s">
        <v>2</v>
      </c>
    </row>
    <row r="1021" spans="1:16" x14ac:dyDescent="0.2">
      <c r="A1021" s="258" t="s">
        <v>1712</v>
      </c>
      <c r="B1021" s="237"/>
      <c r="C1021" s="233"/>
      <c r="D1021" s="234"/>
      <c r="E1021" s="235"/>
      <c r="F1021" s="236"/>
      <c r="G1021" s="237"/>
      <c r="H1021" s="233"/>
      <c r="I1021" s="234"/>
      <c r="J1021" s="235"/>
      <c r="K1021" s="236"/>
      <c r="L1021" s="1021" t="s">
        <v>1709</v>
      </c>
      <c r="M1021" s="1022" t="s">
        <v>23</v>
      </c>
      <c r="N1021" s="1023">
        <f>6</f>
        <v>6</v>
      </c>
      <c r="O1021" s="572">
        <v>3618</v>
      </c>
      <c r="P1021" s="236">
        <f>O1021*N1021</f>
        <v>21708</v>
      </c>
    </row>
    <row r="1022" spans="1:16" x14ac:dyDescent="0.2">
      <c r="A1022" s="1029" t="s">
        <v>1713</v>
      </c>
      <c r="B1022" s="1021" t="s">
        <v>32</v>
      </c>
      <c r="C1022" s="1022" t="s">
        <v>46</v>
      </c>
      <c r="D1022" s="1023">
        <v>2</v>
      </c>
      <c r="E1022" s="1024">
        <f>skilled</f>
        <v>1070</v>
      </c>
      <c r="F1022" s="1025">
        <f>ROUND(E1022*D1022,2)</f>
        <v>2140</v>
      </c>
      <c r="G1022" s="1035" t="s">
        <v>1714</v>
      </c>
      <c r="H1022" s="1022" t="s">
        <v>1678</v>
      </c>
      <c r="I1022" s="1023">
        <v>384</v>
      </c>
      <c r="J1022" s="1024">
        <v>1766</v>
      </c>
      <c r="K1022" s="1025">
        <f>ROUND(J1022*I1022,2)</f>
        <v>678144</v>
      </c>
      <c r="L1022" s="1021" t="s">
        <v>1710</v>
      </c>
      <c r="M1022" s="1022" t="s">
        <v>23</v>
      </c>
      <c r="N1022" s="1023">
        <v>12</v>
      </c>
      <c r="O1022" s="572">
        <v>2413</v>
      </c>
      <c r="P1022" s="1025">
        <f>O1022*N1022</f>
        <v>28956</v>
      </c>
    </row>
    <row r="1023" spans="1:16" x14ac:dyDescent="0.2">
      <c r="A1023" s="1029"/>
      <c r="B1023" s="1021" t="s">
        <v>21</v>
      </c>
      <c r="C1023" s="1022" t="s">
        <v>46</v>
      </c>
      <c r="D1023" s="1023">
        <v>12</v>
      </c>
      <c r="E1023" s="1024">
        <f>unskilled</f>
        <v>770</v>
      </c>
      <c r="F1023" s="1025">
        <f>ROUND(E1023*D1023,2)</f>
        <v>9240</v>
      </c>
      <c r="G1023" s="1035" t="s">
        <v>35</v>
      </c>
      <c r="H1023" s="1022" t="s">
        <v>1678</v>
      </c>
      <c r="I1023" s="1023">
        <v>18</v>
      </c>
      <c r="J1023" s="1024">
        <f>water*1000</f>
        <v>249.55999999999997</v>
      </c>
      <c r="K1023" s="1025">
        <f>ROUND(J1023*I1023,2)</f>
        <v>4492.08</v>
      </c>
      <c r="L1023" s="1021" t="s">
        <v>1715</v>
      </c>
      <c r="M1023" s="1022" t="s">
        <v>23</v>
      </c>
      <c r="N1023" s="1023">
        <v>12</v>
      </c>
      <c r="O1023" s="572">
        <v>1110</v>
      </c>
      <c r="P1023" s="1025">
        <f>O1023*N1023</f>
        <v>13320</v>
      </c>
    </row>
    <row r="1024" spans="1:16" x14ac:dyDescent="0.2">
      <c r="A1024" s="1029"/>
      <c r="B1024" s="1021"/>
      <c r="C1024" s="1022"/>
      <c r="D1024" s="1023"/>
      <c r="E1024" s="1024"/>
      <c r="F1024" s="1025"/>
      <c r="G1024" s="1035"/>
      <c r="H1024" s="1022"/>
      <c r="I1024" s="1023"/>
      <c r="J1024" s="1024"/>
      <c r="K1024" s="1025"/>
      <c r="L1024" s="1021"/>
      <c r="M1024" s="1022"/>
      <c r="N1024" s="1023"/>
      <c r="O1024" s="1024"/>
      <c r="P1024" s="1025"/>
    </row>
    <row r="1025" spans="1:16" x14ac:dyDescent="0.2">
      <c r="A1025" s="1029"/>
      <c r="B1025" s="1021"/>
      <c r="C1025" s="1022"/>
      <c r="D1025" s="1023"/>
      <c r="E1025" s="1024"/>
      <c r="F1025" s="1025"/>
      <c r="G1025" s="1035"/>
      <c r="H1025" s="1022"/>
      <c r="I1025" s="1023"/>
      <c r="J1025" s="1024">
        <f>water*1000</f>
        <v>249.55999999999997</v>
      </c>
      <c r="K1025" s="1025">
        <f>ROUND(J1025*I1025,2)</f>
        <v>0</v>
      </c>
      <c r="L1025" s="1021"/>
      <c r="M1025" s="1022"/>
      <c r="N1025" s="1023"/>
      <c r="O1025" s="572"/>
      <c r="P1025" s="1025"/>
    </row>
    <row r="1026" spans="1:16" x14ac:dyDescent="0.2">
      <c r="A1026" s="242"/>
      <c r="B1026" s="242"/>
      <c r="C1026" s="243"/>
      <c r="D1026" s="243"/>
      <c r="E1026" s="244" t="s">
        <v>39</v>
      </c>
      <c r="F1026" s="245">
        <f>SUM(F1021:F1025)</f>
        <v>11380</v>
      </c>
      <c r="G1026" s="242"/>
      <c r="H1026" s="243"/>
      <c r="I1026" s="243"/>
      <c r="J1026" s="244" t="s">
        <v>40</v>
      </c>
      <c r="K1026" s="245">
        <f>SUM(K1022:K1025)</f>
        <v>682636.08</v>
      </c>
      <c r="L1026" s="242"/>
      <c r="M1026" s="243"/>
      <c r="N1026" s="243"/>
      <c r="O1026" s="246" t="s">
        <v>41</v>
      </c>
      <c r="P1026" s="245">
        <f>SUM(P1021:P1025)</f>
        <v>63984</v>
      </c>
    </row>
    <row r="1027" spans="1:16" x14ac:dyDescent="0.2">
      <c r="A1027" s="575"/>
      <c r="B1027" s="575"/>
      <c r="C1027" s="575"/>
      <c r="D1027" s="575"/>
      <c r="E1027" s="575"/>
      <c r="F1027" s="1020" t="s">
        <v>29</v>
      </c>
      <c r="G1027" s="251">
        <f>F1026+K1026+P1026</f>
        <v>758000.08</v>
      </c>
      <c r="H1027" s="575"/>
      <c r="I1027" s="575"/>
      <c r="J1027" s="252"/>
      <c r="K1027" s="251"/>
      <c r="L1027" s="575"/>
      <c r="M1027" s="575"/>
      <c r="N1027" s="575"/>
      <c r="O1027" s="575"/>
      <c r="P1027" s="575"/>
    </row>
    <row r="1028" spans="1:16" x14ac:dyDescent="0.2">
      <c r="A1028" s="575"/>
      <c r="B1028" s="575"/>
      <c r="C1028" s="575"/>
      <c r="D1028" s="575"/>
      <c r="E1028" s="575"/>
      <c r="F1028" s="252" t="s">
        <v>31</v>
      </c>
      <c r="G1028" s="251">
        <f>ROUND(G1027*0.15,2)</f>
        <v>113700.01</v>
      </c>
      <c r="H1028" s="575"/>
      <c r="I1028" s="575"/>
      <c r="J1028" s="575"/>
      <c r="K1028" s="575"/>
      <c r="L1028" s="575"/>
      <c r="M1028" s="575"/>
      <c r="N1028" s="575"/>
      <c r="O1028" s="575"/>
      <c r="P1028" s="575"/>
    </row>
    <row r="1029" spans="1:16" x14ac:dyDescent="0.2">
      <c r="A1029" s="575"/>
      <c r="B1029" s="575"/>
      <c r="C1029" s="575"/>
      <c r="D1029" s="575"/>
      <c r="E1029" s="1027"/>
      <c r="F1029" s="578" t="str">
        <f>"Rate for "&amp;O1017&amp;" "&amp;P1017&amp; ":"</f>
        <v>Rate for 300 cum:</v>
      </c>
      <c r="G1029" s="278">
        <f>SUM(G1027:G1028)</f>
        <v>871700.09</v>
      </c>
      <c r="H1029" s="575"/>
      <c r="I1029" s="575"/>
      <c r="J1029" s="575" t="str">
        <f>P1017</f>
        <v>cum</v>
      </c>
      <c r="K1029" s="575"/>
      <c r="L1029" s="575"/>
      <c r="M1029" s="575"/>
      <c r="N1029" s="575"/>
      <c r="O1029" s="575"/>
      <c r="P1029" s="575"/>
    </row>
    <row r="1030" spans="1:16" s="598" customFormat="1" ht="15" x14ac:dyDescent="0.2">
      <c r="A1030" s="575"/>
      <c r="B1030" s="575"/>
      <c r="C1030" s="575"/>
      <c r="D1030" s="575"/>
      <c r="E1030" s="575"/>
      <c r="F1030" s="1030" t="s">
        <v>1662</v>
      </c>
      <c r="G1030" s="255">
        <f>G1029/O1017</f>
        <v>2905.6669666666667</v>
      </c>
      <c r="H1030" s="575" t="s">
        <v>30</v>
      </c>
      <c r="I1030" s="575" t="str">
        <f>P1017</f>
        <v>cum</v>
      </c>
      <c r="J1030" s="261"/>
      <c r="K1030" s="261"/>
      <c r="L1030" s="261"/>
      <c r="M1030" s="261"/>
      <c r="N1030" s="261"/>
      <c r="O1030" s="261"/>
      <c r="P1030" s="575"/>
    </row>
    <row r="1033" spans="1:16" x14ac:dyDescent="0.2">
      <c r="A1033" s="249" t="s">
        <v>27</v>
      </c>
      <c r="B1033" s="256">
        <f>B989+1</f>
        <v>38</v>
      </c>
      <c r="C1033" s="274"/>
      <c r="D1033" s="249"/>
      <c r="E1033" s="249"/>
      <c r="F1033" s="249"/>
      <c r="G1033" s="249"/>
      <c r="H1033" s="249"/>
      <c r="I1033" s="249"/>
      <c r="J1033" s="249"/>
      <c r="K1033" s="249"/>
      <c r="L1033" s="249"/>
      <c r="M1033" s="249"/>
      <c r="N1033" s="1013" t="s">
        <v>13</v>
      </c>
      <c r="O1033" s="249">
        <v>100</v>
      </c>
      <c r="P1033" s="256" t="s">
        <v>42</v>
      </c>
    </row>
    <row r="1034" spans="1:16" x14ac:dyDescent="0.2">
      <c r="A1034" s="1014" t="s">
        <v>12</v>
      </c>
      <c r="B1034" s="1419" t="s">
        <v>1691</v>
      </c>
      <c r="C1034" s="1419"/>
      <c r="D1034" s="1419"/>
      <c r="E1034" s="1419"/>
      <c r="F1034" s="1419"/>
      <c r="G1034" s="1419"/>
      <c r="H1034" s="1419"/>
      <c r="I1034" s="1419"/>
      <c r="J1034" s="1419"/>
      <c r="K1034" s="1419"/>
      <c r="L1034" s="1419"/>
      <c r="M1034" s="1419"/>
      <c r="N1034" s="1419"/>
      <c r="O1034" s="1419"/>
      <c r="P1034" s="1419"/>
    </row>
    <row r="1035" spans="1:16" x14ac:dyDescent="0.2">
      <c r="A1035" s="225" t="s">
        <v>1692</v>
      </c>
      <c r="B1035" s="226" t="s">
        <v>15</v>
      </c>
      <c r="C1035" s="227"/>
      <c r="D1035" s="227"/>
      <c r="E1035" s="227"/>
      <c r="F1035" s="226"/>
      <c r="G1035" s="1415" t="s">
        <v>16</v>
      </c>
      <c r="H1035" s="1416"/>
      <c r="I1035" s="1416"/>
      <c r="J1035" s="1416"/>
      <c r="K1035" s="1417"/>
      <c r="L1035" s="227" t="s">
        <v>17</v>
      </c>
      <c r="M1035" s="227"/>
      <c r="N1035" s="227"/>
      <c r="O1035" s="227"/>
      <c r="P1035" s="227"/>
    </row>
    <row r="1036" spans="1:16" x14ac:dyDescent="0.2">
      <c r="A1036" s="225" t="s">
        <v>273</v>
      </c>
      <c r="B1036" s="228" t="s">
        <v>18</v>
      </c>
      <c r="C1036" s="229" t="s">
        <v>0</v>
      </c>
      <c r="D1036" s="229" t="s">
        <v>5</v>
      </c>
      <c r="E1036" s="229" t="s">
        <v>1</v>
      </c>
      <c r="F1036" s="230" t="s">
        <v>2</v>
      </c>
      <c r="G1036" s="228" t="s">
        <v>19</v>
      </c>
      <c r="H1036" s="229" t="s">
        <v>0</v>
      </c>
      <c r="I1036" s="229" t="s">
        <v>5</v>
      </c>
      <c r="J1036" s="229" t="s">
        <v>1</v>
      </c>
      <c r="K1036" s="230" t="s">
        <v>2</v>
      </c>
      <c r="L1036" s="228" t="s">
        <v>19</v>
      </c>
      <c r="M1036" s="229" t="s">
        <v>0</v>
      </c>
      <c r="N1036" s="229" t="s">
        <v>5</v>
      </c>
      <c r="O1036" s="229" t="s">
        <v>1</v>
      </c>
      <c r="P1036" s="230" t="s">
        <v>2</v>
      </c>
    </row>
    <row r="1037" spans="1:16" x14ac:dyDescent="0.2">
      <c r="A1037" s="282"/>
      <c r="B1037" s="237"/>
      <c r="C1037" s="233"/>
      <c r="D1037" s="234"/>
      <c r="E1037" s="235"/>
      <c r="F1037" s="236"/>
      <c r="G1037" s="237"/>
      <c r="H1037" s="233"/>
      <c r="I1037" s="234"/>
      <c r="J1037" s="235"/>
      <c r="K1037" s="236"/>
      <c r="L1037" s="237" t="s">
        <v>52</v>
      </c>
      <c r="M1037" s="233" t="s">
        <v>23</v>
      </c>
      <c r="N1037" s="234">
        <f>6</f>
        <v>6</v>
      </c>
      <c r="O1037" s="235">
        <f>grader</f>
        <v>1600</v>
      </c>
      <c r="P1037" s="236">
        <f>O1037*N1037</f>
        <v>9600</v>
      </c>
    </row>
    <row r="1038" spans="1:16" x14ac:dyDescent="0.2">
      <c r="A1038" s="231">
        <v>31.2</v>
      </c>
      <c r="B1038" s="1021" t="s">
        <v>32</v>
      </c>
      <c r="C1038" s="1022" t="s">
        <v>46</v>
      </c>
      <c r="D1038" s="1023">
        <v>30</v>
      </c>
      <c r="E1038" s="1024">
        <f>skilled</f>
        <v>1070</v>
      </c>
      <c r="F1038" s="1025">
        <f>ROUND(E1038*D1038,2)</f>
        <v>32100</v>
      </c>
      <c r="G1038" s="1035" t="s">
        <v>1693</v>
      </c>
      <c r="H1038" s="1022" t="s">
        <v>1677</v>
      </c>
      <c r="I1038" s="1023">
        <v>2.95</v>
      </c>
      <c r="J1038" s="1024">
        <f>filtermat</f>
        <v>2174.1999999999998</v>
      </c>
      <c r="K1038" s="1025">
        <f>ROUND(J1038*I1038,2)</f>
        <v>6413.89</v>
      </c>
      <c r="L1038" s="1021" t="s">
        <v>53</v>
      </c>
      <c r="M1038" s="1022" t="s">
        <v>23</v>
      </c>
      <c r="N1038" s="1023">
        <f>6</f>
        <v>6</v>
      </c>
      <c r="O1038" s="1024">
        <f>vibratingroller</f>
        <v>800</v>
      </c>
      <c r="P1038" s="1025">
        <f>O1038*N1038</f>
        <v>4800</v>
      </c>
    </row>
    <row r="1039" spans="1:16" x14ac:dyDescent="0.2">
      <c r="A1039" s="231"/>
      <c r="B1039" s="1021" t="s">
        <v>21</v>
      </c>
      <c r="C1039" s="1022" t="s">
        <v>46</v>
      </c>
      <c r="D1039" s="1023">
        <v>60</v>
      </c>
      <c r="E1039" s="1024">
        <f>unskilled</f>
        <v>770</v>
      </c>
      <c r="F1039" s="1025">
        <f>ROUND(E1039*D1039,2)</f>
        <v>46200</v>
      </c>
      <c r="G1039" s="1035" t="s">
        <v>1694</v>
      </c>
      <c r="H1039" s="1022" t="s">
        <v>1677</v>
      </c>
      <c r="I1039" s="1023">
        <v>1.01</v>
      </c>
      <c r="J1039" s="1024">
        <f>cement</f>
        <v>17013.62</v>
      </c>
      <c r="K1039" s="1025">
        <f>ROUND(J1039*I1039,2)</f>
        <v>17183.759999999998</v>
      </c>
      <c r="L1039" s="1021"/>
      <c r="M1039" s="1022"/>
      <c r="N1039" s="1023"/>
      <c r="O1039" s="1024"/>
      <c r="P1039" s="1025"/>
    </row>
    <row r="1040" spans="1:16" x14ac:dyDescent="0.2">
      <c r="A1040" s="231"/>
      <c r="B1040" s="1021"/>
      <c r="C1040" s="1022"/>
      <c r="D1040" s="1023"/>
      <c r="E1040" s="1024"/>
      <c r="F1040" s="1025"/>
      <c r="G1040" s="1035" t="s">
        <v>1695</v>
      </c>
      <c r="H1040" s="1022" t="s">
        <v>1677</v>
      </c>
      <c r="I1040" s="1023">
        <v>0.18</v>
      </c>
      <c r="J1040" s="1024"/>
      <c r="K1040" s="1025"/>
      <c r="L1040" s="1021"/>
      <c r="M1040" s="1022"/>
      <c r="N1040" s="1023"/>
      <c r="O1040" s="1024"/>
      <c r="P1040" s="1025"/>
    </row>
    <row r="1041" spans="1:16" x14ac:dyDescent="0.2">
      <c r="A1041" s="231"/>
      <c r="B1041" s="1021"/>
      <c r="C1041" s="1022"/>
      <c r="D1041" s="1023"/>
      <c r="E1041" s="1024"/>
      <c r="F1041" s="1025"/>
      <c r="G1041" s="1035" t="s">
        <v>1696</v>
      </c>
      <c r="H1041" s="1022" t="s">
        <v>1677</v>
      </c>
      <c r="I1041" s="1023">
        <v>0.15</v>
      </c>
      <c r="J1041" s="1024">
        <f>water*1000</f>
        <v>249.55999999999997</v>
      </c>
      <c r="K1041" s="1025">
        <f>ROUND(J1041*I1041,2)</f>
        <v>37.43</v>
      </c>
      <c r="L1041" s="1021" t="s">
        <v>54</v>
      </c>
      <c r="M1041" s="1022" t="s">
        <v>23</v>
      </c>
      <c r="N1041" s="1023">
        <f>12</f>
        <v>12</v>
      </c>
      <c r="O1041" s="1024">
        <f>loader</f>
        <v>1000</v>
      </c>
      <c r="P1041" s="1025">
        <f>O1041*N1041</f>
        <v>12000</v>
      </c>
    </row>
    <row r="1042" spans="1:16" x14ac:dyDescent="0.2">
      <c r="A1042" s="241"/>
      <c r="B1042" s="242"/>
      <c r="C1042" s="243"/>
      <c r="D1042" s="243"/>
      <c r="E1042" s="244" t="s">
        <v>39</v>
      </c>
      <c r="F1042" s="245">
        <f>SUM(F1037:F1041)</f>
        <v>78300</v>
      </c>
      <c r="G1042" s="242"/>
      <c r="H1042" s="243"/>
      <c r="I1042" s="243"/>
      <c r="J1042" s="244" t="s">
        <v>40</v>
      </c>
      <c r="K1042" s="245">
        <f>SUM(K1038:K1041)</f>
        <v>23635.079999999998</v>
      </c>
      <c r="L1042" s="242"/>
      <c r="M1042" s="243"/>
      <c r="N1042" s="243"/>
      <c r="O1042" s="246" t="s">
        <v>41</v>
      </c>
      <c r="P1042" s="245">
        <f>SUM(P1037:P1041)</f>
        <v>26400</v>
      </c>
    </row>
    <row r="1043" spans="1:16" x14ac:dyDescent="0.2">
      <c r="A1043" s="253"/>
      <c r="B1043" s="249"/>
      <c r="C1043" s="249"/>
      <c r="D1043" s="249"/>
      <c r="E1043" s="249"/>
      <c r="F1043" s="1013" t="s">
        <v>29</v>
      </c>
      <c r="G1043" s="251">
        <f>F1042+K1042+P1042</f>
        <v>128335.08</v>
      </c>
      <c r="H1043" s="249"/>
      <c r="I1043" s="249"/>
      <c r="J1043" s="250"/>
      <c r="K1043" s="251"/>
      <c r="L1043" s="249"/>
      <c r="M1043" s="249"/>
      <c r="N1043" s="249"/>
      <c r="O1043" s="249"/>
      <c r="P1043" s="249"/>
    </row>
    <row r="1044" spans="1:16" x14ac:dyDescent="0.2">
      <c r="A1044" s="253"/>
      <c r="B1044" s="249"/>
      <c r="C1044" s="249"/>
      <c r="D1044" s="249"/>
      <c r="E1044" s="249"/>
      <c r="F1044" s="250" t="s">
        <v>31</v>
      </c>
      <c r="G1044" s="251">
        <f>ROUND(G1043*0.15,2)</f>
        <v>19250.259999999998</v>
      </c>
      <c r="H1044" s="249"/>
      <c r="I1044" s="249"/>
      <c r="J1044" s="249"/>
      <c r="K1044" s="249"/>
      <c r="L1044" s="249"/>
      <c r="M1044" s="249"/>
      <c r="N1044" s="249"/>
      <c r="O1044" s="249"/>
      <c r="P1044" s="249"/>
    </row>
    <row r="1045" spans="1:16" x14ac:dyDescent="0.2">
      <c r="A1045" s="247"/>
      <c r="B1045" s="575"/>
      <c r="C1045" s="575"/>
      <c r="D1045" s="575"/>
      <c r="E1045" s="1027"/>
      <c r="F1045" s="578" t="str">
        <f>"Rate for "&amp;O1033&amp;" "&amp;P1033&amp; ":"</f>
        <v>Rate for 100 m:</v>
      </c>
      <c r="G1045" s="278">
        <f>SUM(G1043:G1044)</f>
        <v>147585.34</v>
      </c>
      <c r="H1045" s="575"/>
      <c r="I1045" s="249"/>
      <c r="J1045" s="249" t="str">
        <f>P1033</f>
        <v>m</v>
      </c>
      <c r="K1045" s="249"/>
      <c r="L1045" s="249"/>
      <c r="M1045" s="249"/>
      <c r="N1045" s="249"/>
      <c r="O1045" s="249"/>
      <c r="P1045" s="575"/>
    </row>
    <row r="1046" spans="1:16" s="598" customFormat="1" ht="15" x14ac:dyDescent="0.2">
      <c r="A1046" s="247"/>
      <c r="B1046" s="575"/>
      <c r="C1046" s="575"/>
      <c r="D1046" s="575"/>
      <c r="E1046" s="249"/>
      <c r="F1046" s="254" t="s">
        <v>1662</v>
      </c>
      <c r="G1046" s="255">
        <f>G1045/O1033</f>
        <v>1475.8534</v>
      </c>
      <c r="H1046" s="249" t="s">
        <v>30</v>
      </c>
      <c r="I1046" s="249" t="str">
        <f>P1033</f>
        <v>m</v>
      </c>
      <c r="J1046" s="261"/>
      <c r="K1046" s="261"/>
      <c r="L1046" s="261"/>
      <c r="M1046" s="261"/>
      <c r="N1046" s="261"/>
      <c r="O1046" s="261"/>
      <c r="P1046" s="575"/>
    </row>
    <row r="1048" spans="1:16" s="1080" customFormat="1" x14ac:dyDescent="0.2">
      <c r="A1048" s="1076" t="s">
        <v>27</v>
      </c>
      <c r="B1048" s="1076">
        <f>B1033+1</f>
        <v>39</v>
      </c>
      <c r="C1048" s="1076"/>
      <c r="D1048" s="1076"/>
      <c r="E1048" s="1076"/>
      <c r="F1048" s="1077"/>
      <c r="G1048" s="255"/>
      <c r="H1048" s="1076"/>
      <c r="I1048" s="1076"/>
      <c r="J1048" s="1076"/>
      <c r="K1048" s="1076"/>
      <c r="L1048" s="1078"/>
      <c r="M1048" s="1078"/>
      <c r="N1048" s="1078"/>
      <c r="O1048" s="1079"/>
      <c r="P1048" s="1076"/>
    </row>
    <row r="1049" spans="1:16" s="1080" customFormat="1" x14ac:dyDescent="0.2">
      <c r="A1049" s="1081" t="s">
        <v>417</v>
      </c>
      <c r="B1049" s="1398" t="s">
        <v>1752</v>
      </c>
      <c r="C1049" s="1398"/>
      <c r="D1049" s="1398"/>
      <c r="E1049" s="1398"/>
      <c r="F1049" s="1398"/>
      <c r="G1049" s="1398"/>
      <c r="H1049" s="1398"/>
      <c r="I1049" s="1398"/>
      <c r="J1049" s="1398"/>
      <c r="K1049" s="1398"/>
      <c r="L1049" s="1398"/>
      <c r="M1049" s="1398"/>
      <c r="N1049" s="1078" t="s">
        <v>278</v>
      </c>
      <c r="O1049" s="1082">
        <v>100</v>
      </c>
      <c r="P1049" s="1076" t="s">
        <v>96</v>
      </c>
    </row>
    <row r="1050" spans="1:16" s="1080" customFormat="1" x14ac:dyDescent="0.2">
      <c r="A1050" s="1083" t="s">
        <v>1753</v>
      </c>
      <c r="B1050" s="1084" t="s">
        <v>15</v>
      </c>
      <c r="C1050" s="1085"/>
      <c r="D1050" s="1085"/>
      <c r="E1050" s="1085"/>
      <c r="F1050" s="1086"/>
      <c r="G1050" s="1399" t="s">
        <v>16</v>
      </c>
      <c r="H1050" s="1400"/>
      <c r="I1050" s="1400"/>
      <c r="J1050" s="1400"/>
      <c r="K1050" s="1401"/>
      <c r="L1050" s="1085" t="s">
        <v>17</v>
      </c>
      <c r="M1050" s="1085"/>
      <c r="N1050" s="1085"/>
      <c r="O1050" s="1085"/>
      <c r="P1050" s="1085"/>
    </row>
    <row r="1051" spans="1:16" s="1080" customFormat="1" x14ac:dyDescent="0.2">
      <c r="A1051" s="1083" t="s">
        <v>273</v>
      </c>
      <c r="B1051" s="1087" t="s">
        <v>18</v>
      </c>
      <c r="C1051" s="1088" t="s">
        <v>0</v>
      </c>
      <c r="D1051" s="1088" t="s">
        <v>5</v>
      </c>
      <c r="E1051" s="1088" t="s">
        <v>1</v>
      </c>
      <c r="F1051" s="1089" t="s">
        <v>2</v>
      </c>
      <c r="G1051" s="228" t="s">
        <v>19</v>
      </c>
      <c r="H1051" s="1088" t="s">
        <v>0</v>
      </c>
      <c r="I1051" s="1088" t="s">
        <v>5</v>
      </c>
      <c r="J1051" s="1088" t="s">
        <v>1</v>
      </c>
      <c r="K1051" s="1090" t="s">
        <v>2</v>
      </c>
      <c r="L1051" s="1087" t="s">
        <v>19</v>
      </c>
      <c r="M1051" s="1088" t="s">
        <v>0</v>
      </c>
      <c r="N1051" s="1088" t="s">
        <v>5</v>
      </c>
      <c r="O1051" s="1088" t="s">
        <v>1</v>
      </c>
      <c r="P1051" s="1090" t="s">
        <v>2</v>
      </c>
    </row>
    <row r="1052" spans="1:16" s="1080" customFormat="1" x14ac:dyDescent="0.2">
      <c r="A1052" s="1091">
        <v>31.7</v>
      </c>
      <c r="B1052" s="1092" t="s">
        <v>21</v>
      </c>
      <c r="C1052" s="697" t="s">
        <v>46</v>
      </c>
      <c r="D1052" s="697">
        <v>6</v>
      </c>
      <c r="E1052" s="697">
        <f>unskilled</f>
        <v>770</v>
      </c>
      <c r="F1052" s="236">
        <f>D1052*E1052</f>
        <v>4620</v>
      </c>
      <c r="G1052" s="288"/>
      <c r="H1052" s="695"/>
      <c r="I1052" s="1094"/>
      <c r="J1052" s="695"/>
      <c r="K1052" s="695"/>
      <c r="L1052" s="1092"/>
      <c r="M1052" s="697"/>
      <c r="N1052" s="697"/>
      <c r="O1052" s="697"/>
      <c r="P1052" s="236"/>
    </row>
    <row r="1053" spans="1:16" s="1080" customFormat="1" x14ac:dyDescent="0.2">
      <c r="A1053" s="1091"/>
      <c r="B1053" s="1093" t="s">
        <v>1657</v>
      </c>
      <c r="C1053" s="695" t="s">
        <v>46</v>
      </c>
      <c r="D1053" s="695">
        <v>1</v>
      </c>
      <c r="E1053" s="695">
        <f>skilled</f>
        <v>1070</v>
      </c>
      <c r="F1053" s="1145">
        <f>D1053*E1053</f>
        <v>1070</v>
      </c>
      <c r="G1053" s="288" t="s">
        <v>1724</v>
      </c>
      <c r="H1053" s="695" t="s">
        <v>42</v>
      </c>
      <c r="I1053" s="1094">
        <v>300</v>
      </c>
      <c r="J1053" s="695">
        <f>GIpipe75mm</f>
        <v>513.61294871794871</v>
      </c>
      <c r="K1053" s="695">
        <f t="shared" ref="K1053:K1055" si="42">I1053*J1053</f>
        <v>154083.88461538462</v>
      </c>
      <c r="L1053" s="1093" t="s">
        <v>1754</v>
      </c>
      <c r="M1053" s="695" t="s">
        <v>1755</v>
      </c>
      <c r="N1053" s="695">
        <v>6</v>
      </c>
      <c r="O1053" s="695">
        <f>+tractor</f>
        <v>2200</v>
      </c>
      <c r="P1053" s="1145">
        <f>+O1053*N1053</f>
        <v>13200</v>
      </c>
    </row>
    <row r="1054" spans="1:16" s="1080" customFormat="1" x14ac:dyDescent="0.2">
      <c r="A1054" s="1091"/>
      <c r="B1054" s="1093"/>
      <c r="C1054" s="695"/>
      <c r="D1054" s="695"/>
      <c r="E1054" s="695"/>
      <c r="F1054" s="1145"/>
      <c r="G1054" s="288" t="s">
        <v>1756</v>
      </c>
      <c r="H1054" s="695" t="s">
        <v>197</v>
      </c>
      <c r="I1054" s="1094">
        <v>6.48</v>
      </c>
      <c r="J1054" s="695">
        <f>(G160+G161)/15</f>
        <v>11329.841813333333</v>
      </c>
      <c r="K1054" s="695">
        <f t="shared" si="42"/>
        <v>73417.374950400001</v>
      </c>
      <c r="L1054" s="1093"/>
      <c r="M1054" s="695"/>
      <c r="N1054" s="695"/>
      <c r="O1054" s="695"/>
      <c r="P1054" s="1145"/>
    </row>
    <row r="1055" spans="1:16" s="1080" customFormat="1" x14ac:dyDescent="0.2">
      <c r="A1055" s="1091"/>
      <c r="B1055" s="1093"/>
      <c r="C1055" s="695"/>
      <c r="D1055" s="695"/>
      <c r="E1055" s="695"/>
      <c r="F1055" s="1145"/>
      <c r="G1055" s="288" t="s">
        <v>1725</v>
      </c>
      <c r="H1055" s="695" t="s">
        <v>197</v>
      </c>
      <c r="I1055" s="1094">
        <v>12.96</v>
      </c>
      <c r="J1055" s="695">
        <f>(G21+G22)/210</f>
        <v>194.73878495238091</v>
      </c>
      <c r="K1055" s="695">
        <f t="shared" si="42"/>
        <v>2523.8146529828568</v>
      </c>
      <c r="L1055" s="1093"/>
      <c r="M1055" s="695"/>
      <c r="N1055" s="695"/>
      <c r="O1055" s="695"/>
      <c r="P1055" s="1145"/>
    </row>
    <row r="1056" spans="1:16" s="1080" customFormat="1" x14ac:dyDescent="0.2">
      <c r="A1056" s="1091"/>
      <c r="B1056" s="1093"/>
      <c r="C1056" s="695"/>
      <c r="D1056" s="695"/>
      <c r="E1056" s="695"/>
      <c r="F1056" s="1145"/>
      <c r="G1056" s="576" t="s">
        <v>1757</v>
      </c>
      <c r="H1056" s="695" t="s">
        <v>217</v>
      </c>
      <c r="I1056" s="1094">
        <v>47.1</v>
      </c>
      <c r="J1056" s="695">
        <f>G1079/10</f>
        <v>804.93000000000006</v>
      </c>
      <c r="K1056" s="1148">
        <f>+J1056*I1056</f>
        <v>37912.203000000001</v>
      </c>
      <c r="L1056" s="1093"/>
      <c r="M1056" s="695"/>
      <c r="N1056" s="695"/>
      <c r="O1056" s="695"/>
      <c r="P1056" s="1145"/>
    </row>
    <row r="1057" spans="1:17" s="1080" customFormat="1" x14ac:dyDescent="0.2">
      <c r="A1057" s="1091"/>
      <c r="B1057" s="1093"/>
      <c r="C1057" s="695"/>
      <c r="D1057" s="695"/>
      <c r="E1057" s="695"/>
      <c r="F1057" s="1145"/>
      <c r="G1057" s="290" t="s">
        <v>1758</v>
      </c>
      <c r="H1057" s="695" t="s">
        <v>197</v>
      </c>
      <c r="I1057" s="695">
        <v>3.2</v>
      </c>
      <c r="J1057" s="695">
        <f>((G224+G225)/15)</f>
        <v>12668.633120000002</v>
      </c>
      <c r="K1057" s="1148">
        <f>+J1057*I1057</f>
        <v>40539.625984000013</v>
      </c>
      <c r="L1057" s="1093"/>
      <c r="M1057" s="695"/>
      <c r="N1057" s="695"/>
      <c r="O1057" s="695"/>
      <c r="P1057" s="1145"/>
    </row>
    <row r="1058" spans="1:17" s="1080" customFormat="1" x14ac:dyDescent="0.2">
      <c r="A1058" s="1091"/>
      <c r="B1058" s="1093"/>
      <c r="C1058" s="695"/>
      <c r="D1058" s="695"/>
      <c r="E1058" s="695"/>
      <c r="F1058" s="1145"/>
      <c r="G1058" s="290"/>
      <c r="H1058" s="695"/>
      <c r="I1058" s="695"/>
      <c r="J1058" s="695"/>
      <c r="K1058" s="695"/>
      <c r="L1058" s="1093"/>
      <c r="M1058" s="695"/>
      <c r="N1058" s="695"/>
      <c r="O1058" s="695"/>
      <c r="P1058" s="1145"/>
    </row>
    <row r="1059" spans="1:17" s="1080" customFormat="1" x14ac:dyDescent="0.2">
      <c r="A1059" s="1091"/>
      <c r="B1059" s="1093"/>
      <c r="C1059" s="695"/>
      <c r="D1059" s="695"/>
      <c r="E1059" s="695"/>
      <c r="F1059" s="1145"/>
      <c r="G1059" s="290"/>
      <c r="H1059" s="695"/>
      <c r="I1059" s="695"/>
      <c r="J1059" s="695"/>
      <c r="K1059" s="695"/>
      <c r="L1059" s="1093"/>
      <c r="M1059" s="695"/>
      <c r="N1059" s="695"/>
      <c r="O1059" s="695"/>
      <c r="P1059" s="1145"/>
    </row>
    <row r="1060" spans="1:17" s="1080" customFormat="1" x14ac:dyDescent="0.2">
      <c r="A1060" s="1091"/>
      <c r="B1060" s="1095"/>
      <c r="C1060" s="699"/>
      <c r="D1060" s="699"/>
      <c r="E1060" s="699"/>
      <c r="F1060" s="696"/>
      <c r="G1060" s="290"/>
      <c r="H1060" s="695"/>
      <c r="I1060" s="695"/>
      <c r="J1060" s="695"/>
      <c r="K1060" s="695"/>
      <c r="L1060" s="1095"/>
      <c r="M1060" s="699"/>
      <c r="N1060" s="699"/>
      <c r="O1060" s="699"/>
      <c r="P1060" s="696"/>
    </row>
    <row r="1061" spans="1:17" s="1080" customFormat="1" x14ac:dyDescent="0.2">
      <c r="A1061" s="1096"/>
      <c r="B1061" s="1096"/>
      <c r="C1061" s="1097"/>
      <c r="D1061" s="1097"/>
      <c r="E1061" s="1098" t="s">
        <v>39</v>
      </c>
      <c r="F1061" s="245">
        <f>SUM(F1052:F1059)</f>
        <v>5690</v>
      </c>
      <c r="G1061" s="242"/>
      <c r="H1061" s="1097"/>
      <c r="I1061" s="1097"/>
      <c r="J1061" s="1098" t="s">
        <v>40</v>
      </c>
      <c r="K1061" s="245">
        <f>SUM(K1052:K1059)</f>
        <v>308476.90320276748</v>
      </c>
      <c r="L1061" s="1096"/>
      <c r="M1061" s="1097"/>
      <c r="N1061" s="1097"/>
      <c r="O1061" s="1099" t="s">
        <v>41</v>
      </c>
      <c r="P1061" s="245">
        <f>SUM(P1053)</f>
        <v>13200</v>
      </c>
    </row>
    <row r="1062" spans="1:17" s="1080" customFormat="1" x14ac:dyDescent="0.2">
      <c r="A1062" s="1149"/>
      <c r="B1062" s="1149"/>
      <c r="C1062" s="1149"/>
      <c r="E1062" s="1150"/>
      <c r="F1062" s="1151"/>
      <c r="G1062" s="261"/>
      <c r="H1062" s="1149"/>
      <c r="I1062" s="1149"/>
      <c r="J1062" s="1150"/>
      <c r="K1062" s="1151"/>
      <c r="L1062" s="1149"/>
      <c r="M1062" s="1149"/>
      <c r="N1062" s="1149"/>
      <c r="O1062" s="1152"/>
      <c r="P1062" s="1151"/>
    </row>
    <row r="1063" spans="1:17" s="1080" customFormat="1" x14ac:dyDescent="0.2">
      <c r="A1063" s="1100"/>
      <c r="B1063" s="1100"/>
      <c r="C1063" s="1076"/>
      <c r="D1063" s="1076"/>
      <c r="E1063" s="1076"/>
      <c r="F1063" s="1101" t="s">
        <v>29</v>
      </c>
      <c r="G1063" s="248">
        <f>F1061+K1061+P1061</f>
        <v>327366.90320276748</v>
      </c>
      <c r="H1063" s="1076"/>
      <c r="I1063" s="1076"/>
      <c r="J1063" s="1076"/>
      <c r="K1063" s="1076"/>
      <c r="L1063" s="1076"/>
      <c r="M1063" s="1076"/>
      <c r="N1063" s="1076"/>
      <c r="O1063" s="1076"/>
      <c r="P1063" s="1076"/>
    </row>
    <row r="1064" spans="1:17" s="1080" customFormat="1" x14ac:dyDescent="0.2">
      <c r="A1064" s="1100"/>
      <c r="B1064" s="1100"/>
      <c r="C1064" s="1076"/>
      <c r="D1064" s="1076"/>
      <c r="E1064" s="1076"/>
      <c r="F1064" s="1101" t="s">
        <v>31</v>
      </c>
      <c r="G1064" s="248">
        <f>G1063*0.15</f>
        <v>49105.035480415121</v>
      </c>
      <c r="H1064" s="1076"/>
      <c r="I1064" s="1076"/>
      <c r="J1064" s="1076"/>
      <c r="K1064" s="1076"/>
      <c r="L1064" s="1076"/>
      <c r="M1064" s="1076"/>
      <c r="N1064" s="1076"/>
      <c r="O1064" s="1076"/>
      <c r="P1064" s="1076"/>
    </row>
    <row r="1065" spans="1:17" s="1080" customFormat="1" x14ac:dyDescent="0.2">
      <c r="A1065" s="1076"/>
      <c r="B1065" s="1076"/>
      <c r="C1065" s="1076"/>
      <c r="D1065" s="1076"/>
      <c r="E1065" s="1102"/>
      <c r="F1065" s="1103" t="str">
        <f>"Rate for "&amp;O1049&amp;" "&amp;P1049&amp; ":"</f>
        <v>Rate for 100 Rm:</v>
      </c>
      <c r="G1065" s="278">
        <f>SUM(G1063:G1064)</f>
        <v>376471.93868318258</v>
      </c>
      <c r="H1065" s="1076"/>
      <c r="I1065" s="1076"/>
      <c r="J1065" s="1076"/>
      <c r="K1065" s="1076"/>
      <c r="L1065" s="1076"/>
      <c r="M1065" s="1076"/>
      <c r="N1065" s="1076"/>
      <c r="O1065" s="1076"/>
      <c r="P1065" s="1076"/>
    </row>
    <row r="1066" spans="1:17" s="1104" customFormat="1" x14ac:dyDescent="0.2">
      <c r="A1066" s="1076"/>
      <c r="B1066" s="1076"/>
      <c r="C1066" s="1076"/>
      <c r="D1066" s="1076"/>
      <c r="E1066" s="1076"/>
      <c r="F1066" s="1077" t="s">
        <v>1726</v>
      </c>
      <c r="G1066" s="255">
        <f>G1065/O1049</f>
        <v>3764.7193868318259</v>
      </c>
      <c r="H1066" s="1076" t="s">
        <v>30</v>
      </c>
      <c r="I1066" s="1076" t="str">
        <f>P1049</f>
        <v>Rm</v>
      </c>
      <c r="J1066" s="1076"/>
      <c r="K1066" s="1076"/>
      <c r="L1066" s="1076"/>
      <c r="M1066" s="1076"/>
      <c r="N1066" s="1076"/>
      <c r="O1066" s="1076"/>
      <c r="P1066" s="1076"/>
    </row>
    <row r="1067" spans="1:17" s="1080" customFormat="1" x14ac:dyDescent="0.2">
      <c r="G1067" s="261"/>
      <c r="J1067" s="261"/>
      <c r="K1067" s="261"/>
      <c r="O1067" s="261"/>
      <c r="P1067" s="261"/>
      <c r="Q1067" s="261"/>
    </row>
    <row r="1068" spans="1:17" x14ac:dyDescent="0.2">
      <c r="A1068" s="253"/>
      <c r="B1068" s="249"/>
      <c r="C1068" s="249"/>
      <c r="D1068" s="249"/>
      <c r="E1068" s="249"/>
      <c r="F1068" s="254"/>
      <c r="G1068" s="255"/>
      <c r="H1068" s="249"/>
      <c r="I1068" s="249"/>
      <c r="J1068" s="256"/>
      <c r="K1068" s="275"/>
      <c r="L1068" s="275"/>
      <c r="M1068" s="275"/>
      <c r="N1068" s="575"/>
      <c r="O1068" s="575"/>
      <c r="P1068" s="575"/>
    </row>
    <row r="1069" spans="1:17" s="1109" customFormat="1" x14ac:dyDescent="0.2">
      <c r="A1069" s="1076" t="s">
        <v>27</v>
      </c>
      <c r="B1069" s="1076">
        <f>B1048+1</f>
        <v>40</v>
      </c>
      <c r="C1069" s="1105"/>
      <c r="D1069" s="1106"/>
      <c r="E1069" s="1106"/>
      <c r="F1069" s="1106"/>
      <c r="G1069" s="575"/>
      <c r="H1069" s="1106"/>
      <c r="I1069" s="1106"/>
      <c r="J1069" s="1106"/>
      <c r="K1069" s="1106"/>
      <c r="L1069" s="1106"/>
      <c r="M1069" s="1106"/>
      <c r="N1069" s="1107" t="s">
        <v>13</v>
      </c>
      <c r="O1069" s="1106">
        <v>10</v>
      </c>
      <c r="P1069" s="1108" t="s">
        <v>1727</v>
      </c>
    </row>
    <row r="1070" spans="1:17" s="1109" customFormat="1" ht="15.75" customHeight="1" x14ac:dyDescent="0.2">
      <c r="A1070" s="1110" t="s">
        <v>12</v>
      </c>
      <c r="B1070" s="1402" t="s">
        <v>1732</v>
      </c>
      <c r="C1070" s="1402"/>
      <c r="D1070" s="1402"/>
      <c r="E1070" s="1402"/>
      <c r="F1070" s="1402"/>
      <c r="G1070" s="1402"/>
      <c r="H1070" s="1402"/>
      <c r="I1070" s="1402"/>
      <c r="J1070" s="1402"/>
      <c r="K1070" s="1402"/>
      <c r="L1070" s="1402"/>
      <c r="M1070" s="1402"/>
      <c r="N1070" s="1402"/>
      <c r="O1070" s="1402"/>
      <c r="P1070" s="1402"/>
    </row>
    <row r="1071" spans="1:17" s="1109" customFormat="1" x14ac:dyDescent="0.2">
      <c r="A1071" s="1111"/>
      <c r="B1071" s="1153" t="s">
        <v>15</v>
      </c>
      <c r="C1071" s="1154"/>
      <c r="D1071" s="1154"/>
      <c r="E1071" s="1154"/>
      <c r="F1071" s="1153"/>
      <c r="G1071" s="1403" t="s">
        <v>16</v>
      </c>
      <c r="H1071" s="1404"/>
      <c r="I1071" s="1404"/>
      <c r="J1071" s="1404"/>
      <c r="K1071" s="1405"/>
      <c r="L1071" s="1154" t="s">
        <v>17</v>
      </c>
      <c r="M1071" s="1154"/>
      <c r="N1071" s="1154"/>
      <c r="O1071" s="1154"/>
      <c r="P1071" s="1154"/>
    </row>
    <row r="1072" spans="1:17" s="1109" customFormat="1" x14ac:dyDescent="0.2">
      <c r="A1072" s="1111" t="s">
        <v>273</v>
      </c>
      <c r="B1072" s="1112" t="s">
        <v>18</v>
      </c>
      <c r="C1072" s="1113" t="s">
        <v>0</v>
      </c>
      <c r="D1072" s="1113" t="s">
        <v>5</v>
      </c>
      <c r="E1072" s="1113" t="s">
        <v>1</v>
      </c>
      <c r="F1072" s="1114" t="s">
        <v>2</v>
      </c>
      <c r="G1072" s="228" t="s">
        <v>19</v>
      </c>
      <c r="H1072" s="1113" t="s">
        <v>0</v>
      </c>
      <c r="I1072" s="1113" t="s">
        <v>5</v>
      </c>
      <c r="J1072" s="1113" t="s">
        <v>1</v>
      </c>
      <c r="K1072" s="1114" t="s">
        <v>2</v>
      </c>
      <c r="L1072" s="1112" t="s">
        <v>19</v>
      </c>
      <c r="M1072" s="1113" t="s">
        <v>0</v>
      </c>
      <c r="N1072" s="1113" t="s">
        <v>5</v>
      </c>
      <c r="O1072" s="1113" t="s">
        <v>1</v>
      </c>
      <c r="P1072" s="1114" t="s">
        <v>2</v>
      </c>
    </row>
    <row r="1073" spans="1:16" s="1109" customFormat="1" ht="12.75" customHeight="1" x14ac:dyDescent="0.2">
      <c r="A1073" s="1115" t="s">
        <v>1728</v>
      </c>
      <c r="B1073" s="1116"/>
      <c r="C1073" s="1117"/>
      <c r="D1073" s="1118"/>
      <c r="E1073" s="1119"/>
      <c r="F1073" s="1120"/>
      <c r="G1073" s="237"/>
      <c r="H1073" s="1117"/>
      <c r="I1073" s="1118"/>
      <c r="J1073" s="1119"/>
      <c r="K1073" s="1120"/>
      <c r="L1073" s="1406" t="s">
        <v>1729</v>
      </c>
      <c r="M1073" s="1407"/>
      <c r="N1073" s="1407"/>
      <c r="O1073" s="1408"/>
      <c r="P1073" s="1120">
        <f>TRUNC((F1078+K1078)*5%,2)</f>
        <v>383.3</v>
      </c>
    </row>
    <row r="1074" spans="1:16" s="1109" customFormat="1" x14ac:dyDescent="0.2">
      <c r="A1074" s="1121">
        <v>15.4</v>
      </c>
      <c r="B1074" s="1122" t="s">
        <v>32</v>
      </c>
      <c r="C1074" s="1123" t="s">
        <v>46</v>
      </c>
      <c r="D1074" s="1124">
        <v>3</v>
      </c>
      <c r="E1074" s="1125">
        <f>skilled</f>
        <v>1070</v>
      </c>
      <c r="F1074" s="1126">
        <f>ROUND(E1074*D1074,2)</f>
        <v>3210</v>
      </c>
      <c r="G1074" s="1146" t="s">
        <v>1730</v>
      </c>
      <c r="H1074" s="1123" t="s">
        <v>1731</v>
      </c>
      <c r="I1074" s="1124">
        <v>6</v>
      </c>
      <c r="J1074" s="1125">
        <f>enamel</f>
        <v>486</v>
      </c>
      <c r="K1074" s="1126">
        <f>ROUND(J1074*I1074,2)</f>
        <v>2916</v>
      </c>
      <c r="L1074" s="1409"/>
      <c r="M1074" s="1410"/>
      <c r="N1074" s="1410"/>
      <c r="O1074" s="1411"/>
      <c r="P1074" s="1126"/>
    </row>
    <row r="1075" spans="1:16" s="1109" customFormat="1" x14ac:dyDescent="0.2">
      <c r="A1075" s="1121"/>
      <c r="B1075" s="1122" t="s">
        <v>21</v>
      </c>
      <c r="C1075" s="1123" t="s">
        <v>46</v>
      </c>
      <c r="D1075" s="1124">
        <v>2</v>
      </c>
      <c r="E1075" s="1125">
        <f>unskilled</f>
        <v>770</v>
      </c>
      <c r="F1075" s="1126">
        <f>ROUND(E1075*D1075,2)</f>
        <v>1540</v>
      </c>
      <c r="G1075" s="1146"/>
      <c r="H1075" s="1123"/>
      <c r="I1075" s="1124"/>
      <c r="J1075" s="1125"/>
      <c r="K1075" s="1126"/>
      <c r="L1075" s="1409"/>
      <c r="M1075" s="1410"/>
      <c r="N1075" s="1410"/>
      <c r="O1075" s="1411"/>
      <c r="P1075" s="1126"/>
    </row>
    <row r="1076" spans="1:16" s="1109" customFormat="1" x14ac:dyDescent="0.2">
      <c r="A1076" s="1121"/>
      <c r="B1076" s="1122"/>
      <c r="C1076" s="1123"/>
      <c r="D1076" s="1124"/>
      <c r="E1076" s="1125"/>
      <c r="F1076" s="1126"/>
      <c r="G1076" s="1146"/>
      <c r="H1076" s="1123"/>
      <c r="I1076" s="1124"/>
      <c r="J1076" s="1125"/>
      <c r="K1076" s="1126"/>
      <c r="L1076" s="1122"/>
      <c r="M1076" s="1123"/>
      <c r="N1076" s="1124"/>
      <c r="O1076" s="1125"/>
      <c r="P1076" s="1126"/>
    </row>
    <row r="1077" spans="1:16" s="1109" customFormat="1" x14ac:dyDescent="0.2">
      <c r="A1077" s="1121"/>
      <c r="B1077" s="1122"/>
      <c r="C1077" s="1123"/>
      <c r="D1077" s="1124"/>
      <c r="E1077" s="1125"/>
      <c r="F1077" s="1126"/>
      <c r="G1077" s="1146"/>
      <c r="H1077" s="1123"/>
      <c r="I1077" s="1124"/>
      <c r="J1077" s="1125">
        <f>water*1000</f>
        <v>249.55999999999997</v>
      </c>
      <c r="K1077" s="1126">
        <f>ROUND(J1077*I1077,2)</f>
        <v>0</v>
      </c>
      <c r="L1077" s="1122"/>
      <c r="M1077" s="1123"/>
      <c r="N1077" s="1124"/>
      <c r="O1077" s="1127"/>
      <c r="P1077" s="1126"/>
    </row>
    <row r="1078" spans="1:16" s="1109" customFormat="1" x14ac:dyDescent="0.2">
      <c r="A1078" s="1128"/>
      <c r="B1078" s="1128"/>
      <c r="C1078" s="1129"/>
      <c r="D1078" s="1129"/>
      <c r="E1078" s="1130" t="s">
        <v>39</v>
      </c>
      <c r="F1078" s="1131">
        <f>SUM(F1073:F1077)</f>
        <v>4750</v>
      </c>
      <c r="G1078" s="242"/>
      <c r="H1078" s="1129"/>
      <c r="I1078" s="1129"/>
      <c r="J1078" s="1130" t="s">
        <v>40</v>
      </c>
      <c r="K1078" s="1131">
        <f>SUM(K1074:K1077)</f>
        <v>2916</v>
      </c>
      <c r="L1078" s="1128"/>
      <c r="M1078" s="1129"/>
      <c r="N1078" s="1129"/>
      <c r="O1078" s="1132" t="s">
        <v>41</v>
      </c>
      <c r="P1078" s="1131">
        <f>SUM(P1073:P1077)</f>
        <v>383.3</v>
      </c>
    </row>
    <row r="1079" spans="1:16" s="1109" customFormat="1" x14ac:dyDescent="0.2">
      <c r="A1079" s="1106"/>
      <c r="B1079" s="1106"/>
      <c r="C1079" s="1106"/>
      <c r="D1079" s="1106"/>
      <c r="E1079" s="1106"/>
      <c r="F1079" s="1107" t="s">
        <v>29</v>
      </c>
      <c r="G1079" s="251">
        <f>F1078+K1078+P1078</f>
        <v>8049.3</v>
      </c>
      <c r="H1079" s="1106"/>
      <c r="I1079" s="1106"/>
      <c r="J1079" s="1133"/>
      <c r="K1079" s="1134"/>
      <c r="L1079" s="1106"/>
      <c r="M1079" s="1106"/>
      <c r="N1079" s="1106"/>
      <c r="O1079" s="1106"/>
      <c r="P1079" s="1106"/>
    </row>
    <row r="1080" spans="1:16" s="1109" customFormat="1" ht="12.75" customHeight="1" x14ac:dyDescent="0.2">
      <c r="A1080" s="1106"/>
      <c r="B1080" s="1106"/>
      <c r="C1080" s="1106"/>
      <c r="D1080" s="1106"/>
      <c r="E1080" s="1106"/>
      <c r="F1080" s="1133" t="s">
        <v>31</v>
      </c>
      <c r="G1080" s="251">
        <f>ROUND(G1079*0.15,2)</f>
        <v>1207.4000000000001</v>
      </c>
      <c r="H1080" s="1106"/>
      <c r="I1080" s="1106"/>
      <c r="J1080" s="1106"/>
      <c r="K1080" s="1106"/>
      <c r="L1080" s="1106"/>
      <c r="M1080" s="1106"/>
      <c r="N1080" s="1106"/>
      <c r="O1080" s="1106"/>
      <c r="P1080" s="1106"/>
    </row>
    <row r="1081" spans="1:16" s="1080" customFormat="1" x14ac:dyDescent="0.2">
      <c r="A1081" s="1076"/>
      <c r="B1081" s="1076"/>
      <c r="C1081" s="1076"/>
      <c r="D1081" s="1076"/>
      <c r="E1081" s="1102"/>
      <c r="F1081" s="1103" t="str">
        <f>"Rate for "&amp;O1069&amp;" "&amp;P1069&amp; ":"</f>
        <v>Rate for 10 sq:</v>
      </c>
      <c r="G1081" s="278">
        <f>SUM(G1079:G1080)</f>
        <v>9256.7000000000007</v>
      </c>
      <c r="H1081" s="1076"/>
      <c r="I1081" s="1076"/>
      <c r="J1081" s="1106" t="str">
        <f>P1069</f>
        <v>sq</v>
      </c>
      <c r="K1081" s="1106"/>
      <c r="L1081" s="1106"/>
      <c r="M1081" s="1106"/>
      <c r="N1081" s="1106"/>
      <c r="O1081" s="1106"/>
      <c r="P1081" s="1076"/>
    </row>
    <row r="1082" spans="1:16" s="1104" customFormat="1" ht="15" x14ac:dyDescent="0.2">
      <c r="A1082" s="1076"/>
      <c r="B1082" s="1076"/>
      <c r="C1082" s="1076"/>
      <c r="D1082" s="1076"/>
      <c r="E1082" s="1076"/>
      <c r="F1082" s="1077" t="s">
        <v>1662</v>
      </c>
      <c r="G1082" s="255">
        <f>G1081/O1069</f>
        <v>925.67000000000007</v>
      </c>
      <c r="H1082" s="1076" t="s">
        <v>30</v>
      </c>
      <c r="I1082" s="1076" t="str">
        <f>P1069</f>
        <v>sq</v>
      </c>
      <c r="J1082" s="1080"/>
      <c r="K1082" s="1080"/>
      <c r="L1082" s="1080"/>
      <c r="M1082" s="1080"/>
      <c r="N1082" s="1080"/>
      <c r="O1082" s="1080"/>
      <c r="P1082" s="1076"/>
    </row>
  </sheetData>
  <mergeCells count="165">
    <mergeCell ref="G49:K49"/>
    <mergeCell ref="L52:L53"/>
    <mergeCell ref="M52:M53"/>
    <mergeCell ref="N52:N53"/>
    <mergeCell ref="O52:O53"/>
    <mergeCell ref="P52:P53"/>
    <mergeCell ref="D58:F58"/>
    <mergeCell ref="D60:F60"/>
    <mergeCell ref="E61:F61"/>
    <mergeCell ref="E556:F556"/>
    <mergeCell ref="G564:K564"/>
    <mergeCell ref="D664:F664"/>
    <mergeCell ref="E665:F665"/>
    <mergeCell ref="G673:K673"/>
    <mergeCell ref="D686:F686"/>
    <mergeCell ref="E687:F687"/>
    <mergeCell ref="B887:M887"/>
    <mergeCell ref="B874:M874"/>
    <mergeCell ref="A881:F881"/>
    <mergeCell ref="G830:K830"/>
    <mergeCell ref="G815:K815"/>
    <mergeCell ref="D776:F776"/>
    <mergeCell ref="G696:K696"/>
    <mergeCell ref="D709:F709"/>
    <mergeCell ref="G719:K719"/>
    <mergeCell ref="D577:F577"/>
    <mergeCell ref="G585:K585"/>
    <mergeCell ref="D598:F598"/>
    <mergeCell ref="E599:F599"/>
    <mergeCell ref="G607:K607"/>
    <mergeCell ref="D620:F620"/>
    <mergeCell ref="E621:F621"/>
    <mergeCell ref="G629:K629"/>
    <mergeCell ref="D642:F642"/>
    <mergeCell ref="G763:K763"/>
    <mergeCell ref="G741:K741"/>
    <mergeCell ref="D754:F754"/>
    <mergeCell ref="B900:M900"/>
    <mergeCell ref="G793:K793"/>
    <mergeCell ref="G803:K803"/>
    <mergeCell ref="G783:K783"/>
    <mergeCell ref="G651:K651"/>
    <mergeCell ref="D732:F732"/>
    <mergeCell ref="A894:F894"/>
    <mergeCell ref="B74:D74"/>
    <mergeCell ref="B99:M99"/>
    <mergeCell ref="G101:K101"/>
    <mergeCell ref="B108:D108"/>
    <mergeCell ref="E423:F423"/>
    <mergeCell ref="G431:K431"/>
    <mergeCell ref="D445:F445"/>
    <mergeCell ref="G453:K453"/>
    <mergeCell ref="D467:F467"/>
    <mergeCell ref="D268:F268"/>
    <mergeCell ref="G276:K276"/>
    <mergeCell ref="G362:K362"/>
    <mergeCell ref="L122:N122"/>
    <mergeCell ref="A1:P1"/>
    <mergeCell ref="A2:P2"/>
    <mergeCell ref="A3:P3"/>
    <mergeCell ref="A8:D8"/>
    <mergeCell ref="E25:F25"/>
    <mergeCell ref="G31:K31"/>
    <mergeCell ref="L34:L35"/>
    <mergeCell ref="A4:P4"/>
    <mergeCell ref="A5:P5"/>
    <mergeCell ref="A7:P7"/>
    <mergeCell ref="G13:K13"/>
    <mergeCell ref="L16:L17"/>
    <mergeCell ref="M16:M17"/>
    <mergeCell ref="N16:N17"/>
    <mergeCell ref="O16:O17"/>
    <mergeCell ref="E43:F43"/>
    <mergeCell ref="D353:F353"/>
    <mergeCell ref="D289:F289"/>
    <mergeCell ref="B65:M65"/>
    <mergeCell ref="G84:K84"/>
    <mergeCell ref="G74:I74"/>
    <mergeCell ref="L74:N74"/>
    <mergeCell ref="P120:P121"/>
    <mergeCell ref="P103:P105"/>
    <mergeCell ref="B116:M116"/>
    <mergeCell ref="L120:L121"/>
    <mergeCell ref="G118:K118"/>
    <mergeCell ref="B82:M82"/>
    <mergeCell ref="B122:D122"/>
    <mergeCell ref="G122:I122"/>
    <mergeCell ref="G191:K191"/>
    <mergeCell ref="D205:F205"/>
    <mergeCell ref="D182:F182"/>
    <mergeCell ref="L108:N108"/>
    <mergeCell ref="L103:L106"/>
    <mergeCell ref="B91:D91"/>
    <mergeCell ref="G91:I91"/>
    <mergeCell ref="L91:N91"/>
    <mergeCell ref="G67:K67"/>
    <mergeCell ref="B1003:P1003"/>
    <mergeCell ref="G1004:K1004"/>
    <mergeCell ref="B1018:P1018"/>
    <mergeCell ref="G1019:K1019"/>
    <mergeCell ref="P16:P17"/>
    <mergeCell ref="P34:P35"/>
    <mergeCell ref="D40:F40"/>
    <mergeCell ref="D42:F42"/>
    <mergeCell ref="M34:M35"/>
    <mergeCell ref="N34:N35"/>
    <mergeCell ref="O34:O35"/>
    <mergeCell ref="G846:K846"/>
    <mergeCell ref="D22:F22"/>
    <mergeCell ref="D24:F24"/>
    <mergeCell ref="G385:K385"/>
    <mergeCell ref="D399:F399"/>
    <mergeCell ref="G108:I108"/>
    <mergeCell ref="E400:F400"/>
    <mergeCell ref="G408:K408"/>
    <mergeCell ref="D422:F422"/>
    <mergeCell ref="G130:K130"/>
    <mergeCell ref="G148:K148"/>
    <mergeCell ref="D161:F161"/>
    <mergeCell ref="G169:K169"/>
    <mergeCell ref="D555:F555"/>
    <mergeCell ref="G212:K212"/>
    <mergeCell ref="D376:F376"/>
    <mergeCell ref="G499:K499"/>
    <mergeCell ref="E468:F468"/>
    <mergeCell ref="G476:K476"/>
    <mergeCell ref="D490:F490"/>
    <mergeCell ref="E491:F491"/>
    <mergeCell ref="G340:K340"/>
    <mergeCell ref="D225:F225"/>
    <mergeCell ref="G233:K233"/>
    <mergeCell ref="D246:F246"/>
    <mergeCell ref="G297:K297"/>
    <mergeCell ref="D310:F310"/>
    <mergeCell ref="G319:K319"/>
    <mergeCell ref="D332:F332"/>
    <mergeCell ref="D533:F533"/>
    <mergeCell ref="E534:F534"/>
    <mergeCell ref="G542:K542"/>
    <mergeCell ref="G520:K520"/>
    <mergeCell ref="D512:F512"/>
    <mergeCell ref="B1049:M1049"/>
    <mergeCell ref="G1050:K1050"/>
    <mergeCell ref="B1070:P1070"/>
    <mergeCell ref="G1071:K1071"/>
    <mergeCell ref="L1073:O1075"/>
    <mergeCell ref="G254:K254"/>
    <mergeCell ref="G917:K917"/>
    <mergeCell ref="B916:M916"/>
    <mergeCell ref="G901:K901"/>
    <mergeCell ref="G976:K976"/>
    <mergeCell ref="B975:M975"/>
    <mergeCell ref="B1034:P1034"/>
    <mergeCell ref="G860:K860"/>
    <mergeCell ref="G1035:K1035"/>
    <mergeCell ref="J984:O987"/>
    <mergeCell ref="B990:P990"/>
    <mergeCell ref="G991:K991"/>
    <mergeCell ref="B931:M931"/>
    <mergeCell ref="G932:K932"/>
    <mergeCell ref="B945:M945"/>
    <mergeCell ref="G946:K946"/>
    <mergeCell ref="B960:M960"/>
    <mergeCell ref="G961:K961"/>
    <mergeCell ref="J969:O972"/>
  </mergeCells>
  <printOptions horizontalCentered="1"/>
  <pageMargins left="0.25" right="0.19" top="0.37" bottom="0.4" header="0.3" footer="0.15"/>
  <pageSetup paperSize="9" scale="63" orientation="landscape" r:id="rId1"/>
  <headerFooter>
    <oddFooter>&amp;L__________________________Prepared By&amp;C__________________________Checked By&amp;R________________________Approved By</oddFooter>
  </headerFooter>
  <rowBreaks count="9" manualBreakCount="9">
    <brk id="80" max="15" man="1"/>
    <brk id="188" max="15" man="1"/>
    <brk id="244" max="15" man="1"/>
    <brk id="294" max="15" man="1"/>
    <brk id="714" max="15" man="1"/>
    <brk id="825" max="15" man="1"/>
    <brk id="872" max="15" man="1"/>
    <brk id="929" max="15" man="1"/>
    <brk id="997" max="15" man="1"/>
  </rowBreaks>
  <colBreaks count="1" manualBreakCount="1">
    <brk id="16" max="1060"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H184"/>
  <sheetViews>
    <sheetView workbookViewId="0">
      <selection activeCell="J6" sqref="J6"/>
    </sheetView>
  </sheetViews>
  <sheetFormatPr defaultColWidth="9.140625" defaultRowHeight="12.75" x14ac:dyDescent="0.2"/>
  <cols>
    <col min="1" max="1" width="6.85546875" style="455" customWidth="1"/>
    <col min="2" max="2" width="17.85546875" style="455" customWidth="1"/>
    <col min="3" max="3" width="25.85546875" style="455" customWidth="1"/>
    <col min="4" max="4" width="14.85546875" style="455" customWidth="1"/>
    <col min="5" max="5" width="10.85546875" style="455" customWidth="1"/>
    <col min="6" max="6" width="13.85546875" style="455" customWidth="1"/>
    <col min="7" max="7" width="2.85546875" style="455" customWidth="1"/>
    <col min="8" max="8" width="9.85546875" style="455" customWidth="1"/>
    <col min="9" max="16384" width="9.140625" style="455"/>
  </cols>
  <sheetData>
    <row r="2" spans="1:8" ht="20.25" x14ac:dyDescent="0.2">
      <c r="A2" s="1449" t="s">
        <v>1128</v>
      </c>
      <c r="B2" s="1450"/>
      <c r="C2" s="1450"/>
      <c r="D2" s="1450"/>
      <c r="E2" s="1450"/>
      <c r="F2" s="1450"/>
      <c r="G2" s="1450"/>
    </row>
    <row r="3" spans="1:8" ht="15.75" customHeight="1" x14ac:dyDescent="0.2">
      <c r="A3" s="1451" t="s">
        <v>1129</v>
      </c>
      <c r="B3" s="1451" t="s">
        <v>1130</v>
      </c>
      <c r="C3" s="1453" t="s">
        <v>1131</v>
      </c>
      <c r="D3" s="1451" t="s">
        <v>1132</v>
      </c>
      <c r="E3" s="1451" t="s">
        <v>1133</v>
      </c>
      <c r="F3" s="1455" t="s">
        <v>1134</v>
      </c>
      <c r="G3" s="1456"/>
      <c r="H3" s="1457"/>
    </row>
    <row r="4" spans="1:8" ht="44.25" customHeight="1" x14ac:dyDescent="0.2">
      <c r="A4" s="1452"/>
      <c r="B4" s="1452"/>
      <c r="C4" s="1454"/>
      <c r="D4" s="1452"/>
      <c r="E4" s="1452"/>
      <c r="F4" s="456" t="s">
        <v>1135</v>
      </c>
      <c r="G4" s="1458" t="s">
        <v>1136</v>
      </c>
      <c r="H4" s="1459"/>
    </row>
    <row r="5" spans="1:8" ht="15.6" customHeight="1" x14ac:dyDescent="0.2">
      <c r="A5" s="457">
        <v>1</v>
      </c>
      <c r="B5" s="458" t="s">
        <v>1137</v>
      </c>
      <c r="C5" s="458" t="s">
        <v>1138</v>
      </c>
      <c r="D5" s="458" t="s">
        <v>1139</v>
      </c>
      <c r="E5" s="458" t="s">
        <v>1140</v>
      </c>
      <c r="F5" s="459">
        <v>400</v>
      </c>
      <c r="G5" s="1447">
        <v>2800</v>
      </c>
      <c r="H5" s="1448"/>
    </row>
    <row r="6" spans="1:8" ht="15.6" customHeight="1" x14ac:dyDescent="0.2">
      <c r="A6" s="457">
        <v>2</v>
      </c>
      <c r="B6" s="458" t="s">
        <v>1137</v>
      </c>
      <c r="C6" s="458" t="s">
        <v>1141</v>
      </c>
      <c r="D6" s="458" t="s">
        <v>1139</v>
      </c>
      <c r="E6" s="458" t="s">
        <v>1140</v>
      </c>
      <c r="F6" s="459">
        <v>500</v>
      </c>
      <c r="G6" s="1447">
        <v>3500</v>
      </c>
      <c r="H6" s="1448"/>
    </row>
    <row r="7" spans="1:8" ht="15.75" customHeight="1" x14ac:dyDescent="0.2">
      <c r="A7" s="457">
        <v>3</v>
      </c>
      <c r="B7" s="458" t="s">
        <v>1142</v>
      </c>
      <c r="C7" s="458" t="s">
        <v>1143</v>
      </c>
      <c r="D7" s="460"/>
      <c r="E7" s="458" t="s">
        <v>1144</v>
      </c>
      <c r="F7" s="459">
        <v>1400</v>
      </c>
      <c r="G7" s="1447">
        <v>9800</v>
      </c>
      <c r="H7" s="1448"/>
    </row>
    <row r="8" spans="1:8" ht="15.6" customHeight="1" x14ac:dyDescent="0.2">
      <c r="A8" s="457">
        <v>4</v>
      </c>
      <c r="B8" s="458" t="s">
        <v>1145</v>
      </c>
      <c r="C8" s="458" t="s">
        <v>1146</v>
      </c>
      <c r="D8" s="460"/>
      <c r="E8" s="458" t="s">
        <v>1147</v>
      </c>
      <c r="F8" s="459">
        <v>1000</v>
      </c>
      <c r="G8" s="1447">
        <v>7000</v>
      </c>
      <c r="H8" s="1448"/>
    </row>
    <row r="9" spans="1:8" ht="16.7" customHeight="1" x14ac:dyDescent="0.2">
      <c r="A9" s="457">
        <v>5</v>
      </c>
      <c r="B9" s="458" t="s">
        <v>1148</v>
      </c>
      <c r="C9" s="458" t="s">
        <v>1149</v>
      </c>
      <c r="D9" s="458" t="s">
        <v>1150</v>
      </c>
      <c r="E9" s="458" t="s">
        <v>1151</v>
      </c>
      <c r="F9" s="459">
        <v>750</v>
      </c>
      <c r="G9" s="1447">
        <v>5250</v>
      </c>
      <c r="H9" s="1448"/>
    </row>
    <row r="10" spans="1:8" ht="15.75" customHeight="1" x14ac:dyDescent="0.2">
      <c r="A10" s="457">
        <v>6</v>
      </c>
      <c r="B10" s="458" t="s">
        <v>1152</v>
      </c>
      <c r="C10" s="458" t="s">
        <v>1153</v>
      </c>
      <c r="D10" s="460"/>
      <c r="E10" s="458" t="s">
        <v>1154</v>
      </c>
      <c r="F10" s="459">
        <v>260</v>
      </c>
      <c r="G10" s="1447">
        <v>1820</v>
      </c>
      <c r="H10" s="1448"/>
    </row>
    <row r="11" spans="1:8" ht="15.75" customHeight="1" x14ac:dyDescent="0.2">
      <c r="A11" s="457">
        <v>7</v>
      </c>
      <c r="B11" s="458" t="s">
        <v>1155</v>
      </c>
      <c r="C11" s="458" t="s">
        <v>1156</v>
      </c>
      <c r="D11" s="460"/>
      <c r="E11" s="458" t="s">
        <v>1157</v>
      </c>
      <c r="F11" s="459">
        <v>1200</v>
      </c>
      <c r="G11" s="1447">
        <v>8400</v>
      </c>
      <c r="H11" s="1448"/>
    </row>
    <row r="12" spans="1:8" ht="15.75" customHeight="1" x14ac:dyDescent="0.2">
      <c r="A12" s="457">
        <v>8</v>
      </c>
      <c r="B12" s="458" t="s">
        <v>1158</v>
      </c>
      <c r="C12" s="458" t="s">
        <v>1159</v>
      </c>
      <c r="D12" s="458" t="s">
        <v>1160</v>
      </c>
      <c r="E12" s="458" t="s">
        <v>1161</v>
      </c>
      <c r="F12" s="459">
        <v>250</v>
      </c>
      <c r="G12" s="1447">
        <v>1750</v>
      </c>
      <c r="H12" s="1448"/>
    </row>
    <row r="13" spans="1:8" ht="15.6" customHeight="1" x14ac:dyDescent="0.2">
      <c r="A13" s="457">
        <v>9</v>
      </c>
      <c r="B13" s="458" t="s">
        <v>1158</v>
      </c>
      <c r="C13" s="458" t="s">
        <v>1162</v>
      </c>
      <c r="D13" s="460"/>
      <c r="E13" s="458" t="s">
        <v>1161</v>
      </c>
      <c r="F13" s="459">
        <v>250</v>
      </c>
      <c r="G13" s="1447">
        <v>1750</v>
      </c>
      <c r="H13" s="1448"/>
    </row>
    <row r="14" spans="1:8" ht="15.6" customHeight="1" x14ac:dyDescent="0.2">
      <c r="A14" s="457">
        <v>10</v>
      </c>
      <c r="B14" s="458" t="s">
        <v>1158</v>
      </c>
      <c r="C14" s="458" t="s">
        <v>1163</v>
      </c>
      <c r="D14" s="460"/>
      <c r="E14" s="458" t="s">
        <v>1161</v>
      </c>
      <c r="F14" s="459">
        <v>250</v>
      </c>
      <c r="G14" s="1447">
        <v>1750</v>
      </c>
      <c r="H14" s="1448"/>
    </row>
    <row r="15" spans="1:8" ht="15.75" customHeight="1" x14ac:dyDescent="0.2">
      <c r="A15" s="457">
        <v>11</v>
      </c>
      <c r="B15" s="458" t="s">
        <v>1164</v>
      </c>
      <c r="C15" s="458" t="s">
        <v>1165</v>
      </c>
      <c r="D15" s="458" t="s">
        <v>1166</v>
      </c>
      <c r="E15" s="458" t="s">
        <v>1167</v>
      </c>
      <c r="F15" s="459">
        <v>3100</v>
      </c>
      <c r="G15" s="1447">
        <v>21700</v>
      </c>
      <c r="H15" s="1448"/>
    </row>
    <row r="16" spans="1:8" ht="15.6" customHeight="1" x14ac:dyDescent="0.2">
      <c r="A16" s="457">
        <v>12</v>
      </c>
      <c r="B16" s="458" t="s">
        <v>1164</v>
      </c>
      <c r="C16" s="458" t="s">
        <v>1168</v>
      </c>
      <c r="D16" s="458" t="s">
        <v>1169</v>
      </c>
      <c r="E16" s="458" t="s">
        <v>1167</v>
      </c>
      <c r="F16" s="459">
        <v>3500</v>
      </c>
      <c r="G16" s="1447">
        <v>24500</v>
      </c>
      <c r="H16" s="1448"/>
    </row>
    <row r="17" spans="1:8" ht="15.75" customHeight="1" x14ac:dyDescent="0.2">
      <c r="A17" s="457">
        <v>13</v>
      </c>
      <c r="B17" s="458" t="s">
        <v>1170</v>
      </c>
      <c r="C17" s="458" t="s">
        <v>1171</v>
      </c>
      <c r="D17" s="460"/>
      <c r="E17" s="458" t="s">
        <v>1172</v>
      </c>
      <c r="F17" s="459">
        <v>250</v>
      </c>
      <c r="G17" s="1447">
        <v>1750</v>
      </c>
      <c r="H17" s="1448"/>
    </row>
    <row r="18" spans="1:8" ht="15.6" customHeight="1" x14ac:dyDescent="0.2">
      <c r="A18" s="457">
        <v>14</v>
      </c>
      <c r="B18" s="458" t="s">
        <v>1170</v>
      </c>
      <c r="C18" s="458" t="s">
        <v>1173</v>
      </c>
      <c r="D18" s="460"/>
      <c r="E18" s="458" t="s">
        <v>1172</v>
      </c>
      <c r="F18" s="459">
        <v>250</v>
      </c>
      <c r="G18" s="1447">
        <v>1750</v>
      </c>
      <c r="H18" s="1448"/>
    </row>
    <row r="19" spans="1:8" ht="15.6" customHeight="1" x14ac:dyDescent="0.2">
      <c r="A19" s="457">
        <v>15</v>
      </c>
      <c r="B19" s="458" t="s">
        <v>1174</v>
      </c>
      <c r="C19" s="458" t="s">
        <v>1175</v>
      </c>
      <c r="D19" s="458" t="s">
        <v>1176</v>
      </c>
      <c r="E19" s="458" t="s">
        <v>1177</v>
      </c>
      <c r="F19" s="459">
        <v>2100</v>
      </c>
      <c r="G19" s="1447">
        <v>14700</v>
      </c>
      <c r="H19" s="1448"/>
    </row>
    <row r="20" spans="1:8" ht="15.75" customHeight="1" x14ac:dyDescent="0.2">
      <c r="A20" s="457">
        <v>16</v>
      </c>
      <c r="B20" s="458" t="s">
        <v>1174</v>
      </c>
      <c r="C20" s="458" t="s">
        <v>1178</v>
      </c>
      <c r="D20" s="458" t="s">
        <v>1176</v>
      </c>
      <c r="E20" s="458" t="s">
        <v>1177</v>
      </c>
      <c r="F20" s="459">
        <v>2100</v>
      </c>
      <c r="G20" s="1447">
        <v>14700</v>
      </c>
      <c r="H20" s="1448"/>
    </row>
    <row r="21" spans="1:8" ht="15.6" customHeight="1" x14ac:dyDescent="0.2">
      <c r="A21" s="457">
        <v>17</v>
      </c>
      <c r="B21" s="458" t="s">
        <v>1179</v>
      </c>
      <c r="C21" s="458" t="s">
        <v>1180</v>
      </c>
      <c r="D21" s="458" t="s">
        <v>1176</v>
      </c>
      <c r="E21" s="458" t="s">
        <v>1181</v>
      </c>
      <c r="F21" s="459">
        <v>3000</v>
      </c>
      <c r="G21" s="1447">
        <v>21000</v>
      </c>
      <c r="H21" s="1448"/>
    </row>
    <row r="22" spans="1:8" ht="15.75" customHeight="1" x14ac:dyDescent="0.2">
      <c r="A22" s="457">
        <v>18</v>
      </c>
      <c r="B22" s="458" t="s">
        <v>1179</v>
      </c>
      <c r="C22" s="458" t="s">
        <v>1182</v>
      </c>
      <c r="D22" s="458" t="s">
        <v>1176</v>
      </c>
      <c r="E22" s="458" t="s">
        <v>1181</v>
      </c>
      <c r="F22" s="459">
        <v>3000</v>
      </c>
      <c r="G22" s="1447">
        <v>21000</v>
      </c>
      <c r="H22" s="1448"/>
    </row>
    <row r="23" spans="1:8" ht="15.6" customHeight="1" x14ac:dyDescent="0.2">
      <c r="A23" s="457">
        <v>19</v>
      </c>
      <c r="B23" s="458" t="s">
        <v>1179</v>
      </c>
      <c r="C23" s="458" t="s">
        <v>1183</v>
      </c>
      <c r="D23" s="458" t="s">
        <v>1176</v>
      </c>
      <c r="E23" s="458" t="s">
        <v>1181</v>
      </c>
      <c r="F23" s="459">
        <v>3000</v>
      </c>
      <c r="G23" s="1447">
        <v>21000</v>
      </c>
      <c r="H23" s="1448"/>
    </row>
    <row r="24" spans="1:8" ht="15.75" customHeight="1" x14ac:dyDescent="0.2">
      <c r="A24" s="457">
        <v>20</v>
      </c>
      <c r="B24" s="458" t="s">
        <v>1179</v>
      </c>
      <c r="C24" s="458" t="s">
        <v>1184</v>
      </c>
      <c r="D24" s="458" t="s">
        <v>1176</v>
      </c>
      <c r="E24" s="458" t="s">
        <v>1181</v>
      </c>
      <c r="F24" s="459">
        <v>2000</v>
      </c>
      <c r="G24" s="1447">
        <v>14000</v>
      </c>
      <c r="H24" s="1448"/>
    </row>
    <row r="25" spans="1:8" ht="15.6" customHeight="1" x14ac:dyDescent="0.2">
      <c r="A25" s="457">
        <v>21</v>
      </c>
      <c r="B25" s="458" t="s">
        <v>1179</v>
      </c>
      <c r="C25" s="458" t="s">
        <v>1185</v>
      </c>
      <c r="D25" s="458" t="s">
        <v>1176</v>
      </c>
      <c r="E25" s="458" t="s">
        <v>1181</v>
      </c>
      <c r="F25" s="459">
        <v>2000</v>
      </c>
      <c r="G25" s="1447">
        <v>14000</v>
      </c>
      <c r="H25" s="1448"/>
    </row>
    <row r="26" spans="1:8" ht="15.6" customHeight="1" x14ac:dyDescent="0.2">
      <c r="A26" s="457">
        <v>22</v>
      </c>
      <c r="B26" s="458" t="s">
        <v>1179</v>
      </c>
      <c r="C26" s="458" t="s">
        <v>1186</v>
      </c>
      <c r="D26" s="458" t="s">
        <v>1187</v>
      </c>
      <c r="E26" s="458" t="s">
        <v>1181</v>
      </c>
      <c r="F26" s="459">
        <v>1800</v>
      </c>
      <c r="G26" s="1447">
        <v>12600</v>
      </c>
      <c r="H26" s="1448"/>
    </row>
    <row r="27" spans="1:8" ht="15.75" customHeight="1" x14ac:dyDescent="0.2">
      <c r="A27" s="457">
        <v>23</v>
      </c>
      <c r="B27" s="458" t="s">
        <v>1179</v>
      </c>
      <c r="C27" s="458" t="s">
        <v>1188</v>
      </c>
      <c r="D27" s="458" t="s">
        <v>1187</v>
      </c>
      <c r="E27" s="458" t="s">
        <v>1181</v>
      </c>
      <c r="F27" s="459">
        <v>1800</v>
      </c>
      <c r="G27" s="1447">
        <v>12600</v>
      </c>
      <c r="H27" s="1448"/>
    </row>
    <row r="28" spans="1:8" ht="15.6" customHeight="1" x14ac:dyDescent="0.2">
      <c r="A28" s="457">
        <v>24</v>
      </c>
      <c r="B28" s="458" t="s">
        <v>1179</v>
      </c>
      <c r="C28" s="458" t="s">
        <v>1189</v>
      </c>
      <c r="D28" s="458" t="s">
        <v>1187</v>
      </c>
      <c r="E28" s="458" t="s">
        <v>1181</v>
      </c>
      <c r="F28" s="459">
        <v>1800</v>
      </c>
      <c r="G28" s="1447">
        <v>12600</v>
      </c>
      <c r="H28" s="1448"/>
    </row>
    <row r="29" spans="1:8" ht="15.75" customHeight="1" x14ac:dyDescent="0.2">
      <c r="A29" s="457">
        <v>25</v>
      </c>
      <c r="B29" s="458" t="s">
        <v>1179</v>
      </c>
      <c r="C29" s="458" t="s">
        <v>1190</v>
      </c>
      <c r="D29" s="458" t="s">
        <v>1191</v>
      </c>
      <c r="E29" s="458" t="s">
        <v>1181</v>
      </c>
      <c r="F29" s="459">
        <v>1800</v>
      </c>
      <c r="G29" s="1447">
        <v>12600</v>
      </c>
      <c r="H29" s="1448"/>
    </row>
    <row r="30" spans="1:8" ht="15.6" customHeight="1" x14ac:dyDescent="0.2">
      <c r="A30" s="457">
        <v>26</v>
      </c>
      <c r="B30" s="458" t="s">
        <v>1179</v>
      </c>
      <c r="C30" s="458" t="s">
        <v>1192</v>
      </c>
      <c r="D30" s="458" t="s">
        <v>1191</v>
      </c>
      <c r="E30" s="458" t="s">
        <v>1181</v>
      </c>
      <c r="F30" s="459">
        <v>1800</v>
      </c>
      <c r="G30" s="1447">
        <v>12600</v>
      </c>
      <c r="H30" s="1448"/>
    </row>
    <row r="31" spans="1:8" ht="15.6" customHeight="1" x14ac:dyDescent="0.2">
      <c r="A31" s="457">
        <v>27</v>
      </c>
      <c r="B31" s="458" t="s">
        <v>1179</v>
      </c>
      <c r="C31" s="458" t="s">
        <v>1193</v>
      </c>
      <c r="D31" s="458" t="s">
        <v>1194</v>
      </c>
      <c r="E31" s="458" t="s">
        <v>1181</v>
      </c>
      <c r="F31" s="459">
        <v>1000</v>
      </c>
      <c r="G31" s="1447">
        <v>7000</v>
      </c>
      <c r="H31" s="1448"/>
    </row>
    <row r="32" spans="1:8" ht="15.75" customHeight="1" x14ac:dyDescent="0.2">
      <c r="A32" s="457">
        <v>28</v>
      </c>
      <c r="B32" s="458" t="s">
        <v>1195</v>
      </c>
      <c r="C32" s="458" t="s">
        <v>1196</v>
      </c>
      <c r="D32" s="458" t="s">
        <v>1197</v>
      </c>
      <c r="E32" s="458" t="s">
        <v>1198</v>
      </c>
      <c r="F32" s="459">
        <v>1300</v>
      </c>
      <c r="G32" s="1447">
        <v>9100</v>
      </c>
      <c r="H32" s="1448"/>
    </row>
    <row r="33" spans="1:8" ht="15.6" customHeight="1" x14ac:dyDescent="0.2">
      <c r="A33" s="457">
        <v>29</v>
      </c>
      <c r="B33" s="458" t="s">
        <v>1195</v>
      </c>
      <c r="C33" s="458" t="s">
        <v>1199</v>
      </c>
      <c r="D33" s="458" t="s">
        <v>1197</v>
      </c>
      <c r="E33" s="458" t="s">
        <v>1198</v>
      </c>
      <c r="F33" s="459">
        <v>1300</v>
      </c>
      <c r="G33" s="1447">
        <v>9100</v>
      </c>
      <c r="H33" s="1448"/>
    </row>
    <row r="34" spans="1:8" ht="15.75" customHeight="1" x14ac:dyDescent="0.2">
      <c r="A34" s="457">
        <v>30</v>
      </c>
      <c r="B34" s="458" t="s">
        <v>1195</v>
      </c>
      <c r="C34" s="458" t="s">
        <v>1200</v>
      </c>
      <c r="D34" s="458" t="s">
        <v>1197</v>
      </c>
      <c r="E34" s="458" t="s">
        <v>1198</v>
      </c>
      <c r="F34" s="459">
        <v>1300</v>
      </c>
      <c r="G34" s="1447">
        <v>9100</v>
      </c>
      <c r="H34" s="1448"/>
    </row>
    <row r="35" spans="1:8" ht="15.6" customHeight="1" x14ac:dyDescent="0.2">
      <c r="A35" s="457">
        <v>31</v>
      </c>
      <c r="B35" s="458" t="s">
        <v>1201</v>
      </c>
      <c r="C35" s="460"/>
      <c r="D35" s="460"/>
      <c r="E35" s="458" t="s">
        <v>1202</v>
      </c>
      <c r="F35" s="459">
        <v>130</v>
      </c>
      <c r="G35" s="1447">
        <v>910</v>
      </c>
      <c r="H35" s="1448"/>
    </row>
    <row r="36" spans="1:8" ht="15.75" customHeight="1" x14ac:dyDescent="0.2">
      <c r="A36" s="457">
        <v>32</v>
      </c>
      <c r="B36" s="458" t="s">
        <v>1203</v>
      </c>
      <c r="C36" s="458" t="s">
        <v>1204</v>
      </c>
      <c r="D36" s="458" t="s">
        <v>1205</v>
      </c>
      <c r="E36" s="458" t="s">
        <v>1206</v>
      </c>
      <c r="F36" s="459">
        <v>250</v>
      </c>
      <c r="G36" s="1447">
        <v>1750</v>
      </c>
      <c r="H36" s="1448"/>
    </row>
    <row r="37" spans="1:8" ht="15.6" customHeight="1" x14ac:dyDescent="0.2">
      <c r="A37" s="457">
        <v>33</v>
      </c>
      <c r="B37" s="458" t="s">
        <v>1203</v>
      </c>
      <c r="C37" s="458" t="s">
        <v>1207</v>
      </c>
      <c r="D37" s="458" t="s">
        <v>1205</v>
      </c>
      <c r="E37" s="458" t="s">
        <v>1206</v>
      </c>
      <c r="F37" s="459">
        <v>250</v>
      </c>
      <c r="G37" s="1447">
        <v>1750</v>
      </c>
      <c r="H37" s="1448"/>
    </row>
    <row r="38" spans="1:8" ht="15.6" customHeight="1" x14ac:dyDescent="0.2">
      <c r="A38" s="457">
        <v>34</v>
      </c>
      <c r="B38" s="458" t="s">
        <v>1203</v>
      </c>
      <c r="C38" s="458" t="s">
        <v>1208</v>
      </c>
      <c r="D38" s="458" t="s">
        <v>1205</v>
      </c>
      <c r="E38" s="458" t="s">
        <v>1206</v>
      </c>
      <c r="F38" s="459">
        <v>250</v>
      </c>
      <c r="G38" s="1447">
        <v>1750</v>
      </c>
      <c r="H38" s="1448"/>
    </row>
    <row r="39" spans="1:8" ht="15.6" customHeight="1" x14ac:dyDescent="0.2">
      <c r="A39" s="461">
        <v>35</v>
      </c>
      <c r="B39" s="458" t="s">
        <v>1203</v>
      </c>
      <c r="C39" s="458" t="s">
        <v>1209</v>
      </c>
      <c r="D39" s="458" t="s">
        <v>1205</v>
      </c>
      <c r="E39" s="458" t="s">
        <v>1206</v>
      </c>
      <c r="F39" s="459">
        <v>250</v>
      </c>
      <c r="G39" s="1447">
        <v>1750</v>
      </c>
      <c r="H39" s="1448"/>
    </row>
    <row r="40" spans="1:8" ht="15.75" customHeight="1" x14ac:dyDescent="0.2">
      <c r="A40" s="461">
        <v>36</v>
      </c>
      <c r="B40" s="458" t="s">
        <v>1203</v>
      </c>
      <c r="C40" s="458" t="s">
        <v>1210</v>
      </c>
      <c r="D40" s="458" t="s">
        <v>1205</v>
      </c>
      <c r="E40" s="458" t="s">
        <v>1206</v>
      </c>
      <c r="F40" s="459">
        <v>550</v>
      </c>
      <c r="G40" s="1447">
        <v>3850</v>
      </c>
      <c r="H40" s="1448"/>
    </row>
    <row r="41" spans="1:8" ht="15.6" customHeight="1" x14ac:dyDescent="0.2">
      <c r="A41" s="461">
        <v>37</v>
      </c>
      <c r="B41" s="458" t="s">
        <v>1211</v>
      </c>
      <c r="C41" s="458" t="s">
        <v>1212</v>
      </c>
      <c r="D41" s="458" t="s">
        <v>1213</v>
      </c>
      <c r="E41" s="458" t="s">
        <v>1214</v>
      </c>
      <c r="F41" s="459">
        <v>1200</v>
      </c>
      <c r="G41" s="1447">
        <v>8400</v>
      </c>
      <c r="H41" s="1448"/>
    </row>
    <row r="42" spans="1:8" ht="15.75" customHeight="1" x14ac:dyDescent="0.2">
      <c r="A42" s="461">
        <v>38</v>
      </c>
      <c r="B42" s="458" t="s">
        <v>1211</v>
      </c>
      <c r="C42" s="458" t="s">
        <v>1215</v>
      </c>
      <c r="D42" s="458" t="s">
        <v>1213</v>
      </c>
      <c r="E42" s="458" t="s">
        <v>1214</v>
      </c>
      <c r="F42" s="459">
        <v>1200</v>
      </c>
      <c r="G42" s="1447">
        <v>8400</v>
      </c>
      <c r="H42" s="1448"/>
    </row>
    <row r="43" spans="1:8" ht="15.6" customHeight="1" x14ac:dyDescent="0.2">
      <c r="A43" s="461">
        <v>39</v>
      </c>
      <c r="B43" s="458" t="s">
        <v>1211</v>
      </c>
      <c r="C43" s="458" t="s">
        <v>1216</v>
      </c>
      <c r="D43" s="458" t="s">
        <v>1217</v>
      </c>
      <c r="E43" s="458" t="s">
        <v>1214</v>
      </c>
      <c r="F43" s="459">
        <v>1800</v>
      </c>
      <c r="G43" s="1447">
        <v>12600</v>
      </c>
      <c r="H43" s="1448"/>
    </row>
    <row r="44" spans="1:8" ht="15.75" customHeight="1" x14ac:dyDescent="0.2">
      <c r="A44" s="461">
        <v>40</v>
      </c>
      <c r="B44" s="458" t="s">
        <v>1211</v>
      </c>
      <c r="C44" s="458" t="s">
        <v>1218</v>
      </c>
      <c r="D44" s="458" t="s">
        <v>1217</v>
      </c>
      <c r="E44" s="458" t="s">
        <v>1214</v>
      </c>
      <c r="F44" s="459">
        <v>1800</v>
      </c>
      <c r="G44" s="1447">
        <v>12600</v>
      </c>
      <c r="H44" s="1448"/>
    </row>
    <row r="45" spans="1:8" ht="15.6" customHeight="1" x14ac:dyDescent="0.2">
      <c r="A45" s="461">
        <v>41</v>
      </c>
      <c r="B45" s="458" t="s">
        <v>1211</v>
      </c>
      <c r="C45" s="458" t="s">
        <v>1219</v>
      </c>
      <c r="D45" s="458" t="s">
        <v>1217</v>
      </c>
      <c r="E45" s="458" t="s">
        <v>1214</v>
      </c>
      <c r="F45" s="459">
        <v>1800</v>
      </c>
      <c r="G45" s="1447">
        <v>12600</v>
      </c>
      <c r="H45" s="1448"/>
    </row>
    <row r="46" spans="1:8" ht="15.6" customHeight="1" x14ac:dyDescent="0.2">
      <c r="A46" s="461">
        <v>42</v>
      </c>
      <c r="B46" s="458" t="s">
        <v>1211</v>
      </c>
      <c r="C46" s="458" t="s">
        <v>1220</v>
      </c>
      <c r="D46" s="458" t="s">
        <v>1217</v>
      </c>
      <c r="E46" s="458" t="s">
        <v>1214</v>
      </c>
      <c r="F46" s="459">
        <v>1800</v>
      </c>
      <c r="G46" s="1447">
        <v>12600</v>
      </c>
      <c r="H46" s="1448"/>
    </row>
    <row r="47" spans="1:8" ht="15.75" customHeight="1" x14ac:dyDescent="0.2">
      <c r="A47" s="461">
        <v>43</v>
      </c>
      <c r="B47" s="458" t="s">
        <v>1211</v>
      </c>
      <c r="C47" s="458" t="s">
        <v>1221</v>
      </c>
      <c r="D47" s="458" t="s">
        <v>1222</v>
      </c>
      <c r="E47" s="458" t="s">
        <v>1223</v>
      </c>
      <c r="F47" s="459">
        <v>1340</v>
      </c>
      <c r="G47" s="1447">
        <v>9380</v>
      </c>
      <c r="H47" s="1448"/>
    </row>
    <row r="48" spans="1:8" ht="15.6" customHeight="1" x14ac:dyDescent="0.2">
      <c r="A48" s="461">
        <v>44</v>
      </c>
      <c r="B48" s="458" t="s">
        <v>1224</v>
      </c>
      <c r="C48" s="458" t="s">
        <v>1225</v>
      </c>
      <c r="D48" s="458" t="s">
        <v>1217</v>
      </c>
      <c r="E48" s="458" t="s">
        <v>1214</v>
      </c>
      <c r="F48" s="459">
        <v>2100</v>
      </c>
      <c r="G48" s="1447">
        <v>14700</v>
      </c>
      <c r="H48" s="1448"/>
    </row>
    <row r="49" spans="1:8" ht="15.75" customHeight="1" x14ac:dyDescent="0.2">
      <c r="A49" s="461">
        <v>45</v>
      </c>
      <c r="B49" s="458" t="s">
        <v>1226</v>
      </c>
      <c r="C49" s="458" t="s">
        <v>1227</v>
      </c>
      <c r="D49" s="458" t="s">
        <v>1228</v>
      </c>
      <c r="E49" s="458" t="s">
        <v>1229</v>
      </c>
      <c r="F49" s="459">
        <v>400</v>
      </c>
      <c r="G49" s="1447">
        <v>2800</v>
      </c>
      <c r="H49" s="1448"/>
    </row>
    <row r="50" spans="1:8" ht="15.6" customHeight="1" x14ac:dyDescent="0.2">
      <c r="A50" s="461">
        <v>46</v>
      </c>
      <c r="B50" s="458" t="s">
        <v>1230</v>
      </c>
      <c r="C50" s="458" t="s">
        <v>1231</v>
      </c>
      <c r="D50" s="458" t="s">
        <v>1232</v>
      </c>
      <c r="E50" s="458" t="s">
        <v>1233</v>
      </c>
      <c r="F50" s="459">
        <v>150</v>
      </c>
      <c r="G50" s="1447">
        <v>1050</v>
      </c>
      <c r="H50" s="1448"/>
    </row>
    <row r="51" spans="1:8" ht="15.6" customHeight="1" x14ac:dyDescent="0.2">
      <c r="A51" s="461">
        <v>47</v>
      </c>
      <c r="B51" s="458" t="s">
        <v>1230</v>
      </c>
      <c r="C51" s="458" t="s">
        <v>1234</v>
      </c>
      <c r="D51" s="458" t="s">
        <v>1232</v>
      </c>
      <c r="E51" s="458" t="s">
        <v>1233</v>
      </c>
      <c r="F51" s="459">
        <v>150</v>
      </c>
      <c r="G51" s="1447">
        <v>1050</v>
      </c>
      <c r="H51" s="1448"/>
    </row>
    <row r="52" spans="1:8" ht="15.75" customHeight="1" x14ac:dyDescent="0.2">
      <c r="A52" s="461">
        <v>48</v>
      </c>
      <c r="B52" s="458" t="s">
        <v>1230</v>
      </c>
      <c r="C52" s="458" t="s">
        <v>1235</v>
      </c>
      <c r="D52" s="458" t="s">
        <v>1232</v>
      </c>
      <c r="E52" s="458" t="s">
        <v>1233</v>
      </c>
      <c r="F52" s="459">
        <v>150</v>
      </c>
      <c r="G52" s="1447">
        <v>1050</v>
      </c>
      <c r="H52" s="1448"/>
    </row>
    <row r="53" spans="1:8" ht="15.75" customHeight="1" x14ac:dyDescent="0.2">
      <c r="A53" s="461">
        <v>49</v>
      </c>
      <c r="B53" s="458" t="s">
        <v>1230</v>
      </c>
      <c r="C53" s="458" t="s">
        <v>1236</v>
      </c>
      <c r="D53" s="458" t="s">
        <v>1232</v>
      </c>
      <c r="E53" s="458" t="s">
        <v>1233</v>
      </c>
      <c r="F53" s="459">
        <v>150</v>
      </c>
      <c r="G53" s="1447">
        <v>1050</v>
      </c>
      <c r="H53" s="1448"/>
    </row>
    <row r="54" spans="1:8" ht="15.75" customHeight="1" x14ac:dyDescent="0.2">
      <c r="A54" s="461">
        <v>50</v>
      </c>
      <c r="B54" s="458" t="s">
        <v>1230</v>
      </c>
      <c r="C54" s="458" t="s">
        <v>1237</v>
      </c>
      <c r="D54" s="458" t="s">
        <v>1232</v>
      </c>
      <c r="E54" s="458" t="s">
        <v>1233</v>
      </c>
      <c r="F54" s="459">
        <v>150</v>
      </c>
      <c r="G54" s="1447">
        <v>1050</v>
      </c>
      <c r="H54" s="1448"/>
    </row>
    <row r="55" spans="1:8" ht="15.6" customHeight="1" x14ac:dyDescent="0.2">
      <c r="A55" s="461">
        <v>51</v>
      </c>
      <c r="B55" s="458" t="s">
        <v>1230</v>
      </c>
      <c r="C55" s="458" t="s">
        <v>1238</v>
      </c>
      <c r="D55" s="458" t="s">
        <v>1239</v>
      </c>
      <c r="E55" s="458" t="s">
        <v>1233</v>
      </c>
      <c r="F55" s="459">
        <v>150</v>
      </c>
      <c r="G55" s="1447">
        <v>1050</v>
      </c>
      <c r="H55" s="1448"/>
    </row>
    <row r="56" spans="1:8" ht="15.75" customHeight="1" x14ac:dyDescent="0.2">
      <c r="A56" s="461">
        <v>52</v>
      </c>
      <c r="B56" s="458" t="s">
        <v>1230</v>
      </c>
      <c r="C56" s="458" t="s">
        <v>1240</v>
      </c>
      <c r="D56" s="458" t="s">
        <v>1241</v>
      </c>
      <c r="E56" s="458" t="s">
        <v>1233</v>
      </c>
      <c r="F56" s="459">
        <v>350</v>
      </c>
      <c r="G56" s="1447">
        <v>2450</v>
      </c>
      <c r="H56" s="1448"/>
    </row>
    <row r="57" spans="1:8" ht="15.6" customHeight="1" x14ac:dyDescent="0.2">
      <c r="A57" s="461">
        <v>53</v>
      </c>
      <c r="B57" s="458" t="s">
        <v>1242</v>
      </c>
      <c r="C57" s="458" t="s">
        <v>1243</v>
      </c>
      <c r="D57" s="458" t="s">
        <v>1244</v>
      </c>
      <c r="E57" s="458" t="s">
        <v>1245</v>
      </c>
      <c r="F57" s="459">
        <v>1600</v>
      </c>
      <c r="G57" s="1447">
        <v>11200</v>
      </c>
      <c r="H57" s="1448"/>
    </row>
    <row r="58" spans="1:8" ht="15.6" customHeight="1" x14ac:dyDescent="0.2">
      <c r="A58" s="461">
        <v>54</v>
      </c>
      <c r="B58" s="458" t="s">
        <v>1242</v>
      </c>
      <c r="C58" s="458" t="s">
        <v>1246</v>
      </c>
      <c r="D58" s="458" t="s">
        <v>1244</v>
      </c>
      <c r="E58" s="458" t="s">
        <v>1245</v>
      </c>
      <c r="F58" s="459">
        <v>1600</v>
      </c>
      <c r="G58" s="1447">
        <v>11200</v>
      </c>
      <c r="H58" s="1448"/>
    </row>
    <row r="59" spans="1:8" ht="15.75" customHeight="1" x14ac:dyDescent="0.2">
      <c r="A59" s="461">
        <v>55</v>
      </c>
      <c r="B59" s="458" t="s">
        <v>1242</v>
      </c>
      <c r="C59" s="458" t="s">
        <v>1247</v>
      </c>
      <c r="D59" s="458" t="s">
        <v>1248</v>
      </c>
      <c r="E59" s="458" t="s">
        <v>1245</v>
      </c>
      <c r="F59" s="459">
        <v>1600</v>
      </c>
      <c r="G59" s="1447">
        <v>11200</v>
      </c>
      <c r="H59" s="1448"/>
    </row>
    <row r="60" spans="1:8" ht="15.6" customHeight="1" x14ac:dyDescent="0.2">
      <c r="A60" s="461">
        <v>56</v>
      </c>
      <c r="B60" s="458" t="s">
        <v>1242</v>
      </c>
      <c r="C60" s="458" t="s">
        <v>1249</v>
      </c>
      <c r="D60" s="458" t="s">
        <v>1244</v>
      </c>
      <c r="E60" s="458" t="s">
        <v>1245</v>
      </c>
      <c r="F60" s="459">
        <v>1600</v>
      </c>
      <c r="G60" s="1447">
        <v>11200</v>
      </c>
      <c r="H60" s="1448"/>
    </row>
    <row r="61" spans="1:8" ht="15.75" customHeight="1" x14ac:dyDescent="0.2">
      <c r="A61" s="461">
        <v>57</v>
      </c>
      <c r="B61" s="458" t="s">
        <v>1242</v>
      </c>
      <c r="C61" s="458" t="s">
        <v>1250</v>
      </c>
      <c r="D61" s="458" t="s">
        <v>1251</v>
      </c>
      <c r="E61" s="458" t="s">
        <v>1245</v>
      </c>
      <c r="F61" s="459">
        <v>1600</v>
      </c>
      <c r="G61" s="1447">
        <v>11200</v>
      </c>
      <c r="H61" s="1448"/>
    </row>
    <row r="62" spans="1:8" ht="15.6" customHeight="1" x14ac:dyDescent="0.2">
      <c r="A62" s="461">
        <v>58</v>
      </c>
      <c r="B62" s="458" t="s">
        <v>1242</v>
      </c>
      <c r="C62" s="458" t="s">
        <v>1252</v>
      </c>
      <c r="D62" s="458" t="s">
        <v>1244</v>
      </c>
      <c r="E62" s="458" t="s">
        <v>1245</v>
      </c>
      <c r="F62" s="459">
        <v>1200</v>
      </c>
      <c r="G62" s="1447">
        <v>8400</v>
      </c>
      <c r="H62" s="1448"/>
    </row>
    <row r="63" spans="1:8" ht="15.6" customHeight="1" x14ac:dyDescent="0.2">
      <c r="A63" s="461">
        <v>59</v>
      </c>
      <c r="B63" s="458" t="s">
        <v>1242</v>
      </c>
      <c r="C63" s="458" t="s">
        <v>1253</v>
      </c>
      <c r="D63" s="458" t="s">
        <v>1244</v>
      </c>
      <c r="E63" s="458" t="s">
        <v>1245</v>
      </c>
      <c r="F63" s="459">
        <v>1200</v>
      </c>
      <c r="G63" s="1447">
        <v>8400</v>
      </c>
      <c r="H63" s="1448"/>
    </row>
    <row r="64" spans="1:8" ht="15.75" customHeight="1" x14ac:dyDescent="0.2">
      <c r="A64" s="461">
        <v>60</v>
      </c>
      <c r="B64" s="458" t="s">
        <v>1242</v>
      </c>
      <c r="C64" s="458" t="s">
        <v>1254</v>
      </c>
      <c r="D64" s="458" t="s">
        <v>1255</v>
      </c>
      <c r="E64" s="458" t="s">
        <v>1245</v>
      </c>
      <c r="F64" s="459">
        <v>1200</v>
      </c>
      <c r="G64" s="1447">
        <v>8400</v>
      </c>
      <c r="H64" s="1448"/>
    </row>
    <row r="65" spans="1:8" ht="15.6" customHeight="1" x14ac:dyDescent="0.2">
      <c r="A65" s="461">
        <v>61</v>
      </c>
      <c r="B65" s="458" t="s">
        <v>1256</v>
      </c>
      <c r="C65" s="458" t="s">
        <v>1257</v>
      </c>
      <c r="D65" s="460"/>
      <c r="E65" s="458" t="s">
        <v>1258</v>
      </c>
      <c r="F65" s="459">
        <v>300</v>
      </c>
      <c r="G65" s="1447">
        <v>2100</v>
      </c>
      <c r="H65" s="1448"/>
    </row>
    <row r="66" spans="1:8" ht="15.75" customHeight="1" x14ac:dyDescent="0.2">
      <c r="A66" s="461">
        <v>62</v>
      </c>
      <c r="B66" s="458" t="s">
        <v>1259</v>
      </c>
      <c r="C66" s="458" t="s">
        <v>1260</v>
      </c>
      <c r="D66" s="458" t="s">
        <v>1261</v>
      </c>
      <c r="E66" s="458" t="s">
        <v>1262</v>
      </c>
      <c r="F66" s="459">
        <v>180</v>
      </c>
      <c r="G66" s="1447">
        <v>1260</v>
      </c>
      <c r="H66" s="1448"/>
    </row>
    <row r="67" spans="1:8" ht="15.6" customHeight="1" x14ac:dyDescent="0.2">
      <c r="A67" s="461">
        <v>63</v>
      </c>
      <c r="B67" s="458" t="s">
        <v>1263</v>
      </c>
      <c r="C67" s="458" t="s">
        <v>1264</v>
      </c>
      <c r="D67" s="458" t="s">
        <v>1265</v>
      </c>
      <c r="E67" s="458" t="s">
        <v>1266</v>
      </c>
      <c r="F67" s="459">
        <v>1000</v>
      </c>
      <c r="G67" s="1447">
        <v>7000</v>
      </c>
      <c r="H67" s="1448"/>
    </row>
    <row r="68" spans="1:8" ht="15.75" customHeight="1" x14ac:dyDescent="0.2">
      <c r="A68" s="461">
        <v>64</v>
      </c>
      <c r="B68" s="458" t="s">
        <v>1263</v>
      </c>
      <c r="C68" s="458" t="s">
        <v>1267</v>
      </c>
      <c r="D68" s="458" t="s">
        <v>1265</v>
      </c>
      <c r="E68" s="458" t="s">
        <v>1266</v>
      </c>
      <c r="F68" s="459">
        <v>1000</v>
      </c>
      <c r="G68" s="1447">
        <v>7000</v>
      </c>
      <c r="H68" s="1448"/>
    </row>
    <row r="69" spans="1:8" ht="15.75" customHeight="1" x14ac:dyDescent="0.2">
      <c r="A69" s="461">
        <v>65</v>
      </c>
      <c r="B69" s="458" t="s">
        <v>1263</v>
      </c>
      <c r="C69" s="458" t="s">
        <v>1268</v>
      </c>
      <c r="D69" s="458" t="s">
        <v>1269</v>
      </c>
      <c r="E69" s="458" t="s">
        <v>1266</v>
      </c>
      <c r="F69" s="459">
        <v>1000</v>
      </c>
      <c r="G69" s="1447">
        <v>7000</v>
      </c>
      <c r="H69" s="1448"/>
    </row>
    <row r="70" spans="1:8" ht="15.6" customHeight="1" x14ac:dyDescent="0.2">
      <c r="A70" s="461">
        <v>66</v>
      </c>
      <c r="B70" s="458" t="s">
        <v>1263</v>
      </c>
      <c r="C70" s="458" t="s">
        <v>1270</v>
      </c>
      <c r="D70" s="458" t="s">
        <v>1271</v>
      </c>
      <c r="E70" s="458" t="s">
        <v>1266</v>
      </c>
      <c r="F70" s="459">
        <v>1000</v>
      </c>
      <c r="G70" s="1447">
        <v>7000</v>
      </c>
      <c r="H70" s="1448"/>
    </row>
    <row r="71" spans="1:8" ht="15.75" customHeight="1" x14ac:dyDescent="0.2">
      <c r="A71" s="461">
        <v>67</v>
      </c>
      <c r="B71" s="458" t="s">
        <v>1263</v>
      </c>
      <c r="C71" s="458" t="s">
        <v>1272</v>
      </c>
      <c r="D71" s="458" t="s">
        <v>1273</v>
      </c>
      <c r="E71" s="458" t="s">
        <v>1266</v>
      </c>
      <c r="F71" s="459">
        <v>1200</v>
      </c>
      <c r="G71" s="1447">
        <v>8400</v>
      </c>
      <c r="H71" s="1448"/>
    </row>
    <row r="72" spans="1:8" ht="15.6" customHeight="1" x14ac:dyDescent="0.2">
      <c r="A72" s="461">
        <v>68</v>
      </c>
      <c r="B72" s="458" t="s">
        <v>1263</v>
      </c>
      <c r="C72" s="458" t="s">
        <v>1274</v>
      </c>
      <c r="D72" s="458" t="s">
        <v>1275</v>
      </c>
      <c r="E72" s="458" t="s">
        <v>1266</v>
      </c>
      <c r="F72" s="459">
        <v>1200</v>
      </c>
      <c r="G72" s="1447">
        <v>8400</v>
      </c>
      <c r="H72" s="1448"/>
    </row>
    <row r="73" spans="1:8" ht="15.75" customHeight="1" x14ac:dyDescent="0.2">
      <c r="A73" s="461">
        <v>69</v>
      </c>
      <c r="B73" s="458" t="s">
        <v>1263</v>
      </c>
      <c r="C73" s="458" t="s">
        <v>1276</v>
      </c>
      <c r="D73" s="458" t="s">
        <v>1275</v>
      </c>
      <c r="E73" s="458" t="s">
        <v>1266</v>
      </c>
      <c r="F73" s="459">
        <v>1200</v>
      </c>
      <c r="G73" s="1447">
        <v>8400</v>
      </c>
      <c r="H73" s="1448"/>
    </row>
    <row r="74" spans="1:8" ht="15.6" customHeight="1" x14ac:dyDescent="0.2">
      <c r="A74" s="461">
        <v>70</v>
      </c>
      <c r="B74" s="458" t="s">
        <v>1263</v>
      </c>
      <c r="C74" s="458" t="s">
        <v>1277</v>
      </c>
      <c r="D74" s="458" t="s">
        <v>1278</v>
      </c>
      <c r="E74" s="458" t="s">
        <v>1266</v>
      </c>
      <c r="F74" s="459">
        <v>1200</v>
      </c>
      <c r="G74" s="1447">
        <v>8400</v>
      </c>
      <c r="H74" s="1448"/>
    </row>
    <row r="75" spans="1:8" ht="15.6" customHeight="1" x14ac:dyDescent="0.2">
      <c r="A75" s="461">
        <v>71</v>
      </c>
      <c r="B75" s="458" t="s">
        <v>1263</v>
      </c>
      <c r="C75" s="458" t="s">
        <v>1279</v>
      </c>
      <c r="D75" s="458" t="s">
        <v>1280</v>
      </c>
      <c r="E75" s="458" t="s">
        <v>1266</v>
      </c>
      <c r="F75" s="459">
        <v>1200</v>
      </c>
      <c r="G75" s="1447">
        <v>8400</v>
      </c>
      <c r="H75" s="1448"/>
    </row>
    <row r="76" spans="1:8" ht="15.75" customHeight="1" x14ac:dyDescent="0.2">
      <c r="A76" s="461">
        <v>72</v>
      </c>
      <c r="B76" s="458" t="s">
        <v>1263</v>
      </c>
      <c r="C76" s="458" t="s">
        <v>1281</v>
      </c>
      <c r="D76" s="458" t="s">
        <v>1280</v>
      </c>
      <c r="E76" s="458" t="s">
        <v>1266</v>
      </c>
      <c r="F76" s="459">
        <v>1200</v>
      </c>
      <c r="G76" s="1447">
        <v>8400</v>
      </c>
      <c r="H76" s="1448"/>
    </row>
    <row r="77" spans="1:8" ht="15.6" customHeight="1" x14ac:dyDescent="0.2">
      <c r="A77" s="461">
        <v>73</v>
      </c>
      <c r="B77" s="458" t="s">
        <v>1263</v>
      </c>
      <c r="C77" s="458" t="s">
        <v>1282</v>
      </c>
      <c r="D77" s="458" t="s">
        <v>1283</v>
      </c>
      <c r="E77" s="458" t="s">
        <v>1266</v>
      </c>
      <c r="F77" s="459">
        <v>1500</v>
      </c>
      <c r="G77" s="1447">
        <v>10500</v>
      </c>
      <c r="H77" s="1448"/>
    </row>
    <row r="78" spans="1:8" ht="15.75" customHeight="1" x14ac:dyDescent="0.2">
      <c r="A78" s="461">
        <v>74</v>
      </c>
      <c r="B78" s="458" t="s">
        <v>1263</v>
      </c>
      <c r="C78" s="458" t="s">
        <v>1284</v>
      </c>
      <c r="D78" s="458" t="s">
        <v>1285</v>
      </c>
      <c r="E78" s="458" t="s">
        <v>1266</v>
      </c>
      <c r="F78" s="459">
        <v>1500</v>
      </c>
      <c r="G78" s="1447">
        <v>10500</v>
      </c>
      <c r="H78" s="1448"/>
    </row>
    <row r="79" spans="1:8" ht="15.6" customHeight="1" x14ac:dyDescent="0.2">
      <c r="A79" s="461">
        <v>75</v>
      </c>
      <c r="B79" s="458" t="s">
        <v>1263</v>
      </c>
      <c r="C79" s="458" t="s">
        <v>1286</v>
      </c>
      <c r="D79" s="458" t="s">
        <v>1285</v>
      </c>
      <c r="E79" s="458" t="s">
        <v>1266</v>
      </c>
      <c r="F79" s="459">
        <v>1500</v>
      </c>
      <c r="G79" s="1447">
        <v>10500</v>
      </c>
      <c r="H79" s="1448"/>
    </row>
    <row r="80" spans="1:8" ht="15.6" customHeight="1" x14ac:dyDescent="0.2">
      <c r="A80" s="457">
        <v>76</v>
      </c>
      <c r="B80" s="458" t="s">
        <v>1263</v>
      </c>
      <c r="C80" s="458" t="s">
        <v>1287</v>
      </c>
      <c r="D80" s="458" t="s">
        <v>1285</v>
      </c>
      <c r="E80" s="458" t="s">
        <v>1266</v>
      </c>
      <c r="F80" s="459">
        <v>1500</v>
      </c>
      <c r="G80" s="1447">
        <v>10500</v>
      </c>
      <c r="H80" s="1448"/>
    </row>
    <row r="81" spans="1:8" ht="15.75" customHeight="1" x14ac:dyDescent="0.2">
      <c r="A81" s="457">
        <v>77</v>
      </c>
      <c r="B81" s="458" t="s">
        <v>1263</v>
      </c>
      <c r="C81" s="458" t="s">
        <v>1288</v>
      </c>
      <c r="D81" s="458" t="s">
        <v>1283</v>
      </c>
      <c r="E81" s="458" t="s">
        <v>1289</v>
      </c>
      <c r="F81" s="462">
        <v>1600</v>
      </c>
      <c r="G81" s="1447">
        <v>11200</v>
      </c>
      <c r="H81" s="1448"/>
    </row>
    <row r="82" spans="1:8" ht="15.6" customHeight="1" x14ac:dyDescent="0.2">
      <c r="A82" s="457">
        <v>78</v>
      </c>
      <c r="B82" s="458" t="s">
        <v>1290</v>
      </c>
      <c r="C82" s="458" t="s">
        <v>1291</v>
      </c>
      <c r="D82" s="458" t="s">
        <v>1292</v>
      </c>
      <c r="E82" s="458" t="s">
        <v>1293</v>
      </c>
      <c r="F82" s="459">
        <v>1000</v>
      </c>
      <c r="G82" s="1447">
        <v>7000</v>
      </c>
      <c r="H82" s="1448"/>
    </row>
    <row r="83" spans="1:8" ht="15.75" customHeight="1" x14ac:dyDescent="0.2">
      <c r="A83" s="457">
        <v>79</v>
      </c>
      <c r="B83" s="458" t="s">
        <v>1294</v>
      </c>
      <c r="C83" s="458" t="s">
        <v>1295</v>
      </c>
      <c r="D83" s="458" t="s">
        <v>1296</v>
      </c>
      <c r="E83" s="458" t="s">
        <v>1297</v>
      </c>
      <c r="F83" s="459">
        <v>1050</v>
      </c>
      <c r="G83" s="1447">
        <v>7350</v>
      </c>
      <c r="H83" s="1448"/>
    </row>
    <row r="84" spans="1:8" ht="19.350000000000001" customHeight="1" x14ac:dyDescent="0.2">
      <c r="A84" s="457">
        <v>80</v>
      </c>
      <c r="B84" s="463" t="s">
        <v>1298</v>
      </c>
      <c r="C84" s="460"/>
      <c r="D84" s="460"/>
      <c r="E84" s="460"/>
      <c r="F84" s="459">
        <v>1400</v>
      </c>
      <c r="G84" s="1447">
        <v>9800</v>
      </c>
      <c r="H84" s="1448"/>
    </row>
    <row r="85" spans="1:8" ht="15.6" customHeight="1" x14ac:dyDescent="0.2">
      <c r="A85" s="457">
        <v>81</v>
      </c>
      <c r="B85" s="458" t="s">
        <v>1299</v>
      </c>
      <c r="C85" s="458" t="s">
        <v>1300</v>
      </c>
      <c r="D85" s="458" t="s">
        <v>1301</v>
      </c>
      <c r="E85" s="458" t="s">
        <v>1302</v>
      </c>
      <c r="F85" s="459">
        <v>150</v>
      </c>
      <c r="G85" s="1447">
        <v>1050</v>
      </c>
      <c r="H85" s="1448"/>
    </row>
    <row r="86" spans="1:8" ht="15.75" customHeight="1" x14ac:dyDescent="0.2">
      <c r="A86" s="457">
        <v>82</v>
      </c>
      <c r="B86" s="458" t="s">
        <v>1299</v>
      </c>
      <c r="C86" s="458" t="s">
        <v>1303</v>
      </c>
      <c r="D86" s="458" t="s">
        <v>1301</v>
      </c>
      <c r="E86" s="458" t="s">
        <v>1302</v>
      </c>
      <c r="F86" s="459">
        <v>150</v>
      </c>
      <c r="G86" s="1447">
        <v>1050</v>
      </c>
      <c r="H86" s="1448"/>
    </row>
    <row r="87" spans="1:8" ht="15.6" customHeight="1" x14ac:dyDescent="0.2">
      <c r="A87" s="457">
        <v>83</v>
      </c>
      <c r="B87" s="458" t="s">
        <v>1299</v>
      </c>
      <c r="C87" s="458" t="s">
        <v>1300</v>
      </c>
      <c r="D87" s="458" t="s">
        <v>1304</v>
      </c>
      <c r="E87" s="458" t="s">
        <v>1302</v>
      </c>
      <c r="F87" s="459">
        <v>200</v>
      </c>
      <c r="G87" s="1447">
        <v>1400</v>
      </c>
      <c r="H87" s="1448"/>
    </row>
    <row r="88" spans="1:8" ht="15.6" customHeight="1" x14ac:dyDescent="0.2">
      <c r="A88" s="457">
        <v>84</v>
      </c>
      <c r="B88" s="458" t="s">
        <v>1299</v>
      </c>
      <c r="C88" s="458" t="s">
        <v>1305</v>
      </c>
      <c r="D88" s="458" t="s">
        <v>1306</v>
      </c>
      <c r="E88" s="458" t="s">
        <v>1302</v>
      </c>
      <c r="F88" s="459">
        <v>200</v>
      </c>
      <c r="G88" s="1447">
        <v>1400</v>
      </c>
      <c r="H88" s="1448"/>
    </row>
    <row r="89" spans="1:8" ht="15.75" customHeight="1" x14ac:dyDescent="0.2">
      <c r="A89" s="457">
        <v>85</v>
      </c>
      <c r="B89" s="458" t="s">
        <v>1307</v>
      </c>
      <c r="C89" s="460"/>
      <c r="D89" s="458" t="s">
        <v>1308</v>
      </c>
      <c r="E89" s="458" t="s">
        <v>1302</v>
      </c>
      <c r="F89" s="459">
        <v>150</v>
      </c>
      <c r="G89" s="1447">
        <v>1050</v>
      </c>
      <c r="H89" s="1448"/>
    </row>
    <row r="90" spans="1:8" ht="15.6" customHeight="1" x14ac:dyDescent="0.2">
      <c r="A90" s="457">
        <v>86</v>
      </c>
      <c r="B90" s="458" t="s">
        <v>1307</v>
      </c>
      <c r="C90" s="460"/>
      <c r="D90" s="458" t="s">
        <v>1309</v>
      </c>
      <c r="E90" s="458" t="s">
        <v>1302</v>
      </c>
      <c r="F90" s="459">
        <v>150</v>
      </c>
      <c r="G90" s="1447">
        <v>1050</v>
      </c>
      <c r="H90" s="1448"/>
    </row>
    <row r="91" spans="1:8" ht="15.75" customHeight="1" x14ac:dyDescent="0.2">
      <c r="A91" s="457">
        <v>87</v>
      </c>
      <c r="B91" s="458" t="s">
        <v>1310</v>
      </c>
      <c r="C91" s="460"/>
      <c r="D91" s="458" t="s">
        <v>1311</v>
      </c>
      <c r="E91" s="458" t="s">
        <v>1312</v>
      </c>
      <c r="F91" s="459">
        <v>3000</v>
      </c>
      <c r="G91" s="1447">
        <v>21000</v>
      </c>
      <c r="H91" s="1448"/>
    </row>
    <row r="92" spans="1:8" ht="15.6" customHeight="1" x14ac:dyDescent="0.2">
      <c r="A92" s="457">
        <v>88</v>
      </c>
      <c r="B92" s="458" t="s">
        <v>1313</v>
      </c>
      <c r="C92" s="458" t="s">
        <v>1314</v>
      </c>
      <c r="D92" s="458" t="s">
        <v>1315</v>
      </c>
      <c r="E92" s="458" t="s">
        <v>1316</v>
      </c>
      <c r="F92" s="459">
        <v>500</v>
      </c>
      <c r="G92" s="1447">
        <v>3500</v>
      </c>
      <c r="H92" s="1448"/>
    </row>
    <row r="93" spans="1:8" ht="15.6" customHeight="1" x14ac:dyDescent="0.2">
      <c r="A93" s="457">
        <v>89</v>
      </c>
      <c r="B93" s="458" t="s">
        <v>1313</v>
      </c>
      <c r="C93" s="458" t="s">
        <v>1317</v>
      </c>
      <c r="D93" s="458" t="s">
        <v>1315</v>
      </c>
      <c r="E93" s="458" t="s">
        <v>1316</v>
      </c>
      <c r="F93" s="459">
        <v>500</v>
      </c>
      <c r="G93" s="1447">
        <v>3500</v>
      </c>
      <c r="H93" s="1448"/>
    </row>
    <row r="94" spans="1:8" ht="15.75" customHeight="1" x14ac:dyDescent="0.2">
      <c r="A94" s="457">
        <v>90</v>
      </c>
      <c r="B94" s="458" t="s">
        <v>1313</v>
      </c>
      <c r="C94" s="458" t="s">
        <v>1318</v>
      </c>
      <c r="D94" s="458" t="s">
        <v>1315</v>
      </c>
      <c r="E94" s="458" t="s">
        <v>1316</v>
      </c>
      <c r="F94" s="459">
        <v>500</v>
      </c>
      <c r="G94" s="1447">
        <v>3500</v>
      </c>
      <c r="H94" s="1448"/>
    </row>
    <row r="95" spans="1:8" ht="15.6" customHeight="1" x14ac:dyDescent="0.2">
      <c r="A95" s="457">
        <v>91</v>
      </c>
      <c r="B95" s="458" t="s">
        <v>1313</v>
      </c>
      <c r="C95" s="458" t="s">
        <v>1319</v>
      </c>
      <c r="D95" s="458" t="s">
        <v>1315</v>
      </c>
      <c r="E95" s="458" t="s">
        <v>1316</v>
      </c>
      <c r="F95" s="459">
        <v>500</v>
      </c>
      <c r="G95" s="1447">
        <v>3500</v>
      </c>
      <c r="H95" s="1448"/>
    </row>
    <row r="96" spans="1:8" ht="15.75" customHeight="1" x14ac:dyDescent="0.2">
      <c r="A96" s="457">
        <v>92</v>
      </c>
      <c r="B96" s="458" t="s">
        <v>1313</v>
      </c>
      <c r="C96" s="458" t="s">
        <v>1320</v>
      </c>
      <c r="D96" s="458" t="s">
        <v>1315</v>
      </c>
      <c r="E96" s="458" t="s">
        <v>1316</v>
      </c>
      <c r="F96" s="459">
        <v>500</v>
      </c>
      <c r="G96" s="1447">
        <v>3500</v>
      </c>
      <c r="H96" s="1448"/>
    </row>
    <row r="97" spans="1:8" ht="15.6" customHeight="1" x14ac:dyDescent="0.2">
      <c r="A97" s="457">
        <v>93</v>
      </c>
      <c r="B97" s="458" t="s">
        <v>1313</v>
      </c>
      <c r="C97" s="458" t="s">
        <v>1321</v>
      </c>
      <c r="D97" s="458" t="s">
        <v>1315</v>
      </c>
      <c r="E97" s="458" t="s">
        <v>1316</v>
      </c>
      <c r="F97" s="459">
        <v>500</v>
      </c>
      <c r="G97" s="1447">
        <v>3500</v>
      </c>
      <c r="H97" s="1448"/>
    </row>
    <row r="98" spans="1:8" ht="15.75" customHeight="1" x14ac:dyDescent="0.2">
      <c r="A98" s="457">
        <v>94</v>
      </c>
      <c r="B98" s="458" t="s">
        <v>1313</v>
      </c>
      <c r="C98" s="458" t="s">
        <v>1322</v>
      </c>
      <c r="D98" s="458" t="s">
        <v>1315</v>
      </c>
      <c r="E98" s="458" t="s">
        <v>1316</v>
      </c>
      <c r="F98" s="459">
        <v>500</v>
      </c>
      <c r="G98" s="1447">
        <v>3500</v>
      </c>
      <c r="H98" s="1448"/>
    </row>
    <row r="99" spans="1:8" ht="15.6" customHeight="1" x14ac:dyDescent="0.2">
      <c r="A99" s="457">
        <v>95</v>
      </c>
      <c r="B99" s="458" t="s">
        <v>1313</v>
      </c>
      <c r="C99" s="458" t="s">
        <v>1323</v>
      </c>
      <c r="D99" s="458" t="s">
        <v>1315</v>
      </c>
      <c r="E99" s="458" t="s">
        <v>1316</v>
      </c>
      <c r="F99" s="459">
        <v>500</v>
      </c>
      <c r="G99" s="1447">
        <v>3500</v>
      </c>
      <c r="H99" s="1448"/>
    </row>
    <row r="100" spans="1:8" ht="15.6" customHeight="1" x14ac:dyDescent="0.2">
      <c r="A100" s="457">
        <v>96</v>
      </c>
      <c r="B100" s="458" t="s">
        <v>1324</v>
      </c>
      <c r="C100" s="458" t="s">
        <v>1325</v>
      </c>
      <c r="D100" s="458" t="s">
        <v>1326</v>
      </c>
      <c r="E100" s="458" t="s">
        <v>1327</v>
      </c>
      <c r="F100" s="459">
        <v>1200</v>
      </c>
      <c r="G100" s="1447">
        <v>8400</v>
      </c>
      <c r="H100" s="1448"/>
    </row>
    <row r="101" spans="1:8" ht="15.75" customHeight="1" x14ac:dyDescent="0.2">
      <c r="A101" s="457">
        <v>97</v>
      </c>
      <c r="B101" s="458" t="s">
        <v>1324</v>
      </c>
      <c r="C101" s="458" t="s">
        <v>1328</v>
      </c>
      <c r="D101" s="458" t="s">
        <v>1326</v>
      </c>
      <c r="E101" s="458" t="s">
        <v>1327</v>
      </c>
      <c r="F101" s="459">
        <v>1200</v>
      </c>
      <c r="G101" s="1447">
        <v>8400</v>
      </c>
      <c r="H101" s="1448"/>
    </row>
    <row r="102" spans="1:8" ht="15.6" customHeight="1" x14ac:dyDescent="0.2">
      <c r="A102" s="457">
        <v>98</v>
      </c>
      <c r="B102" s="458" t="s">
        <v>1324</v>
      </c>
      <c r="C102" s="458" t="s">
        <v>1329</v>
      </c>
      <c r="D102" s="458" t="s">
        <v>1326</v>
      </c>
      <c r="E102" s="458" t="s">
        <v>1327</v>
      </c>
      <c r="F102" s="459">
        <v>1200</v>
      </c>
      <c r="G102" s="1447">
        <v>8400</v>
      </c>
      <c r="H102" s="1448"/>
    </row>
    <row r="103" spans="1:8" ht="15.75" customHeight="1" x14ac:dyDescent="0.2">
      <c r="A103" s="457">
        <v>99</v>
      </c>
      <c r="B103" s="458" t="s">
        <v>1324</v>
      </c>
      <c r="C103" s="458" t="s">
        <v>1330</v>
      </c>
      <c r="D103" s="458" t="s">
        <v>1326</v>
      </c>
      <c r="E103" s="458" t="s">
        <v>1327</v>
      </c>
      <c r="F103" s="459">
        <v>1200</v>
      </c>
      <c r="G103" s="1447">
        <v>8400</v>
      </c>
      <c r="H103" s="1448"/>
    </row>
    <row r="104" spans="1:8" ht="15.6" customHeight="1" x14ac:dyDescent="0.2">
      <c r="A104" s="457">
        <v>100</v>
      </c>
      <c r="B104" s="458" t="s">
        <v>1324</v>
      </c>
      <c r="C104" s="458" t="s">
        <v>1331</v>
      </c>
      <c r="D104" s="458" t="s">
        <v>1326</v>
      </c>
      <c r="E104" s="458" t="s">
        <v>1327</v>
      </c>
      <c r="F104" s="459">
        <v>1000</v>
      </c>
      <c r="G104" s="1447">
        <v>7000</v>
      </c>
      <c r="H104" s="1448"/>
    </row>
    <row r="105" spans="1:8" ht="15.6" customHeight="1" x14ac:dyDescent="0.2">
      <c r="A105" s="457">
        <v>101</v>
      </c>
      <c r="B105" s="458" t="s">
        <v>1332</v>
      </c>
      <c r="C105" s="458" t="s">
        <v>1333</v>
      </c>
      <c r="D105" s="458" t="s">
        <v>1334</v>
      </c>
      <c r="E105" s="458" t="s">
        <v>1335</v>
      </c>
      <c r="F105" s="459">
        <v>400</v>
      </c>
      <c r="G105" s="1447">
        <v>2800</v>
      </c>
      <c r="H105" s="1448"/>
    </row>
    <row r="106" spans="1:8" ht="15.75" customHeight="1" x14ac:dyDescent="0.2">
      <c r="A106" s="457">
        <v>102</v>
      </c>
      <c r="B106" s="458" t="s">
        <v>1332</v>
      </c>
      <c r="C106" s="458" t="s">
        <v>1336</v>
      </c>
      <c r="D106" s="458" t="s">
        <v>1334</v>
      </c>
      <c r="E106" s="458" t="s">
        <v>1335</v>
      </c>
      <c r="F106" s="459">
        <v>400</v>
      </c>
      <c r="G106" s="1447">
        <v>2800</v>
      </c>
      <c r="H106" s="1448"/>
    </row>
    <row r="107" spans="1:8" ht="15.6" customHeight="1" x14ac:dyDescent="0.2">
      <c r="A107" s="457">
        <v>103</v>
      </c>
      <c r="B107" s="458" t="s">
        <v>1332</v>
      </c>
      <c r="C107" s="458" t="s">
        <v>1337</v>
      </c>
      <c r="D107" s="458" t="s">
        <v>1334</v>
      </c>
      <c r="E107" s="458" t="s">
        <v>1335</v>
      </c>
      <c r="F107" s="459">
        <v>300</v>
      </c>
      <c r="G107" s="1447">
        <v>2100</v>
      </c>
      <c r="H107" s="1448"/>
    </row>
    <row r="108" spans="1:8" ht="15.75" customHeight="1" x14ac:dyDescent="0.2">
      <c r="A108" s="457">
        <v>104</v>
      </c>
      <c r="B108" s="458" t="s">
        <v>1332</v>
      </c>
      <c r="C108" s="458" t="s">
        <v>1338</v>
      </c>
      <c r="D108" s="458" t="s">
        <v>1334</v>
      </c>
      <c r="E108" s="458" t="s">
        <v>1335</v>
      </c>
      <c r="F108" s="459">
        <v>300</v>
      </c>
      <c r="G108" s="1447">
        <v>2100</v>
      </c>
      <c r="H108" s="1448"/>
    </row>
    <row r="109" spans="1:8" ht="15.6" customHeight="1" x14ac:dyDescent="0.2">
      <c r="A109" s="457">
        <v>105</v>
      </c>
      <c r="B109" s="458" t="s">
        <v>1332</v>
      </c>
      <c r="C109" s="458" t="s">
        <v>1339</v>
      </c>
      <c r="D109" s="458" t="s">
        <v>1334</v>
      </c>
      <c r="E109" s="458" t="s">
        <v>1335</v>
      </c>
      <c r="F109" s="459">
        <v>300</v>
      </c>
      <c r="G109" s="1447">
        <v>2100</v>
      </c>
      <c r="H109" s="1448"/>
    </row>
    <row r="110" spans="1:8" ht="15.75" customHeight="1" x14ac:dyDescent="0.2">
      <c r="A110" s="457">
        <v>106</v>
      </c>
      <c r="B110" s="458" t="s">
        <v>1332</v>
      </c>
      <c r="C110" s="458" t="s">
        <v>1340</v>
      </c>
      <c r="D110" s="458" t="s">
        <v>1334</v>
      </c>
      <c r="E110" s="458" t="s">
        <v>1335</v>
      </c>
      <c r="F110" s="459">
        <v>300</v>
      </c>
      <c r="G110" s="1447">
        <v>2100</v>
      </c>
      <c r="H110" s="1448"/>
    </row>
    <row r="111" spans="1:8" ht="15.6" customHeight="1" x14ac:dyDescent="0.2">
      <c r="A111" s="457">
        <v>107</v>
      </c>
      <c r="B111" s="458" t="s">
        <v>1332</v>
      </c>
      <c r="C111" s="458" t="s">
        <v>1341</v>
      </c>
      <c r="D111" s="458" t="s">
        <v>1334</v>
      </c>
      <c r="E111" s="458" t="s">
        <v>1335</v>
      </c>
      <c r="F111" s="459">
        <v>300</v>
      </c>
      <c r="G111" s="1447">
        <v>2100</v>
      </c>
      <c r="H111" s="1448"/>
    </row>
    <row r="112" spans="1:8" ht="15.6" customHeight="1" x14ac:dyDescent="0.2">
      <c r="A112" s="457">
        <v>108</v>
      </c>
      <c r="B112" s="458" t="s">
        <v>1332</v>
      </c>
      <c r="C112" s="458" t="s">
        <v>1342</v>
      </c>
      <c r="D112" s="458" t="s">
        <v>1334</v>
      </c>
      <c r="E112" s="458" t="s">
        <v>1335</v>
      </c>
      <c r="F112" s="459">
        <v>300</v>
      </c>
      <c r="G112" s="1447">
        <v>2100</v>
      </c>
      <c r="H112" s="1448"/>
    </row>
    <row r="113" spans="1:8" ht="15.75" customHeight="1" x14ac:dyDescent="0.2">
      <c r="A113" s="457">
        <v>109</v>
      </c>
      <c r="B113" s="458" t="s">
        <v>1332</v>
      </c>
      <c r="C113" s="458" t="s">
        <v>1343</v>
      </c>
      <c r="D113" s="458" t="s">
        <v>1334</v>
      </c>
      <c r="E113" s="458" t="s">
        <v>1335</v>
      </c>
      <c r="F113" s="459">
        <v>300</v>
      </c>
      <c r="G113" s="1447">
        <v>2100</v>
      </c>
      <c r="H113" s="1448"/>
    </row>
    <row r="114" spans="1:8" ht="15.6" customHeight="1" x14ac:dyDescent="0.2">
      <c r="A114" s="457">
        <v>110</v>
      </c>
      <c r="B114" s="458" t="s">
        <v>1344</v>
      </c>
      <c r="C114" s="458" t="s">
        <v>1345</v>
      </c>
      <c r="D114" s="458" t="s">
        <v>1139</v>
      </c>
      <c r="E114" s="458" t="s">
        <v>1346</v>
      </c>
      <c r="F114" s="459">
        <v>700</v>
      </c>
      <c r="G114" s="1447">
        <v>4900</v>
      </c>
      <c r="H114" s="1448"/>
    </row>
    <row r="115" spans="1:8" ht="15.75" customHeight="1" x14ac:dyDescent="0.2">
      <c r="A115" s="457">
        <v>111</v>
      </c>
      <c r="B115" s="458" t="s">
        <v>1347</v>
      </c>
      <c r="C115" s="458" t="s">
        <v>1348</v>
      </c>
      <c r="D115" s="458" t="s">
        <v>1349</v>
      </c>
      <c r="E115" s="458" t="s">
        <v>1350</v>
      </c>
      <c r="F115" s="459">
        <v>550</v>
      </c>
      <c r="G115" s="1447">
        <v>3850</v>
      </c>
      <c r="H115" s="1448"/>
    </row>
    <row r="116" spans="1:8" ht="15.6" customHeight="1" x14ac:dyDescent="0.2">
      <c r="A116" s="457">
        <v>112</v>
      </c>
      <c r="B116" s="458" t="s">
        <v>1347</v>
      </c>
      <c r="C116" s="458" t="s">
        <v>1351</v>
      </c>
      <c r="D116" s="458" t="s">
        <v>1352</v>
      </c>
      <c r="E116" s="458" t="s">
        <v>1350</v>
      </c>
      <c r="F116" s="459">
        <v>800</v>
      </c>
      <c r="G116" s="1447">
        <v>5600</v>
      </c>
      <c r="H116" s="1448"/>
    </row>
    <row r="117" spans="1:8" ht="15.6" customHeight="1" x14ac:dyDescent="0.2">
      <c r="A117" s="457">
        <v>113</v>
      </c>
      <c r="B117" s="458" t="s">
        <v>1347</v>
      </c>
      <c r="C117" s="458" t="s">
        <v>1353</v>
      </c>
      <c r="D117" s="458" t="s">
        <v>1352</v>
      </c>
      <c r="E117" s="458" t="s">
        <v>1350</v>
      </c>
      <c r="F117" s="459">
        <v>800</v>
      </c>
      <c r="G117" s="1447">
        <v>5600</v>
      </c>
      <c r="H117" s="1448"/>
    </row>
    <row r="118" spans="1:8" ht="15.75" customHeight="1" x14ac:dyDescent="0.2">
      <c r="A118" s="457">
        <v>114</v>
      </c>
      <c r="B118" s="458" t="s">
        <v>1347</v>
      </c>
      <c r="C118" s="458" t="s">
        <v>1354</v>
      </c>
      <c r="D118" s="458" t="s">
        <v>1352</v>
      </c>
      <c r="E118" s="458" t="s">
        <v>1350</v>
      </c>
      <c r="F118" s="459">
        <v>800</v>
      </c>
      <c r="G118" s="1447">
        <v>5600</v>
      </c>
      <c r="H118" s="1448"/>
    </row>
    <row r="119" spans="1:8" ht="15.6" customHeight="1" x14ac:dyDescent="0.2">
      <c r="A119" s="457">
        <v>115</v>
      </c>
      <c r="B119" s="458" t="s">
        <v>1347</v>
      </c>
      <c r="C119" s="458" t="s">
        <v>1355</v>
      </c>
      <c r="D119" s="458" t="s">
        <v>1356</v>
      </c>
      <c r="E119" s="458" t="s">
        <v>1350</v>
      </c>
      <c r="F119" s="459">
        <v>900</v>
      </c>
      <c r="G119" s="1447">
        <v>6300</v>
      </c>
      <c r="H119" s="1448"/>
    </row>
    <row r="120" spans="1:8" ht="15.75" customHeight="1" x14ac:dyDescent="0.2">
      <c r="A120" s="457">
        <v>116</v>
      </c>
      <c r="B120" s="458" t="s">
        <v>1347</v>
      </c>
      <c r="C120" s="458" t="s">
        <v>1357</v>
      </c>
      <c r="D120" s="458" t="s">
        <v>1356</v>
      </c>
      <c r="E120" s="458" t="s">
        <v>1350</v>
      </c>
      <c r="F120" s="459">
        <v>900</v>
      </c>
      <c r="G120" s="1447">
        <v>6300</v>
      </c>
      <c r="H120" s="1448"/>
    </row>
    <row r="121" spans="1:8" ht="15.6" customHeight="1" x14ac:dyDescent="0.2">
      <c r="A121" s="464">
        <v>117</v>
      </c>
      <c r="B121" s="458" t="s">
        <v>1347</v>
      </c>
      <c r="C121" s="458" t="s">
        <v>1358</v>
      </c>
      <c r="D121" s="458" t="s">
        <v>1359</v>
      </c>
      <c r="E121" s="458" t="s">
        <v>1350</v>
      </c>
      <c r="F121" s="459">
        <v>700</v>
      </c>
      <c r="G121" s="1447">
        <v>4900</v>
      </c>
      <c r="H121" s="1448"/>
    </row>
    <row r="122" spans="1:8" ht="15.75" customHeight="1" x14ac:dyDescent="0.2">
      <c r="A122" s="464">
        <v>118</v>
      </c>
      <c r="B122" s="458" t="s">
        <v>1347</v>
      </c>
      <c r="C122" s="458" t="s">
        <v>1360</v>
      </c>
      <c r="D122" s="458" t="s">
        <v>1361</v>
      </c>
      <c r="E122" s="458" t="s">
        <v>1362</v>
      </c>
      <c r="F122" s="462">
        <v>1200</v>
      </c>
      <c r="G122" s="1447">
        <v>8400</v>
      </c>
      <c r="H122" s="1448"/>
    </row>
    <row r="123" spans="1:8" ht="15.6" customHeight="1" x14ac:dyDescent="0.2">
      <c r="A123" s="464">
        <v>119</v>
      </c>
      <c r="B123" s="458" t="s">
        <v>1363</v>
      </c>
      <c r="C123" s="458" t="s">
        <v>1364</v>
      </c>
      <c r="D123" s="458" t="s">
        <v>1365</v>
      </c>
      <c r="E123" s="458" t="s">
        <v>1362</v>
      </c>
      <c r="F123" s="462">
        <v>900</v>
      </c>
      <c r="G123" s="1447">
        <v>6300</v>
      </c>
      <c r="H123" s="1448"/>
    </row>
    <row r="124" spans="1:8" ht="15.75" customHeight="1" x14ac:dyDescent="0.2">
      <c r="A124" s="464">
        <v>120</v>
      </c>
      <c r="B124" s="458" t="s">
        <v>1366</v>
      </c>
      <c r="C124" s="458" t="s">
        <v>1367</v>
      </c>
      <c r="D124" s="460"/>
      <c r="E124" s="458" t="s">
        <v>1368</v>
      </c>
      <c r="F124" s="459">
        <v>1500</v>
      </c>
      <c r="G124" s="1447">
        <v>10500</v>
      </c>
      <c r="H124" s="1448"/>
    </row>
    <row r="125" spans="1:8" ht="15.6" customHeight="1" x14ac:dyDescent="0.2">
      <c r="A125" s="464">
        <v>121</v>
      </c>
      <c r="B125" s="458" t="s">
        <v>1369</v>
      </c>
      <c r="C125" s="458" t="s">
        <v>1370</v>
      </c>
      <c r="D125" s="458" t="s">
        <v>1371</v>
      </c>
      <c r="E125" s="458" t="s">
        <v>1372</v>
      </c>
      <c r="F125" s="459">
        <v>260</v>
      </c>
      <c r="G125" s="1447">
        <v>1820</v>
      </c>
      <c r="H125" s="1448"/>
    </row>
    <row r="126" spans="1:8" ht="15.75" customHeight="1" x14ac:dyDescent="0.2">
      <c r="A126" s="464">
        <v>122</v>
      </c>
      <c r="B126" s="458" t="s">
        <v>1373</v>
      </c>
      <c r="C126" s="458" t="s">
        <v>1374</v>
      </c>
      <c r="D126" s="458" t="s">
        <v>1375</v>
      </c>
      <c r="E126" s="458" t="s">
        <v>1376</v>
      </c>
      <c r="F126" s="459">
        <v>800</v>
      </c>
      <c r="G126" s="1447">
        <v>5600</v>
      </c>
      <c r="H126" s="1448"/>
    </row>
    <row r="127" spans="1:8" ht="15.6" customHeight="1" x14ac:dyDescent="0.2">
      <c r="A127" s="464">
        <v>123</v>
      </c>
      <c r="B127" s="458" t="s">
        <v>1373</v>
      </c>
      <c r="C127" s="458" t="s">
        <v>1377</v>
      </c>
      <c r="D127" s="458" t="s">
        <v>1375</v>
      </c>
      <c r="E127" s="458" t="s">
        <v>1376</v>
      </c>
      <c r="F127" s="459">
        <v>800</v>
      </c>
      <c r="G127" s="1447">
        <v>5600</v>
      </c>
      <c r="H127" s="1448"/>
    </row>
    <row r="128" spans="1:8" ht="15.6" customHeight="1" x14ac:dyDescent="0.2">
      <c r="A128" s="464">
        <v>124</v>
      </c>
      <c r="B128" s="458" t="s">
        <v>1373</v>
      </c>
      <c r="C128" s="458" t="s">
        <v>1378</v>
      </c>
      <c r="D128" s="458" t="s">
        <v>1375</v>
      </c>
      <c r="E128" s="458" t="s">
        <v>1376</v>
      </c>
      <c r="F128" s="459">
        <v>800</v>
      </c>
      <c r="G128" s="1447">
        <v>5600</v>
      </c>
      <c r="H128" s="1448"/>
    </row>
    <row r="129" spans="1:8" ht="15.75" customHeight="1" x14ac:dyDescent="0.2">
      <c r="A129" s="464">
        <v>125</v>
      </c>
      <c r="B129" s="458" t="s">
        <v>1373</v>
      </c>
      <c r="C129" s="458" t="s">
        <v>1379</v>
      </c>
      <c r="D129" s="458" t="s">
        <v>1375</v>
      </c>
      <c r="E129" s="458" t="s">
        <v>1376</v>
      </c>
      <c r="F129" s="459">
        <v>800</v>
      </c>
      <c r="G129" s="1447">
        <v>5600</v>
      </c>
      <c r="H129" s="1448"/>
    </row>
    <row r="130" spans="1:8" ht="15.6" customHeight="1" x14ac:dyDescent="0.2">
      <c r="A130" s="464">
        <v>126</v>
      </c>
      <c r="B130" s="458" t="s">
        <v>1380</v>
      </c>
      <c r="C130" s="458" t="s">
        <v>1381</v>
      </c>
      <c r="D130" s="458" t="s">
        <v>1382</v>
      </c>
      <c r="E130" s="458" t="s">
        <v>1383</v>
      </c>
      <c r="F130" s="459">
        <v>450</v>
      </c>
      <c r="G130" s="1447">
        <v>3150</v>
      </c>
      <c r="H130" s="1448"/>
    </row>
    <row r="131" spans="1:8" ht="15.75" customHeight="1" x14ac:dyDescent="0.2">
      <c r="A131" s="464">
        <v>127</v>
      </c>
      <c r="B131" s="458" t="s">
        <v>1380</v>
      </c>
      <c r="C131" s="458" t="s">
        <v>1384</v>
      </c>
      <c r="D131" s="458" t="s">
        <v>1382</v>
      </c>
      <c r="E131" s="458" t="s">
        <v>1383</v>
      </c>
      <c r="F131" s="459">
        <v>450</v>
      </c>
      <c r="G131" s="1447">
        <v>3150</v>
      </c>
      <c r="H131" s="1448"/>
    </row>
    <row r="132" spans="1:8" ht="15.6" customHeight="1" x14ac:dyDescent="0.2">
      <c r="A132" s="464">
        <v>128</v>
      </c>
      <c r="B132" s="458" t="s">
        <v>1380</v>
      </c>
      <c r="C132" s="458" t="s">
        <v>1385</v>
      </c>
      <c r="D132" s="458" t="s">
        <v>1382</v>
      </c>
      <c r="E132" s="458" t="s">
        <v>1383</v>
      </c>
      <c r="F132" s="459">
        <v>450</v>
      </c>
      <c r="G132" s="1447">
        <v>3150</v>
      </c>
      <c r="H132" s="1448"/>
    </row>
    <row r="133" spans="1:8" ht="15.6" customHeight="1" x14ac:dyDescent="0.2">
      <c r="A133" s="464">
        <v>129</v>
      </c>
      <c r="B133" s="458" t="s">
        <v>1380</v>
      </c>
      <c r="C133" s="458" t="s">
        <v>1386</v>
      </c>
      <c r="D133" s="458" t="s">
        <v>1382</v>
      </c>
      <c r="E133" s="458" t="s">
        <v>1383</v>
      </c>
      <c r="F133" s="459">
        <v>450</v>
      </c>
      <c r="G133" s="1447">
        <v>3150</v>
      </c>
      <c r="H133" s="1448"/>
    </row>
    <row r="134" spans="1:8" ht="15.75" customHeight="1" x14ac:dyDescent="0.2">
      <c r="A134" s="464">
        <v>130</v>
      </c>
      <c r="B134" s="458" t="s">
        <v>1387</v>
      </c>
      <c r="C134" s="458" t="s">
        <v>1388</v>
      </c>
      <c r="D134" s="458" t="s">
        <v>1382</v>
      </c>
      <c r="E134" s="458" t="s">
        <v>1389</v>
      </c>
      <c r="F134" s="459">
        <v>450</v>
      </c>
      <c r="G134" s="1447">
        <v>3150</v>
      </c>
      <c r="H134" s="1448"/>
    </row>
    <row r="135" spans="1:8" ht="15.75" customHeight="1" x14ac:dyDescent="0.2">
      <c r="A135" s="464">
        <v>131</v>
      </c>
      <c r="B135" s="458" t="s">
        <v>1387</v>
      </c>
      <c r="C135" s="458" t="s">
        <v>1390</v>
      </c>
      <c r="D135" s="458" t="s">
        <v>1382</v>
      </c>
      <c r="E135" s="458" t="s">
        <v>1389</v>
      </c>
      <c r="F135" s="459">
        <v>450</v>
      </c>
      <c r="G135" s="1447">
        <v>3150</v>
      </c>
      <c r="H135" s="1448"/>
    </row>
    <row r="136" spans="1:8" ht="15.75" customHeight="1" x14ac:dyDescent="0.2">
      <c r="A136" s="464">
        <v>132</v>
      </c>
      <c r="B136" s="458" t="s">
        <v>1387</v>
      </c>
      <c r="C136" s="458" t="s">
        <v>1391</v>
      </c>
      <c r="D136" s="458" t="s">
        <v>1382</v>
      </c>
      <c r="E136" s="458" t="s">
        <v>1389</v>
      </c>
      <c r="F136" s="459">
        <v>450</v>
      </c>
      <c r="G136" s="1447">
        <v>3150</v>
      </c>
      <c r="H136" s="1448"/>
    </row>
    <row r="137" spans="1:8" ht="15.6" customHeight="1" x14ac:dyDescent="0.2">
      <c r="A137" s="464">
        <v>133</v>
      </c>
      <c r="B137" s="458" t="s">
        <v>1387</v>
      </c>
      <c r="C137" s="458" t="s">
        <v>1392</v>
      </c>
      <c r="D137" s="458" t="s">
        <v>1382</v>
      </c>
      <c r="E137" s="458" t="s">
        <v>1389</v>
      </c>
      <c r="F137" s="459">
        <v>450</v>
      </c>
      <c r="G137" s="1447">
        <v>3150</v>
      </c>
      <c r="H137" s="1448"/>
    </row>
    <row r="138" spans="1:8" ht="15.75" customHeight="1" x14ac:dyDescent="0.2">
      <c r="A138" s="464">
        <v>134</v>
      </c>
      <c r="B138" s="458" t="s">
        <v>1387</v>
      </c>
      <c r="C138" s="458" t="s">
        <v>1393</v>
      </c>
      <c r="D138" s="458" t="s">
        <v>1382</v>
      </c>
      <c r="E138" s="458" t="s">
        <v>1389</v>
      </c>
      <c r="F138" s="459">
        <v>450</v>
      </c>
      <c r="G138" s="1447">
        <v>3150</v>
      </c>
      <c r="H138" s="1448"/>
    </row>
    <row r="139" spans="1:8" ht="15.6" customHeight="1" x14ac:dyDescent="0.2">
      <c r="A139" s="464">
        <v>135</v>
      </c>
      <c r="B139" s="458" t="s">
        <v>1387</v>
      </c>
      <c r="C139" s="458" t="s">
        <v>1394</v>
      </c>
      <c r="D139" s="458" t="s">
        <v>1382</v>
      </c>
      <c r="E139" s="458" t="s">
        <v>1389</v>
      </c>
      <c r="F139" s="459">
        <v>450</v>
      </c>
      <c r="G139" s="1447">
        <v>3150</v>
      </c>
      <c r="H139" s="1448"/>
    </row>
    <row r="140" spans="1:8" ht="15.6" customHeight="1" x14ac:dyDescent="0.2">
      <c r="A140" s="464">
        <v>136</v>
      </c>
      <c r="B140" s="458" t="s">
        <v>1387</v>
      </c>
      <c r="C140" s="458" t="s">
        <v>1395</v>
      </c>
      <c r="D140" s="458" t="s">
        <v>1382</v>
      </c>
      <c r="E140" s="458" t="s">
        <v>1389</v>
      </c>
      <c r="F140" s="459">
        <v>450</v>
      </c>
      <c r="G140" s="1447">
        <v>3150</v>
      </c>
      <c r="H140" s="1448"/>
    </row>
    <row r="141" spans="1:8" ht="15.75" customHeight="1" x14ac:dyDescent="0.2">
      <c r="A141" s="464">
        <v>137</v>
      </c>
      <c r="B141" s="458" t="s">
        <v>1387</v>
      </c>
      <c r="C141" s="458" t="s">
        <v>1396</v>
      </c>
      <c r="D141" s="458" t="s">
        <v>1382</v>
      </c>
      <c r="E141" s="458" t="s">
        <v>1389</v>
      </c>
      <c r="F141" s="459">
        <v>450</v>
      </c>
      <c r="G141" s="1447">
        <v>3150</v>
      </c>
      <c r="H141" s="1448"/>
    </row>
    <row r="142" spans="1:8" ht="15.6" customHeight="1" x14ac:dyDescent="0.2">
      <c r="A142" s="464">
        <v>138</v>
      </c>
      <c r="B142" s="458" t="s">
        <v>1387</v>
      </c>
      <c r="C142" s="458" t="s">
        <v>1397</v>
      </c>
      <c r="D142" s="458" t="s">
        <v>1382</v>
      </c>
      <c r="E142" s="458" t="s">
        <v>1389</v>
      </c>
      <c r="F142" s="459">
        <v>450</v>
      </c>
      <c r="G142" s="1447">
        <v>3150</v>
      </c>
      <c r="H142" s="1448"/>
    </row>
    <row r="143" spans="1:8" ht="15.75" customHeight="1" x14ac:dyDescent="0.2">
      <c r="A143" s="464">
        <v>139</v>
      </c>
      <c r="B143" s="458" t="s">
        <v>1387</v>
      </c>
      <c r="C143" s="458" t="s">
        <v>1398</v>
      </c>
      <c r="D143" s="458" t="s">
        <v>1399</v>
      </c>
      <c r="E143" s="458" t="s">
        <v>1389</v>
      </c>
      <c r="F143" s="459">
        <v>1100</v>
      </c>
      <c r="G143" s="1447">
        <v>7700</v>
      </c>
      <c r="H143" s="1448"/>
    </row>
    <row r="144" spans="1:8" ht="15.6" customHeight="1" x14ac:dyDescent="0.2">
      <c r="A144" s="464">
        <v>140</v>
      </c>
      <c r="B144" s="458" t="s">
        <v>1387</v>
      </c>
      <c r="C144" s="458" t="s">
        <v>1400</v>
      </c>
      <c r="D144" s="458" t="s">
        <v>1399</v>
      </c>
      <c r="E144" s="458" t="s">
        <v>1389</v>
      </c>
      <c r="F144" s="459">
        <v>1100</v>
      </c>
      <c r="G144" s="1447">
        <v>7700</v>
      </c>
      <c r="H144" s="1448"/>
    </row>
    <row r="145" spans="1:8" ht="15.6" customHeight="1" x14ac:dyDescent="0.2">
      <c r="A145" s="464">
        <v>141</v>
      </c>
      <c r="B145" s="458" t="s">
        <v>1387</v>
      </c>
      <c r="C145" s="458" t="s">
        <v>1401</v>
      </c>
      <c r="D145" s="458" t="s">
        <v>1399</v>
      </c>
      <c r="E145" s="458" t="s">
        <v>1389</v>
      </c>
      <c r="F145" s="459">
        <v>1100</v>
      </c>
      <c r="G145" s="1447">
        <v>7700</v>
      </c>
      <c r="H145" s="1448"/>
    </row>
    <row r="146" spans="1:8" ht="15.75" customHeight="1" x14ac:dyDescent="0.2">
      <c r="A146" s="465">
        <v>142</v>
      </c>
      <c r="B146" s="466" t="s">
        <v>1402</v>
      </c>
      <c r="C146" s="466" t="s">
        <v>1403</v>
      </c>
      <c r="D146" s="460"/>
      <c r="E146" s="466" t="s">
        <v>1404</v>
      </c>
      <c r="F146" s="467">
        <v>300</v>
      </c>
      <c r="G146" s="1444">
        <v>2100</v>
      </c>
      <c r="H146" s="1445"/>
    </row>
    <row r="147" spans="1:8" ht="15.6" customHeight="1" x14ac:dyDescent="0.2">
      <c r="A147" s="465">
        <v>143</v>
      </c>
      <c r="B147" s="466" t="s">
        <v>1402</v>
      </c>
      <c r="C147" s="466" t="s">
        <v>1405</v>
      </c>
      <c r="D147" s="460"/>
      <c r="E147" s="466" t="s">
        <v>1404</v>
      </c>
      <c r="F147" s="467">
        <v>300</v>
      </c>
      <c r="G147" s="1444">
        <v>2100</v>
      </c>
      <c r="H147" s="1445"/>
    </row>
    <row r="148" spans="1:8" ht="15.75" customHeight="1" x14ac:dyDescent="0.2">
      <c r="A148" s="465">
        <v>144</v>
      </c>
      <c r="B148" s="466" t="s">
        <v>1402</v>
      </c>
      <c r="C148" s="466" t="s">
        <v>1406</v>
      </c>
      <c r="D148" s="460"/>
      <c r="E148" s="466" t="s">
        <v>1404</v>
      </c>
      <c r="F148" s="467">
        <v>300</v>
      </c>
      <c r="G148" s="1444">
        <v>2100</v>
      </c>
      <c r="H148" s="1445"/>
    </row>
    <row r="149" spans="1:8" ht="15.6" customHeight="1" x14ac:dyDescent="0.2">
      <c r="A149" s="465">
        <v>145</v>
      </c>
      <c r="B149" s="466" t="s">
        <v>1402</v>
      </c>
      <c r="C149" s="466" t="s">
        <v>1407</v>
      </c>
      <c r="D149" s="460"/>
      <c r="E149" s="466" t="s">
        <v>1404</v>
      </c>
      <c r="F149" s="467">
        <v>300</v>
      </c>
      <c r="G149" s="1444">
        <v>2100</v>
      </c>
      <c r="H149" s="1445"/>
    </row>
    <row r="150" spans="1:8" ht="15.75" customHeight="1" x14ac:dyDescent="0.2">
      <c r="A150" s="465">
        <v>146</v>
      </c>
      <c r="B150" s="466" t="s">
        <v>1402</v>
      </c>
      <c r="C150" s="466" t="s">
        <v>1408</v>
      </c>
      <c r="D150" s="460"/>
      <c r="E150" s="466" t="s">
        <v>1404</v>
      </c>
      <c r="F150" s="467">
        <v>300</v>
      </c>
      <c r="G150" s="1444">
        <v>2100</v>
      </c>
      <c r="H150" s="1445"/>
    </row>
    <row r="151" spans="1:8" ht="15.75" customHeight="1" x14ac:dyDescent="0.2">
      <c r="A151" s="465">
        <v>147</v>
      </c>
      <c r="B151" s="466" t="s">
        <v>1409</v>
      </c>
      <c r="C151" s="466" t="s">
        <v>1410</v>
      </c>
      <c r="D151" s="466" t="s">
        <v>1411</v>
      </c>
      <c r="E151" s="466" t="s">
        <v>1412</v>
      </c>
      <c r="F151" s="467">
        <v>2200</v>
      </c>
      <c r="G151" s="1444">
        <v>15400</v>
      </c>
      <c r="H151" s="1445"/>
    </row>
    <row r="152" spans="1:8" ht="15.6" customHeight="1" x14ac:dyDescent="0.2">
      <c r="A152" s="465">
        <v>148</v>
      </c>
      <c r="B152" s="466" t="s">
        <v>1409</v>
      </c>
      <c r="C152" s="466" t="s">
        <v>1413</v>
      </c>
      <c r="D152" s="466" t="s">
        <v>1411</v>
      </c>
      <c r="E152" s="466" t="s">
        <v>1412</v>
      </c>
      <c r="F152" s="467">
        <v>2200</v>
      </c>
      <c r="G152" s="1444">
        <v>15400</v>
      </c>
      <c r="H152" s="1445"/>
    </row>
    <row r="153" spans="1:8" ht="15.75" customHeight="1" x14ac:dyDescent="0.2">
      <c r="A153" s="465">
        <v>149</v>
      </c>
      <c r="B153" s="466" t="s">
        <v>1409</v>
      </c>
      <c r="C153" s="466" t="s">
        <v>1414</v>
      </c>
      <c r="D153" s="466" t="s">
        <v>1411</v>
      </c>
      <c r="E153" s="466" t="s">
        <v>1412</v>
      </c>
      <c r="F153" s="467">
        <v>2200</v>
      </c>
      <c r="G153" s="1444">
        <v>15400</v>
      </c>
      <c r="H153" s="1445"/>
    </row>
    <row r="154" spans="1:8" ht="15.6" customHeight="1" x14ac:dyDescent="0.2">
      <c r="A154" s="465">
        <v>150</v>
      </c>
      <c r="B154" s="466" t="s">
        <v>1409</v>
      </c>
      <c r="C154" s="466" t="s">
        <v>1414</v>
      </c>
      <c r="D154" s="466" t="s">
        <v>1411</v>
      </c>
      <c r="E154" s="466" t="s">
        <v>1412</v>
      </c>
      <c r="F154" s="467">
        <v>2200</v>
      </c>
      <c r="G154" s="1444">
        <v>15400</v>
      </c>
      <c r="H154" s="1445"/>
    </row>
    <row r="155" spans="1:8" ht="15.75" customHeight="1" x14ac:dyDescent="0.2">
      <c r="A155" s="465">
        <v>151</v>
      </c>
      <c r="B155" s="466" t="s">
        <v>1409</v>
      </c>
      <c r="C155" s="466" t="s">
        <v>1415</v>
      </c>
      <c r="D155" s="466" t="s">
        <v>1411</v>
      </c>
      <c r="E155" s="466" t="s">
        <v>1412</v>
      </c>
      <c r="F155" s="467">
        <v>2200</v>
      </c>
      <c r="G155" s="1444">
        <v>15400</v>
      </c>
      <c r="H155" s="1445"/>
    </row>
    <row r="156" spans="1:8" ht="15.6" customHeight="1" x14ac:dyDescent="0.2">
      <c r="A156" s="465">
        <v>152</v>
      </c>
      <c r="B156" s="466" t="s">
        <v>1409</v>
      </c>
      <c r="C156" s="466" t="s">
        <v>1416</v>
      </c>
      <c r="D156" s="466" t="s">
        <v>1411</v>
      </c>
      <c r="E156" s="466" t="s">
        <v>1412</v>
      </c>
      <c r="F156" s="467">
        <v>2200</v>
      </c>
      <c r="G156" s="1444">
        <v>15400</v>
      </c>
      <c r="H156" s="1445"/>
    </row>
    <row r="157" spans="1:8" ht="15.6" customHeight="1" x14ac:dyDescent="0.2">
      <c r="A157" s="465">
        <v>153</v>
      </c>
      <c r="B157" s="466" t="s">
        <v>1409</v>
      </c>
      <c r="C157" s="466" t="s">
        <v>1415</v>
      </c>
      <c r="D157" s="466" t="s">
        <v>1417</v>
      </c>
      <c r="E157" s="466" t="s">
        <v>1412</v>
      </c>
      <c r="F157" s="467">
        <v>2700</v>
      </c>
      <c r="G157" s="1444">
        <v>18900</v>
      </c>
      <c r="H157" s="1445"/>
    </row>
    <row r="158" spans="1:8" ht="15.75" customHeight="1" x14ac:dyDescent="0.2">
      <c r="A158" s="465">
        <v>154</v>
      </c>
      <c r="B158" s="466" t="s">
        <v>1418</v>
      </c>
      <c r="C158" s="466" t="s">
        <v>1419</v>
      </c>
      <c r="D158" s="466" t="s">
        <v>1420</v>
      </c>
      <c r="E158" s="466" t="s">
        <v>1421</v>
      </c>
      <c r="F158" s="467">
        <v>4800</v>
      </c>
      <c r="G158" s="1444">
        <v>33600</v>
      </c>
      <c r="H158" s="1445"/>
    </row>
    <row r="159" spans="1:8" ht="15.6" customHeight="1" x14ac:dyDescent="0.2">
      <c r="A159" s="465">
        <v>155</v>
      </c>
      <c r="B159" s="466" t="s">
        <v>1422</v>
      </c>
      <c r="C159" s="466" t="s">
        <v>1423</v>
      </c>
      <c r="D159" s="466" t="s">
        <v>1424</v>
      </c>
      <c r="E159" s="466" t="s">
        <v>1425</v>
      </c>
      <c r="F159" s="467">
        <v>550</v>
      </c>
      <c r="G159" s="1444">
        <v>3850</v>
      </c>
      <c r="H159" s="1445"/>
    </row>
    <row r="160" spans="1:8" ht="15.75" customHeight="1" x14ac:dyDescent="0.2">
      <c r="A160" s="465">
        <v>156</v>
      </c>
      <c r="B160" s="466" t="s">
        <v>1422</v>
      </c>
      <c r="C160" s="466" t="s">
        <v>1426</v>
      </c>
      <c r="D160" s="466" t="s">
        <v>1424</v>
      </c>
      <c r="E160" s="466" t="s">
        <v>1425</v>
      </c>
      <c r="F160" s="467">
        <v>550</v>
      </c>
      <c r="G160" s="1444">
        <v>3850</v>
      </c>
      <c r="H160" s="1445"/>
    </row>
    <row r="161" spans="1:8" ht="15.6" customHeight="1" x14ac:dyDescent="0.2">
      <c r="A161" s="465">
        <v>157</v>
      </c>
      <c r="B161" s="466" t="s">
        <v>1422</v>
      </c>
      <c r="C161" s="466" t="s">
        <v>1427</v>
      </c>
      <c r="D161" s="466" t="s">
        <v>1424</v>
      </c>
      <c r="E161" s="466" t="s">
        <v>1425</v>
      </c>
      <c r="F161" s="467">
        <v>550</v>
      </c>
      <c r="G161" s="1444">
        <v>3850</v>
      </c>
      <c r="H161" s="1445"/>
    </row>
    <row r="162" spans="1:8" ht="15.6" customHeight="1" x14ac:dyDescent="0.2">
      <c r="A162" s="465">
        <v>158</v>
      </c>
      <c r="B162" s="466" t="s">
        <v>1422</v>
      </c>
      <c r="C162" s="466" t="s">
        <v>1428</v>
      </c>
      <c r="D162" s="466" t="s">
        <v>1424</v>
      </c>
      <c r="E162" s="466" t="s">
        <v>1425</v>
      </c>
      <c r="F162" s="467">
        <v>550</v>
      </c>
      <c r="G162" s="1444">
        <v>3850</v>
      </c>
      <c r="H162" s="1445"/>
    </row>
    <row r="163" spans="1:8" ht="15.75" customHeight="1" x14ac:dyDescent="0.2">
      <c r="A163" s="465">
        <v>159</v>
      </c>
      <c r="B163" s="466" t="s">
        <v>1422</v>
      </c>
      <c r="C163" s="466" t="s">
        <v>1429</v>
      </c>
      <c r="D163" s="466" t="s">
        <v>1424</v>
      </c>
      <c r="E163" s="466" t="s">
        <v>1425</v>
      </c>
      <c r="F163" s="467">
        <v>550</v>
      </c>
      <c r="G163" s="1444">
        <v>3850</v>
      </c>
      <c r="H163" s="1445"/>
    </row>
    <row r="164" spans="1:8" ht="15.6" customHeight="1" x14ac:dyDescent="0.2">
      <c r="A164" s="465">
        <v>160</v>
      </c>
      <c r="B164" s="466" t="s">
        <v>1422</v>
      </c>
      <c r="C164" s="466" t="s">
        <v>1430</v>
      </c>
      <c r="D164" s="466" t="s">
        <v>1424</v>
      </c>
      <c r="E164" s="466" t="s">
        <v>1425</v>
      </c>
      <c r="F164" s="467">
        <v>550</v>
      </c>
      <c r="G164" s="1444">
        <v>3850</v>
      </c>
      <c r="H164" s="1445"/>
    </row>
    <row r="165" spans="1:8" ht="15.75" customHeight="1" x14ac:dyDescent="0.2">
      <c r="A165" s="465">
        <v>161</v>
      </c>
      <c r="B165" s="466" t="s">
        <v>1431</v>
      </c>
      <c r="C165" s="466" t="s">
        <v>1432</v>
      </c>
      <c r="D165" s="460"/>
      <c r="E165" s="466" t="s">
        <v>1433</v>
      </c>
      <c r="F165" s="467">
        <v>140</v>
      </c>
      <c r="G165" s="1444">
        <v>980</v>
      </c>
      <c r="H165" s="1445"/>
    </row>
    <row r="166" spans="1:8" ht="15.6" customHeight="1" x14ac:dyDescent="0.2">
      <c r="A166" s="465">
        <v>162</v>
      </c>
      <c r="B166" s="466" t="s">
        <v>1434</v>
      </c>
      <c r="C166" s="466" t="s">
        <v>1435</v>
      </c>
      <c r="D166" s="466" t="s">
        <v>1436</v>
      </c>
      <c r="E166" s="466" t="s">
        <v>1437</v>
      </c>
      <c r="F166" s="467">
        <v>300</v>
      </c>
      <c r="G166" s="1444">
        <v>2100</v>
      </c>
      <c r="H166" s="1445"/>
    </row>
    <row r="167" spans="1:8" ht="15.75" customHeight="1" x14ac:dyDescent="0.2">
      <c r="A167" s="465">
        <v>163</v>
      </c>
      <c r="B167" s="466" t="s">
        <v>1434</v>
      </c>
      <c r="C167" s="466" t="s">
        <v>1438</v>
      </c>
      <c r="D167" s="466" t="s">
        <v>1436</v>
      </c>
      <c r="E167" s="466" t="s">
        <v>1437</v>
      </c>
      <c r="F167" s="467">
        <v>300</v>
      </c>
      <c r="G167" s="1444">
        <v>2100</v>
      </c>
      <c r="H167" s="1445"/>
    </row>
    <row r="168" spans="1:8" ht="15.6" customHeight="1" x14ac:dyDescent="0.2">
      <c r="A168" s="465">
        <v>164</v>
      </c>
      <c r="B168" s="466" t="s">
        <v>1434</v>
      </c>
      <c r="C168" s="466" t="s">
        <v>1439</v>
      </c>
      <c r="D168" s="466" t="s">
        <v>1436</v>
      </c>
      <c r="E168" s="466" t="s">
        <v>1437</v>
      </c>
      <c r="F168" s="467">
        <v>300</v>
      </c>
      <c r="G168" s="1444">
        <v>2100</v>
      </c>
      <c r="H168" s="1445"/>
    </row>
    <row r="169" spans="1:8" ht="15.6" customHeight="1" x14ac:dyDescent="0.2">
      <c r="A169" s="465">
        <v>165</v>
      </c>
      <c r="B169" s="466" t="s">
        <v>1434</v>
      </c>
      <c r="C169" s="466" t="s">
        <v>1440</v>
      </c>
      <c r="D169" s="466" t="s">
        <v>1436</v>
      </c>
      <c r="E169" s="466" t="s">
        <v>1437</v>
      </c>
      <c r="F169" s="467">
        <v>300</v>
      </c>
      <c r="G169" s="1444">
        <v>2100</v>
      </c>
      <c r="H169" s="1445"/>
    </row>
    <row r="170" spans="1:8" ht="15.75" customHeight="1" x14ac:dyDescent="0.2">
      <c r="A170" s="465">
        <v>166</v>
      </c>
      <c r="B170" s="466" t="s">
        <v>1434</v>
      </c>
      <c r="C170" s="466" t="s">
        <v>1441</v>
      </c>
      <c r="D170" s="466" t="s">
        <v>1436</v>
      </c>
      <c r="E170" s="466" t="s">
        <v>1437</v>
      </c>
      <c r="F170" s="467">
        <v>300</v>
      </c>
      <c r="G170" s="1444">
        <v>2100</v>
      </c>
      <c r="H170" s="1445"/>
    </row>
    <row r="171" spans="1:8" ht="15.6" customHeight="1" x14ac:dyDescent="0.2">
      <c r="A171" s="465">
        <v>167</v>
      </c>
      <c r="B171" s="466" t="s">
        <v>1434</v>
      </c>
      <c r="C171" s="466" t="s">
        <v>1442</v>
      </c>
      <c r="D171" s="466" t="s">
        <v>1436</v>
      </c>
      <c r="E171" s="466" t="s">
        <v>1437</v>
      </c>
      <c r="F171" s="467">
        <v>300</v>
      </c>
      <c r="G171" s="1444">
        <v>2100</v>
      </c>
      <c r="H171" s="1445"/>
    </row>
    <row r="172" spans="1:8" ht="15.75" customHeight="1" x14ac:dyDescent="0.2">
      <c r="A172" s="465">
        <v>168</v>
      </c>
      <c r="B172" s="466" t="s">
        <v>1434</v>
      </c>
      <c r="C172" s="466" t="s">
        <v>1443</v>
      </c>
      <c r="D172" s="466" t="s">
        <v>1436</v>
      </c>
      <c r="E172" s="466" t="s">
        <v>1437</v>
      </c>
      <c r="F172" s="467">
        <v>300</v>
      </c>
      <c r="G172" s="1444">
        <v>2100</v>
      </c>
      <c r="H172" s="1445"/>
    </row>
    <row r="173" spans="1:8" ht="15.6" customHeight="1" x14ac:dyDescent="0.2">
      <c r="A173" s="465">
        <v>169</v>
      </c>
      <c r="B173" s="466" t="s">
        <v>1434</v>
      </c>
      <c r="C173" s="466" t="s">
        <v>1444</v>
      </c>
      <c r="D173" s="466" t="s">
        <v>1436</v>
      </c>
      <c r="E173" s="466" t="s">
        <v>1437</v>
      </c>
      <c r="F173" s="467">
        <v>300</v>
      </c>
      <c r="G173" s="1444">
        <v>2100</v>
      </c>
      <c r="H173" s="1445"/>
    </row>
    <row r="174" spans="1:8" ht="15.6" customHeight="1" x14ac:dyDescent="0.2">
      <c r="A174" s="465">
        <v>170</v>
      </c>
      <c r="B174" s="466" t="s">
        <v>1434</v>
      </c>
      <c r="C174" s="466" t="s">
        <v>1445</v>
      </c>
      <c r="D174" s="466" t="s">
        <v>1436</v>
      </c>
      <c r="E174" s="466" t="s">
        <v>1437</v>
      </c>
      <c r="F174" s="467">
        <v>300</v>
      </c>
      <c r="G174" s="1444">
        <v>2100</v>
      </c>
      <c r="H174" s="1445"/>
    </row>
    <row r="175" spans="1:8" ht="15.75" customHeight="1" x14ac:dyDescent="0.2">
      <c r="A175" s="465">
        <v>171</v>
      </c>
      <c r="B175" s="466" t="s">
        <v>1446</v>
      </c>
      <c r="C175" s="466" t="s">
        <v>1447</v>
      </c>
      <c r="D175" s="466" t="s">
        <v>1436</v>
      </c>
      <c r="E175" s="466" t="s">
        <v>1437</v>
      </c>
      <c r="F175" s="467">
        <v>440</v>
      </c>
      <c r="G175" s="1444">
        <v>3080</v>
      </c>
      <c r="H175" s="1445"/>
    </row>
    <row r="176" spans="1:8" ht="15.75" customHeight="1" x14ac:dyDescent="0.2">
      <c r="A176" s="465">
        <v>172</v>
      </c>
      <c r="B176" s="466" t="s">
        <v>1446</v>
      </c>
      <c r="C176" s="466" t="s">
        <v>1448</v>
      </c>
      <c r="D176" s="466" t="s">
        <v>1436</v>
      </c>
      <c r="E176" s="466" t="s">
        <v>1437</v>
      </c>
      <c r="F176" s="467">
        <v>440</v>
      </c>
      <c r="G176" s="1444">
        <v>3080</v>
      </c>
      <c r="H176" s="1445"/>
    </row>
    <row r="177" spans="1:8" ht="15.75" customHeight="1" x14ac:dyDescent="0.2">
      <c r="A177" s="465">
        <v>173</v>
      </c>
      <c r="B177" s="466" t="s">
        <v>1449</v>
      </c>
      <c r="C177" s="466" t="s">
        <v>1450</v>
      </c>
      <c r="D177" s="460"/>
      <c r="E177" s="466" t="s">
        <v>1451</v>
      </c>
      <c r="F177" s="467">
        <v>120</v>
      </c>
      <c r="G177" s="1444">
        <v>840</v>
      </c>
      <c r="H177" s="1445"/>
    </row>
    <row r="178" spans="1:8" ht="15.6" customHeight="1" x14ac:dyDescent="0.2">
      <c r="A178" s="465">
        <v>174</v>
      </c>
      <c r="B178" s="466" t="s">
        <v>1452</v>
      </c>
      <c r="C178" s="466" t="s">
        <v>1453</v>
      </c>
      <c r="D178" s="460"/>
      <c r="E178" s="466" t="s">
        <v>1451</v>
      </c>
      <c r="F178" s="467">
        <v>100</v>
      </c>
      <c r="G178" s="1444">
        <v>700</v>
      </c>
      <c r="H178" s="1445"/>
    </row>
    <row r="179" spans="1:8" ht="15.75" customHeight="1" x14ac:dyDescent="0.2">
      <c r="A179" s="465">
        <v>175</v>
      </c>
      <c r="B179" s="466" t="s">
        <v>1452</v>
      </c>
      <c r="C179" s="466" t="s">
        <v>1454</v>
      </c>
      <c r="D179" s="460"/>
      <c r="E179" s="466" t="s">
        <v>1451</v>
      </c>
      <c r="F179" s="467">
        <v>100</v>
      </c>
      <c r="G179" s="1444">
        <v>700</v>
      </c>
      <c r="H179" s="1445"/>
    </row>
    <row r="180" spans="1:8" ht="15.6" customHeight="1" x14ac:dyDescent="0.2">
      <c r="A180" s="465">
        <v>176</v>
      </c>
      <c r="B180" s="466" t="s">
        <v>1455</v>
      </c>
      <c r="C180" s="466" t="s">
        <v>1456</v>
      </c>
      <c r="D180" s="466" t="s">
        <v>1457</v>
      </c>
      <c r="E180" s="466" t="s">
        <v>1458</v>
      </c>
      <c r="F180" s="467">
        <v>130</v>
      </c>
      <c r="G180" s="1444">
        <v>910</v>
      </c>
      <c r="H180" s="1445"/>
    </row>
    <row r="181" spans="1:8" ht="15.6" customHeight="1" x14ac:dyDescent="0.2">
      <c r="A181" s="465">
        <v>177</v>
      </c>
      <c r="B181" s="466" t="s">
        <v>1455</v>
      </c>
      <c r="C181" s="466" t="s">
        <v>1459</v>
      </c>
      <c r="D181" s="466" t="s">
        <v>1457</v>
      </c>
      <c r="E181" s="466" t="s">
        <v>1458</v>
      </c>
      <c r="F181" s="467">
        <v>130</v>
      </c>
      <c r="G181" s="1444">
        <v>910</v>
      </c>
      <c r="H181" s="1445"/>
    </row>
    <row r="182" spans="1:8" ht="15.75" customHeight="1" x14ac:dyDescent="0.2">
      <c r="A182" s="465">
        <v>178</v>
      </c>
      <c r="B182" s="466" t="s">
        <v>1460</v>
      </c>
      <c r="C182" s="460"/>
      <c r="D182" s="466" t="s">
        <v>1461</v>
      </c>
      <c r="E182" s="466" t="s">
        <v>1462</v>
      </c>
      <c r="F182" s="467">
        <v>1150</v>
      </c>
      <c r="G182" s="1444">
        <v>8050</v>
      </c>
      <c r="H182" s="1445"/>
    </row>
    <row r="183" spans="1:8" ht="21.95" customHeight="1" x14ac:dyDescent="0.2">
      <c r="A183" s="465">
        <v>179</v>
      </c>
      <c r="B183" s="463" t="s">
        <v>1463</v>
      </c>
      <c r="C183" s="468" t="s">
        <v>1464</v>
      </c>
      <c r="D183" s="460"/>
      <c r="E183" s="460"/>
      <c r="F183" s="467">
        <v>7650</v>
      </c>
      <c r="G183" s="1444">
        <v>53550</v>
      </c>
      <c r="H183" s="1445"/>
    </row>
    <row r="184" spans="1:8" ht="10.7" customHeight="1" x14ac:dyDescent="0.2">
      <c r="A184" s="1446" t="s">
        <v>1465</v>
      </c>
      <c r="B184" s="1446"/>
      <c r="C184" s="1446"/>
      <c r="D184" s="1446"/>
      <c r="E184" s="1446"/>
      <c r="F184" s="1446"/>
      <c r="G184" s="1446"/>
    </row>
  </sheetData>
  <mergeCells count="188">
    <mergeCell ref="A2:G2"/>
    <mergeCell ref="A3:A4"/>
    <mergeCell ref="B3:B4"/>
    <mergeCell ref="C3:C4"/>
    <mergeCell ref="D3:D4"/>
    <mergeCell ref="E3:E4"/>
    <mergeCell ref="F3:H3"/>
    <mergeCell ref="G4:H4"/>
    <mergeCell ref="G11:H11"/>
    <mergeCell ref="G12:H12"/>
    <mergeCell ref="G13:H13"/>
    <mergeCell ref="G14:H14"/>
    <mergeCell ref="G15:H15"/>
    <mergeCell ref="G16:H16"/>
    <mergeCell ref="G5:H5"/>
    <mergeCell ref="G6:H6"/>
    <mergeCell ref="G7:H7"/>
    <mergeCell ref="G8:H8"/>
    <mergeCell ref="G9:H9"/>
    <mergeCell ref="G10:H10"/>
    <mergeCell ref="G23:H23"/>
    <mergeCell ref="G24:H24"/>
    <mergeCell ref="G25:H25"/>
    <mergeCell ref="G26:H26"/>
    <mergeCell ref="G27:H27"/>
    <mergeCell ref="G28:H28"/>
    <mergeCell ref="G17:H17"/>
    <mergeCell ref="G18:H18"/>
    <mergeCell ref="G19:H19"/>
    <mergeCell ref="G20:H20"/>
    <mergeCell ref="G21:H21"/>
    <mergeCell ref="G22:H22"/>
    <mergeCell ref="G35:H35"/>
    <mergeCell ref="G36:H36"/>
    <mergeCell ref="G37:H37"/>
    <mergeCell ref="G38:H38"/>
    <mergeCell ref="G39:H39"/>
    <mergeCell ref="G40:H40"/>
    <mergeCell ref="G29:H29"/>
    <mergeCell ref="G30:H30"/>
    <mergeCell ref="G31:H31"/>
    <mergeCell ref="G32:H32"/>
    <mergeCell ref="G33:H33"/>
    <mergeCell ref="G34:H34"/>
    <mergeCell ref="G47:H47"/>
    <mergeCell ref="G48:H48"/>
    <mergeCell ref="G49:H49"/>
    <mergeCell ref="G50:H50"/>
    <mergeCell ref="G51:H51"/>
    <mergeCell ref="G52:H52"/>
    <mergeCell ref="G41:H41"/>
    <mergeCell ref="G42:H42"/>
    <mergeCell ref="G43:H43"/>
    <mergeCell ref="G44:H44"/>
    <mergeCell ref="G45:H45"/>
    <mergeCell ref="G46:H46"/>
    <mergeCell ref="G59:H59"/>
    <mergeCell ref="G60:H60"/>
    <mergeCell ref="G61:H61"/>
    <mergeCell ref="G62:H62"/>
    <mergeCell ref="G63:H63"/>
    <mergeCell ref="G64:H64"/>
    <mergeCell ref="G53:H53"/>
    <mergeCell ref="G54:H54"/>
    <mergeCell ref="G55:H55"/>
    <mergeCell ref="G56:H56"/>
    <mergeCell ref="G57:H57"/>
    <mergeCell ref="G58:H58"/>
    <mergeCell ref="G71:H71"/>
    <mergeCell ref="G72:H72"/>
    <mergeCell ref="G73:H73"/>
    <mergeCell ref="G74:H74"/>
    <mergeCell ref="G75:H75"/>
    <mergeCell ref="G76:H76"/>
    <mergeCell ref="G65:H65"/>
    <mergeCell ref="G66:H66"/>
    <mergeCell ref="G67:H67"/>
    <mergeCell ref="G68:H68"/>
    <mergeCell ref="G69:H69"/>
    <mergeCell ref="G70:H70"/>
    <mergeCell ref="G83:H83"/>
    <mergeCell ref="G84:H84"/>
    <mergeCell ref="G85:H85"/>
    <mergeCell ref="G86:H86"/>
    <mergeCell ref="G87:H87"/>
    <mergeCell ref="G88:H88"/>
    <mergeCell ref="G77:H77"/>
    <mergeCell ref="G78:H78"/>
    <mergeCell ref="G79:H79"/>
    <mergeCell ref="G80:H80"/>
    <mergeCell ref="G81:H81"/>
    <mergeCell ref="G82:H82"/>
    <mergeCell ref="G95:H95"/>
    <mergeCell ref="G96:H96"/>
    <mergeCell ref="G97:H97"/>
    <mergeCell ref="G98:H98"/>
    <mergeCell ref="G99:H99"/>
    <mergeCell ref="G100:H100"/>
    <mergeCell ref="G89:H89"/>
    <mergeCell ref="G90:H90"/>
    <mergeCell ref="G91:H91"/>
    <mergeCell ref="G92:H92"/>
    <mergeCell ref="G93:H93"/>
    <mergeCell ref="G94:H94"/>
    <mergeCell ref="G107:H107"/>
    <mergeCell ref="G108:H108"/>
    <mergeCell ref="G109:H109"/>
    <mergeCell ref="G110:H110"/>
    <mergeCell ref="G111:H111"/>
    <mergeCell ref="G112:H112"/>
    <mergeCell ref="G101:H101"/>
    <mergeCell ref="G102:H102"/>
    <mergeCell ref="G103:H103"/>
    <mergeCell ref="G104:H104"/>
    <mergeCell ref="G105:H105"/>
    <mergeCell ref="G106:H106"/>
    <mergeCell ref="G119:H119"/>
    <mergeCell ref="G120:H120"/>
    <mergeCell ref="G121:H121"/>
    <mergeCell ref="G122:H122"/>
    <mergeCell ref="G123:H123"/>
    <mergeCell ref="G124:H124"/>
    <mergeCell ref="G113:H113"/>
    <mergeCell ref="G114:H114"/>
    <mergeCell ref="G115:H115"/>
    <mergeCell ref="G116:H116"/>
    <mergeCell ref="G117:H117"/>
    <mergeCell ref="G118:H118"/>
    <mergeCell ref="G131:H131"/>
    <mergeCell ref="G132:H132"/>
    <mergeCell ref="G133:H133"/>
    <mergeCell ref="G134:H134"/>
    <mergeCell ref="G135:H135"/>
    <mergeCell ref="G136:H136"/>
    <mergeCell ref="G125:H125"/>
    <mergeCell ref="G126:H126"/>
    <mergeCell ref="G127:H127"/>
    <mergeCell ref="G128:H128"/>
    <mergeCell ref="G129:H129"/>
    <mergeCell ref="G130:H130"/>
    <mergeCell ref="G143:H143"/>
    <mergeCell ref="G144:H144"/>
    <mergeCell ref="G145:H145"/>
    <mergeCell ref="G146:H146"/>
    <mergeCell ref="G147:H147"/>
    <mergeCell ref="G148:H148"/>
    <mergeCell ref="G137:H137"/>
    <mergeCell ref="G138:H138"/>
    <mergeCell ref="G139:H139"/>
    <mergeCell ref="G140:H140"/>
    <mergeCell ref="G141:H141"/>
    <mergeCell ref="G142:H142"/>
    <mergeCell ref="G155:H155"/>
    <mergeCell ref="G156:H156"/>
    <mergeCell ref="G157:H157"/>
    <mergeCell ref="G158:H158"/>
    <mergeCell ref="G159:H159"/>
    <mergeCell ref="G160:H160"/>
    <mergeCell ref="G149:H149"/>
    <mergeCell ref="G150:H150"/>
    <mergeCell ref="G151:H151"/>
    <mergeCell ref="G152:H152"/>
    <mergeCell ref="G153:H153"/>
    <mergeCell ref="G154:H154"/>
    <mergeCell ref="G167:H167"/>
    <mergeCell ref="G168:H168"/>
    <mergeCell ref="G169:H169"/>
    <mergeCell ref="G170:H170"/>
    <mergeCell ref="G171:H171"/>
    <mergeCell ref="G172:H172"/>
    <mergeCell ref="G161:H161"/>
    <mergeCell ref="G162:H162"/>
    <mergeCell ref="G163:H163"/>
    <mergeCell ref="G164:H164"/>
    <mergeCell ref="G165:H165"/>
    <mergeCell ref="G166:H166"/>
    <mergeCell ref="G179:H179"/>
    <mergeCell ref="G180:H180"/>
    <mergeCell ref="G181:H181"/>
    <mergeCell ref="G182:H182"/>
    <mergeCell ref="G183:H183"/>
    <mergeCell ref="A184:G184"/>
    <mergeCell ref="G173:H173"/>
    <mergeCell ref="G174:H174"/>
    <mergeCell ref="G175:H175"/>
    <mergeCell ref="G176:H176"/>
    <mergeCell ref="G177:H177"/>
    <mergeCell ref="G178:H17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231"/>
  <sheetViews>
    <sheetView view="pageBreakPreview" zoomScaleSheetLayoutView="100" workbookViewId="0">
      <selection activeCell="J19" sqref="J19"/>
    </sheetView>
  </sheetViews>
  <sheetFormatPr defaultColWidth="9.140625" defaultRowHeight="12.75" x14ac:dyDescent="0.2"/>
  <cols>
    <col min="1" max="1" width="5.140625" style="328" bestFit="1" customWidth="1"/>
    <col min="2" max="2" width="44.5703125" style="328" customWidth="1"/>
    <col min="3" max="3" width="9.7109375" style="328" customWidth="1"/>
    <col min="4" max="4" width="5.5703125" style="328" customWidth="1"/>
    <col min="5" max="5" width="5.28515625" style="328" bestFit="1" customWidth="1"/>
    <col min="6" max="6" width="43" style="328" customWidth="1"/>
    <col min="7" max="16384" width="9.140625" style="328"/>
  </cols>
  <sheetData>
    <row r="1" spans="1:14" s="156" customFormat="1" x14ac:dyDescent="0.2">
      <c r="A1" s="1202" t="str">
        <f>'0.Data Sheet'!C18</f>
        <v>Government Of Nepal</v>
      </c>
      <c r="B1" s="1202"/>
      <c r="C1" s="1202"/>
      <c r="D1" s="1202"/>
      <c r="E1" s="1202"/>
      <c r="F1" s="1202"/>
      <c r="G1" s="1202"/>
      <c r="H1" s="126"/>
      <c r="I1" s="155"/>
      <c r="J1" s="155"/>
      <c r="K1" s="155"/>
      <c r="L1" s="155"/>
      <c r="M1" s="155"/>
      <c r="N1" s="155"/>
    </row>
    <row r="2" spans="1:14" s="156" customFormat="1" x14ac:dyDescent="0.2">
      <c r="A2" s="1202" t="str">
        <f>'0.Data Sheet'!C19</f>
        <v xml:space="preserve">Ministry of Federal Affairs and General Administration
</v>
      </c>
      <c r="B2" s="1202"/>
      <c r="C2" s="1202"/>
      <c r="D2" s="1202"/>
      <c r="E2" s="1202"/>
      <c r="F2" s="1202"/>
      <c r="G2" s="1202"/>
      <c r="H2" s="126"/>
      <c r="I2" s="155"/>
      <c r="J2" s="155"/>
      <c r="K2" s="155"/>
      <c r="L2" s="155"/>
      <c r="M2" s="155"/>
      <c r="N2" s="155"/>
    </row>
    <row r="3" spans="1:14" s="156" customFormat="1" ht="15.75" x14ac:dyDescent="0.25">
      <c r="A3" s="1210" t="str">
        <f>'0.Data Sheet'!C20</f>
        <v>Department Of Local Infrastructure (DOLI)</v>
      </c>
      <c r="B3" s="1210"/>
      <c r="C3" s="1210"/>
      <c r="D3" s="1210"/>
      <c r="E3" s="1210"/>
      <c r="F3" s="1210"/>
      <c r="G3" s="1210"/>
      <c r="H3" s="127"/>
      <c r="I3" s="155"/>
      <c r="J3" s="155"/>
      <c r="K3" s="155"/>
      <c r="L3" s="155"/>
      <c r="M3" s="155"/>
      <c r="N3" s="155"/>
    </row>
    <row r="4" spans="1:14" s="156" customFormat="1" ht="18" x14ac:dyDescent="0.25">
      <c r="A4" s="1209" t="str">
        <f>'0.Data Sheet'!C21</f>
        <v>Local Bridge Section</v>
      </c>
      <c r="B4" s="1209"/>
      <c r="C4" s="1209"/>
      <c r="D4" s="1209"/>
      <c r="E4" s="1209"/>
      <c r="F4" s="1209"/>
      <c r="G4" s="1209"/>
      <c r="H4" s="128"/>
      <c r="I4" s="155"/>
      <c r="J4" s="155"/>
      <c r="K4" s="155"/>
      <c r="L4" s="155"/>
      <c r="M4" s="155"/>
      <c r="N4" s="155"/>
    </row>
    <row r="5" spans="1:14" s="156" customFormat="1" x14ac:dyDescent="0.2">
      <c r="A5" s="1202" t="str">
        <f>'0.Data Sheet'!C22</f>
        <v>Pulchowk, Lalitpur</v>
      </c>
      <c r="B5" s="1202"/>
      <c r="C5" s="1202"/>
      <c r="D5" s="1202"/>
      <c r="E5" s="1202"/>
      <c r="F5" s="1202"/>
      <c r="G5" s="1202"/>
      <c r="H5" s="126"/>
      <c r="I5" s="155"/>
      <c r="J5" s="155"/>
      <c r="K5" s="155"/>
      <c r="L5" s="155"/>
      <c r="M5" s="155"/>
      <c r="N5" s="155"/>
    </row>
    <row r="6" spans="1:14" ht="15" customHeight="1" x14ac:dyDescent="0.2">
      <c r="A6" s="1460" t="s">
        <v>1007</v>
      </c>
      <c r="B6" s="1460"/>
      <c r="C6" s="1460"/>
      <c r="D6" s="1460"/>
      <c r="E6" s="1460"/>
      <c r="F6" s="1460"/>
      <c r="G6" s="1460"/>
      <c r="H6" s="340"/>
    </row>
    <row r="8" spans="1:14" ht="27" customHeight="1" x14ac:dyDescent="0.2">
      <c r="A8" s="1461" t="s">
        <v>1006</v>
      </c>
      <c r="B8" s="1462"/>
      <c r="C8" s="1463"/>
      <c r="E8" s="1461" t="s">
        <v>727</v>
      </c>
      <c r="F8" s="1462"/>
      <c r="G8" s="1463"/>
    </row>
    <row r="9" spans="1:14" x14ac:dyDescent="0.2">
      <c r="A9" s="329">
        <v>201</v>
      </c>
      <c r="B9" s="330" t="s">
        <v>1005</v>
      </c>
      <c r="C9" s="331" t="s">
        <v>1004</v>
      </c>
      <c r="E9" s="329">
        <v>1801</v>
      </c>
      <c r="F9" s="330" t="s">
        <v>726</v>
      </c>
      <c r="G9" s="331" t="s">
        <v>723</v>
      </c>
    </row>
    <row r="10" spans="1:14" ht="26.25" thickBot="1" x14ac:dyDescent="0.25">
      <c r="A10" s="332">
        <v>202</v>
      </c>
      <c r="B10" s="333" t="s">
        <v>1003</v>
      </c>
      <c r="C10" s="334" t="s">
        <v>1002</v>
      </c>
      <c r="E10" s="329">
        <v>1802</v>
      </c>
      <c r="F10" s="330" t="s">
        <v>725</v>
      </c>
      <c r="G10" s="331" t="s">
        <v>723</v>
      </c>
    </row>
    <row r="11" spans="1:14" x14ac:dyDescent="0.2">
      <c r="E11" s="329">
        <v>1803</v>
      </c>
      <c r="F11" s="330" t="s">
        <v>724</v>
      </c>
      <c r="G11" s="331" t="s">
        <v>723</v>
      </c>
    </row>
    <row r="12" spans="1:14" ht="12.75" customHeight="1" x14ac:dyDescent="0.2">
      <c r="A12" s="1461" t="s">
        <v>1001</v>
      </c>
      <c r="B12" s="1462"/>
      <c r="C12" s="1463"/>
      <c r="E12" s="329">
        <v>1804</v>
      </c>
      <c r="F12" s="330" t="s">
        <v>722</v>
      </c>
      <c r="G12" s="331" t="s">
        <v>721</v>
      </c>
    </row>
    <row r="13" spans="1:14" x14ac:dyDescent="0.2">
      <c r="A13" s="329">
        <v>301</v>
      </c>
      <c r="B13" s="330" t="s">
        <v>1000</v>
      </c>
      <c r="C13" s="331" t="s">
        <v>999</v>
      </c>
      <c r="E13" s="335">
        <v>1805</v>
      </c>
      <c r="F13" s="330" t="s">
        <v>720</v>
      </c>
      <c r="G13" s="331" t="s">
        <v>719</v>
      </c>
    </row>
    <row r="14" spans="1:14" x14ac:dyDescent="0.2">
      <c r="A14" s="329">
        <v>302</v>
      </c>
      <c r="B14" s="330" t="s">
        <v>998</v>
      </c>
      <c r="C14" s="331" t="s">
        <v>997</v>
      </c>
      <c r="E14" s="335">
        <v>1806</v>
      </c>
      <c r="F14" s="330" t="s">
        <v>718</v>
      </c>
      <c r="G14" s="331" t="s">
        <v>717</v>
      </c>
    </row>
    <row r="15" spans="1:14" ht="25.5" x14ac:dyDescent="0.2">
      <c r="A15" s="1464" t="s">
        <v>996</v>
      </c>
      <c r="B15" s="1465"/>
      <c r="C15" s="1466"/>
      <c r="E15" s="335">
        <v>1807</v>
      </c>
      <c r="F15" s="330" t="s">
        <v>716</v>
      </c>
      <c r="G15" s="331" t="s">
        <v>715</v>
      </c>
    </row>
    <row r="16" spans="1:14" x14ac:dyDescent="0.2">
      <c r="A16" s="335" t="s">
        <v>995</v>
      </c>
      <c r="B16" s="330" t="s">
        <v>994</v>
      </c>
      <c r="C16" s="331" t="s">
        <v>993</v>
      </c>
      <c r="E16" s="335">
        <v>1808</v>
      </c>
      <c r="F16" s="330" t="s">
        <v>581</v>
      </c>
      <c r="G16" s="331" t="s">
        <v>715</v>
      </c>
    </row>
    <row r="17" spans="1:7" ht="26.25" thickBot="1" x14ac:dyDescent="0.25">
      <c r="A17" s="335" t="s">
        <v>992</v>
      </c>
      <c r="B17" s="330" t="s">
        <v>991</v>
      </c>
      <c r="C17" s="331"/>
      <c r="E17" s="336">
        <v>1809</v>
      </c>
      <c r="F17" s="333" t="s">
        <v>579</v>
      </c>
      <c r="G17" s="334" t="s">
        <v>715</v>
      </c>
    </row>
    <row r="18" spans="1:7" x14ac:dyDescent="0.2">
      <c r="A18" s="335"/>
      <c r="B18" s="330" t="s">
        <v>990</v>
      </c>
      <c r="C18" s="331" t="s">
        <v>989</v>
      </c>
    </row>
    <row r="19" spans="1:7" ht="13.5" customHeight="1" thickBot="1" x14ac:dyDescent="0.25">
      <c r="A19" s="336" t="s">
        <v>988</v>
      </c>
      <c r="B19" s="333" t="s">
        <v>987</v>
      </c>
      <c r="C19" s="334" t="s">
        <v>986</v>
      </c>
      <c r="E19" s="1461" t="s">
        <v>714</v>
      </c>
      <c r="F19" s="1462"/>
      <c r="G19" s="1463"/>
    </row>
    <row r="20" spans="1:7" x14ac:dyDescent="0.2">
      <c r="E20" s="335">
        <v>1901</v>
      </c>
      <c r="F20" s="330" t="s">
        <v>713</v>
      </c>
      <c r="G20" s="331" t="s">
        <v>712</v>
      </c>
    </row>
    <row r="21" spans="1:7" ht="13.5" customHeight="1" thickBot="1" x14ac:dyDescent="0.25">
      <c r="A21" s="1461" t="s">
        <v>985</v>
      </c>
      <c r="B21" s="1462"/>
      <c r="C21" s="1463"/>
      <c r="E21" s="336">
        <v>1902</v>
      </c>
      <c r="F21" s="333" t="s">
        <v>711</v>
      </c>
      <c r="G21" s="334" t="s">
        <v>710</v>
      </c>
    </row>
    <row r="22" spans="1:7" x14ac:dyDescent="0.2">
      <c r="A22" s="329">
        <v>401</v>
      </c>
      <c r="B22" s="330" t="s">
        <v>496</v>
      </c>
      <c r="C22" s="331" t="s">
        <v>984</v>
      </c>
    </row>
    <row r="23" spans="1:7" x14ac:dyDescent="0.2">
      <c r="A23" s="329">
        <v>402</v>
      </c>
      <c r="B23" s="330" t="s">
        <v>606</v>
      </c>
      <c r="C23" s="331" t="s">
        <v>984</v>
      </c>
    </row>
    <row r="24" spans="1:7" x14ac:dyDescent="0.2">
      <c r="A24" s="329">
        <v>403</v>
      </c>
      <c r="B24" s="330" t="s">
        <v>983</v>
      </c>
      <c r="C24" s="331" t="s">
        <v>981</v>
      </c>
    </row>
    <row r="25" spans="1:7" x14ac:dyDescent="0.2">
      <c r="A25" s="329">
        <v>404</v>
      </c>
      <c r="B25" s="330" t="s">
        <v>982</v>
      </c>
      <c r="C25" s="331" t="s">
        <v>981</v>
      </c>
    </row>
    <row r="26" spans="1:7" ht="12.75" customHeight="1" x14ac:dyDescent="0.2">
      <c r="A26" s="329">
        <v>405</v>
      </c>
      <c r="B26" s="330" t="s">
        <v>980</v>
      </c>
      <c r="C26" s="331" t="s">
        <v>979</v>
      </c>
      <c r="E26" s="1461" t="s">
        <v>709</v>
      </c>
      <c r="F26" s="1462"/>
      <c r="G26" s="1463"/>
    </row>
    <row r="27" spans="1:7" x14ac:dyDescent="0.2">
      <c r="A27" s="329">
        <v>406</v>
      </c>
      <c r="B27" s="330" t="s">
        <v>500</v>
      </c>
      <c r="C27" s="331" t="s">
        <v>979</v>
      </c>
      <c r="E27" s="335">
        <v>2001</v>
      </c>
      <c r="F27" s="330" t="s">
        <v>576</v>
      </c>
      <c r="G27" s="331" t="s">
        <v>706</v>
      </c>
    </row>
    <row r="28" spans="1:7" ht="13.5" thickBot="1" x14ac:dyDescent="0.25">
      <c r="A28" s="332">
        <v>407</v>
      </c>
      <c r="B28" s="333" t="s">
        <v>499</v>
      </c>
      <c r="C28" s="334" t="s">
        <v>979</v>
      </c>
      <c r="E28" s="335">
        <v>2002</v>
      </c>
      <c r="F28" s="330" t="s">
        <v>708</v>
      </c>
      <c r="G28" s="331" t="s">
        <v>706</v>
      </c>
    </row>
    <row r="29" spans="1:7" x14ac:dyDescent="0.2">
      <c r="E29" s="335">
        <v>2003</v>
      </c>
      <c r="F29" s="330" t="s">
        <v>707</v>
      </c>
      <c r="G29" s="331" t="s">
        <v>706</v>
      </c>
    </row>
    <row r="30" spans="1:7" ht="12.75" customHeight="1" x14ac:dyDescent="0.2">
      <c r="A30" s="1461" t="s">
        <v>978</v>
      </c>
      <c r="B30" s="1462"/>
      <c r="C30" s="1463"/>
      <c r="E30" s="335">
        <v>2004</v>
      </c>
      <c r="F30" s="330" t="s">
        <v>705</v>
      </c>
      <c r="G30" s="331" t="s">
        <v>704</v>
      </c>
    </row>
    <row r="31" spans="1:7" x14ac:dyDescent="0.2">
      <c r="A31" s="335">
        <v>501</v>
      </c>
      <c r="B31" s="330" t="s">
        <v>496</v>
      </c>
      <c r="C31" s="331" t="s">
        <v>975</v>
      </c>
      <c r="E31" s="335">
        <v>2005</v>
      </c>
      <c r="F31" s="330" t="s">
        <v>703</v>
      </c>
      <c r="G31" s="331" t="s">
        <v>702</v>
      </c>
    </row>
    <row r="32" spans="1:7" ht="25.5" x14ac:dyDescent="0.2">
      <c r="A32" s="335">
        <v>502</v>
      </c>
      <c r="B32" s="330" t="s">
        <v>977</v>
      </c>
      <c r="C32" s="331" t="s">
        <v>975</v>
      </c>
      <c r="E32" s="335">
        <v>2006</v>
      </c>
      <c r="F32" s="330" t="s">
        <v>701</v>
      </c>
      <c r="G32" s="331" t="s">
        <v>700</v>
      </c>
    </row>
    <row r="33" spans="1:7" x14ac:dyDescent="0.2">
      <c r="A33" s="335">
        <v>503</v>
      </c>
      <c r="B33" s="330" t="s">
        <v>976</v>
      </c>
      <c r="C33" s="331" t="s">
        <v>975</v>
      </c>
      <c r="E33" s="335">
        <v>2007</v>
      </c>
      <c r="F33" s="330" t="s">
        <v>699</v>
      </c>
      <c r="G33" s="331" t="s">
        <v>698</v>
      </c>
    </row>
    <row r="34" spans="1:7" x14ac:dyDescent="0.2">
      <c r="A34" s="335">
        <v>504</v>
      </c>
      <c r="B34" s="330" t="s">
        <v>974</v>
      </c>
      <c r="C34" s="331" t="s">
        <v>973</v>
      </c>
      <c r="E34" s="335">
        <v>2008</v>
      </c>
      <c r="F34" s="330" t="s">
        <v>697</v>
      </c>
      <c r="G34" s="331" t="s">
        <v>696</v>
      </c>
    </row>
    <row r="35" spans="1:7" x14ac:dyDescent="0.2">
      <c r="A35" s="335">
        <v>505</v>
      </c>
      <c r="B35" s="330" t="s">
        <v>972</v>
      </c>
      <c r="C35" s="331" t="s">
        <v>970</v>
      </c>
      <c r="E35" s="335">
        <v>2009</v>
      </c>
      <c r="F35" s="330" t="s">
        <v>695</v>
      </c>
      <c r="G35" s="331" t="s">
        <v>694</v>
      </c>
    </row>
    <row r="36" spans="1:7" ht="25.5" x14ac:dyDescent="0.2">
      <c r="A36" s="335">
        <v>506</v>
      </c>
      <c r="B36" s="330" t="s">
        <v>971</v>
      </c>
      <c r="C36" s="331" t="s">
        <v>970</v>
      </c>
      <c r="E36" s="335">
        <v>2010</v>
      </c>
      <c r="F36" s="330" t="s">
        <v>693</v>
      </c>
      <c r="G36" s="331" t="s">
        <v>691</v>
      </c>
    </row>
    <row r="37" spans="1:7" x14ac:dyDescent="0.2">
      <c r="A37" s="335">
        <v>507</v>
      </c>
      <c r="B37" s="330" t="s">
        <v>969</v>
      </c>
      <c r="C37" s="331" t="s">
        <v>968</v>
      </c>
      <c r="E37" s="335">
        <v>2011</v>
      </c>
      <c r="F37" s="330" t="s">
        <v>692</v>
      </c>
      <c r="G37" s="331" t="s">
        <v>691</v>
      </c>
    </row>
    <row r="38" spans="1:7" x14ac:dyDescent="0.2">
      <c r="A38" s="335">
        <v>508</v>
      </c>
      <c r="B38" s="330" t="s">
        <v>967</v>
      </c>
      <c r="C38" s="331" t="s">
        <v>965</v>
      </c>
      <c r="E38" s="335">
        <v>2012</v>
      </c>
      <c r="F38" s="330" t="s">
        <v>690</v>
      </c>
      <c r="G38" s="331" t="s">
        <v>689</v>
      </c>
    </row>
    <row r="39" spans="1:7" ht="25.5" x14ac:dyDescent="0.2">
      <c r="A39" s="335">
        <v>509</v>
      </c>
      <c r="B39" s="330" t="s">
        <v>966</v>
      </c>
      <c r="C39" s="331" t="s">
        <v>965</v>
      </c>
      <c r="E39" s="335">
        <v>2013</v>
      </c>
      <c r="F39" s="330" t="s">
        <v>688</v>
      </c>
      <c r="G39" s="331" t="s">
        <v>686</v>
      </c>
    </row>
    <row r="40" spans="1:7" x14ac:dyDescent="0.2">
      <c r="A40" s="335">
        <v>510</v>
      </c>
      <c r="B40" s="330" t="s">
        <v>964</v>
      </c>
      <c r="C40" s="331" t="s">
        <v>963</v>
      </c>
      <c r="E40" s="335">
        <v>2014</v>
      </c>
      <c r="F40" s="330" t="s">
        <v>687</v>
      </c>
      <c r="G40" s="331" t="s">
        <v>686</v>
      </c>
    </row>
    <row r="41" spans="1:7" ht="13.5" thickBot="1" x14ac:dyDescent="0.25">
      <c r="A41" s="336">
        <v>511</v>
      </c>
      <c r="B41" s="333" t="s">
        <v>962</v>
      </c>
      <c r="C41" s="334" t="s">
        <v>961</v>
      </c>
      <c r="E41" s="335">
        <v>2015</v>
      </c>
      <c r="F41" s="330" t="s">
        <v>685</v>
      </c>
      <c r="G41" s="331" t="s">
        <v>684</v>
      </c>
    </row>
    <row r="42" spans="1:7" x14ac:dyDescent="0.2">
      <c r="E42" s="335">
        <v>2016</v>
      </c>
      <c r="F42" s="330" t="s">
        <v>683</v>
      </c>
      <c r="G42" s="331" t="s">
        <v>682</v>
      </c>
    </row>
    <row r="43" spans="1:7" ht="12.75" customHeight="1" x14ac:dyDescent="0.2">
      <c r="A43" s="1461" t="s">
        <v>960</v>
      </c>
      <c r="B43" s="1462"/>
      <c r="C43" s="1463"/>
      <c r="E43" s="335">
        <v>2017</v>
      </c>
      <c r="F43" s="330" t="s">
        <v>582</v>
      </c>
      <c r="G43" s="331" t="s">
        <v>682</v>
      </c>
    </row>
    <row r="44" spans="1:7" x14ac:dyDescent="0.2">
      <c r="A44" s="335">
        <v>601</v>
      </c>
      <c r="B44" s="330" t="s">
        <v>496</v>
      </c>
      <c r="C44" s="331" t="s">
        <v>956</v>
      </c>
      <c r="E44" s="335">
        <v>2018</v>
      </c>
      <c r="F44" s="330" t="s">
        <v>581</v>
      </c>
      <c r="G44" s="331" t="s">
        <v>681</v>
      </c>
    </row>
    <row r="45" spans="1:7" ht="13.5" thickBot="1" x14ac:dyDescent="0.25">
      <c r="A45" s="335">
        <v>602</v>
      </c>
      <c r="B45" s="330" t="s">
        <v>959</v>
      </c>
      <c r="C45" s="331" t="s">
        <v>956</v>
      </c>
      <c r="E45" s="336">
        <v>2019</v>
      </c>
      <c r="F45" s="333" t="s">
        <v>579</v>
      </c>
      <c r="G45" s="334" t="s">
        <v>680</v>
      </c>
    </row>
    <row r="46" spans="1:7" x14ac:dyDescent="0.2">
      <c r="A46" s="335">
        <v>603</v>
      </c>
      <c r="B46" s="330" t="s">
        <v>958</v>
      </c>
      <c r="C46" s="331" t="s">
        <v>956</v>
      </c>
    </row>
    <row r="47" spans="1:7" ht="12.75" customHeight="1" x14ac:dyDescent="0.2">
      <c r="A47" s="335">
        <v>604</v>
      </c>
      <c r="B47" s="330" t="s">
        <v>957</v>
      </c>
      <c r="C47" s="331" t="s">
        <v>956</v>
      </c>
      <c r="E47" s="1461" t="s">
        <v>679</v>
      </c>
      <c r="F47" s="1462"/>
      <c r="G47" s="1463"/>
    </row>
    <row r="48" spans="1:7" x14ac:dyDescent="0.2">
      <c r="A48" s="335">
        <v>605</v>
      </c>
      <c r="B48" s="330" t="s">
        <v>955</v>
      </c>
      <c r="C48" s="331" t="s">
        <v>952</v>
      </c>
      <c r="E48" s="335">
        <v>2101</v>
      </c>
      <c r="F48" s="330" t="s">
        <v>576</v>
      </c>
      <c r="G48" s="331" t="s">
        <v>678</v>
      </c>
    </row>
    <row r="49" spans="1:7" x14ac:dyDescent="0.2">
      <c r="A49" s="335">
        <v>606</v>
      </c>
      <c r="B49" s="330" t="s">
        <v>954</v>
      </c>
      <c r="C49" s="331" t="s">
        <v>952</v>
      </c>
      <c r="E49" s="335">
        <v>2102</v>
      </c>
      <c r="F49" s="330" t="s">
        <v>575</v>
      </c>
      <c r="G49" s="331" t="s">
        <v>678</v>
      </c>
    </row>
    <row r="50" spans="1:7" x14ac:dyDescent="0.2">
      <c r="A50" s="335">
        <v>607</v>
      </c>
      <c r="B50" s="330" t="s">
        <v>953</v>
      </c>
      <c r="C50" s="331" t="s">
        <v>952</v>
      </c>
      <c r="E50" s="335">
        <v>2103</v>
      </c>
      <c r="F50" s="330" t="s">
        <v>592</v>
      </c>
      <c r="G50" s="331" t="s">
        <v>678</v>
      </c>
    </row>
    <row r="51" spans="1:7" ht="25.5" x14ac:dyDescent="0.2">
      <c r="A51" s="335">
        <v>608</v>
      </c>
      <c r="B51" s="330" t="s">
        <v>951</v>
      </c>
      <c r="C51" s="331" t="s">
        <v>950</v>
      </c>
      <c r="E51" s="335">
        <v>2104</v>
      </c>
      <c r="F51" s="330" t="s">
        <v>677</v>
      </c>
      <c r="G51" s="331" t="s">
        <v>675</v>
      </c>
    </row>
    <row r="52" spans="1:7" x14ac:dyDescent="0.2">
      <c r="A52" s="335">
        <v>609</v>
      </c>
      <c r="B52" s="330" t="s">
        <v>949</v>
      </c>
      <c r="C52" s="331" t="s">
        <v>947</v>
      </c>
      <c r="E52" s="335">
        <v>2105</v>
      </c>
      <c r="F52" s="330" t="s">
        <v>676</v>
      </c>
      <c r="G52" s="331" t="s">
        <v>675</v>
      </c>
    </row>
    <row r="53" spans="1:7" ht="25.5" x14ac:dyDescent="0.2">
      <c r="A53" s="335">
        <v>610</v>
      </c>
      <c r="B53" s="330" t="s">
        <v>948</v>
      </c>
      <c r="C53" s="331" t="s">
        <v>947</v>
      </c>
      <c r="E53" s="335">
        <v>2106</v>
      </c>
      <c r="F53" s="330" t="s">
        <v>674</v>
      </c>
      <c r="G53" s="331" t="s">
        <v>672</v>
      </c>
    </row>
    <row r="54" spans="1:7" x14ac:dyDescent="0.2">
      <c r="A54" s="335">
        <v>611</v>
      </c>
      <c r="B54" s="330" t="s">
        <v>946</v>
      </c>
      <c r="C54" s="331" t="s">
        <v>944</v>
      </c>
      <c r="E54" s="335">
        <v>2107</v>
      </c>
      <c r="F54" s="330" t="s">
        <v>673</v>
      </c>
      <c r="G54" s="331" t="s">
        <v>672</v>
      </c>
    </row>
    <row r="55" spans="1:7" x14ac:dyDescent="0.2">
      <c r="A55" s="335">
        <v>612</v>
      </c>
      <c r="B55" s="330" t="s">
        <v>945</v>
      </c>
      <c r="C55" s="331" t="s">
        <v>944</v>
      </c>
      <c r="E55" s="335">
        <v>2108</v>
      </c>
      <c r="F55" s="330" t="s">
        <v>671</v>
      </c>
      <c r="G55" s="331" t="s">
        <v>670</v>
      </c>
    </row>
    <row r="56" spans="1:7" x14ac:dyDescent="0.2">
      <c r="A56" s="335">
        <v>613</v>
      </c>
      <c r="B56" s="330" t="s">
        <v>943</v>
      </c>
      <c r="C56" s="331" t="s">
        <v>942</v>
      </c>
      <c r="E56" s="335">
        <v>2109</v>
      </c>
      <c r="F56" s="330" t="s">
        <v>669</v>
      </c>
      <c r="G56" s="331" t="s">
        <v>668</v>
      </c>
    </row>
    <row r="57" spans="1:7" x14ac:dyDescent="0.2">
      <c r="A57" s="335">
        <v>614</v>
      </c>
      <c r="B57" s="330" t="s">
        <v>941</v>
      </c>
      <c r="C57" s="331" t="s">
        <v>939</v>
      </c>
      <c r="E57" s="335">
        <v>2110</v>
      </c>
      <c r="F57" s="330" t="s">
        <v>667</v>
      </c>
      <c r="G57" s="331" t="s">
        <v>666</v>
      </c>
    </row>
    <row r="58" spans="1:7" x14ac:dyDescent="0.2">
      <c r="A58" s="335">
        <v>615</v>
      </c>
      <c r="B58" s="330" t="s">
        <v>940</v>
      </c>
      <c r="C58" s="331" t="s">
        <v>939</v>
      </c>
      <c r="E58" s="335">
        <v>2111</v>
      </c>
      <c r="F58" s="330" t="s">
        <v>665</v>
      </c>
      <c r="G58" s="331" t="s">
        <v>664</v>
      </c>
    </row>
    <row r="59" spans="1:7" ht="25.5" x14ac:dyDescent="0.2">
      <c r="A59" s="335">
        <v>616</v>
      </c>
      <c r="B59" s="330" t="s">
        <v>938</v>
      </c>
      <c r="C59" s="331" t="s">
        <v>936</v>
      </c>
      <c r="E59" s="335">
        <v>2112</v>
      </c>
      <c r="F59" s="330" t="s">
        <v>663</v>
      </c>
      <c r="G59" s="331" t="s">
        <v>660</v>
      </c>
    </row>
    <row r="60" spans="1:7" x14ac:dyDescent="0.2">
      <c r="A60" s="335">
        <v>617</v>
      </c>
      <c r="B60" s="330" t="s">
        <v>937</v>
      </c>
      <c r="C60" s="331" t="s">
        <v>936</v>
      </c>
      <c r="E60" s="335">
        <v>2113</v>
      </c>
      <c r="F60" s="330" t="s">
        <v>662</v>
      </c>
      <c r="G60" s="331" t="s">
        <v>660</v>
      </c>
    </row>
    <row r="61" spans="1:7" ht="25.5" x14ac:dyDescent="0.2">
      <c r="A61" s="335">
        <v>618</v>
      </c>
      <c r="B61" s="330" t="s">
        <v>935</v>
      </c>
      <c r="C61" s="331" t="s">
        <v>934</v>
      </c>
      <c r="E61" s="335">
        <v>2114</v>
      </c>
      <c r="F61" s="330" t="s">
        <v>661</v>
      </c>
      <c r="G61" s="331" t="s">
        <v>660</v>
      </c>
    </row>
    <row r="62" spans="1:7" x14ac:dyDescent="0.2">
      <c r="A62" s="335">
        <v>619</v>
      </c>
      <c r="B62" s="330" t="s">
        <v>933</v>
      </c>
      <c r="C62" s="331" t="s">
        <v>932</v>
      </c>
      <c r="E62" s="335">
        <v>2115</v>
      </c>
      <c r="F62" s="330" t="s">
        <v>659</v>
      </c>
      <c r="G62" s="331" t="s">
        <v>657</v>
      </c>
    </row>
    <row r="63" spans="1:7" x14ac:dyDescent="0.2">
      <c r="A63" s="335">
        <v>620</v>
      </c>
      <c r="B63" s="330" t="s">
        <v>931</v>
      </c>
      <c r="C63" s="331" t="s">
        <v>930</v>
      </c>
      <c r="E63" s="335">
        <v>2116</v>
      </c>
      <c r="F63" s="330" t="s">
        <v>658</v>
      </c>
      <c r="G63" s="331" t="s">
        <v>657</v>
      </c>
    </row>
    <row r="64" spans="1:7" x14ac:dyDescent="0.2">
      <c r="A64" s="335">
        <v>621</v>
      </c>
      <c r="B64" s="330" t="s">
        <v>929</v>
      </c>
      <c r="C64" s="331" t="s">
        <v>924</v>
      </c>
      <c r="E64" s="335">
        <v>2117</v>
      </c>
      <c r="F64" s="330" t="s">
        <v>581</v>
      </c>
      <c r="G64" s="331" t="s">
        <v>657</v>
      </c>
    </row>
    <row r="65" spans="1:7" ht="13.5" thickBot="1" x14ac:dyDescent="0.25">
      <c r="A65" s="335">
        <v>622</v>
      </c>
      <c r="B65" s="330" t="s">
        <v>928</v>
      </c>
      <c r="C65" s="331" t="s">
        <v>924</v>
      </c>
      <c r="E65" s="336">
        <v>2118</v>
      </c>
      <c r="F65" s="333" t="s">
        <v>579</v>
      </c>
      <c r="G65" s="334" t="s">
        <v>656</v>
      </c>
    </row>
    <row r="66" spans="1:7" x14ac:dyDescent="0.2">
      <c r="A66" s="335">
        <v>623</v>
      </c>
      <c r="B66" s="330" t="s">
        <v>927</v>
      </c>
      <c r="C66" s="331" t="s">
        <v>924</v>
      </c>
    </row>
    <row r="67" spans="1:7" ht="12.75" customHeight="1" x14ac:dyDescent="0.2">
      <c r="A67" s="335">
        <v>624</v>
      </c>
      <c r="B67" s="330" t="s">
        <v>926</v>
      </c>
      <c r="C67" s="331" t="s">
        <v>924</v>
      </c>
      <c r="E67" s="1461" t="s">
        <v>655</v>
      </c>
      <c r="F67" s="1462"/>
      <c r="G67" s="1463"/>
    </row>
    <row r="68" spans="1:7" x14ac:dyDescent="0.2">
      <c r="A68" s="335">
        <v>625</v>
      </c>
      <c r="B68" s="330" t="s">
        <v>925</v>
      </c>
      <c r="C68" s="331" t="s">
        <v>924</v>
      </c>
      <c r="E68" s="335">
        <v>2201</v>
      </c>
      <c r="F68" s="330" t="s">
        <v>575</v>
      </c>
      <c r="G68" s="331" t="s">
        <v>654</v>
      </c>
    </row>
    <row r="69" spans="1:7" x14ac:dyDescent="0.2">
      <c r="A69" s="335">
        <v>626</v>
      </c>
      <c r="B69" s="330" t="s">
        <v>923</v>
      </c>
      <c r="C69" s="331" t="s">
        <v>921</v>
      </c>
      <c r="E69" s="335">
        <v>2202</v>
      </c>
      <c r="F69" s="330" t="s">
        <v>592</v>
      </c>
      <c r="G69" s="331" t="s">
        <v>654</v>
      </c>
    </row>
    <row r="70" spans="1:7" x14ac:dyDescent="0.2">
      <c r="A70" s="335">
        <v>627</v>
      </c>
      <c r="B70" s="330" t="s">
        <v>922</v>
      </c>
      <c r="C70" s="331" t="s">
        <v>921</v>
      </c>
      <c r="E70" s="335">
        <v>2203</v>
      </c>
      <c r="F70" s="330" t="s">
        <v>653</v>
      </c>
      <c r="G70" s="331" t="s">
        <v>652</v>
      </c>
    </row>
    <row r="71" spans="1:7" x14ac:dyDescent="0.2">
      <c r="A71" s="335">
        <v>628</v>
      </c>
      <c r="B71" s="330" t="s">
        <v>630</v>
      </c>
      <c r="C71" s="331" t="s">
        <v>921</v>
      </c>
      <c r="E71" s="335">
        <v>2204</v>
      </c>
      <c r="F71" s="330" t="s">
        <v>651</v>
      </c>
      <c r="G71" s="331" t="s">
        <v>650</v>
      </c>
    </row>
    <row r="72" spans="1:7" x14ac:dyDescent="0.2">
      <c r="A72" s="335">
        <v>629</v>
      </c>
      <c r="B72" s="330" t="s">
        <v>920</v>
      </c>
      <c r="C72" s="331" t="s">
        <v>914</v>
      </c>
      <c r="E72" s="335">
        <v>2205</v>
      </c>
      <c r="F72" s="330" t="s">
        <v>649</v>
      </c>
      <c r="G72" s="331" t="s">
        <v>648</v>
      </c>
    </row>
    <row r="73" spans="1:7" x14ac:dyDescent="0.2">
      <c r="A73" s="335">
        <v>630</v>
      </c>
      <c r="B73" s="330" t="s">
        <v>919</v>
      </c>
      <c r="C73" s="331" t="s">
        <v>914</v>
      </c>
      <c r="E73" s="335">
        <v>2206</v>
      </c>
      <c r="F73" s="330" t="s">
        <v>582</v>
      </c>
      <c r="G73" s="331" t="s">
        <v>647</v>
      </c>
    </row>
    <row r="74" spans="1:7" x14ac:dyDescent="0.2">
      <c r="A74" s="335">
        <v>631</v>
      </c>
      <c r="B74" s="330" t="s">
        <v>918</v>
      </c>
      <c r="C74" s="331" t="s">
        <v>914</v>
      </c>
      <c r="E74" s="335">
        <v>2207</v>
      </c>
      <c r="F74" s="330" t="s">
        <v>581</v>
      </c>
      <c r="G74" s="331" t="s">
        <v>647</v>
      </c>
    </row>
    <row r="75" spans="1:7" ht="13.5" thickBot="1" x14ac:dyDescent="0.25">
      <c r="A75" s="335">
        <v>632</v>
      </c>
      <c r="B75" s="330" t="s">
        <v>917</v>
      </c>
      <c r="C75" s="331" t="s">
        <v>914</v>
      </c>
      <c r="E75" s="336">
        <v>2208</v>
      </c>
      <c r="F75" s="333" t="s">
        <v>579</v>
      </c>
      <c r="G75" s="334" t="s">
        <v>646</v>
      </c>
    </row>
    <row r="76" spans="1:7" x14ac:dyDescent="0.2">
      <c r="A76" s="335">
        <v>633</v>
      </c>
      <c r="B76" s="330" t="s">
        <v>916</v>
      </c>
      <c r="C76" s="331" t="s">
        <v>914</v>
      </c>
    </row>
    <row r="77" spans="1:7" ht="12.75" customHeight="1" x14ac:dyDescent="0.2">
      <c r="A77" s="335">
        <v>634</v>
      </c>
      <c r="B77" s="330" t="s">
        <v>915</v>
      </c>
      <c r="C77" s="331" t="s">
        <v>914</v>
      </c>
      <c r="E77" s="1461" t="s">
        <v>645</v>
      </c>
      <c r="F77" s="1462"/>
      <c r="G77" s="1463"/>
    </row>
    <row r="78" spans="1:7" ht="13.5" thickBot="1" x14ac:dyDescent="0.25">
      <c r="A78" s="336">
        <v>635</v>
      </c>
      <c r="B78" s="333" t="s">
        <v>852</v>
      </c>
      <c r="C78" s="334" t="s">
        <v>914</v>
      </c>
      <c r="E78" s="335">
        <v>2301</v>
      </c>
      <c r="F78" s="330" t="s">
        <v>496</v>
      </c>
      <c r="G78" s="331" t="s">
        <v>644</v>
      </c>
    </row>
    <row r="79" spans="1:7" x14ac:dyDescent="0.2">
      <c r="E79" s="335">
        <v>2302</v>
      </c>
      <c r="F79" s="330" t="s">
        <v>606</v>
      </c>
      <c r="G79" s="331" t="s">
        <v>644</v>
      </c>
    </row>
    <row r="80" spans="1:7" ht="12.75" customHeight="1" x14ac:dyDescent="0.2">
      <c r="A80" s="1461" t="s">
        <v>913</v>
      </c>
      <c r="B80" s="1462"/>
      <c r="C80" s="1463"/>
      <c r="E80" s="335">
        <v>2303</v>
      </c>
      <c r="F80" s="330" t="s">
        <v>643</v>
      </c>
      <c r="G80" s="331" t="s">
        <v>641</v>
      </c>
    </row>
    <row r="81" spans="1:7" x14ac:dyDescent="0.2">
      <c r="A81" s="1461"/>
      <c r="B81" s="1462"/>
      <c r="C81" s="1463"/>
      <c r="E81" s="335">
        <v>2304</v>
      </c>
      <c r="F81" s="330" t="s">
        <v>642</v>
      </c>
      <c r="G81" s="331" t="s">
        <v>641</v>
      </c>
    </row>
    <row r="82" spans="1:7" x14ac:dyDescent="0.2">
      <c r="A82" s="335">
        <v>701</v>
      </c>
      <c r="B82" s="330" t="s">
        <v>912</v>
      </c>
      <c r="C82" s="331" t="s">
        <v>911</v>
      </c>
      <c r="E82" s="335">
        <v>2305</v>
      </c>
      <c r="F82" s="330" t="s">
        <v>500</v>
      </c>
      <c r="G82" s="331" t="s">
        <v>640</v>
      </c>
    </row>
    <row r="83" spans="1:7" ht="13.5" thickBot="1" x14ac:dyDescent="0.25">
      <c r="A83" s="335">
        <v>702</v>
      </c>
      <c r="B83" s="330" t="s">
        <v>910</v>
      </c>
      <c r="C83" s="331" t="s">
        <v>909</v>
      </c>
      <c r="E83" s="336">
        <v>2306</v>
      </c>
      <c r="F83" s="333" t="s">
        <v>499</v>
      </c>
      <c r="G83" s="334" t="s">
        <v>640</v>
      </c>
    </row>
    <row r="84" spans="1:7" ht="13.5" thickBot="1" x14ac:dyDescent="0.25">
      <c r="A84" s="336">
        <v>703</v>
      </c>
      <c r="B84" s="333" t="s">
        <v>908</v>
      </c>
      <c r="C84" s="334" t="s">
        <v>907</v>
      </c>
    </row>
    <row r="85" spans="1:7" ht="12.75" customHeight="1" x14ac:dyDescent="0.2">
      <c r="E85" s="1461" t="s">
        <v>639</v>
      </c>
      <c r="F85" s="1462"/>
      <c r="G85" s="1463"/>
    </row>
    <row r="86" spans="1:7" ht="12.75" customHeight="1" x14ac:dyDescent="0.2">
      <c r="A86" s="1461" t="s">
        <v>906</v>
      </c>
      <c r="B86" s="1462"/>
      <c r="C86" s="1463"/>
      <c r="E86" s="329">
        <v>2401</v>
      </c>
      <c r="F86" s="330" t="s">
        <v>638</v>
      </c>
      <c r="G86" s="331" t="s">
        <v>637</v>
      </c>
    </row>
    <row r="87" spans="1:7" ht="25.5" x14ac:dyDescent="0.2">
      <c r="A87" s="329">
        <v>801</v>
      </c>
      <c r="B87" s="330" t="s">
        <v>725</v>
      </c>
      <c r="C87" s="331" t="s">
        <v>905</v>
      </c>
      <c r="E87" s="329">
        <v>2402</v>
      </c>
      <c r="F87" s="330" t="s">
        <v>636</v>
      </c>
      <c r="G87" s="331" t="s">
        <v>635</v>
      </c>
    </row>
    <row r="88" spans="1:7" ht="25.5" x14ac:dyDescent="0.2">
      <c r="A88" s="329">
        <v>802</v>
      </c>
      <c r="B88" s="330" t="s">
        <v>870</v>
      </c>
      <c r="C88" s="331" t="s">
        <v>905</v>
      </c>
      <c r="E88" s="329">
        <v>2403</v>
      </c>
      <c r="F88" s="330" t="s">
        <v>634</v>
      </c>
      <c r="G88" s="331" t="s">
        <v>633</v>
      </c>
    </row>
    <row r="89" spans="1:7" ht="25.5" x14ac:dyDescent="0.2">
      <c r="A89" s="329">
        <v>803</v>
      </c>
      <c r="B89" s="330" t="s">
        <v>904</v>
      </c>
      <c r="C89" s="331" t="s">
        <v>903</v>
      </c>
      <c r="E89" s="329">
        <v>2404</v>
      </c>
      <c r="F89" s="330" t="s">
        <v>632</v>
      </c>
      <c r="G89" s="331" t="s">
        <v>631</v>
      </c>
    </row>
    <row r="90" spans="1:7" x14ac:dyDescent="0.2">
      <c r="A90" s="329">
        <v>804</v>
      </c>
      <c r="B90" s="330" t="s">
        <v>902</v>
      </c>
      <c r="C90" s="331" t="s">
        <v>899</v>
      </c>
      <c r="E90" s="329">
        <v>2405</v>
      </c>
      <c r="F90" s="330" t="s">
        <v>630</v>
      </c>
      <c r="G90" s="331" t="s">
        <v>629</v>
      </c>
    </row>
    <row r="91" spans="1:7" x14ac:dyDescent="0.2">
      <c r="A91" s="329">
        <v>805</v>
      </c>
      <c r="B91" s="330" t="s">
        <v>901</v>
      </c>
      <c r="C91" s="331" t="s">
        <v>899</v>
      </c>
      <c r="E91" s="329">
        <v>2406</v>
      </c>
      <c r="F91" s="330" t="s">
        <v>628</v>
      </c>
      <c r="G91" s="331" t="s">
        <v>627</v>
      </c>
    </row>
    <row r="92" spans="1:7" ht="25.5" x14ac:dyDescent="0.2">
      <c r="A92" s="329">
        <v>806</v>
      </c>
      <c r="B92" s="330" t="s">
        <v>900</v>
      </c>
      <c r="C92" s="331" t="s">
        <v>899</v>
      </c>
      <c r="E92" s="329">
        <v>2407</v>
      </c>
      <c r="F92" s="330" t="s">
        <v>626</v>
      </c>
      <c r="G92" s="331" t="s">
        <v>625</v>
      </c>
    </row>
    <row r="93" spans="1:7" x14ac:dyDescent="0.2">
      <c r="A93" s="329">
        <v>807</v>
      </c>
      <c r="B93" s="330" t="s">
        <v>898</v>
      </c>
      <c r="C93" s="331" t="s">
        <v>897</v>
      </c>
      <c r="E93" s="329">
        <v>2408</v>
      </c>
      <c r="F93" s="330" t="s">
        <v>624</v>
      </c>
      <c r="G93" s="331" t="s">
        <v>623</v>
      </c>
    </row>
    <row r="94" spans="1:7" ht="13.5" thickBot="1" x14ac:dyDescent="0.25">
      <c r="A94" s="332">
        <v>808</v>
      </c>
      <c r="B94" s="333" t="s">
        <v>852</v>
      </c>
      <c r="C94" s="334" t="s">
        <v>897</v>
      </c>
      <c r="E94" s="329">
        <v>2409</v>
      </c>
      <c r="F94" s="330" t="s">
        <v>622</v>
      </c>
      <c r="G94" s="331" t="s">
        <v>621</v>
      </c>
    </row>
    <row r="95" spans="1:7" x14ac:dyDescent="0.2">
      <c r="A95" s="337"/>
      <c r="E95" s="329">
        <v>2410</v>
      </c>
      <c r="F95" s="330" t="s">
        <v>620</v>
      </c>
      <c r="G95" s="331" t="s">
        <v>619</v>
      </c>
    </row>
    <row r="96" spans="1:7" ht="38.25" customHeight="1" x14ac:dyDescent="0.2">
      <c r="A96" s="1461" t="s">
        <v>896</v>
      </c>
      <c r="B96" s="1462"/>
      <c r="C96" s="1463"/>
      <c r="E96" s="329">
        <v>2411</v>
      </c>
      <c r="F96" s="330" t="s">
        <v>618</v>
      </c>
      <c r="G96" s="331" t="s">
        <v>617</v>
      </c>
    </row>
    <row r="97" spans="1:7" x14ac:dyDescent="0.2">
      <c r="A97" s="329">
        <v>901</v>
      </c>
      <c r="B97" s="330" t="s">
        <v>496</v>
      </c>
      <c r="C97" s="331" t="s">
        <v>894</v>
      </c>
      <c r="E97" s="329">
        <v>2412</v>
      </c>
      <c r="F97" s="330" t="s">
        <v>616</v>
      </c>
      <c r="G97" s="331" t="s">
        <v>615</v>
      </c>
    </row>
    <row r="98" spans="1:7" ht="25.5" x14ac:dyDescent="0.2">
      <c r="A98" s="329">
        <v>902</v>
      </c>
      <c r="B98" s="330" t="s">
        <v>895</v>
      </c>
      <c r="C98" s="331" t="s">
        <v>894</v>
      </c>
      <c r="E98" s="329">
        <v>2413</v>
      </c>
      <c r="F98" s="330" t="s">
        <v>614</v>
      </c>
      <c r="G98" s="331" t="s">
        <v>613</v>
      </c>
    </row>
    <row r="99" spans="1:7" x14ac:dyDescent="0.2">
      <c r="A99" s="329">
        <v>903</v>
      </c>
      <c r="B99" s="330" t="s">
        <v>893</v>
      </c>
      <c r="C99" s="331" t="s">
        <v>892</v>
      </c>
      <c r="E99" s="329">
        <v>2414</v>
      </c>
      <c r="F99" s="330" t="s">
        <v>612</v>
      </c>
      <c r="G99" s="331" t="s">
        <v>611</v>
      </c>
    </row>
    <row r="100" spans="1:7" x14ac:dyDescent="0.2">
      <c r="A100" s="329">
        <v>904</v>
      </c>
      <c r="B100" s="330" t="s">
        <v>891</v>
      </c>
      <c r="C100" s="331" t="s">
        <v>890</v>
      </c>
      <c r="E100" s="329">
        <v>2415</v>
      </c>
      <c r="F100" s="330" t="s">
        <v>610</v>
      </c>
      <c r="G100" s="331" t="s">
        <v>608</v>
      </c>
    </row>
    <row r="101" spans="1:7" ht="26.25" thickBot="1" x14ac:dyDescent="0.25">
      <c r="A101" s="329">
        <v>905</v>
      </c>
      <c r="B101" s="330" t="s">
        <v>761</v>
      </c>
      <c r="C101" s="331" t="s">
        <v>888</v>
      </c>
      <c r="E101" s="332">
        <v>2416</v>
      </c>
      <c r="F101" s="333" t="s">
        <v>609</v>
      </c>
      <c r="G101" s="334" t="s">
        <v>608</v>
      </c>
    </row>
    <row r="102" spans="1:7" ht="25.5" x14ac:dyDescent="0.2">
      <c r="A102" s="329">
        <v>906</v>
      </c>
      <c r="B102" s="330" t="s">
        <v>889</v>
      </c>
      <c r="C102" s="331" t="s">
        <v>888</v>
      </c>
    </row>
    <row r="103" spans="1:7" ht="12.75" customHeight="1" x14ac:dyDescent="0.2">
      <c r="A103" s="329">
        <v>907</v>
      </c>
      <c r="B103" s="330" t="s">
        <v>887</v>
      </c>
      <c r="C103" s="331" t="s">
        <v>886</v>
      </c>
      <c r="E103" s="1461" t="s">
        <v>607</v>
      </c>
      <c r="F103" s="1462"/>
      <c r="G103" s="1463"/>
    </row>
    <row r="104" spans="1:7" ht="38.25" x14ac:dyDescent="0.2">
      <c r="A104" s="329">
        <v>908</v>
      </c>
      <c r="B104" s="330" t="s">
        <v>885</v>
      </c>
      <c r="C104" s="331" t="s">
        <v>710</v>
      </c>
      <c r="E104" s="329">
        <v>2501</v>
      </c>
      <c r="F104" s="330" t="s">
        <v>496</v>
      </c>
      <c r="G104" s="331" t="s">
        <v>605</v>
      </c>
    </row>
    <row r="105" spans="1:7" ht="25.5" x14ac:dyDescent="0.2">
      <c r="A105" s="329">
        <v>909</v>
      </c>
      <c r="B105" s="330" t="s">
        <v>884</v>
      </c>
      <c r="C105" s="331" t="s">
        <v>883</v>
      </c>
      <c r="E105" s="329">
        <v>2502</v>
      </c>
      <c r="F105" s="330" t="s">
        <v>606</v>
      </c>
      <c r="G105" s="331" t="s">
        <v>605</v>
      </c>
    </row>
    <row r="106" spans="1:7" ht="25.5" x14ac:dyDescent="0.2">
      <c r="A106" s="329">
        <v>910</v>
      </c>
      <c r="B106" s="330" t="s">
        <v>882</v>
      </c>
      <c r="C106" s="331" t="s">
        <v>880</v>
      </c>
      <c r="E106" s="329">
        <v>2503</v>
      </c>
      <c r="F106" s="330" t="s">
        <v>604</v>
      </c>
      <c r="G106" s="331" t="s">
        <v>600</v>
      </c>
    </row>
    <row r="107" spans="1:7" x14ac:dyDescent="0.2">
      <c r="A107" s="329">
        <v>911</v>
      </c>
      <c r="B107" s="330" t="s">
        <v>881</v>
      </c>
      <c r="C107" s="331" t="s">
        <v>880</v>
      </c>
      <c r="E107" s="329">
        <v>2504</v>
      </c>
      <c r="F107" s="330" t="s">
        <v>603</v>
      </c>
      <c r="G107" s="331" t="s">
        <v>600</v>
      </c>
    </row>
    <row r="108" spans="1:7" x14ac:dyDescent="0.2">
      <c r="A108" s="329">
        <v>912</v>
      </c>
      <c r="B108" s="330" t="s">
        <v>879</v>
      </c>
      <c r="C108" s="331" t="s">
        <v>878</v>
      </c>
      <c r="E108" s="329">
        <v>2505</v>
      </c>
      <c r="F108" s="330" t="s">
        <v>602</v>
      </c>
      <c r="G108" s="331" t="s">
        <v>600</v>
      </c>
    </row>
    <row r="109" spans="1:7" x14ac:dyDescent="0.2">
      <c r="A109" s="329">
        <v>913</v>
      </c>
      <c r="B109" s="330" t="s">
        <v>877</v>
      </c>
      <c r="C109" s="331" t="s">
        <v>873</v>
      </c>
      <c r="E109" s="329">
        <v>2506</v>
      </c>
      <c r="F109" s="330" t="s">
        <v>601</v>
      </c>
      <c r="G109" s="331" t="s">
        <v>600</v>
      </c>
    </row>
    <row r="110" spans="1:7" x14ac:dyDescent="0.2">
      <c r="A110" s="329">
        <v>914</v>
      </c>
      <c r="B110" s="330" t="s">
        <v>876</v>
      </c>
      <c r="C110" s="331" t="s">
        <v>873</v>
      </c>
      <c r="E110" s="329">
        <v>2507</v>
      </c>
      <c r="F110" s="330" t="s">
        <v>599</v>
      </c>
      <c r="G110" s="331" t="s">
        <v>595</v>
      </c>
    </row>
    <row r="111" spans="1:7" x14ac:dyDescent="0.2">
      <c r="A111" s="329">
        <v>915</v>
      </c>
      <c r="B111" s="330" t="s">
        <v>875</v>
      </c>
      <c r="C111" s="331" t="s">
        <v>873</v>
      </c>
      <c r="E111" s="329">
        <v>2508</v>
      </c>
      <c r="F111" s="330" t="s">
        <v>598</v>
      </c>
      <c r="G111" s="331" t="s">
        <v>595</v>
      </c>
    </row>
    <row r="112" spans="1:7" x14ac:dyDescent="0.2">
      <c r="A112" s="329">
        <v>916</v>
      </c>
      <c r="B112" s="330" t="s">
        <v>874</v>
      </c>
      <c r="C112" s="331" t="s">
        <v>873</v>
      </c>
      <c r="E112" s="329">
        <v>2509</v>
      </c>
      <c r="F112" s="330" t="s">
        <v>597</v>
      </c>
      <c r="G112" s="331" t="s">
        <v>595</v>
      </c>
    </row>
    <row r="113" spans="1:7" x14ac:dyDescent="0.2">
      <c r="A113" s="329">
        <v>917</v>
      </c>
      <c r="B113" s="330" t="s">
        <v>500</v>
      </c>
      <c r="C113" s="331" t="s">
        <v>873</v>
      </c>
      <c r="E113" s="329">
        <v>2510</v>
      </c>
      <c r="F113" s="330" t="s">
        <v>596</v>
      </c>
      <c r="G113" s="331" t="s">
        <v>595</v>
      </c>
    </row>
    <row r="114" spans="1:7" ht="13.5" thickBot="1" x14ac:dyDescent="0.25">
      <c r="A114" s="332">
        <v>918</v>
      </c>
      <c r="B114" s="333" t="s">
        <v>499</v>
      </c>
      <c r="C114" s="334" t="s">
        <v>872</v>
      </c>
      <c r="E114" s="329">
        <v>2511</v>
      </c>
      <c r="F114" s="330" t="s">
        <v>582</v>
      </c>
      <c r="G114" s="331" t="s">
        <v>594</v>
      </c>
    </row>
    <row r="115" spans="1:7" ht="13.5" thickBot="1" x14ac:dyDescent="0.25">
      <c r="A115" s="338"/>
      <c r="B115" s="339"/>
      <c r="C115" s="339"/>
      <c r="E115" s="332">
        <v>2512</v>
      </c>
      <c r="F115" s="333" t="s">
        <v>581</v>
      </c>
      <c r="G115" s="334" t="s">
        <v>594</v>
      </c>
    </row>
    <row r="116" spans="1:7" ht="13.5" customHeight="1" x14ac:dyDescent="0.2">
      <c r="A116" s="1461" t="s">
        <v>871</v>
      </c>
      <c r="B116" s="1462"/>
      <c r="C116" s="1463"/>
    </row>
    <row r="117" spans="1:7" ht="12.75" customHeight="1" x14ac:dyDescent="0.2">
      <c r="A117" s="335">
        <v>1001</v>
      </c>
      <c r="B117" s="330" t="s">
        <v>496</v>
      </c>
      <c r="C117" s="331" t="s">
        <v>868</v>
      </c>
      <c r="E117" s="1461" t="s">
        <v>593</v>
      </c>
      <c r="F117" s="1462"/>
      <c r="G117" s="1463"/>
    </row>
    <row r="118" spans="1:7" x14ac:dyDescent="0.2">
      <c r="A118" s="335">
        <v>1002</v>
      </c>
      <c r="B118" s="330" t="s">
        <v>870</v>
      </c>
      <c r="C118" s="331" t="s">
        <v>868</v>
      </c>
      <c r="E118" s="335">
        <v>2601</v>
      </c>
      <c r="F118" s="330" t="s">
        <v>576</v>
      </c>
      <c r="G118" s="331" t="s">
        <v>590</v>
      </c>
    </row>
    <row r="119" spans="1:7" ht="25.5" x14ac:dyDescent="0.2">
      <c r="A119" s="335">
        <v>1003</v>
      </c>
      <c r="B119" s="330" t="s">
        <v>869</v>
      </c>
      <c r="C119" s="331" t="s">
        <v>868</v>
      </c>
      <c r="E119" s="335">
        <v>2602</v>
      </c>
      <c r="F119" s="330" t="s">
        <v>592</v>
      </c>
      <c r="G119" s="331" t="s">
        <v>590</v>
      </c>
    </row>
    <row r="120" spans="1:7" x14ac:dyDescent="0.2">
      <c r="A120" s="335">
        <v>1004</v>
      </c>
      <c r="B120" s="330" t="s">
        <v>867</v>
      </c>
      <c r="C120" s="331" t="s">
        <v>866</v>
      </c>
      <c r="E120" s="335">
        <v>2603</v>
      </c>
      <c r="F120" s="330" t="s">
        <v>591</v>
      </c>
      <c r="G120" s="331" t="s">
        <v>590</v>
      </c>
    </row>
    <row r="121" spans="1:7" x14ac:dyDescent="0.2">
      <c r="A121" s="335">
        <v>1005</v>
      </c>
      <c r="B121" s="330" t="s">
        <v>865</v>
      </c>
      <c r="C121" s="331" t="s">
        <v>864</v>
      </c>
      <c r="E121" s="335">
        <v>2604</v>
      </c>
      <c r="F121" s="330" t="s">
        <v>589</v>
      </c>
      <c r="G121" s="331" t="s">
        <v>585</v>
      </c>
    </row>
    <row r="122" spans="1:7" x14ac:dyDescent="0.2">
      <c r="A122" s="335">
        <v>1006</v>
      </c>
      <c r="B122" s="330" t="s">
        <v>863</v>
      </c>
      <c r="C122" s="331" t="s">
        <v>862</v>
      </c>
      <c r="E122" s="335">
        <v>2605</v>
      </c>
      <c r="F122" s="330" t="s">
        <v>588</v>
      </c>
      <c r="G122" s="331" t="s">
        <v>585</v>
      </c>
    </row>
    <row r="123" spans="1:7" ht="25.5" x14ac:dyDescent="0.2">
      <c r="A123" s="335">
        <v>1007</v>
      </c>
      <c r="B123" s="330" t="s">
        <v>500</v>
      </c>
      <c r="C123" s="331" t="s">
        <v>861</v>
      </c>
      <c r="E123" s="335">
        <v>2606</v>
      </c>
      <c r="F123" s="330" t="s">
        <v>587</v>
      </c>
      <c r="G123" s="331" t="s">
        <v>585</v>
      </c>
    </row>
    <row r="124" spans="1:7" ht="26.25" thickBot="1" x14ac:dyDescent="0.25">
      <c r="A124" s="336">
        <v>1008</v>
      </c>
      <c r="B124" s="333" t="s">
        <v>499</v>
      </c>
      <c r="C124" s="334" t="s">
        <v>861</v>
      </c>
      <c r="E124" s="335">
        <v>2607</v>
      </c>
      <c r="F124" s="330" t="s">
        <v>586</v>
      </c>
      <c r="G124" s="331" t="s">
        <v>585</v>
      </c>
    </row>
    <row r="125" spans="1:7" x14ac:dyDescent="0.2">
      <c r="E125" s="335">
        <v>2608</v>
      </c>
      <c r="F125" s="330" t="s">
        <v>584</v>
      </c>
      <c r="G125" s="331" t="s">
        <v>580</v>
      </c>
    </row>
    <row r="126" spans="1:7" ht="12.75" customHeight="1" x14ac:dyDescent="0.2">
      <c r="A126" s="1461" t="s">
        <v>860</v>
      </c>
      <c r="B126" s="1462"/>
      <c r="C126" s="1463"/>
      <c r="E126" s="335">
        <v>2609</v>
      </c>
      <c r="F126" s="330" t="s">
        <v>583</v>
      </c>
      <c r="G126" s="331" t="s">
        <v>580</v>
      </c>
    </row>
    <row r="127" spans="1:7" ht="38.25" x14ac:dyDescent="0.2">
      <c r="A127" s="335">
        <v>1101</v>
      </c>
      <c r="B127" s="330" t="s">
        <v>859</v>
      </c>
      <c r="C127" s="331" t="s">
        <v>858</v>
      </c>
      <c r="E127" s="335">
        <v>2610</v>
      </c>
      <c r="F127" s="330" t="s">
        <v>582</v>
      </c>
      <c r="G127" s="331" t="s">
        <v>580</v>
      </c>
    </row>
    <row r="128" spans="1:7" x14ac:dyDescent="0.2">
      <c r="A128" s="335">
        <v>1102</v>
      </c>
      <c r="B128" s="330" t="s">
        <v>857</v>
      </c>
      <c r="C128" s="331" t="s">
        <v>856</v>
      </c>
      <c r="E128" s="335">
        <v>2611</v>
      </c>
      <c r="F128" s="330" t="s">
        <v>581</v>
      </c>
      <c r="G128" s="331" t="s">
        <v>580</v>
      </c>
    </row>
    <row r="129" spans="1:7" ht="26.25" thickBot="1" x14ac:dyDescent="0.25">
      <c r="A129" s="335">
        <v>1103</v>
      </c>
      <c r="B129" s="330" t="s">
        <v>855</v>
      </c>
      <c r="C129" s="331" t="s">
        <v>853</v>
      </c>
      <c r="E129" s="336">
        <v>2612</v>
      </c>
      <c r="F129" s="333" t="s">
        <v>579</v>
      </c>
      <c r="G129" s="334" t="s">
        <v>578</v>
      </c>
    </row>
    <row r="130" spans="1:7" x14ac:dyDescent="0.2">
      <c r="A130" s="335">
        <v>1104</v>
      </c>
      <c r="B130" s="330" t="s">
        <v>854</v>
      </c>
      <c r="C130" s="331" t="s">
        <v>853</v>
      </c>
    </row>
    <row r="131" spans="1:7" ht="13.5" customHeight="1" thickBot="1" x14ac:dyDescent="0.25">
      <c r="A131" s="336">
        <v>1105</v>
      </c>
      <c r="B131" s="333" t="s">
        <v>852</v>
      </c>
      <c r="C131" s="334" t="s">
        <v>851</v>
      </c>
      <c r="E131" s="1461" t="s">
        <v>577</v>
      </c>
      <c r="F131" s="1462"/>
      <c r="G131" s="1463"/>
    </row>
    <row r="132" spans="1:7" x14ac:dyDescent="0.2">
      <c r="E132" s="335">
        <v>2701</v>
      </c>
      <c r="F132" s="330" t="s">
        <v>576</v>
      </c>
      <c r="G132" s="331" t="s">
        <v>573</v>
      </c>
    </row>
    <row r="133" spans="1:7" x14ac:dyDescent="0.2">
      <c r="E133" s="335">
        <v>2702</v>
      </c>
      <c r="F133" s="330" t="s">
        <v>575</v>
      </c>
      <c r="G133" s="331" t="s">
        <v>573</v>
      </c>
    </row>
    <row r="134" spans="1:7" ht="25.5" x14ac:dyDescent="0.2">
      <c r="E134" s="335">
        <v>2703</v>
      </c>
      <c r="F134" s="330" t="s">
        <v>574</v>
      </c>
      <c r="G134" s="331" t="s">
        <v>573</v>
      </c>
    </row>
    <row r="135" spans="1:7" ht="25.5" customHeight="1" x14ac:dyDescent="0.2">
      <c r="A135" s="1461" t="s">
        <v>850</v>
      </c>
      <c r="B135" s="1462"/>
      <c r="C135" s="1463"/>
      <c r="E135" s="335">
        <v>2704</v>
      </c>
      <c r="F135" s="330" t="s">
        <v>572</v>
      </c>
      <c r="G135" s="331" t="s">
        <v>571</v>
      </c>
    </row>
    <row r="136" spans="1:7" ht="38.25" x14ac:dyDescent="0.2">
      <c r="A136" s="335">
        <v>1201</v>
      </c>
      <c r="B136" s="330" t="s">
        <v>849</v>
      </c>
      <c r="C136" s="331" t="s">
        <v>848</v>
      </c>
      <c r="E136" s="335">
        <v>2705</v>
      </c>
      <c r="F136" s="330" t="s">
        <v>570</v>
      </c>
      <c r="G136" s="331" t="s">
        <v>569</v>
      </c>
    </row>
    <row r="137" spans="1:7" ht="25.5" x14ac:dyDescent="0.2">
      <c r="A137" s="335">
        <v>1202</v>
      </c>
      <c r="B137" s="330" t="s">
        <v>847</v>
      </c>
      <c r="C137" s="331" t="s">
        <v>846</v>
      </c>
      <c r="E137" s="329">
        <v>2706</v>
      </c>
      <c r="F137" s="330" t="s">
        <v>568</v>
      </c>
      <c r="G137" s="331" t="s">
        <v>567</v>
      </c>
    </row>
    <row r="138" spans="1:7" ht="25.5" x14ac:dyDescent="0.2">
      <c r="A138" s="335">
        <v>1203</v>
      </c>
      <c r="B138" s="330" t="s">
        <v>845</v>
      </c>
      <c r="C138" s="331" t="s">
        <v>844</v>
      </c>
      <c r="E138" s="329">
        <v>2707</v>
      </c>
      <c r="F138" s="330" t="s">
        <v>566</v>
      </c>
      <c r="G138" s="331"/>
    </row>
    <row r="139" spans="1:7" ht="25.5" x14ac:dyDescent="0.2">
      <c r="A139" s="335">
        <v>1204</v>
      </c>
      <c r="B139" s="330" t="s">
        <v>843</v>
      </c>
      <c r="C139" s="331" t="s">
        <v>842</v>
      </c>
      <c r="E139" s="329">
        <v>2708</v>
      </c>
      <c r="F139" s="330" t="s">
        <v>565</v>
      </c>
      <c r="G139" s="331" t="s">
        <v>564</v>
      </c>
    </row>
    <row r="140" spans="1:7" x14ac:dyDescent="0.2">
      <c r="A140" s="335">
        <v>1205</v>
      </c>
      <c r="B140" s="330" t="s">
        <v>841</v>
      </c>
      <c r="C140" s="331" t="s">
        <v>840</v>
      </c>
      <c r="E140" s="329">
        <v>2709</v>
      </c>
      <c r="F140" s="330" t="s">
        <v>563</v>
      </c>
      <c r="G140" s="331" t="s">
        <v>562</v>
      </c>
    </row>
    <row r="141" spans="1:7" x14ac:dyDescent="0.2">
      <c r="A141" s="335">
        <v>1206</v>
      </c>
      <c r="B141" s="330" t="s">
        <v>839</v>
      </c>
      <c r="C141" s="331" t="s">
        <v>838</v>
      </c>
      <c r="E141" s="329">
        <v>2710</v>
      </c>
      <c r="F141" s="330" t="s">
        <v>561</v>
      </c>
      <c r="G141" s="331" t="s">
        <v>560</v>
      </c>
    </row>
    <row r="142" spans="1:7" x14ac:dyDescent="0.2">
      <c r="A142" s="335">
        <v>1207</v>
      </c>
      <c r="B142" s="330" t="s">
        <v>837</v>
      </c>
      <c r="C142" s="331" t="s">
        <v>836</v>
      </c>
      <c r="E142" s="329">
        <v>2711</v>
      </c>
      <c r="F142" s="330" t="s">
        <v>559</v>
      </c>
      <c r="G142" s="331" t="s">
        <v>557</v>
      </c>
    </row>
    <row r="143" spans="1:7" ht="26.25" thickBot="1" x14ac:dyDescent="0.25">
      <c r="A143" s="336">
        <v>1208</v>
      </c>
      <c r="B143" s="333" t="s">
        <v>835</v>
      </c>
      <c r="C143" s="334" t="s">
        <v>834</v>
      </c>
      <c r="E143" s="329">
        <v>2712</v>
      </c>
      <c r="F143" s="330" t="s">
        <v>558</v>
      </c>
      <c r="G143" s="331" t="s">
        <v>557</v>
      </c>
    </row>
    <row r="144" spans="1:7" x14ac:dyDescent="0.2">
      <c r="E144" s="329">
        <v>2713</v>
      </c>
      <c r="F144" s="330" t="s">
        <v>556</v>
      </c>
      <c r="G144" s="331" t="s">
        <v>555</v>
      </c>
    </row>
    <row r="145" spans="1:7" ht="25.5" customHeight="1" x14ac:dyDescent="0.2">
      <c r="A145" s="1461" t="s">
        <v>833</v>
      </c>
      <c r="B145" s="1462"/>
      <c r="C145" s="1463"/>
      <c r="E145" s="329">
        <v>2714</v>
      </c>
      <c r="F145" s="330" t="s">
        <v>554</v>
      </c>
      <c r="G145" s="331" t="s">
        <v>553</v>
      </c>
    </row>
    <row r="146" spans="1:7" ht="26.25" thickBot="1" x14ac:dyDescent="0.25">
      <c r="A146" s="335">
        <v>1301</v>
      </c>
      <c r="B146" s="330" t="s">
        <v>832</v>
      </c>
      <c r="C146" s="331" t="s">
        <v>831</v>
      </c>
      <c r="E146" s="332">
        <v>2715</v>
      </c>
      <c r="F146" s="333" t="s">
        <v>552</v>
      </c>
      <c r="G146" s="334" t="s">
        <v>551</v>
      </c>
    </row>
    <row r="147" spans="1:7" x14ac:dyDescent="0.2">
      <c r="A147" s="335">
        <v>1302</v>
      </c>
      <c r="B147" s="330" t="s">
        <v>830</v>
      </c>
      <c r="C147" s="331" t="s">
        <v>829</v>
      </c>
      <c r="E147" s="337"/>
    </row>
    <row r="148" spans="1:7" ht="12.75" customHeight="1" x14ac:dyDescent="0.2">
      <c r="A148" s="335">
        <v>1303</v>
      </c>
      <c r="B148" s="330" t="s">
        <v>828</v>
      </c>
      <c r="C148" s="331" t="s">
        <v>827</v>
      </c>
      <c r="E148" s="1461" t="s">
        <v>550</v>
      </c>
      <c r="F148" s="1462"/>
      <c r="G148" s="1463"/>
    </row>
    <row r="149" spans="1:7" x14ac:dyDescent="0.2">
      <c r="A149" s="335">
        <v>1304</v>
      </c>
      <c r="B149" s="330" t="s">
        <v>826</v>
      </c>
      <c r="C149" s="331" t="s">
        <v>825</v>
      </c>
      <c r="E149" s="329">
        <v>2801</v>
      </c>
      <c r="F149" s="330" t="s">
        <v>496</v>
      </c>
      <c r="G149" s="331" t="s">
        <v>548</v>
      </c>
    </row>
    <row r="150" spans="1:7" x14ac:dyDescent="0.2">
      <c r="A150" s="335">
        <v>1305</v>
      </c>
      <c r="B150" s="330" t="s">
        <v>824</v>
      </c>
      <c r="C150" s="331" t="s">
        <v>823</v>
      </c>
      <c r="E150" s="329">
        <v>2802</v>
      </c>
      <c r="F150" s="330" t="s">
        <v>549</v>
      </c>
      <c r="G150" s="331" t="s">
        <v>548</v>
      </c>
    </row>
    <row r="151" spans="1:7" x14ac:dyDescent="0.2">
      <c r="A151" s="335">
        <v>1306</v>
      </c>
      <c r="B151" s="330" t="s">
        <v>822</v>
      </c>
      <c r="C151" s="331" t="s">
        <v>821</v>
      </c>
      <c r="E151" s="329">
        <v>2803</v>
      </c>
      <c r="F151" s="330" t="s">
        <v>547</v>
      </c>
      <c r="G151" s="331" t="s">
        <v>546</v>
      </c>
    </row>
    <row r="152" spans="1:7" x14ac:dyDescent="0.2">
      <c r="A152" s="335">
        <v>1307</v>
      </c>
      <c r="B152" s="330" t="s">
        <v>820</v>
      </c>
      <c r="C152" s="331" t="s">
        <v>819</v>
      </c>
      <c r="E152" s="329">
        <v>2804</v>
      </c>
      <c r="F152" s="330" t="s">
        <v>545</v>
      </c>
      <c r="G152" s="331" t="s">
        <v>544</v>
      </c>
    </row>
    <row r="153" spans="1:7" x14ac:dyDescent="0.2">
      <c r="A153" s="335">
        <v>1308</v>
      </c>
      <c r="B153" s="330" t="s">
        <v>818</v>
      </c>
      <c r="C153" s="331" t="s">
        <v>817</v>
      </c>
      <c r="E153" s="329">
        <v>2805</v>
      </c>
      <c r="F153" s="330" t="s">
        <v>543</v>
      </c>
      <c r="G153" s="331" t="s">
        <v>542</v>
      </c>
    </row>
    <row r="154" spans="1:7" ht="25.5" x14ac:dyDescent="0.2">
      <c r="A154" s="335">
        <v>1309</v>
      </c>
      <c r="B154" s="330" t="s">
        <v>816</v>
      </c>
      <c r="C154" s="331" t="s">
        <v>815</v>
      </c>
      <c r="E154" s="329">
        <v>2806</v>
      </c>
      <c r="F154" s="330" t="s">
        <v>541</v>
      </c>
      <c r="G154" s="331" t="s">
        <v>540</v>
      </c>
    </row>
    <row r="155" spans="1:7" ht="25.5" x14ac:dyDescent="0.2">
      <c r="A155" s="335">
        <v>1310</v>
      </c>
      <c r="B155" s="330" t="s">
        <v>814</v>
      </c>
      <c r="C155" s="331" t="s">
        <v>813</v>
      </c>
      <c r="E155" s="329">
        <v>2807</v>
      </c>
      <c r="F155" s="330" t="s">
        <v>539</v>
      </c>
      <c r="G155" s="331" t="s">
        <v>538</v>
      </c>
    </row>
    <row r="156" spans="1:7" x14ac:dyDescent="0.2">
      <c r="A156" s="335">
        <v>1311</v>
      </c>
      <c r="B156" s="330" t="s">
        <v>812</v>
      </c>
      <c r="C156" s="331" t="s">
        <v>811</v>
      </c>
      <c r="E156" s="329">
        <v>2808</v>
      </c>
      <c r="F156" s="330" t="s">
        <v>537</v>
      </c>
      <c r="G156" s="331" t="s">
        <v>536</v>
      </c>
    </row>
    <row r="157" spans="1:7" ht="25.5" x14ac:dyDescent="0.2">
      <c r="A157" s="335">
        <v>1312</v>
      </c>
      <c r="B157" s="330" t="s">
        <v>810</v>
      </c>
      <c r="C157" s="331" t="s">
        <v>809</v>
      </c>
      <c r="E157" s="329">
        <v>2809</v>
      </c>
      <c r="F157" s="330" t="s">
        <v>535</v>
      </c>
      <c r="G157" s="331" t="s">
        <v>534</v>
      </c>
    </row>
    <row r="158" spans="1:7" ht="38.25" x14ac:dyDescent="0.2">
      <c r="A158" s="335">
        <v>1313</v>
      </c>
      <c r="B158" s="330" t="s">
        <v>808</v>
      </c>
      <c r="C158" s="331" t="s">
        <v>807</v>
      </c>
      <c r="E158" s="329">
        <v>2810</v>
      </c>
      <c r="F158" s="330" t="s">
        <v>533</v>
      </c>
      <c r="G158" s="331" t="s">
        <v>532</v>
      </c>
    </row>
    <row r="159" spans="1:7" x14ac:dyDescent="0.2">
      <c r="A159" s="335">
        <v>1314</v>
      </c>
      <c r="B159" s="330" t="s">
        <v>806</v>
      </c>
      <c r="C159" s="331" t="s">
        <v>805</v>
      </c>
      <c r="E159" s="329">
        <v>2811</v>
      </c>
      <c r="F159" s="330" t="s">
        <v>531</v>
      </c>
      <c r="G159" s="331" t="s">
        <v>530</v>
      </c>
    </row>
    <row r="160" spans="1:7" ht="13.5" thickBot="1" x14ac:dyDescent="0.25">
      <c r="A160" s="335">
        <v>1315</v>
      </c>
      <c r="B160" s="330" t="s">
        <v>804</v>
      </c>
      <c r="C160" s="331" t="s">
        <v>803</v>
      </c>
      <c r="E160" s="332">
        <v>2812</v>
      </c>
      <c r="F160" s="333" t="s">
        <v>529</v>
      </c>
      <c r="G160" s="334" t="s">
        <v>528</v>
      </c>
    </row>
    <row r="161" spans="1:7" x14ac:dyDescent="0.2">
      <c r="A161" s="335">
        <v>1316</v>
      </c>
      <c r="B161" s="330" t="s">
        <v>802</v>
      </c>
      <c r="C161" s="331" t="s">
        <v>801</v>
      </c>
    </row>
    <row r="162" spans="1:7" ht="13.5" customHeight="1" thickBot="1" x14ac:dyDescent="0.25">
      <c r="A162" s="336">
        <v>1317</v>
      </c>
      <c r="B162" s="333" t="s">
        <v>800</v>
      </c>
      <c r="C162" s="334" t="s">
        <v>799</v>
      </c>
      <c r="E162" s="1461" t="s">
        <v>527</v>
      </c>
      <c r="F162" s="1462"/>
      <c r="G162" s="1463"/>
    </row>
    <row r="163" spans="1:7" x14ac:dyDescent="0.2">
      <c r="E163" s="335">
        <v>2901</v>
      </c>
      <c r="F163" s="330" t="s">
        <v>496</v>
      </c>
      <c r="G163" s="331" t="s">
        <v>526</v>
      </c>
    </row>
    <row r="164" spans="1:7" ht="12.75" customHeight="1" x14ac:dyDescent="0.2">
      <c r="A164" s="1461" t="s">
        <v>798</v>
      </c>
      <c r="B164" s="1462"/>
      <c r="C164" s="1463"/>
      <c r="E164" s="335">
        <v>2902</v>
      </c>
      <c r="F164" s="330" t="s">
        <v>525</v>
      </c>
      <c r="G164" s="331" t="s">
        <v>524</v>
      </c>
    </row>
    <row r="165" spans="1:7" ht="25.5" x14ac:dyDescent="0.2">
      <c r="A165" s="329">
        <v>1401</v>
      </c>
      <c r="B165" s="330" t="s">
        <v>797</v>
      </c>
      <c r="C165" s="331" t="s">
        <v>796</v>
      </c>
      <c r="E165" s="335">
        <v>2903</v>
      </c>
      <c r="F165" s="330" t="s">
        <v>523</v>
      </c>
      <c r="G165" s="331" t="s">
        <v>522</v>
      </c>
    </row>
    <row r="166" spans="1:7" ht="25.5" x14ac:dyDescent="0.2">
      <c r="A166" s="329">
        <v>1402</v>
      </c>
      <c r="B166" s="330" t="s">
        <v>795</v>
      </c>
      <c r="C166" s="331" t="s">
        <v>794</v>
      </c>
      <c r="E166" s="335">
        <v>2904</v>
      </c>
      <c r="F166" s="330" t="s">
        <v>521</v>
      </c>
      <c r="G166" s="331" t="s">
        <v>520</v>
      </c>
    </row>
    <row r="167" spans="1:7" x14ac:dyDescent="0.2">
      <c r="A167" s="329">
        <v>1403</v>
      </c>
      <c r="B167" s="330" t="s">
        <v>793</v>
      </c>
      <c r="C167" s="331" t="s">
        <v>792</v>
      </c>
      <c r="E167" s="335">
        <v>2905</v>
      </c>
      <c r="F167" s="330" t="s">
        <v>519</v>
      </c>
      <c r="G167" s="331" t="s">
        <v>518</v>
      </c>
    </row>
    <row r="168" spans="1:7" x14ac:dyDescent="0.2">
      <c r="A168" s="329">
        <v>1404</v>
      </c>
      <c r="B168" s="330" t="s">
        <v>791</v>
      </c>
      <c r="C168" s="331" t="s">
        <v>790</v>
      </c>
      <c r="E168" s="335">
        <v>2906</v>
      </c>
      <c r="F168" s="330" t="s">
        <v>517</v>
      </c>
      <c r="G168" s="331" t="s">
        <v>515</v>
      </c>
    </row>
    <row r="169" spans="1:7" ht="26.25" thickBot="1" x14ac:dyDescent="0.25">
      <c r="A169" s="332">
        <v>1405</v>
      </c>
      <c r="B169" s="333" t="s">
        <v>789</v>
      </c>
      <c r="C169" s="334" t="s">
        <v>788</v>
      </c>
      <c r="E169" s="335">
        <v>2907</v>
      </c>
      <c r="F169" s="330" t="s">
        <v>516</v>
      </c>
      <c r="G169" s="331" t="s">
        <v>515</v>
      </c>
    </row>
    <row r="170" spans="1:7" ht="25.5" x14ac:dyDescent="0.2">
      <c r="A170" s="338"/>
      <c r="B170" s="339"/>
      <c r="C170" s="339"/>
      <c r="E170" s="335">
        <v>2908</v>
      </c>
      <c r="F170" s="330" t="s">
        <v>514</v>
      </c>
      <c r="G170" s="331" t="s">
        <v>513</v>
      </c>
    </row>
    <row r="171" spans="1:7" ht="28.5" customHeight="1" x14ac:dyDescent="0.2">
      <c r="A171" s="1461" t="s">
        <v>787</v>
      </c>
      <c r="B171" s="1462"/>
      <c r="C171" s="1463"/>
      <c r="E171" s="335">
        <v>2909</v>
      </c>
      <c r="F171" s="330" t="s">
        <v>512</v>
      </c>
      <c r="G171" s="331" t="s">
        <v>510</v>
      </c>
    </row>
    <row r="172" spans="1:7" ht="26.25" thickBot="1" x14ac:dyDescent="0.25">
      <c r="A172" s="335">
        <v>1501</v>
      </c>
      <c r="B172" s="330" t="s">
        <v>786</v>
      </c>
      <c r="C172" s="331" t="s">
        <v>785</v>
      </c>
      <c r="E172" s="336">
        <v>2910</v>
      </c>
      <c r="F172" s="333" t="s">
        <v>511</v>
      </c>
      <c r="G172" s="334" t="s">
        <v>510</v>
      </c>
    </row>
    <row r="173" spans="1:7" x14ac:dyDescent="0.2">
      <c r="A173" s="335">
        <v>1502</v>
      </c>
      <c r="B173" s="330" t="s">
        <v>784</v>
      </c>
      <c r="C173" s="331" t="s">
        <v>783</v>
      </c>
    </row>
    <row r="174" spans="1:7" ht="12.75" customHeight="1" x14ac:dyDescent="0.2">
      <c r="A174" s="335">
        <v>1503</v>
      </c>
      <c r="B174" s="330" t="s">
        <v>782</v>
      </c>
      <c r="C174" s="331" t="s">
        <v>781</v>
      </c>
      <c r="E174" s="1461" t="s">
        <v>509</v>
      </c>
      <c r="F174" s="1462"/>
      <c r="G174" s="1463"/>
    </row>
    <row r="175" spans="1:7" x14ac:dyDescent="0.2">
      <c r="A175" s="335">
        <v>1504</v>
      </c>
      <c r="B175" s="330" t="s">
        <v>780</v>
      </c>
      <c r="C175" s="331" t="s">
        <v>779</v>
      </c>
      <c r="E175" s="329">
        <v>3001</v>
      </c>
      <c r="F175" s="330" t="s">
        <v>496</v>
      </c>
      <c r="G175" s="331" t="s">
        <v>507</v>
      </c>
    </row>
    <row r="176" spans="1:7" ht="38.25" x14ac:dyDescent="0.2">
      <c r="A176" s="335">
        <v>1505</v>
      </c>
      <c r="B176" s="330" t="s">
        <v>778</v>
      </c>
      <c r="C176" s="331" t="s">
        <v>777</v>
      </c>
      <c r="E176" s="329">
        <v>3002</v>
      </c>
      <c r="F176" s="330" t="s">
        <v>508</v>
      </c>
      <c r="G176" s="331" t="s">
        <v>507</v>
      </c>
    </row>
    <row r="177" spans="1:7" x14ac:dyDescent="0.2">
      <c r="A177" s="335">
        <v>1506</v>
      </c>
      <c r="B177" s="330" t="s">
        <v>776</v>
      </c>
      <c r="C177" s="331" t="s">
        <v>775</v>
      </c>
      <c r="E177" s="329">
        <v>3003</v>
      </c>
      <c r="F177" s="330" t="s">
        <v>506</v>
      </c>
      <c r="G177" s="331" t="s">
        <v>505</v>
      </c>
    </row>
    <row r="178" spans="1:7" x14ac:dyDescent="0.2">
      <c r="A178" s="335">
        <v>1507</v>
      </c>
      <c r="B178" s="330" t="s">
        <v>774</v>
      </c>
      <c r="C178" s="331" t="s">
        <v>773</v>
      </c>
      <c r="E178" s="329">
        <v>3004</v>
      </c>
      <c r="F178" s="330" t="s">
        <v>504</v>
      </c>
      <c r="G178" s="331" t="s">
        <v>503</v>
      </c>
    </row>
    <row r="179" spans="1:7" x14ac:dyDescent="0.2">
      <c r="A179" s="335">
        <v>1508</v>
      </c>
      <c r="B179" s="330" t="s">
        <v>772</v>
      </c>
      <c r="C179" s="331" t="s">
        <v>771</v>
      </c>
      <c r="E179" s="329">
        <v>3005</v>
      </c>
      <c r="F179" s="330" t="s">
        <v>502</v>
      </c>
      <c r="G179" s="331" t="s">
        <v>498</v>
      </c>
    </row>
    <row r="180" spans="1:7" x14ac:dyDescent="0.2">
      <c r="A180" s="335">
        <v>1509</v>
      </c>
      <c r="B180" s="330" t="s">
        <v>770</v>
      </c>
      <c r="C180" s="331" t="s">
        <v>769</v>
      </c>
      <c r="E180" s="329">
        <v>3006</v>
      </c>
      <c r="F180" s="330" t="s">
        <v>501</v>
      </c>
      <c r="G180" s="331" t="s">
        <v>498</v>
      </c>
    </row>
    <row r="181" spans="1:7" x14ac:dyDescent="0.2">
      <c r="A181" s="335">
        <v>1510</v>
      </c>
      <c r="B181" s="330" t="s">
        <v>768</v>
      </c>
      <c r="C181" s="331" t="s">
        <v>767</v>
      </c>
      <c r="E181" s="329">
        <v>3007</v>
      </c>
      <c r="F181" s="330" t="s">
        <v>500</v>
      </c>
      <c r="G181" s="331" t="s">
        <v>498</v>
      </c>
    </row>
    <row r="182" spans="1:7" ht="13.5" thickBot="1" x14ac:dyDescent="0.25">
      <c r="A182" s="336">
        <v>1511</v>
      </c>
      <c r="B182" s="333" t="s">
        <v>766</v>
      </c>
      <c r="C182" s="334" t="s">
        <v>765</v>
      </c>
      <c r="E182" s="332">
        <v>3008</v>
      </c>
      <c r="F182" s="333" t="s">
        <v>499</v>
      </c>
      <c r="G182" s="334" t="s">
        <v>498</v>
      </c>
    </row>
    <row r="184" spans="1:7" ht="12.75" customHeight="1" x14ac:dyDescent="0.2">
      <c r="A184" s="1461" t="s">
        <v>764</v>
      </c>
      <c r="B184" s="1462"/>
      <c r="C184" s="1463"/>
      <c r="E184" s="1461" t="s">
        <v>497</v>
      </c>
      <c r="F184" s="1462"/>
      <c r="G184" s="1463"/>
    </row>
    <row r="185" spans="1:7" x14ac:dyDescent="0.2">
      <c r="A185" s="329">
        <v>1601</v>
      </c>
      <c r="B185" s="330" t="s">
        <v>496</v>
      </c>
      <c r="C185" s="331" t="s">
        <v>760</v>
      </c>
      <c r="E185" s="329">
        <v>3101</v>
      </c>
      <c r="F185" s="330" t="s">
        <v>496</v>
      </c>
      <c r="G185" s="331" t="s">
        <v>493</v>
      </c>
    </row>
    <row r="186" spans="1:7" x14ac:dyDescent="0.2">
      <c r="A186" s="329">
        <v>1602</v>
      </c>
      <c r="B186" s="330" t="s">
        <v>725</v>
      </c>
      <c r="C186" s="331" t="s">
        <v>760</v>
      </c>
      <c r="E186" s="329">
        <v>3102</v>
      </c>
      <c r="F186" s="330" t="s">
        <v>495</v>
      </c>
      <c r="G186" s="331" t="s">
        <v>493</v>
      </c>
    </row>
    <row r="187" spans="1:7" ht="25.5" x14ac:dyDescent="0.2">
      <c r="A187" s="329">
        <v>1603</v>
      </c>
      <c r="B187" s="330" t="s">
        <v>763</v>
      </c>
      <c r="C187" s="331" t="s">
        <v>760</v>
      </c>
      <c r="E187" s="329">
        <v>3103</v>
      </c>
      <c r="F187" s="330" t="s">
        <v>494</v>
      </c>
      <c r="G187" s="331" t="s">
        <v>493</v>
      </c>
    </row>
    <row r="188" spans="1:7" x14ac:dyDescent="0.2">
      <c r="A188" s="329">
        <v>1604</v>
      </c>
      <c r="B188" s="330" t="s">
        <v>762</v>
      </c>
      <c r="C188" s="331" t="s">
        <v>760</v>
      </c>
      <c r="E188" s="329">
        <v>3104</v>
      </c>
      <c r="F188" s="330" t="s">
        <v>492</v>
      </c>
      <c r="G188" s="331" t="s">
        <v>491</v>
      </c>
    </row>
    <row r="189" spans="1:7" x14ac:dyDescent="0.2">
      <c r="A189" s="329">
        <v>1605</v>
      </c>
      <c r="B189" s="330" t="s">
        <v>761</v>
      </c>
      <c r="C189" s="331" t="s">
        <v>760</v>
      </c>
      <c r="E189" s="329">
        <v>3105</v>
      </c>
      <c r="F189" s="330" t="s">
        <v>490</v>
      </c>
      <c r="G189" s="331" t="s">
        <v>489</v>
      </c>
    </row>
    <row r="190" spans="1:7" ht="25.5" x14ac:dyDescent="0.2">
      <c r="A190" s="329">
        <v>1606</v>
      </c>
      <c r="B190" s="330" t="s">
        <v>759</v>
      </c>
      <c r="C190" s="331" t="s">
        <v>757</v>
      </c>
      <c r="E190" s="329">
        <v>3106</v>
      </c>
      <c r="F190" s="330" t="s">
        <v>488</v>
      </c>
      <c r="G190" s="331" t="s">
        <v>486</v>
      </c>
    </row>
    <row r="191" spans="1:7" x14ac:dyDescent="0.2">
      <c r="A191" s="329">
        <v>1607</v>
      </c>
      <c r="B191" s="330" t="s">
        <v>758</v>
      </c>
      <c r="C191" s="331" t="s">
        <v>757</v>
      </c>
      <c r="E191" s="329">
        <v>3107</v>
      </c>
      <c r="F191" s="330" t="s">
        <v>487</v>
      </c>
      <c r="G191" s="331" t="s">
        <v>486</v>
      </c>
    </row>
    <row r="192" spans="1:7" x14ac:dyDescent="0.2">
      <c r="A192" s="329">
        <v>1608</v>
      </c>
      <c r="B192" s="330" t="s">
        <v>756</v>
      </c>
      <c r="C192" s="331" t="s">
        <v>755</v>
      </c>
      <c r="E192" s="329">
        <v>3108</v>
      </c>
      <c r="F192" s="330" t="s">
        <v>485</v>
      </c>
      <c r="G192" s="331" t="s">
        <v>484</v>
      </c>
    </row>
    <row r="193" spans="1:7" x14ac:dyDescent="0.2">
      <c r="A193" s="329">
        <v>1609</v>
      </c>
      <c r="B193" s="330" t="s">
        <v>754</v>
      </c>
      <c r="C193" s="331" t="s">
        <v>750</v>
      </c>
      <c r="E193" s="329">
        <v>3109</v>
      </c>
      <c r="F193" s="330" t="s">
        <v>483</v>
      </c>
      <c r="G193" s="331" t="s">
        <v>481</v>
      </c>
    </row>
    <row r="194" spans="1:7" ht="13.5" thickBot="1" x14ac:dyDescent="0.25">
      <c r="A194" s="329">
        <v>1610</v>
      </c>
      <c r="B194" s="330" t="s">
        <v>753</v>
      </c>
      <c r="C194" s="331" t="s">
        <v>750</v>
      </c>
      <c r="E194" s="332">
        <v>3110</v>
      </c>
      <c r="F194" s="333" t="s">
        <v>482</v>
      </c>
      <c r="G194" s="334" t="s">
        <v>481</v>
      </c>
    </row>
    <row r="195" spans="1:7" x14ac:dyDescent="0.2">
      <c r="A195" s="329">
        <v>1611</v>
      </c>
      <c r="B195" s="330" t="s">
        <v>752</v>
      </c>
      <c r="C195" s="331" t="s">
        <v>750</v>
      </c>
    </row>
    <row r="196" spans="1:7" x14ac:dyDescent="0.2">
      <c r="A196" s="329">
        <v>1612</v>
      </c>
      <c r="B196" s="330" t="s">
        <v>751</v>
      </c>
      <c r="C196" s="331" t="s">
        <v>750</v>
      </c>
    </row>
    <row r="197" spans="1:7" x14ac:dyDescent="0.2">
      <c r="A197" s="329">
        <v>1613</v>
      </c>
      <c r="B197" s="330" t="s">
        <v>749</v>
      </c>
      <c r="C197" s="331" t="s">
        <v>748</v>
      </c>
    </row>
    <row r="198" spans="1:7" x14ac:dyDescent="0.2">
      <c r="A198" s="329">
        <v>1614</v>
      </c>
      <c r="B198" s="330" t="s">
        <v>747</v>
      </c>
      <c r="C198" s="331" t="s">
        <v>746</v>
      </c>
    </row>
    <row r="199" spans="1:7" x14ac:dyDescent="0.2">
      <c r="A199" s="329">
        <v>1615</v>
      </c>
      <c r="B199" s="330" t="s">
        <v>745</v>
      </c>
      <c r="C199" s="331" t="s">
        <v>744</v>
      </c>
    </row>
    <row r="200" spans="1:7" x14ac:dyDescent="0.2">
      <c r="A200" s="329">
        <v>1616</v>
      </c>
      <c r="B200" s="330" t="s">
        <v>743</v>
      </c>
      <c r="C200" s="331" t="s">
        <v>742</v>
      </c>
    </row>
    <row r="201" spans="1:7" x14ac:dyDescent="0.2">
      <c r="A201" s="329">
        <v>1617</v>
      </c>
      <c r="B201" s="330" t="s">
        <v>500</v>
      </c>
      <c r="C201" s="331" t="s">
        <v>742</v>
      </c>
    </row>
    <row r="202" spans="1:7" ht="13.5" thickBot="1" x14ac:dyDescent="0.25">
      <c r="A202" s="332">
        <v>1618</v>
      </c>
      <c r="B202" s="333" t="s">
        <v>499</v>
      </c>
      <c r="C202" s="334" t="s">
        <v>741</v>
      </c>
    </row>
    <row r="204" spans="1:7" ht="12.75" customHeight="1" x14ac:dyDescent="0.2">
      <c r="A204" s="1461" t="s">
        <v>740</v>
      </c>
      <c r="B204" s="1462"/>
      <c r="C204" s="1463"/>
    </row>
    <row r="205" spans="1:7" x14ac:dyDescent="0.2">
      <c r="A205" s="329">
        <v>1701</v>
      </c>
      <c r="B205" s="330" t="s">
        <v>496</v>
      </c>
      <c r="C205" s="331" t="s">
        <v>737</v>
      </c>
    </row>
    <row r="206" spans="1:7" x14ac:dyDescent="0.2">
      <c r="A206" s="329">
        <v>1702</v>
      </c>
      <c r="B206" s="330" t="s">
        <v>725</v>
      </c>
      <c r="C206" s="331" t="s">
        <v>737</v>
      </c>
    </row>
    <row r="207" spans="1:7" x14ac:dyDescent="0.2">
      <c r="A207" s="329">
        <v>1703</v>
      </c>
      <c r="B207" s="330" t="s">
        <v>739</v>
      </c>
      <c r="C207" s="331" t="s">
        <v>737</v>
      </c>
    </row>
    <row r="208" spans="1:7" x14ac:dyDescent="0.2">
      <c r="A208" s="329">
        <v>1704</v>
      </c>
      <c r="B208" s="330" t="s">
        <v>738</v>
      </c>
      <c r="C208" s="331" t="s">
        <v>737</v>
      </c>
    </row>
    <row r="209" spans="1:3" x14ac:dyDescent="0.2">
      <c r="A209" s="329">
        <v>1705</v>
      </c>
      <c r="B209" s="330" t="s">
        <v>736</v>
      </c>
      <c r="C209" s="331" t="s">
        <v>735</v>
      </c>
    </row>
    <row r="210" spans="1:3" x14ac:dyDescent="0.2">
      <c r="A210" s="329">
        <v>1706</v>
      </c>
      <c r="B210" s="330" t="s">
        <v>734</v>
      </c>
      <c r="C210" s="331" t="s">
        <v>732</v>
      </c>
    </row>
    <row r="211" spans="1:3" x14ac:dyDescent="0.2">
      <c r="A211" s="329">
        <v>1707</v>
      </c>
      <c r="B211" s="330" t="s">
        <v>733</v>
      </c>
      <c r="C211" s="331" t="s">
        <v>732</v>
      </c>
    </row>
    <row r="212" spans="1:3" x14ac:dyDescent="0.2">
      <c r="A212" s="329">
        <v>1708</v>
      </c>
      <c r="B212" s="330" t="s">
        <v>731</v>
      </c>
      <c r="C212" s="331" t="s">
        <v>729</v>
      </c>
    </row>
    <row r="213" spans="1:3" x14ac:dyDescent="0.2">
      <c r="A213" s="329">
        <v>1709</v>
      </c>
      <c r="B213" s="330" t="s">
        <v>730</v>
      </c>
      <c r="C213" s="331" t="s">
        <v>729</v>
      </c>
    </row>
    <row r="214" spans="1:3" x14ac:dyDescent="0.2">
      <c r="A214" s="329">
        <v>1710</v>
      </c>
      <c r="B214" s="330" t="s">
        <v>500</v>
      </c>
      <c r="C214" s="331" t="s">
        <v>729</v>
      </c>
    </row>
    <row r="215" spans="1:3" ht="13.5" thickBot="1" x14ac:dyDescent="0.25">
      <c r="A215" s="332">
        <v>1711</v>
      </c>
      <c r="B215" s="333" t="s">
        <v>499</v>
      </c>
      <c r="C215" s="334" t="s">
        <v>728</v>
      </c>
    </row>
    <row r="216" spans="1:3" x14ac:dyDescent="0.2">
      <c r="A216" s="337"/>
    </row>
    <row r="231" s="339" customFormat="1" x14ac:dyDescent="0.2"/>
  </sheetData>
  <mergeCells count="38">
    <mergeCell ref="A86:C86"/>
    <mergeCell ref="E117:G117"/>
    <mergeCell ref="E8:G8"/>
    <mergeCell ref="E19:G19"/>
    <mergeCell ref="E77:G77"/>
    <mergeCell ref="A12:C12"/>
    <mergeCell ref="A8:C8"/>
    <mergeCell ref="A15:C15"/>
    <mergeCell ref="E103:G103"/>
    <mergeCell ref="E85:G85"/>
    <mergeCell ref="E67:G67"/>
    <mergeCell ref="E47:G47"/>
    <mergeCell ref="E26:G26"/>
    <mergeCell ref="A80:C80"/>
    <mergeCell ref="A81:C81"/>
    <mergeCell ref="A204:C204"/>
    <mergeCell ref="A96:C96"/>
    <mergeCell ref="A116:C116"/>
    <mergeCell ref="A135:C135"/>
    <mergeCell ref="A164:C164"/>
    <mergeCell ref="A171:C171"/>
    <mergeCell ref="A184:C184"/>
    <mergeCell ref="A126:C126"/>
    <mergeCell ref="A145:C145"/>
    <mergeCell ref="E184:G184"/>
    <mergeCell ref="E174:G174"/>
    <mergeCell ref="E162:G162"/>
    <mergeCell ref="E148:G148"/>
    <mergeCell ref="E131:G131"/>
    <mergeCell ref="A6:G6"/>
    <mergeCell ref="A21:C21"/>
    <mergeCell ref="A30:C30"/>
    <mergeCell ref="A43:C43"/>
    <mergeCell ref="A1:G1"/>
    <mergeCell ref="A2:G2"/>
    <mergeCell ref="A3:G3"/>
    <mergeCell ref="A4:G4"/>
    <mergeCell ref="A5:G5"/>
  </mergeCells>
  <pageMargins left="0.34" right="0.28000000000000003" top="0.42" bottom="0.28999999999999998" header="0.3" footer="0.11"/>
  <pageSetup paperSize="9" scale="80" orientation="portrait" useFirstPageNumber="1"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52"/>
    <pageSetUpPr fitToPage="1"/>
  </sheetPr>
  <dimension ref="A2:EW1608"/>
  <sheetViews>
    <sheetView zoomScale="70" workbookViewId="0">
      <selection activeCell="C11" sqref="C11"/>
    </sheetView>
  </sheetViews>
  <sheetFormatPr defaultRowHeight="15.75" x14ac:dyDescent="0.25"/>
  <cols>
    <col min="1" max="1" width="7.5703125" style="25" bestFit="1" customWidth="1"/>
    <col min="2" max="2" width="38.140625" style="12" customWidth="1"/>
    <col min="3" max="3" width="26.28515625" style="12" bestFit="1" customWidth="1"/>
    <col min="4" max="4" width="19" style="12" bestFit="1" customWidth="1"/>
    <col min="5" max="5" width="19" style="12" customWidth="1"/>
    <col min="6" max="6" width="23.5703125" style="12" bestFit="1" customWidth="1"/>
    <col min="7" max="7" width="20.7109375" style="12" bestFit="1" customWidth="1"/>
    <col min="8" max="8" width="16.85546875" style="12" bestFit="1" customWidth="1"/>
    <col min="9" max="9" width="18.85546875" style="31" customWidth="1"/>
    <col min="10" max="10" width="19.85546875" style="11" customWidth="1"/>
    <col min="11" max="11" width="18.7109375" style="11" customWidth="1"/>
    <col min="12" max="12" width="20.5703125" style="83" customWidth="1"/>
    <col min="13" max="13" width="17.28515625" style="11" customWidth="1"/>
    <col min="14" max="14" width="16.5703125" style="11" customWidth="1"/>
    <col min="15" max="95" width="9.140625" style="12"/>
    <col min="96" max="153" width="9.140625" style="9"/>
  </cols>
  <sheetData>
    <row r="2" spans="1:153" s="1" customFormat="1" ht="47.25" x14ac:dyDescent="0.2">
      <c r="A2" s="38"/>
      <c r="B2" s="39" t="s">
        <v>98</v>
      </c>
      <c r="C2" s="39" t="s">
        <v>99</v>
      </c>
      <c r="D2" s="39" t="s">
        <v>100</v>
      </c>
      <c r="E2" s="39" t="s">
        <v>101</v>
      </c>
      <c r="F2" s="39" t="s">
        <v>102</v>
      </c>
      <c r="G2" s="39" t="s">
        <v>103</v>
      </c>
      <c r="H2" s="39" t="s">
        <v>104</v>
      </c>
      <c r="I2" s="39" t="s">
        <v>178</v>
      </c>
      <c r="J2" s="39" t="s">
        <v>179</v>
      </c>
      <c r="K2" s="39" t="s">
        <v>180</v>
      </c>
      <c r="L2" s="64" t="s">
        <v>181</v>
      </c>
      <c r="M2" s="39" t="s">
        <v>103</v>
      </c>
      <c r="N2" s="39" t="s">
        <v>104</v>
      </c>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row>
    <row r="3" spans="1:153" s="1" customFormat="1" ht="18.75" x14ac:dyDescent="0.2">
      <c r="A3" s="1467" t="s">
        <v>105</v>
      </c>
      <c r="B3" s="1468"/>
      <c r="C3" s="1469"/>
      <c r="D3" s="39"/>
      <c r="E3" s="39"/>
      <c r="F3" s="39"/>
      <c r="G3" s="39"/>
      <c r="H3" s="39"/>
      <c r="I3" s="40"/>
      <c r="J3" s="41"/>
      <c r="K3" s="41"/>
      <c r="L3" s="65"/>
      <c r="M3" s="41"/>
      <c r="N3" s="41"/>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row>
    <row r="4" spans="1:153" x14ac:dyDescent="0.25">
      <c r="A4" s="42">
        <v>1</v>
      </c>
      <c r="B4" s="43" t="s">
        <v>106</v>
      </c>
      <c r="C4" s="44">
        <v>3050000</v>
      </c>
      <c r="D4" s="44">
        <v>2250000</v>
      </c>
      <c r="E4" s="44">
        <v>1975000</v>
      </c>
      <c r="F4" s="44">
        <v>2150000</v>
      </c>
      <c r="G4" s="44">
        <v>2850000</v>
      </c>
      <c r="H4" s="44">
        <v>3200000</v>
      </c>
      <c r="I4" s="44">
        <v>10000000</v>
      </c>
      <c r="J4" s="44">
        <v>9800000</v>
      </c>
      <c r="K4" s="44">
        <v>10000000</v>
      </c>
      <c r="L4" s="66">
        <v>6500000</v>
      </c>
      <c r="M4" s="44">
        <v>2850000</v>
      </c>
      <c r="N4" s="44">
        <v>3200000</v>
      </c>
      <c r="O4" s="5"/>
      <c r="P4" s="5"/>
      <c r="Q4" s="5"/>
      <c r="R4" s="5"/>
      <c r="S4" s="5"/>
      <c r="T4" s="5"/>
      <c r="U4" s="6"/>
      <c r="V4" s="6"/>
      <c r="W4" s="6"/>
      <c r="X4" s="6"/>
      <c r="Y4" s="6"/>
      <c r="Z4" s="6"/>
      <c r="AA4" s="6"/>
      <c r="AB4" s="6"/>
      <c r="AC4" s="6"/>
      <c r="AD4" s="6"/>
      <c r="AE4" s="6"/>
      <c r="AF4" s="6"/>
      <c r="AG4" s="6"/>
      <c r="AH4" s="6"/>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8"/>
      <c r="CS4" s="8"/>
      <c r="CT4" s="8"/>
      <c r="CU4" s="8"/>
      <c r="CV4" s="8"/>
      <c r="CW4" s="8"/>
    </row>
    <row r="5" spans="1:153" x14ac:dyDescent="0.25">
      <c r="A5" s="42">
        <v>2</v>
      </c>
      <c r="B5" s="43" t="s">
        <v>107</v>
      </c>
      <c r="C5" s="45">
        <v>2610</v>
      </c>
      <c r="D5" s="45">
        <v>2280</v>
      </c>
      <c r="E5" s="45">
        <v>2280</v>
      </c>
      <c r="F5" s="45">
        <v>2710</v>
      </c>
      <c r="G5" s="45">
        <v>2670</v>
      </c>
      <c r="H5" s="45">
        <v>2670</v>
      </c>
      <c r="I5" s="45"/>
      <c r="J5" s="45"/>
      <c r="K5" s="45"/>
      <c r="L5" s="67"/>
      <c r="M5" s="45">
        <v>2670</v>
      </c>
      <c r="N5" s="45">
        <v>2670</v>
      </c>
      <c r="O5" s="10"/>
      <c r="P5" s="10"/>
      <c r="Q5" s="10"/>
      <c r="R5" s="10"/>
      <c r="S5" s="10"/>
      <c r="T5" s="10"/>
      <c r="U5" s="11"/>
      <c r="V5" s="11"/>
      <c r="W5" s="11"/>
      <c r="X5" s="11"/>
      <c r="Y5" s="11"/>
      <c r="Z5" s="11"/>
      <c r="AA5" s="11"/>
      <c r="AB5" s="11"/>
      <c r="AC5" s="11"/>
      <c r="AD5" s="11"/>
      <c r="AE5" s="11"/>
      <c r="AF5" s="11"/>
      <c r="AG5" s="11"/>
      <c r="AH5" s="11"/>
    </row>
    <row r="6" spans="1:153" ht="31.5" x14ac:dyDescent="0.25">
      <c r="A6" s="42">
        <v>3</v>
      </c>
      <c r="B6" s="43" t="s">
        <v>108</v>
      </c>
      <c r="C6" s="13" t="s">
        <v>109</v>
      </c>
      <c r="D6" s="13" t="s">
        <v>110</v>
      </c>
      <c r="E6" s="13" t="s">
        <v>110</v>
      </c>
      <c r="F6" s="13" t="s">
        <v>111</v>
      </c>
      <c r="G6" s="13" t="s">
        <v>112</v>
      </c>
      <c r="H6" s="13" t="s">
        <v>112</v>
      </c>
      <c r="I6" s="13"/>
      <c r="J6" s="13"/>
      <c r="K6" s="13"/>
      <c r="L6" s="68"/>
      <c r="M6" s="13" t="s">
        <v>112</v>
      </c>
      <c r="N6" s="13" t="s">
        <v>112</v>
      </c>
      <c r="O6" s="10"/>
      <c r="P6" s="10"/>
      <c r="Q6" s="10"/>
      <c r="R6" s="10"/>
      <c r="S6" s="10"/>
      <c r="T6" s="10"/>
      <c r="U6" s="11"/>
      <c r="V6" s="11"/>
      <c r="W6" s="11"/>
      <c r="X6" s="11"/>
      <c r="Y6" s="11"/>
      <c r="Z6" s="11"/>
      <c r="AA6" s="11"/>
      <c r="AB6" s="11"/>
      <c r="AC6" s="11"/>
      <c r="AD6" s="11"/>
      <c r="AE6" s="11"/>
      <c r="AF6" s="11"/>
      <c r="AG6" s="11"/>
      <c r="AH6" s="11"/>
    </row>
    <row r="7" spans="1:153" x14ac:dyDescent="0.25">
      <c r="A7" s="42">
        <v>3.1</v>
      </c>
      <c r="B7" s="13" t="s">
        <v>113</v>
      </c>
      <c r="C7" s="13">
        <v>2609</v>
      </c>
      <c r="D7" s="13">
        <v>2498</v>
      </c>
      <c r="E7" s="13">
        <v>2498</v>
      </c>
      <c r="F7" s="13">
        <v>1948</v>
      </c>
      <c r="G7" s="13">
        <v>1948</v>
      </c>
      <c r="H7" s="13">
        <v>1948</v>
      </c>
      <c r="I7" s="13">
        <v>4200</v>
      </c>
      <c r="J7" s="13">
        <v>4479</v>
      </c>
      <c r="K7" s="13">
        <v>2800</v>
      </c>
      <c r="L7" s="68">
        <v>3000</v>
      </c>
      <c r="M7" s="13">
        <v>1948</v>
      </c>
      <c r="N7" s="13">
        <v>1948</v>
      </c>
      <c r="O7" s="10"/>
      <c r="P7" s="10"/>
      <c r="Q7" s="10"/>
      <c r="R7" s="10"/>
      <c r="S7" s="10"/>
      <c r="T7" s="10"/>
      <c r="U7" s="11"/>
      <c r="V7" s="11"/>
      <c r="W7" s="11"/>
      <c r="X7" s="11"/>
      <c r="Y7" s="11"/>
      <c r="Z7" s="11"/>
      <c r="AA7" s="11"/>
      <c r="AB7" s="11"/>
      <c r="AC7" s="11"/>
      <c r="AD7" s="11"/>
      <c r="AE7" s="11"/>
      <c r="AF7" s="11"/>
      <c r="AG7" s="11"/>
      <c r="AH7" s="11"/>
    </row>
    <row r="8" spans="1:153" x14ac:dyDescent="0.25">
      <c r="A8" s="42">
        <v>3.2</v>
      </c>
      <c r="B8" s="13" t="s">
        <v>114</v>
      </c>
      <c r="C8" s="13">
        <v>109</v>
      </c>
      <c r="D8" s="13">
        <v>72.5</v>
      </c>
      <c r="E8" s="13">
        <v>72.5</v>
      </c>
      <c r="F8" s="13">
        <f>90*1.012</f>
        <v>91.08</v>
      </c>
      <c r="G8" s="13">
        <f>90*1.012</f>
        <v>91.08</v>
      </c>
      <c r="H8" s="13">
        <f>90*1.012</f>
        <v>91.08</v>
      </c>
      <c r="I8" s="13" t="s">
        <v>182</v>
      </c>
      <c r="J8" s="13" t="s">
        <v>183</v>
      </c>
      <c r="K8" s="13" t="s">
        <v>184</v>
      </c>
      <c r="L8" s="68" t="s">
        <v>185</v>
      </c>
      <c r="M8" s="13">
        <f>90*1.012</f>
        <v>91.08</v>
      </c>
      <c r="N8" s="13">
        <f>90*1.012</f>
        <v>91.08</v>
      </c>
      <c r="O8" s="10"/>
      <c r="P8" s="10"/>
      <c r="Q8" s="10"/>
      <c r="R8" s="10"/>
      <c r="S8" s="10"/>
      <c r="T8" s="10"/>
      <c r="U8" s="11"/>
      <c r="V8" s="11"/>
      <c r="W8" s="11"/>
      <c r="X8" s="11"/>
      <c r="Y8" s="11"/>
      <c r="Z8" s="11"/>
      <c r="AA8" s="11"/>
      <c r="AB8" s="11"/>
      <c r="AC8" s="11"/>
      <c r="AD8" s="11"/>
      <c r="AE8" s="11"/>
      <c r="AF8" s="11"/>
      <c r="AG8" s="11"/>
      <c r="AH8" s="11"/>
    </row>
    <row r="9" spans="1:153" x14ac:dyDescent="0.25">
      <c r="A9" s="42">
        <v>4</v>
      </c>
      <c r="B9" s="43" t="s">
        <v>115</v>
      </c>
      <c r="C9" s="13"/>
      <c r="D9" s="13"/>
      <c r="E9" s="13"/>
      <c r="F9" s="13"/>
      <c r="G9" s="13"/>
      <c r="H9" s="13"/>
      <c r="I9" s="13"/>
      <c r="J9" s="13"/>
      <c r="K9" s="13"/>
      <c r="L9" s="68"/>
      <c r="M9" s="13"/>
      <c r="N9" s="13"/>
      <c r="O9" s="10"/>
      <c r="P9" s="10"/>
      <c r="Q9" s="10"/>
      <c r="R9" s="10"/>
      <c r="S9" s="10"/>
      <c r="T9" s="10"/>
      <c r="U9" s="11"/>
      <c r="V9" s="11"/>
      <c r="W9" s="11"/>
      <c r="X9" s="11"/>
      <c r="Y9" s="11"/>
      <c r="Z9" s="11"/>
      <c r="AA9" s="11"/>
      <c r="AB9" s="11"/>
      <c r="AC9" s="11"/>
      <c r="AD9" s="11"/>
      <c r="AE9" s="11"/>
      <c r="AF9" s="11"/>
      <c r="AG9" s="11"/>
      <c r="AH9" s="11"/>
    </row>
    <row r="10" spans="1:153" ht="47.25" x14ac:dyDescent="0.25">
      <c r="A10" s="42">
        <v>4.0999999999999996</v>
      </c>
      <c r="B10" s="13" t="s">
        <v>116</v>
      </c>
      <c r="C10" s="13" t="s">
        <v>117</v>
      </c>
      <c r="D10" s="13" t="s">
        <v>118</v>
      </c>
      <c r="E10" s="13" t="s">
        <v>118</v>
      </c>
      <c r="F10" s="13" t="s">
        <v>119</v>
      </c>
      <c r="G10" s="13" t="s">
        <v>120</v>
      </c>
      <c r="H10" s="13" t="s">
        <v>120</v>
      </c>
      <c r="I10" s="13" t="s">
        <v>117</v>
      </c>
      <c r="J10" s="13" t="s">
        <v>118</v>
      </c>
      <c r="K10" s="13" t="s">
        <v>118</v>
      </c>
      <c r="L10" s="68" t="s">
        <v>119</v>
      </c>
      <c r="M10" s="13" t="s">
        <v>120</v>
      </c>
      <c r="N10" s="13" t="s">
        <v>120</v>
      </c>
      <c r="O10" s="10"/>
      <c r="P10" s="10"/>
      <c r="Q10" s="10"/>
      <c r="R10" s="10"/>
      <c r="S10" s="10"/>
      <c r="T10" s="10"/>
      <c r="U10" s="11"/>
      <c r="V10" s="11"/>
      <c r="W10" s="11"/>
      <c r="X10" s="11"/>
      <c r="Y10" s="11"/>
      <c r="Z10" s="11"/>
      <c r="AA10" s="11"/>
      <c r="AB10" s="11"/>
      <c r="AC10" s="11"/>
      <c r="AD10" s="11"/>
      <c r="AE10" s="11"/>
      <c r="AF10" s="11"/>
      <c r="AG10" s="11"/>
      <c r="AH10" s="11"/>
    </row>
    <row r="11" spans="1:153" ht="31.5" x14ac:dyDescent="0.25">
      <c r="A11" s="42">
        <v>4.2</v>
      </c>
      <c r="B11" s="13" t="s">
        <v>121</v>
      </c>
      <c r="C11" s="13" t="s">
        <v>122</v>
      </c>
      <c r="D11" s="13" t="s">
        <v>123</v>
      </c>
      <c r="E11" s="13" t="s">
        <v>123</v>
      </c>
      <c r="F11" s="13" t="s">
        <v>122</v>
      </c>
      <c r="G11" s="13" t="s">
        <v>124</v>
      </c>
      <c r="H11" s="13" t="s">
        <v>124</v>
      </c>
      <c r="I11" s="13" t="s">
        <v>122</v>
      </c>
      <c r="J11" s="13" t="s">
        <v>123</v>
      </c>
      <c r="K11" s="13" t="s">
        <v>123</v>
      </c>
      <c r="L11" s="68" t="s">
        <v>122</v>
      </c>
      <c r="M11" s="13" t="s">
        <v>124</v>
      </c>
      <c r="N11" s="13" t="s">
        <v>124</v>
      </c>
      <c r="O11" s="10"/>
      <c r="P11" s="10"/>
      <c r="Q11" s="10"/>
      <c r="R11" s="10"/>
      <c r="S11" s="10"/>
      <c r="T11" s="10"/>
      <c r="U11" s="11"/>
      <c r="V11" s="11"/>
      <c r="W11" s="11"/>
      <c r="X11" s="11"/>
      <c r="Y11" s="11"/>
      <c r="Z11" s="11"/>
      <c r="AA11" s="11"/>
      <c r="AB11" s="11"/>
      <c r="AC11" s="11"/>
      <c r="AD11" s="11"/>
      <c r="AE11" s="11"/>
      <c r="AF11" s="11"/>
      <c r="AG11" s="11"/>
      <c r="AH11" s="11"/>
    </row>
    <row r="12" spans="1:153" x14ac:dyDescent="0.25">
      <c r="A12" s="42">
        <v>5</v>
      </c>
      <c r="B12" s="43" t="s">
        <v>125</v>
      </c>
      <c r="C12" s="13">
        <v>5.7</v>
      </c>
      <c r="D12" s="13">
        <v>5.4</v>
      </c>
      <c r="E12" s="13">
        <v>5.4</v>
      </c>
      <c r="F12" s="13">
        <f>11.8/2</f>
        <v>5.9</v>
      </c>
      <c r="G12" s="13">
        <v>6</v>
      </c>
      <c r="H12" s="13">
        <v>6</v>
      </c>
      <c r="I12" s="13">
        <v>5.7</v>
      </c>
      <c r="J12" s="13">
        <v>5.4</v>
      </c>
      <c r="K12" s="13">
        <v>5.4</v>
      </c>
      <c r="L12" s="68">
        <f>11.8/2</f>
        <v>5.9</v>
      </c>
      <c r="M12" s="13">
        <v>6</v>
      </c>
      <c r="N12" s="13">
        <v>6</v>
      </c>
      <c r="O12" s="10"/>
      <c r="P12" s="10"/>
      <c r="Q12" s="10"/>
      <c r="R12" s="10"/>
      <c r="S12" s="10"/>
      <c r="T12" s="10"/>
      <c r="U12" s="11"/>
      <c r="V12" s="11"/>
      <c r="W12" s="11"/>
      <c r="X12" s="11"/>
      <c r="Y12" s="11"/>
      <c r="Z12" s="11"/>
      <c r="AA12" s="11"/>
      <c r="AB12" s="11"/>
      <c r="AC12" s="11"/>
      <c r="AD12" s="11"/>
      <c r="AE12" s="11"/>
      <c r="AF12" s="11"/>
      <c r="AG12" s="11"/>
      <c r="AH12" s="11"/>
    </row>
    <row r="13" spans="1:153" x14ac:dyDescent="0.25">
      <c r="A13" s="42">
        <v>6</v>
      </c>
      <c r="B13" s="43" t="s">
        <v>126</v>
      </c>
      <c r="C13" s="13">
        <v>180</v>
      </c>
      <c r="D13" s="13">
        <v>200</v>
      </c>
      <c r="E13" s="13">
        <v>200</v>
      </c>
      <c r="F13" s="13">
        <v>160</v>
      </c>
      <c r="G13" s="13">
        <v>205</v>
      </c>
      <c r="H13" s="13">
        <v>205</v>
      </c>
      <c r="I13" s="13">
        <v>180</v>
      </c>
      <c r="J13" s="13">
        <v>200</v>
      </c>
      <c r="K13" s="13">
        <v>200</v>
      </c>
      <c r="L13" s="68">
        <v>160</v>
      </c>
      <c r="M13" s="13">
        <v>205</v>
      </c>
      <c r="N13" s="13">
        <v>205</v>
      </c>
      <c r="O13" s="10"/>
      <c r="P13" s="10"/>
      <c r="Q13" s="10"/>
      <c r="R13" s="10"/>
      <c r="S13" s="10"/>
      <c r="T13" s="10"/>
      <c r="U13" s="11"/>
      <c r="V13" s="11"/>
      <c r="W13" s="11"/>
      <c r="X13" s="11"/>
      <c r="Y13" s="11"/>
      <c r="Z13" s="11"/>
      <c r="AA13" s="11"/>
      <c r="AB13" s="11"/>
      <c r="AC13" s="11"/>
      <c r="AD13" s="11"/>
      <c r="AE13" s="11"/>
      <c r="AF13" s="11"/>
      <c r="AG13" s="11"/>
      <c r="AH13" s="11"/>
    </row>
    <row r="14" spans="1:153" x14ac:dyDescent="0.25">
      <c r="A14" s="42">
        <v>7</v>
      </c>
      <c r="B14" s="43" t="s">
        <v>127</v>
      </c>
      <c r="C14" s="13">
        <v>8</v>
      </c>
      <c r="D14" s="13">
        <v>8</v>
      </c>
      <c r="E14" s="13">
        <v>8</v>
      </c>
      <c r="F14" s="13">
        <v>10</v>
      </c>
      <c r="G14" s="13">
        <v>8</v>
      </c>
      <c r="H14" s="13">
        <v>8</v>
      </c>
      <c r="I14" s="13">
        <v>8</v>
      </c>
      <c r="J14" s="13">
        <v>8</v>
      </c>
      <c r="K14" s="13">
        <v>8</v>
      </c>
      <c r="L14" s="68">
        <v>10</v>
      </c>
      <c r="M14" s="13">
        <v>8</v>
      </c>
      <c r="N14" s="13">
        <v>8</v>
      </c>
      <c r="O14" s="10"/>
      <c r="P14" s="10"/>
      <c r="Q14" s="10"/>
      <c r="R14" s="10"/>
      <c r="S14" s="10"/>
      <c r="T14" s="10"/>
      <c r="U14" s="11"/>
      <c r="V14" s="11"/>
      <c r="W14" s="11"/>
      <c r="X14" s="11"/>
      <c r="Y14" s="11"/>
      <c r="Z14" s="11"/>
      <c r="AA14" s="11"/>
      <c r="AB14" s="11"/>
      <c r="AC14" s="11"/>
      <c r="AD14" s="11"/>
      <c r="AE14" s="11"/>
      <c r="AF14" s="11"/>
      <c r="AG14" s="11"/>
      <c r="AH14" s="11"/>
    </row>
    <row r="15" spans="1:153" x14ac:dyDescent="0.25">
      <c r="A15" s="42">
        <v>8</v>
      </c>
      <c r="B15" s="43" t="s">
        <v>128</v>
      </c>
      <c r="C15" s="13" t="s">
        <v>129</v>
      </c>
      <c r="D15" s="13" t="s">
        <v>130</v>
      </c>
      <c r="E15" s="13" t="s">
        <v>130</v>
      </c>
      <c r="F15" s="13" t="s">
        <v>129</v>
      </c>
      <c r="G15" s="13" t="s">
        <v>129</v>
      </c>
      <c r="H15" s="13" t="s">
        <v>129</v>
      </c>
      <c r="I15" s="13" t="s">
        <v>129</v>
      </c>
      <c r="J15" s="13" t="s">
        <v>130</v>
      </c>
      <c r="K15" s="13" t="s">
        <v>130</v>
      </c>
      <c r="L15" s="68" t="s">
        <v>129</v>
      </c>
      <c r="M15" s="13" t="s">
        <v>129</v>
      </c>
      <c r="N15" s="13" t="s">
        <v>129</v>
      </c>
      <c r="O15" s="10"/>
      <c r="P15" s="10"/>
      <c r="Q15" s="10"/>
      <c r="R15" s="10"/>
      <c r="S15" s="10"/>
      <c r="T15" s="10"/>
      <c r="U15" s="11"/>
      <c r="V15" s="11"/>
      <c r="W15" s="11"/>
      <c r="X15" s="11"/>
      <c r="Y15" s="11"/>
      <c r="Z15" s="11"/>
      <c r="AA15" s="11"/>
      <c r="AB15" s="11"/>
      <c r="AC15" s="11"/>
      <c r="AD15" s="11"/>
      <c r="AE15" s="11"/>
      <c r="AF15" s="11"/>
      <c r="AG15" s="11"/>
      <c r="AH15" s="11"/>
    </row>
    <row r="16" spans="1:153" x14ac:dyDescent="0.25">
      <c r="A16" s="42">
        <v>9</v>
      </c>
      <c r="B16" s="43" t="s">
        <v>131</v>
      </c>
      <c r="C16" s="13"/>
      <c r="D16" s="13">
        <v>2680</v>
      </c>
      <c r="E16" s="13">
        <v>2680</v>
      </c>
      <c r="F16" s="13">
        <v>2400</v>
      </c>
      <c r="G16" s="13">
        <v>2650</v>
      </c>
      <c r="H16" s="13">
        <v>2650</v>
      </c>
      <c r="I16" s="13"/>
      <c r="J16" s="13">
        <v>2680</v>
      </c>
      <c r="K16" s="13">
        <v>2680</v>
      </c>
      <c r="L16" s="68">
        <v>2400</v>
      </c>
      <c r="M16" s="13">
        <v>2650</v>
      </c>
      <c r="N16" s="13">
        <v>2650</v>
      </c>
      <c r="O16" s="10"/>
      <c r="P16" s="10"/>
      <c r="Q16" s="10"/>
      <c r="R16" s="10"/>
      <c r="S16" s="10"/>
      <c r="T16" s="10"/>
      <c r="U16" s="11"/>
      <c r="V16" s="11"/>
      <c r="W16" s="11"/>
      <c r="X16" s="11"/>
      <c r="Y16" s="11"/>
      <c r="Z16" s="11"/>
      <c r="AA16" s="11"/>
      <c r="AB16" s="11"/>
      <c r="AC16" s="11"/>
      <c r="AD16" s="11"/>
      <c r="AE16" s="11"/>
      <c r="AF16" s="11"/>
      <c r="AG16" s="11"/>
      <c r="AH16" s="11"/>
    </row>
    <row r="17" spans="1:153" ht="31.5" x14ac:dyDescent="0.25">
      <c r="A17" s="42">
        <v>10</v>
      </c>
      <c r="B17" s="43" t="s">
        <v>132</v>
      </c>
      <c r="C17" s="13"/>
      <c r="D17" s="13"/>
      <c r="E17" s="13"/>
      <c r="F17" s="13">
        <v>72</v>
      </c>
      <c r="G17" s="13"/>
      <c r="H17" s="13"/>
      <c r="I17" s="14"/>
      <c r="J17" s="15"/>
      <c r="K17" s="15"/>
      <c r="L17" s="69"/>
      <c r="M17" s="15"/>
      <c r="N17" s="15"/>
      <c r="O17" s="10"/>
      <c r="P17" s="10"/>
      <c r="Q17" s="10"/>
      <c r="R17" s="10"/>
      <c r="S17" s="10"/>
      <c r="T17" s="10"/>
      <c r="U17" s="11"/>
      <c r="V17" s="11"/>
      <c r="W17" s="11"/>
      <c r="X17" s="11"/>
      <c r="Y17" s="11"/>
      <c r="Z17" s="11"/>
      <c r="AA17" s="11"/>
      <c r="AB17" s="11"/>
      <c r="AC17" s="11"/>
      <c r="AD17" s="11"/>
      <c r="AE17" s="11"/>
      <c r="AF17" s="11"/>
      <c r="AG17" s="11"/>
      <c r="AH17" s="11"/>
    </row>
    <row r="18" spans="1:153" s="14" customFormat="1" ht="21" customHeight="1" x14ac:dyDescent="0.25">
      <c r="A18" s="1467" t="s">
        <v>133</v>
      </c>
      <c r="B18" s="1468"/>
      <c r="C18" s="1469"/>
      <c r="D18" s="13"/>
      <c r="E18" s="13"/>
      <c r="F18" s="13"/>
      <c r="G18" s="13"/>
      <c r="H18" s="13"/>
      <c r="L18" s="70"/>
      <c r="Q18" s="15"/>
      <c r="R18" s="15"/>
      <c r="S18" s="15"/>
      <c r="T18" s="15"/>
      <c r="U18" s="16"/>
      <c r="V18" s="16"/>
      <c r="W18" s="16"/>
      <c r="X18" s="16"/>
      <c r="Y18" s="16"/>
      <c r="Z18" s="16"/>
      <c r="AA18" s="16"/>
      <c r="AB18" s="16"/>
      <c r="AC18" s="16"/>
      <c r="AD18" s="16"/>
      <c r="AE18" s="16"/>
      <c r="AF18" s="16"/>
      <c r="AG18" s="16"/>
      <c r="AH18" s="16"/>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row>
    <row r="19" spans="1:153" ht="31.5" x14ac:dyDescent="0.25">
      <c r="A19" s="46">
        <v>1</v>
      </c>
      <c r="B19" s="43" t="s">
        <v>134</v>
      </c>
      <c r="C19" s="44">
        <v>3050000</v>
      </c>
      <c r="D19" s="44">
        <v>2250000</v>
      </c>
      <c r="E19" s="44">
        <v>1975000</v>
      </c>
      <c r="F19" s="44">
        <v>2150000</v>
      </c>
      <c r="G19" s="44">
        <v>2850000</v>
      </c>
      <c r="H19" s="44">
        <v>3200000</v>
      </c>
      <c r="I19" s="44">
        <f>+I4</f>
        <v>10000000</v>
      </c>
      <c r="J19" s="44">
        <f>+J4</f>
        <v>9800000</v>
      </c>
      <c r="K19" s="44">
        <f>+K4</f>
        <v>10000000</v>
      </c>
      <c r="L19" s="66">
        <f>+L4</f>
        <v>6500000</v>
      </c>
      <c r="M19" s="44">
        <v>2850000</v>
      </c>
      <c r="N19" s="44">
        <v>3200000</v>
      </c>
      <c r="O19" s="15"/>
      <c r="P19" s="15"/>
      <c r="Q19" s="5"/>
      <c r="R19" s="5"/>
      <c r="S19" s="5"/>
      <c r="T19" s="5"/>
      <c r="U19" s="6"/>
      <c r="V19" s="6"/>
      <c r="W19" s="6"/>
      <c r="X19" s="6"/>
      <c r="Y19" s="6"/>
      <c r="Z19" s="6"/>
      <c r="AA19" s="6"/>
      <c r="AB19" s="6"/>
      <c r="AC19" s="6"/>
      <c r="AD19" s="6"/>
      <c r="AE19" s="6"/>
      <c r="AF19" s="6"/>
      <c r="AG19" s="6"/>
      <c r="AH19" s="6"/>
      <c r="AI19" s="7"/>
      <c r="AJ19" s="7"/>
      <c r="AK19" s="7"/>
      <c r="AL19" s="7"/>
      <c r="AM19" s="7"/>
      <c r="AN19" s="7"/>
      <c r="AO19" s="7"/>
      <c r="AP19" s="7"/>
      <c r="AQ19" s="7"/>
      <c r="AR19" s="7"/>
      <c r="AS19" s="7"/>
      <c r="AT19" s="7"/>
      <c r="AU19" s="7"/>
      <c r="AV19" s="7"/>
      <c r="AW19" s="7"/>
      <c r="AX19" s="7"/>
      <c r="AY19" s="7"/>
      <c r="AZ19" s="7"/>
      <c r="BA19" s="7"/>
      <c r="BB19" s="7"/>
      <c r="BC19" s="7"/>
      <c r="BD19" s="7"/>
      <c r="BE19" s="7"/>
      <c r="BF19" s="7"/>
      <c r="BG19" s="7"/>
      <c r="BH19" s="7"/>
      <c r="BI19" s="7"/>
      <c r="BJ19" s="7"/>
      <c r="BK19" s="7"/>
      <c r="BL19" s="7"/>
      <c r="BM19" s="7"/>
      <c r="BN19" s="7"/>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8"/>
      <c r="CS19" s="8"/>
      <c r="CT19" s="8"/>
      <c r="CU19" s="8"/>
      <c r="CV19" s="8"/>
      <c r="CW19" s="8"/>
    </row>
    <row r="20" spans="1:153" s="19" customFormat="1" ht="31.5" x14ac:dyDescent="0.25">
      <c r="A20" s="47">
        <v>2</v>
      </c>
      <c r="B20" s="48" t="s">
        <v>135</v>
      </c>
      <c r="C20" s="49">
        <v>2020</v>
      </c>
      <c r="D20" s="49">
        <v>1695</v>
      </c>
      <c r="E20" s="49">
        <v>1695</v>
      </c>
      <c r="F20" s="49">
        <v>1900</v>
      </c>
      <c r="G20" s="49">
        <v>1920</v>
      </c>
      <c r="H20" s="49">
        <v>2055</v>
      </c>
      <c r="I20" s="44">
        <v>2020</v>
      </c>
      <c r="J20" s="44">
        <v>1695</v>
      </c>
      <c r="K20" s="44">
        <v>1695</v>
      </c>
      <c r="L20" s="66">
        <v>1900</v>
      </c>
      <c r="M20" s="44">
        <v>1920</v>
      </c>
      <c r="N20" s="44">
        <v>2055</v>
      </c>
      <c r="O20" s="6"/>
      <c r="P20" s="6"/>
      <c r="Q20" s="6"/>
      <c r="R20" s="6"/>
      <c r="S20" s="6"/>
      <c r="T20" s="6"/>
      <c r="U20" s="6"/>
      <c r="V20" s="6"/>
      <c r="W20" s="6"/>
      <c r="X20" s="6"/>
      <c r="Y20" s="6"/>
      <c r="Z20" s="6"/>
      <c r="AA20" s="6"/>
      <c r="AB20" s="6"/>
      <c r="AC20" s="6"/>
      <c r="AD20" s="6"/>
      <c r="AE20" s="6"/>
      <c r="AF20" s="6"/>
      <c r="AG20" s="6"/>
      <c r="AH20" s="6"/>
      <c r="AI20" s="7"/>
      <c r="AJ20" s="7"/>
      <c r="AK20" s="7"/>
      <c r="AL20" s="7"/>
      <c r="AM20" s="7"/>
      <c r="AN20" s="7"/>
      <c r="AO20" s="7"/>
      <c r="AP20" s="7"/>
      <c r="AQ20" s="7"/>
      <c r="AR20" s="7"/>
      <c r="AS20" s="7"/>
      <c r="AT20" s="7"/>
      <c r="AU20" s="7"/>
      <c r="AV20" s="7"/>
      <c r="AW20" s="7"/>
      <c r="AX20" s="7"/>
      <c r="AY20" s="7"/>
      <c r="AZ20" s="7"/>
      <c r="BA20" s="7"/>
      <c r="BB20" s="7"/>
      <c r="BC20" s="7"/>
      <c r="BD20" s="7"/>
      <c r="BE20" s="7"/>
      <c r="BF20" s="7"/>
      <c r="BG20" s="7"/>
      <c r="BH20" s="7"/>
      <c r="BI20" s="7"/>
      <c r="BJ20" s="7"/>
      <c r="BK20" s="7"/>
      <c r="BL20" s="7"/>
      <c r="BM20" s="7"/>
      <c r="BN20" s="7"/>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row>
    <row r="21" spans="1:153" x14ac:dyDescent="0.25">
      <c r="A21" s="46">
        <v>3</v>
      </c>
      <c r="B21" s="43" t="s">
        <v>136</v>
      </c>
      <c r="C21" s="49">
        <v>200</v>
      </c>
      <c r="D21" s="49">
        <v>200</v>
      </c>
      <c r="E21" s="49">
        <v>200</v>
      </c>
      <c r="F21" s="49">
        <v>200</v>
      </c>
      <c r="G21" s="49">
        <v>200</v>
      </c>
      <c r="H21" s="49">
        <v>200</v>
      </c>
      <c r="I21" s="44">
        <v>200</v>
      </c>
      <c r="J21" s="44">
        <v>200</v>
      </c>
      <c r="K21" s="44">
        <v>200</v>
      </c>
      <c r="L21" s="66">
        <v>200</v>
      </c>
      <c r="M21" s="44">
        <v>200</v>
      </c>
      <c r="N21" s="44">
        <v>200</v>
      </c>
      <c r="O21" s="11"/>
      <c r="P21" s="11"/>
      <c r="Q21" s="11"/>
      <c r="R21" s="11"/>
      <c r="S21" s="11"/>
      <c r="T21" s="11"/>
      <c r="U21" s="11"/>
      <c r="V21" s="11"/>
      <c r="W21" s="11"/>
      <c r="X21" s="11"/>
      <c r="Y21" s="11"/>
      <c r="Z21" s="11"/>
      <c r="AA21" s="11"/>
      <c r="AB21" s="11"/>
      <c r="AC21" s="11"/>
      <c r="AD21" s="11"/>
      <c r="AE21" s="11"/>
      <c r="AF21" s="11"/>
      <c r="AG21" s="11"/>
      <c r="AH21" s="11"/>
    </row>
    <row r="22" spans="1:153" x14ac:dyDescent="0.25">
      <c r="A22" s="46">
        <v>4</v>
      </c>
      <c r="B22" s="43" t="s">
        <v>137</v>
      </c>
      <c r="C22" s="49">
        <v>70</v>
      </c>
      <c r="D22" s="49">
        <v>70</v>
      </c>
      <c r="E22" s="49">
        <v>70</v>
      </c>
      <c r="F22" s="49">
        <v>70</v>
      </c>
      <c r="G22" s="49">
        <v>70</v>
      </c>
      <c r="H22" s="49">
        <v>70</v>
      </c>
      <c r="I22" s="44">
        <v>70</v>
      </c>
      <c r="J22" s="44">
        <v>70</v>
      </c>
      <c r="K22" s="44">
        <v>70</v>
      </c>
      <c r="L22" s="66">
        <v>70</v>
      </c>
      <c r="M22" s="44">
        <v>70</v>
      </c>
      <c r="N22" s="44">
        <v>70</v>
      </c>
      <c r="O22" s="11"/>
      <c r="P22" s="11"/>
      <c r="Q22" s="11"/>
      <c r="R22" s="11"/>
      <c r="S22" s="11"/>
      <c r="T22" s="11"/>
      <c r="U22" s="11"/>
      <c r="V22" s="11"/>
      <c r="W22" s="11"/>
      <c r="X22" s="11"/>
      <c r="Y22" s="11"/>
      <c r="Z22" s="11"/>
      <c r="AA22" s="11"/>
      <c r="AB22" s="11"/>
      <c r="AC22" s="11"/>
      <c r="AD22" s="11"/>
      <c r="AE22" s="11"/>
      <c r="AF22" s="11"/>
      <c r="AG22" s="11"/>
      <c r="AH22" s="11"/>
    </row>
    <row r="23" spans="1:153" x14ac:dyDescent="0.25">
      <c r="A23" s="47">
        <v>5</v>
      </c>
      <c r="B23" s="50" t="s">
        <v>138</v>
      </c>
      <c r="C23" s="49">
        <v>19200</v>
      </c>
      <c r="D23" s="49">
        <v>19200</v>
      </c>
      <c r="E23" s="49">
        <v>19200</v>
      </c>
      <c r="F23" s="49">
        <v>15100</v>
      </c>
      <c r="G23" s="49">
        <v>15100</v>
      </c>
      <c r="H23" s="49">
        <v>15100</v>
      </c>
      <c r="I23" s="44">
        <v>19200</v>
      </c>
      <c r="J23" s="44">
        <v>19200</v>
      </c>
      <c r="K23" s="44">
        <v>19200</v>
      </c>
      <c r="L23" s="66">
        <v>15100</v>
      </c>
      <c r="M23" s="44">
        <v>15100</v>
      </c>
      <c r="N23" s="44">
        <v>15100</v>
      </c>
      <c r="O23" s="11"/>
      <c r="P23" s="11"/>
      <c r="Q23" s="11"/>
      <c r="R23" s="11"/>
      <c r="S23" s="11"/>
      <c r="T23" s="11"/>
      <c r="U23" s="11"/>
      <c r="V23" s="11"/>
      <c r="W23" s="11"/>
      <c r="X23" s="11"/>
      <c r="Y23" s="11"/>
      <c r="Z23" s="11"/>
      <c r="AA23" s="11"/>
      <c r="AB23" s="11"/>
      <c r="AC23" s="11"/>
      <c r="AD23" s="11"/>
      <c r="AE23" s="11"/>
      <c r="AF23" s="11"/>
      <c r="AG23" s="11"/>
      <c r="AH23" s="11"/>
    </row>
    <row r="24" spans="1:153" x14ac:dyDescent="0.25">
      <c r="A24" s="46">
        <v>6</v>
      </c>
      <c r="B24" s="43" t="s">
        <v>139</v>
      </c>
      <c r="C24" s="51">
        <f t="shared" ref="C24:N24" si="0">SUM(C21:C23)</f>
        <v>19470</v>
      </c>
      <c r="D24" s="51">
        <f t="shared" si="0"/>
        <v>19470</v>
      </c>
      <c r="E24" s="51">
        <f t="shared" si="0"/>
        <v>19470</v>
      </c>
      <c r="F24" s="51">
        <f t="shared" si="0"/>
        <v>15370</v>
      </c>
      <c r="G24" s="51">
        <f t="shared" si="0"/>
        <v>15370</v>
      </c>
      <c r="H24" s="51">
        <f t="shared" si="0"/>
        <v>15370</v>
      </c>
      <c r="I24" s="52">
        <f t="shared" si="0"/>
        <v>19470</v>
      </c>
      <c r="J24" s="52">
        <f t="shared" si="0"/>
        <v>19470</v>
      </c>
      <c r="K24" s="52">
        <f t="shared" si="0"/>
        <v>19470</v>
      </c>
      <c r="L24" s="71">
        <f t="shared" si="0"/>
        <v>15370</v>
      </c>
      <c r="M24" s="52">
        <f t="shared" si="0"/>
        <v>15370</v>
      </c>
      <c r="N24" s="52">
        <f t="shared" si="0"/>
        <v>15370</v>
      </c>
      <c r="O24" s="11"/>
      <c r="P24" s="11"/>
      <c r="Q24" s="11"/>
      <c r="R24" s="11"/>
      <c r="S24" s="11"/>
      <c r="T24" s="11"/>
      <c r="U24" s="11"/>
      <c r="V24" s="11"/>
      <c r="W24" s="11"/>
      <c r="X24" s="11"/>
      <c r="Y24" s="11"/>
      <c r="Z24" s="11"/>
      <c r="AA24" s="11"/>
      <c r="AB24" s="11"/>
      <c r="AC24" s="11"/>
      <c r="AD24" s="11"/>
      <c r="AE24" s="11"/>
      <c r="AF24" s="11"/>
      <c r="AG24" s="11"/>
      <c r="AH24" s="11"/>
    </row>
    <row r="25" spans="1:153" ht="110.25" x14ac:dyDescent="0.25">
      <c r="A25" s="46">
        <v>7</v>
      </c>
      <c r="B25" s="43" t="s">
        <v>140</v>
      </c>
      <c r="C25" s="51">
        <f>0.02*(C19-100000)+2580+1000</f>
        <v>62580</v>
      </c>
      <c r="D25" s="51">
        <f>0.02*(D19-100000)+2580+1000</f>
        <v>46580</v>
      </c>
      <c r="E25" s="51">
        <f>0.02*(E19-100000)+2580+1000</f>
        <v>41080</v>
      </c>
      <c r="F25" s="51">
        <f>0.02*(F19-100000)+2580+1000</f>
        <v>44580</v>
      </c>
      <c r="G25" s="51">
        <f>0.02*(G19-100000)+2580+1000</f>
        <v>58580</v>
      </c>
      <c r="H25" s="51">
        <f t="shared" ref="H25:N25" si="1">0.02*(H19-100000)+2580+1000</f>
        <v>65580</v>
      </c>
      <c r="I25" s="51">
        <f t="shared" si="1"/>
        <v>201580</v>
      </c>
      <c r="J25" s="51">
        <f t="shared" si="1"/>
        <v>197580</v>
      </c>
      <c r="K25" s="51">
        <f t="shared" si="1"/>
        <v>201580</v>
      </c>
      <c r="L25" s="72">
        <f t="shared" si="1"/>
        <v>131580</v>
      </c>
      <c r="M25" s="51">
        <f t="shared" si="1"/>
        <v>58580</v>
      </c>
      <c r="N25" s="51">
        <f t="shared" si="1"/>
        <v>65580</v>
      </c>
      <c r="O25" s="11"/>
      <c r="P25" s="11"/>
      <c r="Q25" s="11"/>
      <c r="R25" s="11"/>
      <c r="S25" s="11"/>
      <c r="T25" s="11"/>
      <c r="U25" s="11"/>
      <c r="V25" s="11"/>
      <c r="W25" s="11"/>
      <c r="X25" s="11"/>
      <c r="Y25" s="11"/>
      <c r="Z25" s="11"/>
      <c r="AA25" s="11"/>
      <c r="AB25" s="11"/>
      <c r="AC25" s="11"/>
      <c r="AD25" s="11"/>
      <c r="AE25" s="11"/>
      <c r="AF25" s="11"/>
      <c r="AG25" s="11"/>
      <c r="AH25" s="11"/>
    </row>
    <row r="26" spans="1:153" x14ac:dyDescent="0.25">
      <c r="A26" s="47">
        <v>8</v>
      </c>
      <c r="B26" s="43" t="s">
        <v>141</v>
      </c>
      <c r="C26" s="51">
        <f t="shared" ref="C26:N26" si="2">+C25+C24</f>
        <v>82050</v>
      </c>
      <c r="D26" s="51">
        <f t="shared" si="2"/>
        <v>66050</v>
      </c>
      <c r="E26" s="51">
        <f t="shared" si="2"/>
        <v>60550</v>
      </c>
      <c r="F26" s="51">
        <f t="shared" si="2"/>
        <v>59950</v>
      </c>
      <c r="G26" s="51">
        <f t="shared" si="2"/>
        <v>73950</v>
      </c>
      <c r="H26" s="51">
        <f t="shared" si="2"/>
        <v>80950</v>
      </c>
      <c r="I26" s="51">
        <f t="shared" si="2"/>
        <v>221050</v>
      </c>
      <c r="J26" s="51">
        <f t="shared" si="2"/>
        <v>217050</v>
      </c>
      <c r="K26" s="51">
        <f t="shared" si="2"/>
        <v>221050</v>
      </c>
      <c r="L26" s="72">
        <f t="shared" si="2"/>
        <v>146950</v>
      </c>
      <c r="M26" s="51">
        <f t="shared" si="2"/>
        <v>73950</v>
      </c>
      <c r="N26" s="51">
        <f t="shared" si="2"/>
        <v>80950</v>
      </c>
      <c r="O26" s="11"/>
      <c r="P26" s="11"/>
      <c r="Q26" s="11"/>
      <c r="R26" s="11"/>
      <c r="S26" s="11"/>
      <c r="T26" s="11"/>
      <c r="U26" s="11"/>
      <c r="V26" s="11"/>
      <c r="W26" s="11"/>
      <c r="X26" s="11"/>
      <c r="Y26" s="11"/>
      <c r="Z26" s="11"/>
      <c r="AA26" s="11"/>
      <c r="AB26" s="11"/>
      <c r="AC26" s="11"/>
      <c r="AD26" s="11"/>
      <c r="AE26" s="11"/>
      <c r="AF26" s="11"/>
      <c r="AG26" s="11"/>
      <c r="AH26" s="11"/>
    </row>
    <row r="27" spans="1:153" s="19" customFormat="1" ht="47.25" x14ac:dyDescent="0.25">
      <c r="A27" s="46">
        <v>9</v>
      </c>
      <c r="B27" s="48" t="s">
        <v>142</v>
      </c>
      <c r="C27" s="49">
        <f t="shared" ref="C27:N27" si="3">((C31+1)/(2*C31)*C26)*0.1</f>
        <v>4376</v>
      </c>
      <c r="D27" s="49">
        <f t="shared" si="3"/>
        <v>3522.6666666666665</v>
      </c>
      <c r="E27" s="49">
        <f t="shared" si="3"/>
        <v>3229.3333333333335</v>
      </c>
      <c r="F27" s="49">
        <f t="shared" si="3"/>
        <v>3197.3333333333335</v>
      </c>
      <c r="G27" s="49">
        <f t="shared" si="3"/>
        <v>3944</v>
      </c>
      <c r="H27" s="49">
        <f t="shared" si="3"/>
        <v>4317.3333333333339</v>
      </c>
      <c r="I27" s="49">
        <f t="shared" si="3"/>
        <v>11789.333333333334</v>
      </c>
      <c r="J27" s="49">
        <f t="shared" si="3"/>
        <v>11576</v>
      </c>
      <c r="K27" s="49">
        <f t="shared" si="3"/>
        <v>11789.333333333334</v>
      </c>
      <c r="L27" s="73">
        <f t="shared" si="3"/>
        <v>7837.333333333333</v>
      </c>
      <c r="M27" s="49">
        <f t="shared" si="3"/>
        <v>3944</v>
      </c>
      <c r="N27" s="49">
        <f t="shared" si="3"/>
        <v>4317.3333333333339</v>
      </c>
      <c r="O27" s="6"/>
      <c r="P27" s="6"/>
      <c r="Q27" s="6"/>
      <c r="R27" s="6"/>
      <c r="S27" s="6"/>
      <c r="T27" s="6"/>
      <c r="U27" s="6"/>
      <c r="V27" s="6"/>
      <c r="W27" s="6"/>
      <c r="X27" s="6"/>
      <c r="Y27" s="6"/>
      <c r="Z27" s="6"/>
      <c r="AA27" s="6"/>
      <c r="AB27" s="6"/>
      <c r="AC27" s="6"/>
      <c r="AD27" s="6"/>
      <c r="AE27" s="6"/>
      <c r="AF27" s="6"/>
      <c r="AG27" s="6"/>
      <c r="AH27" s="6"/>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row>
    <row r="28" spans="1:153" s="19" customFormat="1" ht="31.5" x14ac:dyDescent="0.25">
      <c r="A28" s="46">
        <v>10</v>
      </c>
      <c r="B28" s="48" t="s">
        <v>143</v>
      </c>
      <c r="C28" s="49">
        <f>((C31+1)/(2*C31)*C19)*0.1</f>
        <v>162666.66666666669</v>
      </c>
      <c r="D28" s="49">
        <f>((D31+1)/(2*D31)*D19)*0.1</f>
        <v>120000</v>
      </c>
      <c r="E28" s="49">
        <f>((E31+1)/(2*E31)*E19)*0.1</f>
        <v>105333.33333333333</v>
      </c>
      <c r="F28" s="49">
        <f>((F31+1)/(2*F31)*F19)*0.1</f>
        <v>114666.66666666669</v>
      </c>
      <c r="G28" s="49">
        <f>((G31+1)/(2*G31)*G19)*0.1</f>
        <v>152000</v>
      </c>
      <c r="H28" s="49">
        <f t="shared" ref="H28:N28" si="4">((H31+1)/(2*H31)*H19)*0.1</f>
        <v>170666.66666666669</v>
      </c>
      <c r="I28" s="49">
        <f t="shared" si="4"/>
        <v>533333.33333333337</v>
      </c>
      <c r="J28" s="49">
        <f t="shared" si="4"/>
        <v>522666.66666666674</v>
      </c>
      <c r="K28" s="49">
        <f t="shared" si="4"/>
        <v>533333.33333333337</v>
      </c>
      <c r="L28" s="73">
        <f t="shared" si="4"/>
        <v>346666.66666666669</v>
      </c>
      <c r="M28" s="49">
        <f t="shared" si="4"/>
        <v>152000</v>
      </c>
      <c r="N28" s="49">
        <f t="shared" si="4"/>
        <v>170666.66666666669</v>
      </c>
      <c r="O28" s="6"/>
      <c r="P28" s="6"/>
      <c r="Q28" s="6"/>
      <c r="R28" s="6"/>
      <c r="S28" s="6"/>
      <c r="T28" s="6"/>
      <c r="U28" s="6"/>
      <c r="V28" s="6"/>
      <c r="W28" s="6"/>
      <c r="X28" s="6"/>
      <c r="Y28" s="6"/>
      <c r="Z28" s="6"/>
      <c r="AA28" s="6"/>
      <c r="AB28" s="6"/>
      <c r="AC28" s="6"/>
      <c r="AD28" s="6"/>
      <c r="AE28" s="6"/>
      <c r="AF28" s="6"/>
      <c r="AG28" s="6"/>
      <c r="AH28" s="6"/>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row>
    <row r="29" spans="1:153" x14ac:dyDescent="0.25">
      <c r="A29" s="47">
        <v>11</v>
      </c>
      <c r="B29" s="43" t="s">
        <v>144</v>
      </c>
      <c r="C29" s="53">
        <f>+C19-(C46*C45)</f>
        <v>3010000</v>
      </c>
      <c r="D29" s="53">
        <f>+D19-(D46*D45)</f>
        <v>2210000</v>
      </c>
      <c r="E29" s="53">
        <f>+E19-(E46*E45)</f>
        <v>1935000</v>
      </c>
      <c r="F29" s="53">
        <f>+F19-(F46*F45)</f>
        <v>2110000</v>
      </c>
      <c r="G29" s="53">
        <f>+G19-(G46*G45)</f>
        <v>2810000</v>
      </c>
      <c r="H29" s="53">
        <f t="shared" ref="H29:N29" si="5">+H19-(H46*H45)</f>
        <v>3160000</v>
      </c>
      <c r="I29" s="53">
        <f t="shared" si="5"/>
        <v>9960000</v>
      </c>
      <c r="J29" s="53">
        <f t="shared" si="5"/>
        <v>9760000</v>
      </c>
      <c r="K29" s="53">
        <f t="shared" si="5"/>
        <v>9960000</v>
      </c>
      <c r="L29" s="74">
        <f t="shared" si="5"/>
        <v>6460000</v>
      </c>
      <c r="M29" s="53">
        <f t="shared" si="5"/>
        <v>2810000</v>
      </c>
      <c r="N29" s="53">
        <f t="shared" si="5"/>
        <v>3160000</v>
      </c>
      <c r="O29" s="7"/>
      <c r="P29" s="7"/>
      <c r="Q29" s="7"/>
    </row>
    <row r="30" spans="1:153" ht="31.5" x14ac:dyDescent="0.25">
      <c r="A30" s="46">
        <v>12</v>
      </c>
      <c r="B30" s="43" t="s">
        <v>145</v>
      </c>
      <c r="C30" s="49">
        <f>+C20*15</f>
        <v>30300</v>
      </c>
      <c r="D30" s="49">
        <f>+D20*15</f>
        <v>25425</v>
      </c>
      <c r="E30" s="49">
        <f>+E20*15</f>
        <v>25425</v>
      </c>
      <c r="F30" s="49">
        <f>+F20*15</f>
        <v>28500</v>
      </c>
      <c r="G30" s="49">
        <f>+G20*15</f>
        <v>28800</v>
      </c>
      <c r="H30" s="49">
        <f t="shared" ref="H30:N30" si="6">+H20*15</f>
        <v>30825</v>
      </c>
      <c r="I30" s="49">
        <f t="shared" si="6"/>
        <v>30300</v>
      </c>
      <c r="J30" s="49">
        <f t="shared" si="6"/>
        <v>25425</v>
      </c>
      <c r="K30" s="49">
        <f t="shared" si="6"/>
        <v>25425</v>
      </c>
      <c r="L30" s="73">
        <f t="shared" si="6"/>
        <v>28500</v>
      </c>
      <c r="M30" s="49">
        <f t="shared" si="6"/>
        <v>28800</v>
      </c>
      <c r="N30" s="49">
        <f t="shared" si="6"/>
        <v>30825</v>
      </c>
      <c r="O30" s="11"/>
      <c r="P30" s="11"/>
      <c r="Q30" s="11"/>
      <c r="R30" s="11"/>
      <c r="S30" s="11"/>
      <c r="T30" s="11"/>
      <c r="U30" s="11"/>
      <c r="V30" s="11"/>
      <c r="W30" s="11"/>
      <c r="X30" s="11"/>
      <c r="Y30" s="11"/>
      <c r="Z30" s="11"/>
      <c r="AA30" s="11"/>
      <c r="AB30" s="11"/>
      <c r="AC30" s="11"/>
      <c r="AD30" s="11"/>
      <c r="AE30" s="11"/>
      <c r="AF30" s="11"/>
      <c r="AG30" s="11"/>
      <c r="AH30" s="11"/>
    </row>
    <row r="31" spans="1:153" x14ac:dyDescent="0.25">
      <c r="A31" s="46">
        <v>13</v>
      </c>
      <c r="B31" s="43" t="s">
        <v>146</v>
      </c>
      <c r="C31" s="55">
        <v>15</v>
      </c>
      <c r="D31" s="55">
        <v>15</v>
      </c>
      <c r="E31" s="55">
        <v>15</v>
      </c>
      <c r="F31" s="55">
        <v>15</v>
      </c>
      <c r="G31" s="55">
        <v>15</v>
      </c>
      <c r="H31" s="55">
        <v>15</v>
      </c>
      <c r="I31" s="55">
        <v>15</v>
      </c>
      <c r="J31" s="55">
        <v>15</v>
      </c>
      <c r="K31" s="55">
        <v>15</v>
      </c>
      <c r="L31" s="75">
        <v>15</v>
      </c>
      <c r="M31" s="55">
        <v>15</v>
      </c>
      <c r="N31" s="55">
        <v>15</v>
      </c>
      <c r="O31" s="11"/>
      <c r="P31" s="11"/>
      <c r="Q31" s="11"/>
      <c r="R31" s="11"/>
      <c r="S31" s="11"/>
      <c r="T31" s="11"/>
      <c r="U31" s="11"/>
      <c r="V31" s="11"/>
      <c r="W31" s="11"/>
      <c r="X31" s="11"/>
      <c r="Y31" s="11"/>
      <c r="Z31" s="11"/>
      <c r="AA31" s="11"/>
      <c r="AB31" s="11"/>
      <c r="AC31" s="11"/>
      <c r="AD31" s="11"/>
      <c r="AE31" s="11"/>
      <c r="AF31" s="11"/>
      <c r="AG31" s="11"/>
      <c r="AH31" s="11"/>
    </row>
    <row r="32" spans="1:153" x14ac:dyDescent="0.25">
      <c r="A32" s="47">
        <v>14</v>
      </c>
      <c r="B32" s="43" t="s">
        <v>147</v>
      </c>
      <c r="C32" s="49">
        <v>30000</v>
      </c>
      <c r="D32" s="49">
        <v>30000</v>
      </c>
      <c r="E32" s="49">
        <v>30000</v>
      </c>
      <c r="F32" s="49">
        <v>30000</v>
      </c>
      <c r="G32" s="49">
        <v>30000</v>
      </c>
      <c r="H32" s="49">
        <v>30000</v>
      </c>
      <c r="I32" s="49">
        <v>30000</v>
      </c>
      <c r="J32" s="49">
        <v>30000</v>
      </c>
      <c r="K32" s="49">
        <v>30000</v>
      </c>
      <c r="L32" s="73">
        <v>30000</v>
      </c>
      <c r="M32" s="49">
        <v>30000</v>
      </c>
      <c r="N32" s="49">
        <v>30000</v>
      </c>
      <c r="O32" s="11"/>
      <c r="P32" s="11"/>
      <c r="Q32" s="11"/>
      <c r="R32" s="11"/>
      <c r="S32" s="11"/>
      <c r="T32" s="11"/>
      <c r="U32" s="11"/>
      <c r="V32" s="11"/>
      <c r="W32" s="11"/>
      <c r="X32" s="11"/>
      <c r="Y32" s="11"/>
      <c r="Z32" s="11"/>
      <c r="AA32" s="11"/>
      <c r="AB32" s="11"/>
      <c r="AC32" s="11"/>
      <c r="AD32" s="11"/>
      <c r="AE32" s="11"/>
      <c r="AF32" s="11"/>
      <c r="AG32" s="11"/>
      <c r="AH32" s="11"/>
    </row>
    <row r="33" spans="1:153" ht="31.5" x14ac:dyDescent="0.25">
      <c r="A33" s="46">
        <v>15</v>
      </c>
      <c r="B33" s="43" t="s">
        <v>148</v>
      </c>
      <c r="C33" s="49">
        <f t="shared" ref="C33:N33" si="7">30000*15</f>
        <v>450000</v>
      </c>
      <c r="D33" s="49">
        <f t="shared" si="7"/>
        <v>450000</v>
      </c>
      <c r="E33" s="49">
        <f t="shared" si="7"/>
        <v>450000</v>
      </c>
      <c r="F33" s="49">
        <f t="shared" si="7"/>
        <v>450000</v>
      </c>
      <c r="G33" s="49">
        <f t="shared" si="7"/>
        <v>450000</v>
      </c>
      <c r="H33" s="49">
        <f t="shared" si="7"/>
        <v>450000</v>
      </c>
      <c r="I33" s="49">
        <f t="shared" si="7"/>
        <v>450000</v>
      </c>
      <c r="J33" s="49">
        <f t="shared" si="7"/>
        <v>450000</v>
      </c>
      <c r="K33" s="49">
        <f t="shared" si="7"/>
        <v>450000</v>
      </c>
      <c r="L33" s="73">
        <f t="shared" si="7"/>
        <v>450000</v>
      </c>
      <c r="M33" s="49">
        <f t="shared" si="7"/>
        <v>450000</v>
      </c>
      <c r="N33" s="49">
        <f t="shared" si="7"/>
        <v>450000</v>
      </c>
      <c r="O33" s="11"/>
      <c r="P33" s="11"/>
      <c r="Q33" s="11"/>
      <c r="R33" s="11"/>
      <c r="S33" s="11"/>
      <c r="T33" s="11"/>
      <c r="U33" s="11"/>
      <c r="V33" s="11"/>
      <c r="W33" s="11"/>
      <c r="X33" s="11"/>
      <c r="Y33" s="11"/>
      <c r="Z33" s="11"/>
      <c r="AA33" s="11"/>
      <c r="AB33" s="11"/>
      <c r="AC33" s="11"/>
      <c r="AD33" s="11"/>
      <c r="AE33" s="11"/>
      <c r="AF33" s="11"/>
      <c r="AG33" s="11"/>
      <c r="AH33" s="11"/>
    </row>
    <row r="34" spans="1:153" ht="47.25" x14ac:dyDescent="0.25">
      <c r="A34" s="46">
        <v>16</v>
      </c>
      <c r="B34" s="43" t="s">
        <v>149</v>
      </c>
      <c r="C34" s="53">
        <f>+(C29-C30)/C31</f>
        <v>198646.66666666666</v>
      </c>
      <c r="D34" s="53">
        <f>+(D29-D30)/D31</f>
        <v>145638.33333333334</v>
      </c>
      <c r="E34" s="53">
        <f>+(E29-E30)/E31</f>
        <v>127305</v>
      </c>
      <c r="F34" s="53">
        <f>+(F29-F30)/F31</f>
        <v>138766.66666666666</v>
      </c>
      <c r="G34" s="53">
        <f>+(G29-G30)/G31</f>
        <v>185413.33333333334</v>
      </c>
      <c r="H34" s="53">
        <f t="shared" ref="H34:N34" si="8">+(H29-H30)/H31</f>
        <v>208611.66666666666</v>
      </c>
      <c r="I34" s="53">
        <f t="shared" si="8"/>
        <v>661980</v>
      </c>
      <c r="J34" s="53">
        <f t="shared" si="8"/>
        <v>648971.66666666663</v>
      </c>
      <c r="K34" s="53">
        <f t="shared" si="8"/>
        <v>662305</v>
      </c>
      <c r="L34" s="74">
        <f t="shared" si="8"/>
        <v>428766.66666666669</v>
      </c>
      <c r="M34" s="53">
        <f t="shared" si="8"/>
        <v>185413.33333333334</v>
      </c>
      <c r="N34" s="53">
        <f t="shared" si="8"/>
        <v>208611.66666666666</v>
      </c>
      <c r="O34" s="7"/>
      <c r="P34" s="7"/>
      <c r="Q34" s="7"/>
    </row>
    <row r="35" spans="1:153" x14ac:dyDescent="0.25">
      <c r="A35" s="47">
        <v>17</v>
      </c>
      <c r="B35" s="43" t="s">
        <v>150</v>
      </c>
      <c r="C35" s="53">
        <f t="shared" ref="C35:N35" si="9">+C34/C32</f>
        <v>6.6215555555555552</v>
      </c>
      <c r="D35" s="53">
        <f t="shared" si="9"/>
        <v>4.8546111111111117</v>
      </c>
      <c r="E35" s="53">
        <f t="shared" si="9"/>
        <v>4.2435</v>
      </c>
      <c r="F35" s="53">
        <f t="shared" si="9"/>
        <v>4.6255555555555556</v>
      </c>
      <c r="G35" s="53">
        <f t="shared" si="9"/>
        <v>6.1804444444444444</v>
      </c>
      <c r="H35" s="53">
        <f t="shared" si="9"/>
        <v>6.9537222222222219</v>
      </c>
      <c r="I35" s="53">
        <f t="shared" si="9"/>
        <v>22.065999999999999</v>
      </c>
      <c r="J35" s="53">
        <f t="shared" si="9"/>
        <v>21.632388888888887</v>
      </c>
      <c r="K35" s="53">
        <f t="shared" si="9"/>
        <v>22.076833333333333</v>
      </c>
      <c r="L35" s="74">
        <f t="shared" si="9"/>
        <v>14.292222222222223</v>
      </c>
      <c r="M35" s="53">
        <f t="shared" si="9"/>
        <v>6.1804444444444444</v>
      </c>
      <c r="N35" s="53">
        <f t="shared" si="9"/>
        <v>6.9537222222222219</v>
      </c>
      <c r="O35" s="7"/>
      <c r="P35" s="7"/>
      <c r="Q35" s="7"/>
    </row>
    <row r="36" spans="1:153" x14ac:dyDescent="0.25">
      <c r="A36" s="46">
        <v>18</v>
      </c>
      <c r="B36" s="43" t="s">
        <v>151</v>
      </c>
      <c r="C36" s="55">
        <v>1</v>
      </c>
      <c r="D36" s="55">
        <v>1</v>
      </c>
      <c r="E36" s="55">
        <v>1</v>
      </c>
      <c r="F36" s="55">
        <v>1</v>
      </c>
      <c r="G36" s="55">
        <v>1</v>
      </c>
      <c r="H36" s="55">
        <v>1</v>
      </c>
      <c r="I36" s="55">
        <v>1</v>
      </c>
      <c r="J36" s="55">
        <v>1</v>
      </c>
      <c r="K36" s="55">
        <v>1</v>
      </c>
      <c r="L36" s="75">
        <v>1</v>
      </c>
      <c r="M36" s="55">
        <v>1</v>
      </c>
      <c r="N36" s="55">
        <v>1</v>
      </c>
      <c r="O36" s="11"/>
      <c r="P36" s="11"/>
      <c r="Q36" s="11"/>
      <c r="R36" s="11"/>
      <c r="S36" s="11"/>
      <c r="T36" s="11"/>
      <c r="U36" s="11"/>
      <c r="V36" s="11"/>
      <c r="W36" s="11"/>
      <c r="X36" s="11"/>
      <c r="Y36" s="11"/>
      <c r="Z36" s="11"/>
      <c r="AA36" s="11"/>
      <c r="AB36" s="11"/>
      <c r="AC36" s="11"/>
      <c r="AD36" s="11"/>
      <c r="AE36" s="11"/>
      <c r="AF36" s="11"/>
      <c r="AG36" s="11"/>
      <c r="AH36" s="11"/>
    </row>
    <row r="37" spans="1:153" ht="31.5" x14ac:dyDescent="0.25">
      <c r="A37" s="46">
        <v>19</v>
      </c>
      <c r="B37" s="43" t="s">
        <v>152</v>
      </c>
      <c r="C37" s="49">
        <f t="shared" ref="C37:N37" si="10">5000*12</f>
        <v>60000</v>
      </c>
      <c r="D37" s="49">
        <f t="shared" si="10"/>
        <v>60000</v>
      </c>
      <c r="E37" s="49">
        <f t="shared" si="10"/>
        <v>60000</v>
      </c>
      <c r="F37" s="49">
        <f t="shared" si="10"/>
        <v>60000</v>
      </c>
      <c r="G37" s="49">
        <f t="shared" si="10"/>
        <v>60000</v>
      </c>
      <c r="H37" s="49">
        <f t="shared" si="10"/>
        <v>60000</v>
      </c>
      <c r="I37" s="49">
        <f t="shared" si="10"/>
        <v>60000</v>
      </c>
      <c r="J37" s="49">
        <f t="shared" si="10"/>
        <v>60000</v>
      </c>
      <c r="K37" s="49">
        <f t="shared" si="10"/>
        <v>60000</v>
      </c>
      <c r="L37" s="73">
        <f t="shared" si="10"/>
        <v>60000</v>
      </c>
      <c r="M37" s="49">
        <f t="shared" si="10"/>
        <v>60000</v>
      </c>
      <c r="N37" s="49">
        <f t="shared" si="10"/>
        <v>60000</v>
      </c>
      <c r="O37" s="11"/>
      <c r="P37" s="11"/>
      <c r="Q37" s="11"/>
      <c r="R37" s="11"/>
      <c r="S37" s="11"/>
      <c r="T37" s="11"/>
      <c r="U37" s="11"/>
      <c r="V37" s="11"/>
      <c r="W37" s="11"/>
      <c r="X37" s="11"/>
      <c r="Y37" s="11"/>
      <c r="Z37" s="11"/>
      <c r="AA37" s="11"/>
      <c r="AB37" s="11"/>
      <c r="AC37" s="11"/>
      <c r="AD37" s="11"/>
      <c r="AE37" s="11"/>
      <c r="AF37" s="11"/>
      <c r="AG37" s="11"/>
      <c r="AH37" s="11"/>
    </row>
    <row r="38" spans="1:153" ht="63" x14ac:dyDescent="0.25">
      <c r="A38" s="47">
        <v>20</v>
      </c>
      <c r="B38" s="43" t="s">
        <v>153</v>
      </c>
      <c r="C38" s="53">
        <f t="shared" ref="C38:N38" si="11">10*150*12</f>
        <v>18000</v>
      </c>
      <c r="D38" s="53">
        <f t="shared" si="11"/>
        <v>18000</v>
      </c>
      <c r="E38" s="53">
        <f t="shared" si="11"/>
        <v>18000</v>
      </c>
      <c r="F38" s="53">
        <f t="shared" si="11"/>
        <v>18000</v>
      </c>
      <c r="G38" s="53">
        <f t="shared" si="11"/>
        <v>18000</v>
      </c>
      <c r="H38" s="53">
        <f t="shared" si="11"/>
        <v>18000</v>
      </c>
      <c r="I38" s="53">
        <f t="shared" si="11"/>
        <v>18000</v>
      </c>
      <c r="J38" s="53">
        <f t="shared" si="11"/>
        <v>18000</v>
      </c>
      <c r="K38" s="53">
        <f t="shared" si="11"/>
        <v>18000</v>
      </c>
      <c r="L38" s="74">
        <f t="shared" si="11"/>
        <v>18000</v>
      </c>
      <c r="M38" s="53">
        <f t="shared" si="11"/>
        <v>18000</v>
      </c>
      <c r="N38" s="53">
        <f t="shared" si="11"/>
        <v>18000</v>
      </c>
      <c r="O38" s="7"/>
      <c r="P38" s="7"/>
      <c r="Q38" s="7"/>
    </row>
    <row r="39" spans="1:153" ht="31.5" x14ac:dyDescent="0.25">
      <c r="A39" s="46">
        <v>21</v>
      </c>
      <c r="B39" s="43" t="s">
        <v>154</v>
      </c>
      <c r="C39" s="53">
        <f t="shared" ref="C39:N39" si="12">((5000/25)/8)*20*12</f>
        <v>6000</v>
      </c>
      <c r="D39" s="53">
        <f t="shared" si="12"/>
        <v>6000</v>
      </c>
      <c r="E39" s="53">
        <f t="shared" si="12"/>
        <v>6000</v>
      </c>
      <c r="F39" s="53">
        <f t="shared" si="12"/>
        <v>6000</v>
      </c>
      <c r="G39" s="53">
        <f t="shared" si="12"/>
        <v>6000</v>
      </c>
      <c r="H39" s="53">
        <f t="shared" si="12"/>
        <v>6000</v>
      </c>
      <c r="I39" s="53">
        <f t="shared" si="12"/>
        <v>6000</v>
      </c>
      <c r="J39" s="53">
        <f t="shared" si="12"/>
        <v>6000</v>
      </c>
      <c r="K39" s="53">
        <f t="shared" si="12"/>
        <v>6000</v>
      </c>
      <c r="L39" s="74">
        <f t="shared" si="12"/>
        <v>6000</v>
      </c>
      <c r="M39" s="53">
        <f t="shared" si="12"/>
        <v>6000</v>
      </c>
      <c r="N39" s="53">
        <f t="shared" si="12"/>
        <v>6000</v>
      </c>
      <c r="O39" s="7"/>
      <c r="P39" s="7"/>
      <c r="Q39" s="7"/>
    </row>
    <row r="40" spans="1:153" ht="31.5" x14ac:dyDescent="0.25">
      <c r="A40" s="46">
        <v>22</v>
      </c>
      <c r="B40" s="43" t="s">
        <v>155</v>
      </c>
      <c r="C40" s="53">
        <f t="shared" ref="C40:N40" si="13">SUM(C37:C39)</f>
        <v>84000</v>
      </c>
      <c r="D40" s="53">
        <f t="shared" si="13"/>
        <v>84000</v>
      </c>
      <c r="E40" s="53">
        <f t="shared" si="13"/>
        <v>84000</v>
      </c>
      <c r="F40" s="53">
        <f t="shared" si="13"/>
        <v>84000</v>
      </c>
      <c r="G40" s="53">
        <f t="shared" si="13"/>
        <v>84000</v>
      </c>
      <c r="H40" s="53">
        <f t="shared" si="13"/>
        <v>84000</v>
      </c>
      <c r="I40" s="53">
        <f t="shared" si="13"/>
        <v>84000</v>
      </c>
      <c r="J40" s="53">
        <f t="shared" si="13"/>
        <v>84000</v>
      </c>
      <c r="K40" s="53">
        <f t="shared" si="13"/>
        <v>84000</v>
      </c>
      <c r="L40" s="74">
        <f t="shared" si="13"/>
        <v>84000</v>
      </c>
      <c r="M40" s="53">
        <f t="shared" si="13"/>
        <v>84000</v>
      </c>
      <c r="N40" s="53">
        <f t="shared" si="13"/>
        <v>84000</v>
      </c>
      <c r="O40" s="7"/>
      <c r="P40" s="7"/>
      <c r="Q40" s="7"/>
    </row>
    <row r="41" spans="1:153" s="22" customFormat="1" x14ac:dyDescent="0.25">
      <c r="A41" s="47">
        <v>23</v>
      </c>
      <c r="B41" s="43" t="s">
        <v>156</v>
      </c>
      <c r="C41" s="56">
        <f t="shared" ref="C41:N41" si="14">+C40+C34+C28+C27+C26</f>
        <v>531739.33333333326</v>
      </c>
      <c r="D41" s="56">
        <f t="shared" si="14"/>
        <v>419211.00000000006</v>
      </c>
      <c r="E41" s="56">
        <f t="shared" si="14"/>
        <v>380417.66666666663</v>
      </c>
      <c r="F41" s="56">
        <f t="shared" si="14"/>
        <v>400580.66666666669</v>
      </c>
      <c r="G41" s="56">
        <f t="shared" si="14"/>
        <v>499307.33333333337</v>
      </c>
      <c r="H41" s="56">
        <f t="shared" si="14"/>
        <v>548545.66666666663</v>
      </c>
      <c r="I41" s="56">
        <f t="shared" si="14"/>
        <v>1512152.6666666667</v>
      </c>
      <c r="J41" s="56">
        <f t="shared" si="14"/>
        <v>1484264.3333333335</v>
      </c>
      <c r="K41" s="56">
        <f t="shared" si="14"/>
        <v>1512477.6666666667</v>
      </c>
      <c r="L41" s="76">
        <f t="shared" si="14"/>
        <v>1014220.6666666667</v>
      </c>
      <c r="M41" s="56">
        <f t="shared" si="14"/>
        <v>499307.33333333337</v>
      </c>
      <c r="N41" s="56">
        <f t="shared" si="14"/>
        <v>548545.66666666663</v>
      </c>
      <c r="O41" s="20"/>
      <c r="P41" s="20"/>
      <c r="Q41" s="20"/>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row>
    <row r="42" spans="1:153" s="22" customFormat="1" x14ac:dyDescent="0.25">
      <c r="A42" s="46">
        <v>24</v>
      </c>
      <c r="B42" s="43" t="s">
        <v>157</v>
      </c>
      <c r="C42" s="56">
        <f t="shared" ref="C42:N42" si="15">+C41/12</f>
        <v>44311.611111111102</v>
      </c>
      <c r="D42" s="56">
        <f t="shared" si="15"/>
        <v>34934.250000000007</v>
      </c>
      <c r="E42" s="56">
        <f t="shared" si="15"/>
        <v>31701.472222222219</v>
      </c>
      <c r="F42" s="56">
        <f t="shared" si="15"/>
        <v>33381.722222222226</v>
      </c>
      <c r="G42" s="56">
        <f t="shared" si="15"/>
        <v>41608.944444444445</v>
      </c>
      <c r="H42" s="56">
        <f t="shared" si="15"/>
        <v>45712.138888888883</v>
      </c>
      <c r="I42" s="56">
        <f t="shared" si="15"/>
        <v>126012.72222222223</v>
      </c>
      <c r="J42" s="56">
        <f t="shared" si="15"/>
        <v>123688.69444444445</v>
      </c>
      <c r="K42" s="56">
        <f t="shared" si="15"/>
        <v>126039.80555555556</v>
      </c>
      <c r="L42" s="76">
        <f t="shared" si="15"/>
        <v>84518.388888888891</v>
      </c>
      <c r="M42" s="56">
        <f t="shared" si="15"/>
        <v>41608.944444444445</v>
      </c>
      <c r="N42" s="56">
        <f t="shared" si="15"/>
        <v>45712.138888888883</v>
      </c>
      <c r="O42" s="20"/>
      <c r="P42" s="20"/>
      <c r="Q42" s="20"/>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row>
    <row r="43" spans="1:153" s="22" customFormat="1" ht="31.5" x14ac:dyDescent="0.25">
      <c r="A43" s="46">
        <v>25</v>
      </c>
      <c r="B43" s="43" t="s">
        <v>158</v>
      </c>
      <c r="C43" s="56">
        <f>+(C41-C34)/12</f>
        <v>27757.722222222219</v>
      </c>
      <c r="D43" s="56">
        <f>+(D41-D34)/12</f>
        <v>22797.72222222223</v>
      </c>
      <c r="E43" s="56">
        <f>+(E41-E34)/12</f>
        <v>21092.722222222219</v>
      </c>
      <c r="F43" s="56">
        <f>+(F41-F34)/12</f>
        <v>21817.833333333336</v>
      </c>
      <c r="G43" s="56">
        <f>+(G41-G34)/12</f>
        <v>26157.833333333332</v>
      </c>
      <c r="H43" s="56">
        <f t="shared" ref="H43:N43" si="16">+(H41-H34)/12</f>
        <v>28327.833333333332</v>
      </c>
      <c r="I43" s="56">
        <f t="shared" si="16"/>
        <v>70847.722222222234</v>
      </c>
      <c r="J43" s="56">
        <f t="shared" si="16"/>
        <v>69607.722222222234</v>
      </c>
      <c r="K43" s="56">
        <f t="shared" si="16"/>
        <v>70847.722222222234</v>
      </c>
      <c r="L43" s="76">
        <f t="shared" si="16"/>
        <v>48787.833333333336</v>
      </c>
      <c r="M43" s="56">
        <f t="shared" si="16"/>
        <v>26157.833333333332</v>
      </c>
      <c r="N43" s="56">
        <f t="shared" si="16"/>
        <v>28327.833333333332</v>
      </c>
      <c r="O43" s="20"/>
      <c r="P43" s="20"/>
      <c r="Q43" s="20"/>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row>
    <row r="44" spans="1:153" s="22" customFormat="1" x14ac:dyDescent="0.25">
      <c r="A44" s="47">
        <v>26</v>
      </c>
      <c r="B44" s="43" t="s">
        <v>159</v>
      </c>
      <c r="C44" s="56">
        <f>+C41/C32</f>
        <v>17.724644444444444</v>
      </c>
      <c r="D44" s="56">
        <f>+D41/D32</f>
        <v>13.973700000000003</v>
      </c>
      <c r="E44" s="56">
        <f>+E41/E32</f>
        <v>12.680588888888888</v>
      </c>
      <c r="F44" s="56">
        <f>+F41/F32</f>
        <v>13.35268888888889</v>
      </c>
      <c r="G44" s="56">
        <f>+G41/G32</f>
        <v>16.643577777777779</v>
      </c>
      <c r="H44" s="56">
        <f t="shared" ref="H44:N44" si="17">+H41/H32</f>
        <v>18.284855555555556</v>
      </c>
      <c r="I44" s="56">
        <f t="shared" si="17"/>
        <v>50.405088888888891</v>
      </c>
      <c r="J44" s="56">
        <f t="shared" si="17"/>
        <v>49.475477777777783</v>
      </c>
      <c r="K44" s="56">
        <f t="shared" si="17"/>
        <v>50.415922222222228</v>
      </c>
      <c r="L44" s="76">
        <f t="shared" si="17"/>
        <v>33.80735555555556</v>
      </c>
      <c r="M44" s="56">
        <f t="shared" si="17"/>
        <v>16.643577777777779</v>
      </c>
      <c r="N44" s="56">
        <f t="shared" si="17"/>
        <v>18.284855555555556</v>
      </c>
      <c r="O44" s="20"/>
      <c r="P44" s="20"/>
      <c r="Q44" s="20"/>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row>
    <row r="45" spans="1:153" ht="31.5" x14ac:dyDescent="0.25">
      <c r="A45" s="47">
        <v>29</v>
      </c>
      <c r="B45" s="43" t="s">
        <v>160</v>
      </c>
      <c r="C45" s="57">
        <v>4</v>
      </c>
      <c r="D45" s="57">
        <v>4</v>
      </c>
      <c r="E45" s="57">
        <v>4</v>
      </c>
      <c r="F45" s="57">
        <v>4</v>
      </c>
      <c r="G45" s="57">
        <v>4</v>
      </c>
      <c r="H45" s="57">
        <v>4</v>
      </c>
      <c r="I45" s="57">
        <v>4</v>
      </c>
      <c r="J45" s="57">
        <v>4</v>
      </c>
      <c r="K45" s="57">
        <v>4</v>
      </c>
      <c r="L45" s="77">
        <v>4</v>
      </c>
      <c r="M45" s="57">
        <v>4</v>
      </c>
      <c r="N45" s="57">
        <v>4</v>
      </c>
      <c r="O45" s="10"/>
      <c r="P45" s="10"/>
      <c r="Q45" s="10"/>
      <c r="R45" s="10"/>
      <c r="S45" s="10"/>
      <c r="T45" s="10"/>
      <c r="U45" s="11"/>
      <c r="V45" s="11"/>
      <c r="W45" s="11"/>
      <c r="X45" s="11"/>
      <c r="Y45" s="11"/>
      <c r="Z45" s="11"/>
      <c r="AA45" s="11"/>
      <c r="AB45" s="11"/>
      <c r="AC45" s="11"/>
      <c r="AD45" s="11"/>
      <c r="AE45" s="11"/>
      <c r="AF45" s="11"/>
      <c r="AG45" s="11"/>
      <c r="AH45" s="11"/>
    </row>
    <row r="46" spans="1:153" x14ac:dyDescent="0.25">
      <c r="A46" s="46">
        <v>30</v>
      </c>
      <c r="B46" s="43" t="s">
        <v>161</v>
      </c>
      <c r="C46" s="44">
        <v>10000</v>
      </c>
      <c r="D46" s="44">
        <v>10000</v>
      </c>
      <c r="E46" s="44">
        <v>10000</v>
      </c>
      <c r="F46" s="44">
        <v>10000</v>
      </c>
      <c r="G46" s="44">
        <v>10000</v>
      </c>
      <c r="H46" s="44">
        <v>10000</v>
      </c>
      <c r="I46" s="44">
        <v>10000</v>
      </c>
      <c r="J46" s="44">
        <v>10000</v>
      </c>
      <c r="K46" s="44">
        <v>10000</v>
      </c>
      <c r="L46" s="66">
        <v>10000</v>
      </c>
      <c r="M46" s="44">
        <v>10000</v>
      </c>
      <c r="N46" s="44">
        <v>10000</v>
      </c>
      <c r="O46" s="10"/>
      <c r="P46" s="10"/>
      <c r="Q46" s="10"/>
      <c r="R46" s="10"/>
      <c r="S46" s="10"/>
      <c r="T46" s="10"/>
      <c r="U46" s="11"/>
      <c r="V46" s="11"/>
      <c r="W46" s="11"/>
      <c r="X46" s="11"/>
      <c r="Y46" s="11"/>
      <c r="Z46" s="11"/>
      <c r="AA46" s="11"/>
      <c r="AB46" s="11"/>
      <c r="AC46" s="11"/>
      <c r="AD46" s="11"/>
      <c r="AE46" s="11"/>
      <c r="AF46" s="11"/>
      <c r="AG46" s="11"/>
      <c r="AH46" s="11"/>
    </row>
    <row r="47" spans="1:153" x14ac:dyDescent="0.25">
      <c r="A47" s="46">
        <v>31</v>
      </c>
      <c r="B47" s="43" t="s">
        <v>162</v>
      </c>
      <c r="C47" s="44">
        <v>30000</v>
      </c>
      <c r="D47" s="44">
        <v>30000</v>
      </c>
      <c r="E47" s="44">
        <v>30000</v>
      </c>
      <c r="F47" s="44">
        <v>30000</v>
      </c>
      <c r="G47" s="44">
        <v>30000</v>
      </c>
      <c r="H47" s="44">
        <v>30000</v>
      </c>
      <c r="I47" s="44">
        <v>30000</v>
      </c>
      <c r="J47" s="44">
        <v>30000</v>
      </c>
      <c r="K47" s="44">
        <v>30000</v>
      </c>
      <c r="L47" s="66">
        <v>30000</v>
      </c>
      <c r="M47" s="44">
        <v>30000</v>
      </c>
      <c r="N47" s="44">
        <v>30000</v>
      </c>
      <c r="O47" s="10"/>
      <c r="P47" s="10"/>
      <c r="Q47" s="10"/>
      <c r="R47" s="10"/>
      <c r="S47" s="10"/>
      <c r="T47" s="10"/>
      <c r="U47" s="11"/>
      <c r="V47" s="11"/>
      <c r="W47" s="11"/>
      <c r="X47" s="11"/>
      <c r="Y47" s="11"/>
      <c r="Z47" s="11"/>
      <c r="AA47" s="11"/>
      <c r="AB47" s="11"/>
      <c r="AC47" s="11"/>
      <c r="AD47" s="11"/>
      <c r="AE47" s="11"/>
      <c r="AF47" s="11"/>
      <c r="AG47" s="11"/>
      <c r="AH47" s="11"/>
    </row>
    <row r="48" spans="1:153" x14ac:dyDescent="0.25">
      <c r="A48" s="47">
        <v>32</v>
      </c>
      <c r="B48" s="43" t="s">
        <v>163</v>
      </c>
      <c r="C48" s="44">
        <f>+C45*C46</f>
        <v>40000</v>
      </c>
      <c r="D48" s="44">
        <f>+D45*D46</f>
        <v>40000</v>
      </c>
      <c r="E48" s="44">
        <f>+E45*E46</f>
        <v>40000</v>
      </c>
      <c r="F48" s="44">
        <f>+F45*F46</f>
        <v>40000</v>
      </c>
      <c r="G48" s="44">
        <f>+G45*G46</f>
        <v>40000</v>
      </c>
      <c r="H48" s="44">
        <f t="shared" ref="H48:N48" si="18">+H45*H46</f>
        <v>40000</v>
      </c>
      <c r="I48" s="44">
        <f t="shared" si="18"/>
        <v>40000</v>
      </c>
      <c r="J48" s="44">
        <f t="shared" si="18"/>
        <v>40000</v>
      </c>
      <c r="K48" s="44">
        <f t="shared" si="18"/>
        <v>40000</v>
      </c>
      <c r="L48" s="66">
        <f t="shared" si="18"/>
        <v>40000</v>
      </c>
      <c r="M48" s="44">
        <f t="shared" si="18"/>
        <v>40000</v>
      </c>
      <c r="N48" s="44">
        <f t="shared" si="18"/>
        <v>40000</v>
      </c>
      <c r="O48" s="10"/>
      <c r="P48" s="10"/>
      <c r="Q48" s="10"/>
      <c r="R48" s="10"/>
      <c r="S48" s="10"/>
      <c r="T48" s="10"/>
      <c r="U48" s="11"/>
      <c r="V48" s="11"/>
      <c r="W48" s="11"/>
      <c r="X48" s="11"/>
      <c r="Y48" s="11"/>
      <c r="Z48" s="11"/>
      <c r="AA48" s="11"/>
      <c r="AB48" s="11"/>
      <c r="AC48" s="11"/>
      <c r="AD48" s="11"/>
      <c r="AE48" s="11"/>
      <c r="AF48" s="11"/>
      <c r="AG48" s="11"/>
      <c r="AH48" s="11"/>
    </row>
    <row r="49" spans="1:153" s="19" customFormat="1" ht="47.25" x14ac:dyDescent="0.25">
      <c r="A49" s="46">
        <v>33</v>
      </c>
      <c r="B49" s="48" t="s">
        <v>164</v>
      </c>
      <c r="C49" s="49">
        <f>+C29*0.05</f>
        <v>150500</v>
      </c>
      <c r="D49" s="49">
        <f>+D29*0.05</f>
        <v>110500</v>
      </c>
      <c r="E49" s="49">
        <f>+E29*0.05</f>
        <v>96750</v>
      </c>
      <c r="F49" s="49">
        <f>+F29*0.05</f>
        <v>105500</v>
      </c>
      <c r="G49" s="49">
        <f>+G29*0.05</f>
        <v>140500</v>
      </c>
      <c r="H49" s="49">
        <f t="shared" ref="H49:N49" si="19">+H29*0.05</f>
        <v>158000</v>
      </c>
      <c r="I49" s="49">
        <f t="shared" si="19"/>
        <v>498000</v>
      </c>
      <c r="J49" s="49">
        <f t="shared" si="19"/>
        <v>488000</v>
      </c>
      <c r="K49" s="49">
        <f t="shared" si="19"/>
        <v>498000</v>
      </c>
      <c r="L49" s="73">
        <f t="shared" si="19"/>
        <v>323000</v>
      </c>
      <c r="M49" s="49">
        <f t="shared" si="19"/>
        <v>140500</v>
      </c>
      <c r="N49" s="49">
        <f t="shared" si="19"/>
        <v>158000</v>
      </c>
      <c r="O49" s="6"/>
      <c r="P49" s="6"/>
      <c r="Q49" s="6"/>
      <c r="R49" s="6"/>
      <c r="S49" s="6"/>
      <c r="T49" s="6"/>
      <c r="U49" s="6"/>
      <c r="V49" s="6"/>
      <c r="W49" s="6"/>
      <c r="X49" s="6"/>
      <c r="Y49" s="6"/>
      <c r="Z49" s="6"/>
      <c r="AA49" s="6"/>
      <c r="AB49" s="6"/>
      <c r="AC49" s="6"/>
      <c r="AD49" s="6"/>
      <c r="AE49" s="6"/>
      <c r="AF49" s="6"/>
      <c r="AG49" s="6"/>
      <c r="AH49" s="6"/>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c r="CA49" s="7"/>
      <c r="CB49" s="7"/>
      <c r="CC49" s="7"/>
      <c r="CD49" s="7"/>
      <c r="CE49" s="7"/>
      <c r="CF49" s="7"/>
      <c r="CG49" s="7"/>
      <c r="CH49" s="7"/>
      <c r="CI49" s="7"/>
      <c r="CJ49" s="7"/>
      <c r="CK49" s="7"/>
      <c r="CL49" s="7"/>
      <c r="CM49" s="7"/>
      <c r="CN49" s="7"/>
      <c r="CO49" s="7"/>
      <c r="CP49" s="7"/>
      <c r="CQ49" s="7"/>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row>
    <row r="50" spans="1:153" s="19" customFormat="1" ht="47.25" x14ac:dyDescent="0.25">
      <c r="A50" s="46">
        <v>34</v>
      </c>
      <c r="B50" s="48" t="s">
        <v>165</v>
      </c>
      <c r="C50" s="49">
        <f>+C29*0.02</f>
        <v>60200</v>
      </c>
      <c r="D50" s="49">
        <f>+D29*0.02</f>
        <v>44200</v>
      </c>
      <c r="E50" s="49">
        <f>+E29*0.02</f>
        <v>38700</v>
      </c>
      <c r="F50" s="49">
        <f>+F29*0.02</f>
        <v>42200</v>
      </c>
      <c r="G50" s="49">
        <f>+G29*0.02</f>
        <v>56200</v>
      </c>
      <c r="H50" s="49">
        <f t="shared" ref="H50:N50" si="20">+H29*0.02</f>
        <v>63200</v>
      </c>
      <c r="I50" s="49">
        <f t="shared" si="20"/>
        <v>199200</v>
      </c>
      <c r="J50" s="49">
        <f t="shared" si="20"/>
        <v>195200</v>
      </c>
      <c r="K50" s="49">
        <f t="shared" si="20"/>
        <v>199200</v>
      </c>
      <c r="L50" s="73">
        <f t="shared" si="20"/>
        <v>129200</v>
      </c>
      <c r="M50" s="49">
        <f t="shared" si="20"/>
        <v>56200</v>
      </c>
      <c r="N50" s="49">
        <f t="shared" si="20"/>
        <v>63200</v>
      </c>
      <c r="O50" s="6"/>
      <c r="P50" s="6"/>
      <c r="Q50" s="6"/>
      <c r="R50" s="6"/>
      <c r="S50" s="6"/>
      <c r="T50" s="6"/>
      <c r="U50" s="6"/>
      <c r="V50" s="6"/>
      <c r="W50" s="6"/>
      <c r="X50" s="6"/>
      <c r="Y50" s="6"/>
      <c r="Z50" s="6"/>
      <c r="AA50" s="6"/>
      <c r="AB50" s="6"/>
      <c r="AC50" s="6"/>
      <c r="AD50" s="6"/>
      <c r="AE50" s="6"/>
      <c r="AF50" s="6"/>
      <c r="AG50" s="6"/>
      <c r="AH50" s="6"/>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c r="BW50" s="7"/>
      <c r="BX50" s="7"/>
      <c r="BY50" s="7"/>
      <c r="BZ50" s="7"/>
      <c r="CA50" s="7"/>
      <c r="CB50" s="7"/>
      <c r="CC50" s="7"/>
      <c r="CD50" s="7"/>
      <c r="CE50" s="7"/>
      <c r="CF50" s="7"/>
      <c r="CG50" s="7"/>
      <c r="CH50" s="7"/>
      <c r="CI50" s="7"/>
      <c r="CJ50" s="7"/>
      <c r="CK50" s="7"/>
      <c r="CL50" s="7"/>
      <c r="CM50" s="7"/>
      <c r="CN50" s="7"/>
      <c r="CO50" s="7"/>
      <c r="CP50" s="7"/>
      <c r="CQ50" s="7"/>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row>
    <row r="51" spans="1:153" s="19" customFormat="1" ht="63" x14ac:dyDescent="0.25">
      <c r="A51" s="47">
        <v>35</v>
      </c>
      <c r="B51" s="48" t="s">
        <v>166</v>
      </c>
      <c r="C51" s="53">
        <f>+C32/10*46</f>
        <v>138000</v>
      </c>
      <c r="D51" s="53">
        <f>+D32/10*46</f>
        <v>138000</v>
      </c>
      <c r="E51" s="53">
        <f>+E32/10*46</f>
        <v>138000</v>
      </c>
      <c r="F51" s="53">
        <f>+F32/10*46</f>
        <v>138000</v>
      </c>
      <c r="G51" s="53">
        <f>+G32/10*46</f>
        <v>138000</v>
      </c>
      <c r="H51" s="53">
        <f t="shared" ref="H51:N51" si="21">+H32/10*46</f>
        <v>138000</v>
      </c>
      <c r="I51" s="53">
        <f t="shared" si="21"/>
        <v>138000</v>
      </c>
      <c r="J51" s="53">
        <f t="shared" si="21"/>
        <v>138000</v>
      </c>
      <c r="K51" s="53">
        <f t="shared" si="21"/>
        <v>138000</v>
      </c>
      <c r="L51" s="74">
        <f t="shared" si="21"/>
        <v>138000</v>
      </c>
      <c r="M51" s="53">
        <f t="shared" si="21"/>
        <v>138000</v>
      </c>
      <c r="N51" s="53">
        <f t="shared" si="21"/>
        <v>138000</v>
      </c>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7"/>
      <c r="BL51" s="7"/>
      <c r="BM51" s="7"/>
      <c r="BN51" s="7"/>
      <c r="BO51" s="7"/>
      <c r="BP51" s="7"/>
      <c r="BQ51" s="7"/>
      <c r="BR51" s="7"/>
      <c r="BS51" s="7"/>
      <c r="BT51" s="7"/>
      <c r="BU51" s="7"/>
      <c r="BV51" s="7"/>
      <c r="BW51" s="7"/>
      <c r="BX51" s="7"/>
      <c r="BY51" s="7"/>
      <c r="BZ51" s="7"/>
      <c r="CA51" s="7"/>
      <c r="CB51" s="7"/>
      <c r="CC51" s="7"/>
      <c r="CD51" s="7"/>
      <c r="CE51" s="7"/>
      <c r="CF51" s="7"/>
      <c r="CG51" s="7"/>
      <c r="CH51" s="7"/>
      <c r="CI51" s="7"/>
      <c r="CJ51" s="7"/>
      <c r="CK51" s="7"/>
      <c r="CL51" s="7"/>
      <c r="CM51" s="7"/>
      <c r="CN51" s="7"/>
      <c r="CO51" s="7"/>
      <c r="CP51" s="7"/>
      <c r="CQ51" s="7"/>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row>
    <row r="52" spans="1:153" s="19" customFormat="1" ht="31.5" x14ac:dyDescent="0.25">
      <c r="A52" s="46">
        <v>36</v>
      </c>
      <c r="B52" s="48" t="s">
        <v>167</v>
      </c>
      <c r="C52" s="53">
        <f t="shared" ref="C52:N52" si="22">160*2</f>
        <v>320</v>
      </c>
      <c r="D52" s="53">
        <f t="shared" si="22"/>
        <v>320</v>
      </c>
      <c r="E52" s="53">
        <f t="shared" si="22"/>
        <v>320</v>
      </c>
      <c r="F52" s="53">
        <f t="shared" si="22"/>
        <v>320</v>
      </c>
      <c r="G52" s="53">
        <f t="shared" si="22"/>
        <v>320</v>
      </c>
      <c r="H52" s="53">
        <f t="shared" si="22"/>
        <v>320</v>
      </c>
      <c r="I52" s="53">
        <f t="shared" si="22"/>
        <v>320</v>
      </c>
      <c r="J52" s="53">
        <f t="shared" si="22"/>
        <v>320</v>
      </c>
      <c r="K52" s="53">
        <f t="shared" si="22"/>
        <v>320</v>
      </c>
      <c r="L52" s="74">
        <f t="shared" si="22"/>
        <v>320</v>
      </c>
      <c r="M52" s="53">
        <f t="shared" si="22"/>
        <v>320</v>
      </c>
      <c r="N52" s="53">
        <f t="shared" si="22"/>
        <v>320</v>
      </c>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7"/>
      <c r="CL52" s="7"/>
      <c r="CM52" s="7"/>
      <c r="CN52" s="7"/>
      <c r="CO52" s="7"/>
      <c r="CP52" s="7"/>
      <c r="CQ52" s="7"/>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row>
    <row r="53" spans="1:153" s="22" customFormat="1" ht="31.5" x14ac:dyDescent="0.25">
      <c r="A53" s="46">
        <v>27</v>
      </c>
      <c r="B53" s="43" t="s">
        <v>168</v>
      </c>
      <c r="C53" s="56">
        <f>+C44-C35</f>
        <v>11.103088888888887</v>
      </c>
      <c r="D53" s="56">
        <f>+D44-D35</f>
        <v>9.119088888888891</v>
      </c>
      <c r="E53" s="56">
        <f>+E44-E35</f>
        <v>8.4370888888888871</v>
      </c>
      <c r="F53" s="56">
        <f>+F44-F35</f>
        <v>8.7271333333333345</v>
      </c>
      <c r="G53" s="56">
        <f>+G44-G35</f>
        <v>10.463133333333335</v>
      </c>
      <c r="H53" s="56">
        <f t="shared" ref="H53:N53" si="23">+H44-H35</f>
        <v>11.331133333333334</v>
      </c>
      <c r="I53" s="56">
        <f t="shared" si="23"/>
        <v>28.339088888888892</v>
      </c>
      <c r="J53" s="56">
        <f t="shared" si="23"/>
        <v>27.843088888888897</v>
      </c>
      <c r="K53" s="56">
        <f t="shared" si="23"/>
        <v>28.339088888888895</v>
      </c>
      <c r="L53" s="76">
        <f t="shared" si="23"/>
        <v>19.515133333333338</v>
      </c>
      <c r="M53" s="56">
        <f t="shared" si="23"/>
        <v>10.463133333333335</v>
      </c>
      <c r="N53" s="56">
        <f t="shared" si="23"/>
        <v>11.331133333333334</v>
      </c>
      <c r="O53" s="20"/>
      <c r="P53" s="20"/>
      <c r="Q53" s="20"/>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row>
    <row r="54" spans="1:153" s="22" customFormat="1" ht="31.5" x14ac:dyDescent="0.25">
      <c r="A54" s="46">
        <v>28</v>
      </c>
      <c r="B54" s="43" t="s">
        <v>187</v>
      </c>
      <c r="C54" s="56">
        <f>+C43+(C35*2000)</f>
        <v>41000.833333333328</v>
      </c>
      <c r="D54" s="56">
        <f>+D43+(D35*2000)</f>
        <v>32506.944444444453</v>
      </c>
      <c r="E54" s="56">
        <f>+E43+(E35*2000)</f>
        <v>29579.722222222219</v>
      </c>
      <c r="F54" s="56">
        <f>+F43+(F35*2000)</f>
        <v>31068.944444444445</v>
      </c>
      <c r="G54" s="56">
        <f>+G43+(G35*2000)</f>
        <v>38518.722222222219</v>
      </c>
      <c r="H54" s="56">
        <f t="shared" ref="H54:N54" si="24">+H43+(H35*2000)</f>
        <v>42235.277777777774</v>
      </c>
      <c r="I54" s="56">
        <f t="shared" si="24"/>
        <v>114979.72222222223</v>
      </c>
      <c r="J54" s="56">
        <f t="shared" si="24"/>
        <v>112872.5</v>
      </c>
      <c r="K54" s="56">
        <f t="shared" si="24"/>
        <v>115001.38888888891</v>
      </c>
      <c r="L54" s="76">
        <f t="shared" si="24"/>
        <v>77372.277777777781</v>
      </c>
      <c r="M54" s="56">
        <f t="shared" si="24"/>
        <v>38518.722222222219</v>
      </c>
      <c r="N54" s="56">
        <f t="shared" si="24"/>
        <v>42235.277777777774</v>
      </c>
      <c r="O54" s="20"/>
      <c r="P54" s="20"/>
      <c r="Q54" s="20"/>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row>
    <row r="55" spans="1:153" x14ac:dyDescent="0.25">
      <c r="A55" s="46">
        <v>37</v>
      </c>
      <c r="B55" s="43" t="s">
        <v>169</v>
      </c>
      <c r="C55" s="58">
        <f>+C51+C50+C49+C48+C52</f>
        <v>389020</v>
      </c>
      <c r="D55" s="58">
        <f>+D51+D50+D49+D48+D52</f>
        <v>333020</v>
      </c>
      <c r="E55" s="58">
        <f>+E51+E50+E49+E48+E52</f>
        <v>313770</v>
      </c>
      <c r="F55" s="58">
        <f>+F51+F50+F49+F48+F52</f>
        <v>326020</v>
      </c>
      <c r="G55" s="58">
        <f>+G51+G50+G49+G48+G52</f>
        <v>375020</v>
      </c>
      <c r="H55" s="58">
        <f t="shared" ref="H55:N55" si="25">+H51+H50+H49+H48+H52</f>
        <v>399520</v>
      </c>
      <c r="I55" s="58">
        <f t="shared" si="25"/>
        <v>875520</v>
      </c>
      <c r="J55" s="58">
        <f t="shared" si="25"/>
        <v>861520</v>
      </c>
      <c r="K55" s="58">
        <f t="shared" si="25"/>
        <v>875520</v>
      </c>
      <c r="L55" s="78">
        <f t="shared" si="25"/>
        <v>630520</v>
      </c>
      <c r="M55" s="58">
        <f t="shared" si="25"/>
        <v>375020</v>
      </c>
      <c r="N55" s="58">
        <f t="shared" si="25"/>
        <v>399520</v>
      </c>
    </row>
    <row r="56" spans="1:153" ht="31.5" x14ac:dyDescent="0.25">
      <c r="A56" s="47">
        <v>38</v>
      </c>
      <c r="B56" s="43" t="s">
        <v>170</v>
      </c>
      <c r="C56" s="58">
        <f>+C55-C51</f>
        <v>251020</v>
      </c>
      <c r="D56" s="58">
        <f>+D55-D51</f>
        <v>195020</v>
      </c>
      <c r="E56" s="58">
        <f>+E55-E51</f>
        <v>175770</v>
      </c>
      <c r="F56" s="58">
        <f>+F55-F51</f>
        <v>188020</v>
      </c>
      <c r="G56" s="58">
        <f>+G55-G51</f>
        <v>237020</v>
      </c>
      <c r="H56" s="58">
        <f t="shared" ref="H56:N56" si="26">+H55-H51</f>
        <v>261520</v>
      </c>
      <c r="I56" s="58">
        <f t="shared" si="26"/>
        <v>737520</v>
      </c>
      <c r="J56" s="58">
        <f t="shared" si="26"/>
        <v>723520</v>
      </c>
      <c r="K56" s="58">
        <f t="shared" si="26"/>
        <v>737520</v>
      </c>
      <c r="L56" s="78">
        <f t="shared" si="26"/>
        <v>492520</v>
      </c>
      <c r="M56" s="58">
        <f t="shared" si="26"/>
        <v>237020</v>
      </c>
      <c r="N56" s="58">
        <f t="shared" si="26"/>
        <v>261520</v>
      </c>
    </row>
    <row r="57" spans="1:153" ht="31.5" x14ac:dyDescent="0.25">
      <c r="A57" s="46">
        <v>39</v>
      </c>
      <c r="B57" s="43" t="s">
        <v>171</v>
      </c>
      <c r="C57" s="53">
        <f t="shared" ref="C57:G58" si="27">+C55/12</f>
        <v>32418.333333333332</v>
      </c>
      <c r="D57" s="53">
        <f t="shared" si="27"/>
        <v>27751.666666666668</v>
      </c>
      <c r="E57" s="53">
        <f t="shared" si="27"/>
        <v>26147.5</v>
      </c>
      <c r="F57" s="53">
        <f t="shared" si="27"/>
        <v>27168.333333333332</v>
      </c>
      <c r="G57" s="53">
        <f t="shared" si="27"/>
        <v>31251.666666666668</v>
      </c>
      <c r="H57" s="53">
        <f t="shared" ref="H57:N57" si="28">+H55/12</f>
        <v>33293.333333333336</v>
      </c>
      <c r="I57" s="53">
        <f t="shared" si="28"/>
        <v>72960</v>
      </c>
      <c r="J57" s="53">
        <f t="shared" si="28"/>
        <v>71793.333333333328</v>
      </c>
      <c r="K57" s="53">
        <f t="shared" si="28"/>
        <v>72960</v>
      </c>
      <c r="L57" s="74">
        <f t="shared" si="28"/>
        <v>52543.333333333336</v>
      </c>
      <c r="M57" s="53">
        <f t="shared" si="28"/>
        <v>31251.666666666668</v>
      </c>
      <c r="N57" s="53">
        <f t="shared" si="28"/>
        <v>33293.333333333336</v>
      </c>
    </row>
    <row r="58" spans="1:153" ht="31.5" x14ac:dyDescent="0.25">
      <c r="A58" s="46">
        <v>40</v>
      </c>
      <c r="B58" s="43" t="s">
        <v>172</v>
      </c>
      <c r="C58" s="53">
        <f t="shared" si="27"/>
        <v>20918.333333333332</v>
      </c>
      <c r="D58" s="53">
        <f t="shared" si="27"/>
        <v>16251.666666666666</v>
      </c>
      <c r="E58" s="53">
        <f t="shared" si="27"/>
        <v>14647.5</v>
      </c>
      <c r="F58" s="53">
        <f t="shared" si="27"/>
        <v>15668.333333333334</v>
      </c>
      <c r="G58" s="53">
        <f t="shared" si="27"/>
        <v>19751.666666666668</v>
      </c>
      <c r="H58" s="53">
        <f t="shared" ref="H58:N58" si="29">+H56/12</f>
        <v>21793.333333333332</v>
      </c>
      <c r="I58" s="53">
        <f t="shared" si="29"/>
        <v>61460</v>
      </c>
      <c r="J58" s="53">
        <f t="shared" si="29"/>
        <v>60293.333333333336</v>
      </c>
      <c r="K58" s="53">
        <f t="shared" si="29"/>
        <v>61460</v>
      </c>
      <c r="L58" s="74">
        <f t="shared" si="29"/>
        <v>41043.333333333336</v>
      </c>
      <c r="M58" s="53">
        <f t="shared" si="29"/>
        <v>19751.666666666668</v>
      </c>
      <c r="N58" s="53">
        <f t="shared" si="29"/>
        <v>21793.333333333332</v>
      </c>
    </row>
    <row r="59" spans="1:153" x14ac:dyDescent="0.25">
      <c r="A59" s="47">
        <v>41</v>
      </c>
      <c r="B59" s="43" t="s">
        <v>173</v>
      </c>
      <c r="C59" s="53">
        <f>+C55/C32</f>
        <v>12.967333333333332</v>
      </c>
      <c r="D59" s="53">
        <f>+D55/D32</f>
        <v>11.100666666666667</v>
      </c>
      <c r="E59" s="53">
        <f>+E55/E32</f>
        <v>10.459</v>
      </c>
      <c r="F59" s="53">
        <f>+F55/F32</f>
        <v>10.867333333333333</v>
      </c>
      <c r="G59" s="53">
        <f>+G55/G32</f>
        <v>12.500666666666667</v>
      </c>
      <c r="H59" s="53">
        <f t="shared" ref="H59:N59" si="30">+H55/H32</f>
        <v>13.317333333333334</v>
      </c>
      <c r="I59" s="53">
        <f t="shared" si="30"/>
        <v>29.184000000000001</v>
      </c>
      <c r="J59" s="53">
        <f t="shared" si="30"/>
        <v>28.717333333333332</v>
      </c>
      <c r="K59" s="53">
        <f t="shared" si="30"/>
        <v>29.184000000000001</v>
      </c>
      <c r="L59" s="74">
        <f t="shared" si="30"/>
        <v>21.017333333333333</v>
      </c>
      <c r="M59" s="53">
        <f t="shared" si="30"/>
        <v>12.500666666666667</v>
      </c>
      <c r="N59" s="53">
        <f t="shared" si="30"/>
        <v>13.317333333333334</v>
      </c>
    </row>
    <row r="60" spans="1:153" ht="31.5" x14ac:dyDescent="0.25">
      <c r="A60" s="46">
        <v>42</v>
      </c>
      <c r="B60" s="43" t="s">
        <v>174</v>
      </c>
      <c r="C60" s="53">
        <f>+C56/C32</f>
        <v>8.3673333333333328</v>
      </c>
      <c r="D60" s="53">
        <f>+D56/D32</f>
        <v>6.5006666666666666</v>
      </c>
      <c r="E60" s="53">
        <f>+E56/E32</f>
        <v>5.859</v>
      </c>
      <c r="F60" s="53">
        <f>+F56/F32</f>
        <v>6.2673333333333332</v>
      </c>
      <c r="G60" s="53">
        <f>+G56/G32</f>
        <v>7.9006666666666669</v>
      </c>
      <c r="H60" s="53">
        <f t="shared" ref="H60:N60" si="31">+H56/H32</f>
        <v>8.7173333333333325</v>
      </c>
      <c r="I60" s="53">
        <f t="shared" si="31"/>
        <v>24.584</v>
      </c>
      <c r="J60" s="53">
        <f t="shared" si="31"/>
        <v>24.117333333333335</v>
      </c>
      <c r="K60" s="53">
        <f t="shared" si="31"/>
        <v>24.584</v>
      </c>
      <c r="L60" s="74">
        <f t="shared" si="31"/>
        <v>16.417333333333332</v>
      </c>
      <c r="M60" s="53">
        <f t="shared" si="31"/>
        <v>7.9006666666666669</v>
      </c>
      <c r="N60" s="53">
        <f t="shared" si="31"/>
        <v>8.7173333333333325</v>
      </c>
    </row>
    <row r="61" spans="1:153" ht="70.5" customHeight="1" x14ac:dyDescent="0.25">
      <c r="A61" s="46">
        <v>43</v>
      </c>
      <c r="B61" s="43" t="s">
        <v>175</v>
      </c>
      <c r="C61" s="53">
        <f>+C59+C53</f>
        <v>24.07042222222222</v>
      </c>
      <c r="D61" s="53">
        <f>+D59+D53</f>
        <v>20.219755555555558</v>
      </c>
      <c r="E61" s="53">
        <f>+E59+E53</f>
        <v>18.896088888888887</v>
      </c>
      <c r="F61" s="53">
        <f>+F59+F53</f>
        <v>19.594466666666669</v>
      </c>
      <c r="G61" s="53">
        <f>+G59+G53</f>
        <v>22.963800000000003</v>
      </c>
      <c r="H61" s="53">
        <f t="shared" ref="H61:N61" si="32">+H59+H53</f>
        <v>24.648466666666668</v>
      </c>
      <c r="I61" s="53">
        <f t="shared" si="32"/>
        <v>57.523088888888893</v>
      </c>
      <c r="J61" s="53">
        <f t="shared" si="32"/>
        <v>56.560422222222229</v>
      </c>
      <c r="K61" s="53">
        <f t="shared" si="32"/>
        <v>57.523088888888893</v>
      </c>
      <c r="L61" s="74">
        <f t="shared" si="32"/>
        <v>40.532466666666672</v>
      </c>
      <c r="M61" s="53">
        <f t="shared" si="32"/>
        <v>22.963800000000003</v>
      </c>
      <c r="N61" s="53">
        <f t="shared" si="32"/>
        <v>24.648466666666668</v>
      </c>
    </row>
    <row r="62" spans="1:153" s="37" customFormat="1" ht="63" x14ac:dyDescent="0.25">
      <c r="A62" s="59">
        <v>44</v>
      </c>
      <c r="B62" s="60" t="s">
        <v>176</v>
      </c>
      <c r="C62" s="54">
        <f>+C60+C53</f>
        <v>19.470422222222219</v>
      </c>
      <c r="D62" s="54">
        <f>+D60+D53</f>
        <v>15.619755555555557</v>
      </c>
      <c r="E62" s="54">
        <f>+E60+E53</f>
        <v>14.296088888888887</v>
      </c>
      <c r="F62" s="54">
        <f t="shared" ref="F62:N62" si="33">+F60+F53</f>
        <v>14.994466666666668</v>
      </c>
      <c r="G62" s="54">
        <f t="shared" si="33"/>
        <v>18.363800000000001</v>
      </c>
      <c r="H62" s="54">
        <f t="shared" si="33"/>
        <v>20.048466666666666</v>
      </c>
      <c r="I62" s="54">
        <f t="shared" si="33"/>
        <v>52.923088888888891</v>
      </c>
      <c r="J62" s="54">
        <f t="shared" si="33"/>
        <v>51.960422222222235</v>
      </c>
      <c r="K62" s="54">
        <f t="shared" si="33"/>
        <v>52.923088888888898</v>
      </c>
      <c r="L62" s="74">
        <f t="shared" si="33"/>
        <v>35.93246666666667</v>
      </c>
      <c r="M62" s="54">
        <f t="shared" si="33"/>
        <v>18.363800000000001</v>
      </c>
      <c r="N62" s="54">
        <f t="shared" si="33"/>
        <v>20.048466666666666</v>
      </c>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35"/>
      <c r="CG62" s="35"/>
      <c r="CH62" s="35"/>
      <c r="CI62" s="35"/>
      <c r="CJ62" s="35"/>
      <c r="CK62" s="35"/>
      <c r="CL62" s="35"/>
      <c r="CM62" s="35"/>
      <c r="CN62" s="35"/>
      <c r="CO62" s="35"/>
      <c r="CP62" s="35"/>
      <c r="CQ62" s="35"/>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c r="EA62" s="36"/>
      <c r="EB62" s="36"/>
      <c r="EC62" s="36"/>
      <c r="ED62" s="36"/>
      <c r="EE62" s="36"/>
      <c r="EF62" s="36"/>
      <c r="EG62" s="36"/>
      <c r="EH62" s="36"/>
      <c r="EI62" s="36"/>
      <c r="EJ62" s="36"/>
      <c r="EK62" s="36"/>
      <c r="EL62" s="36"/>
      <c r="EM62" s="36"/>
      <c r="EN62" s="36"/>
      <c r="EO62" s="36"/>
      <c r="EP62" s="36"/>
      <c r="EQ62" s="36"/>
      <c r="ER62" s="36"/>
      <c r="ES62" s="36"/>
      <c r="ET62" s="36"/>
      <c r="EU62" s="36"/>
      <c r="EV62" s="36"/>
      <c r="EW62" s="36"/>
    </row>
    <row r="63" spans="1:153" s="34" customFormat="1" ht="78.75" x14ac:dyDescent="0.25">
      <c r="A63" s="61">
        <v>45</v>
      </c>
      <c r="B63" s="62" t="s">
        <v>186</v>
      </c>
      <c r="C63" s="54">
        <f>+(C59*2000)+C54</f>
        <v>66935.5</v>
      </c>
      <c r="D63" s="54">
        <f>+(D59*2000)+D54</f>
        <v>54708.277777777788</v>
      </c>
      <c r="E63" s="54">
        <f>+(E59*2000)+E54</f>
        <v>50497.722222222219</v>
      </c>
      <c r="F63" s="54">
        <f t="shared" ref="F63:N63" si="34">+(F59*2000)+F54</f>
        <v>52803.611111111109</v>
      </c>
      <c r="G63" s="54">
        <f t="shared" si="34"/>
        <v>63520.055555555555</v>
      </c>
      <c r="H63" s="54">
        <f t="shared" si="34"/>
        <v>68869.944444444438</v>
      </c>
      <c r="I63" s="54">
        <f t="shared" si="34"/>
        <v>173347.72222222225</v>
      </c>
      <c r="J63" s="54">
        <f t="shared" si="34"/>
        <v>170307.16666666666</v>
      </c>
      <c r="K63" s="54">
        <f t="shared" si="34"/>
        <v>173369.38888888891</v>
      </c>
      <c r="L63" s="74">
        <f t="shared" si="34"/>
        <v>119406.94444444444</v>
      </c>
      <c r="M63" s="54">
        <f t="shared" si="34"/>
        <v>63520.055555555555</v>
      </c>
      <c r="N63" s="54">
        <f t="shared" si="34"/>
        <v>68869.944444444438</v>
      </c>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2"/>
      <c r="BO63" s="32"/>
      <c r="BP63" s="32"/>
      <c r="BQ63" s="32"/>
      <c r="BR63" s="32"/>
      <c r="BS63" s="32"/>
      <c r="BT63" s="32"/>
      <c r="BU63" s="32"/>
      <c r="BV63" s="32"/>
      <c r="BW63" s="32"/>
      <c r="BX63" s="32"/>
      <c r="BY63" s="32"/>
      <c r="BZ63" s="32"/>
      <c r="CA63" s="32"/>
      <c r="CB63" s="32"/>
      <c r="CC63" s="32"/>
      <c r="CD63" s="32"/>
      <c r="CE63" s="32"/>
      <c r="CF63" s="32"/>
      <c r="CG63" s="32"/>
      <c r="CH63" s="32"/>
      <c r="CI63" s="32"/>
      <c r="CJ63" s="32"/>
      <c r="CK63" s="32"/>
      <c r="CL63" s="32"/>
      <c r="CM63" s="32"/>
      <c r="CN63" s="32"/>
      <c r="CO63" s="32"/>
      <c r="CP63" s="32"/>
      <c r="CQ63" s="32"/>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row>
    <row r="64" spans="1:153" ht="40.5" customHeight="1" x14ac:dyDescent="0.25">
      <c r="A64" s="46"/>
      <c r="B64" s="43" t="s">
        <v>177</v>
      </c>
      <c r="C64" s="63"/>
      <c r="D64" s="63"/>
      <c r="E64" s="63"/>
      <c r="F64" s="63"/>
      <c r="G64" s="63"/>
      <c r="H64" s="63"/>
      <c r="I64" s="63"/>
      <c r="J64" s="63"/>
      <c r="K64" s="63"/>
      <c r="L64" s="79"/>
      <c r="M64" s="63"/>
      <c r="N64" s="63"/>
    </row>
    <row r="65" spans="1:14" x14ac:dyDescent="0.25">
      <c r="A65" s="23"/>
      <c r="B65" s="24"/>
      <c r="C65" s="27">
        <f t="shared" ref="C65:H65" si="35">+C60*1000+C46</f>
        <v>18367.333333333332</v>
      </c>
      <c r="D65" s="27">
        <f t="shared" si="35"/>
        <v>16500.666666666668</v>
      </c>
      <c r="E65" s="27">
        <f t="shared" si="35"/>
        <v>15859</v>
      </c>
      <c r="F65" s="27">
        <f t="shared" si="35"/>
        <v>16267.333333333332</v>
      </c>
      <c r="G65" s="27">
        <f t="shared" si="35"/>
        <v>17900.666666666668</v>
      </c>
      <c r="H65" s="27">
        <f t="shared" si="35"/>
        <v>18717.333333333332</v>
      </c>
      <c r="I65" s="27">
        <f t="shared" ref="I65:N65" si="36">+I60*1000+I46</f>
        <v>34584</v>
      </c>
      <c r="J65" s="4">
        <f t="shared" si="36"/>
        <v>34117.333333333336</v>
      </c>
      <c r="K65" s="4">
        <f t="shared" si="36"/>
        <v>34584</v>
      </c>
      <c r="L65" s="80">
        <f t="shared" si="36"/>
        <v>26417.333333333332</v>
      </c>
      <c r="M65" s="4">
        <f t="shared" si="36"/>
        <v>17900.666666666668</v>
      </c>
      <c r="N65" s="4">
        <f t="shared" si="36"/>
        <v>18717.333333333332</v>
      </c>
    </row>
    <row r="66" spans="1:14" x14ac:dyDescent="0.25">
      <c r="A66" s="23"/>
      <c r="C66" s="27">
        <f t="shared" ref="C66:H66" si="37">+C63*0.13</f>
        <v>8701.6149999999998</v>
      </c>
      <c r="D66" s="27">
        <f t="shared" si="37"/>
        <v>7112.0761111111124</v>
      </c>
      <c r="E66" s="27">
        <f t="shared" si="37"/>
        <v>6564.7038888888883</v>
      </c>
      <c r="F66" s="27">
        <f t="shared" si="37"/>
        <v>6864.4694444444449</v>
      </c>
      <c r="G66" s="27">
        <f t="shared" si="37"/>
        <v>8257.6072222222228</v>
      </c>
      <c r="H66" s="27">
        <f t="shared" si="37"/>
        <v>8953.0927777777779</v>
      </c>
      <c r="I66" s="27">
        <f t="shared" ref="I66:N66" si="38">+I63*0.13</f>
        <v>22535.203888888893</v>
      </c>
      <c r="J66" s="4">
        <f t="shared" si="38"/>
        <v>22139.931666666667</v>
      </c>
      <c r="K66" s="4">
        <f t="shared" si="38"/>
        <v>22538.020555555559</v>
      </c>
      <c r="L66" s="80">
        <f t="shared" si="38"/>
        <v>15522.902777777777</v>
      </c>
      <c r="M66" s="4">
        <f t="shared" si="38"/>
        <v>8257.6072222222228</v>
      </c>
      <c r="N66" s="4">
        <f t="shared" si="38"/>
        <v>8953.0927777777779</v>
      </c>
    </row>
    <row r="67" spans="1:14" x14ac:dyDescent="0.25">
      <c r="A67" s="23"/>
      <c r="C67" s="27">
        <f t="shared" ref="C67:H67" si="39">+C65*0.13</f>
        <v>2387.7533333333331</v>
      </c>
      <c r="D67" s="27">
        <f t="shared" si="39"/>
        <v>2145.086666666667</v>
      </c>
      <c r="E67" s="27">
        <f t="shared" si="39"/>
        <v>2061.67</v>
      </c>
      <c r="F67" s="27">
        <f t="shared" si="39"/>
        <v>2114.7533333333331</v>
      </c>
      <c r="G67" s="27">
        <f t="shared" si="39"/>
        <v>2327.086666666667</v>
      </c>
      <c r="H67" s="27">
        <f t="shared" si="39"/>
        <v>2433.2533333333331</v>
      </c>
      <c r="I67" s="27">
        <f t="shared" ref="I67:N67" si="40">+I65*0.13</f>
        <v>4495.92</v>
      </c>
      <c r="J67" s="4">
        <f t="shared" si="40"/>
        <v>4435.253333333334</v>
      </c>
      <c r="K67" s="4">
        <f t="shared" si="40"/>
        <v>4495.92</v>
      </c>
      <c r="L67" s="80">
        <f t="shared" si="40"/>
        <v>3434.2533333333331</v>
      </c>
      <c r="M67" s="4">
        <f t="shared" si="40"/>
        <v>2327.086666666667</v>
      </c>
      <c r="N67" s="4">
        <f t="shared" si="40"/>
        <v>2433.2533333333331</v>
      </c>
    </row>
    <row r="68" spans="1:14" x14ac:dyDescent="0.25">
      <c r="A68" s="23"/>
      <c r="C68" s="27">
        <f t="shared" ref="C68:H68" si="41">+C66+C63</f>
        <v>75637.115000000005</v>
      </c>
      <c r="D68" s="27">
        <f t="shared" si="41"/>
        <v>61820.353888888902</v>
      </c>
      <c r="E68" s="27">
        <f t="shared" si="41"/>
        <v>57062.426111111105</v>
      </c>
      <c r="F68" s="27">
        <f t="shared" si="41"/>
        <v>59668.080555555556</v>
      </c>
      <c r="G68" s="27">
        <f t="shared" si="41"/>
        <v>71777.662777777776</v>
      </c>
      <c r="H68" s="27">
        <f t="shared" si="41"/>
        <v>77823.037222222221</v>
      </c>
      <c r="I68" s="27">
        <f t="shared" ref="I68:N68" si="42">+I66+I63</f>
        <v>195882.92611111113</v>
      </c>
      <c r="J68" s="4">
        <f t="shared" si="42"/>
        <v>192447.09833333333</v>
      </c>
      <c r="K68" s="4">
        <f t="shared" si="42"/>
        <v>195907.40944444446</v>
      </c>
      <c r="L68" s="80">
        <f t="shared" si="42"/>
        <v>134929.84722222222</v>
      </c>
      <c r="M68" s="4">
        <f t="shared" si="42"/>
        <v>71777.662777777776</v>
      </c>
      <c r="N68" s="4">
        <f t="shared" si="42"/>
        <v>77823.037222222221</v>
      </c>
    </row>
    <row r="69" spans="1:14" x14ac:dyDescent="0.25">
      <c r="A69" s="23"/>
      <c r="C69" s="28">
        <f t="shared" ref="C69:H69" si="43">+C67+C65</f>
        <v>20755.086666666666</v>
      </c>
      <c r="D69" s="28">
        <f t="shared" si="43"/>
        <v>18645.753333333334</v>
      </c>
      <c r="E69" s="28">
        <f t="shared" si="43"/>
        <v>17920.669999999998</v>
      </c>
      <c r="F69" s="28">
        <f t="shared" si="43"/>
        <v>18382.086666666666</v>
      </c>
      <c r="G69" s="28">
        <f t="shared" si="43"/>
        <v>20227.753333333334</v>
      </c>
      <c r="H69" s="28">
        <f t="shared" si="43"/>
        <v>21150.586666666666</v>
      </c>
      <c r="I69" s="28">
        <f t="shared" ref="I69:N69" si="44">+I67+I65</f>
        <v>39079.919999999998</v>
      </c>
      <c r="J69" s="26">
        <f t="shared" si="44"/>
        <v>38552.58666666667</v>
      </c>
      <c r="K69" s="26">
        <f t="shared" si="44"/>
        <v>39079.919999999998</v>
      </c>
      <c r="L69" s="81">
        <f t="shared" si="44"/>
        <v>29851.586666666666</v>
      </c>
      <c r="M69" s="26">
        <f t="shared" si="44"/>
        <v>20227.753333333334</v>
      </c>
      <c r="N69" s="26">
        <f t="shared" si="44"/>
        <v>21150.586666666666</v>
      </c>
    </row>
    <row r="70" spans="1:14" x14ac:dyDescent="0.25">
      <c r="A70" s="23"/>
      <c r="I70" s="29"/>
      <c r="J70" s="10"/>
      <c r="K70" s="10"/>
      <c r="L70" s="82"/>
      <c r="M70" s="10"/>
      <c r="N70" s="10"/>
    </row>
    <row r="71" spans="1:14" x14ac:dyDescent="0.25">
      <c r="A71" s="23"/>
      <c r="I71" s="29"/>
      <c r="J71" s="10"/>
      <c r="K71" s="10"/>
      <c r="L71" s="82"/>
      <c r="M71" s="10"/>
      <c r="N71" s="10"/>
    </row>
    <row r="72" spans="1:14" x14ac:dyDescent="0.25">
      <c r="A72" s="23"/>
      <c r="I72" s="29"/>
      <c r="J72" s="10"/>
      <c r="K72" s="10"/>
      <c r="L72" s="82"/>
      <c r="M72" s="10"/>
      <c r="N72" s="10"/>
    </row>
    <row r="73" spans="1:14" x14ac:dyDescent="0.25">
      <c r="A73" s="23"/>
      <c r="I73" s="29"/>
      <c r="J73" s="10"/>
      <c r="K73" s="10"/>
      <c r="L73" s="82"/>
      <c r="M73" s="10"/>
      <c r="N73" s="10"/>
    </row>
    <row r="74" spans="1:14" x14ac:dyDescent="0.25">
      <c r="I74" s="29"/>
      <c r="J74" s="10"/>
      <c r="K74" s="10"/>
      <c r="L74" s="82"/>
      <c r="M74" s="10"/>
      <c r="N74" s="10"/>
    </row>
    <row r="75" spans="1:14" x14ac:dyDescent="0.25">
      <c r="I75" s="29"/>
      <c r="J75" s="10"/>
      <c r="K75" s="10"/>
      <c r="L75" s="82"/>
      <c r="M75" s="10"/>
      <c r="N75" s="10"/>
    </row>
    <row r="76" spans="1:14" x14ac:dyDescent="0.25">
      <c r="I76" s="29"/>
      <c r="J76" s="10"/>
      <c r="K76" s="10"/>
      <c r="L76" s="82"/>
      <c r="M76" s="10"/>
      <c r="N76" s="10"/>
    </row>
    <row r="77" spans="1:14" x14ac:dyDescent="0.25">
      <c r="I77" s="29"/>
      <c r="J77" s="10"/>
      <c r="K77" s="10"/>
      <c r="L77" s="82"/>
      <c r="M77" s="10"/>
      <c r="N77" s="10"/>
    </row>
    <row r="78" spans="1:14" x14ac:dyDescent="0.25">
      <c r="I78" s="30"/>
      <c r="J78" s="10"/>
      <c r="K78" s="10"/>
      <c r="L78" s="82"/>
      <c r="M78" s="10"/>
      <c r="N78" s="10"/>
    </row>
    <row r="79" spans="1:14" x14ac:dyDescent="0.25">
      <c r="I79" s="29"/>
      <c r="J79" s="10"/>
      <c r="K79" s="10"/>
      <c r="L79" s="82"/>
      <c r="M79" s="10"/>
      <c r="N79" s="10"/>
    </row>
    <row r="80" spans="1:14" x14ac:dyDescent="0.25">
      <c r="I80" s="29"/>
      <c r="J80" s="10"/>
      <c r="K80" s="10"/>
      <c r="L80" s="82"/>
      <c r="M80" s="10"/>
      <c r="N80" s="10"/>
    </row>
    <row r="81" spans="9:14" x14ac:dyDescent="0.25">
      <c r="I81" s="29"/>
      <c r="J81" s="10"/>
      <c r="K81" s="10"/>
      <c r="L81" s="82"/>
      <c r="M81" s="10"/>
      <c r="N81" s="10"/>
    </row>
    <row r="82" spans="9:14" x14ac:dyDescent="0.25">
      <c r="I82" s="29"/>
      <c r="J82" s="10"/>
      <c r="K82" s="10"/>
      <c r="L82" s="82"/>
      <c r="M82" s="10"/>
      <c r="N82" s="10"/>
    </row>
    <row r="83" spans="9:14" x14ac:dyDescent="0.25">
      <c r="I83" s="29"/>
      <c r="J83" s="10"/>
      <c r="K83" s="10"/>
      <c r="L83" s="82"/>
      <c r="M83" s="10"/>
      <c r="N83" s="10"/>
    </row>
    <row r="84" spans="9:14" x14ac:dyDescent="0.25">
      <c r="I84" s="29"/>
      <c r="J84" s="10"/>
      <c r="K84" s="10"/>
      <c r="L84" s="82"/>
      <c r="M84" s="10"/>
      <c r="N84" s="10"/>
    </row>
    <row r="85" spans="9:14" x14ac:dyDescent="0.25">
      <c r="I85" s="29"/>
      <c r="J85" s="10"/>
      <c r="K85" s="10"/>
      <c r="L85" s="82"/>
      <c r="M85" s="10"/>
      <c r="N85" s="10"/>
    </row>
    <row r="86" spans="9:14" x14ac:dyDescent="0.25">
      <c r="I86" s="29"/>
      <c r="J86" s="10"/>
      <c r="K86" s="10"/>
      <c r="L86" s="82"/>
      <c r="M86" s="10"/>
      <c r="N86" s="10"/>
    </row>
    <row r="87" spans="9:14" x14ac:dyDescent="0.25">
      <c r="I87" s="29"/>
      <c r="J87" s="10"/>
      <c r="K87" s="10"/>
      <c r="L87" s="82"/>
      <c r="M87" s="10"/>
      <c r="N87" s="10"/>
    </row>
    <row r="88" spans="9:14" x14ac:dyDescent="0.25">
      <c r="I88" s="29"/>
      <c r="J88" s="10"/>
      <c r="K88" s="10"/>
      <c r="L88" s="82"/>
      <c r="M88" s="10"/>
      <c r="N88" s="10"/>
    </row>
    <row r="89" spans="9:14" x14ac:dyDescent="0.25">
      <c r="I89" s="29"/>
      <c r="J89" s="10"/>
      <c r="K89" s="10"/>
      <c r="L89" s="82"/>
      <c r="M89" s="10"/>
      <c r="N89" s="10"/>
    </row>
    <row r="90" spans="9:14" x14ac:dyDescent="0.25">
      <c r="I90" s="29"/>
      <c r="J90" s="10"/>
      <c r="K90" s="10"/>
      <c r="L90" s="82"/>
      <c r="M90" s="10"/>
      <c r="N90" s="10"/>
    </row>
    <row r="91" spans="9:14" x14ac:dyDescent="0.25">
      <c r="I91" s="29"/>
      <c r="J91" s="10"/>
      <c r="K91" s="10"/>
      <c r="L91" s="82"/>
      <c r="M91" s="10"/>
      <c r="N91" s="10"/>
    </row>
    <row r="92" spans="9:14" x14ac:dyDescent="0.25">
      <c r="I92" s="29"/>
      <c r="J92" s="10"/>
      <c r="K92" s="10"/>
      <c r="L92" s="82"/>
      <c r="M92" s="10"/>
      <c r="N92" s="10"/>
    </row>
    <row r="93" spans="9:14" x14ac:dyDescent="0.25">
      <c r="I93" s="29"/>
      <c r="J93" s="10"/>
      <c r="K93" s="10"/>
      <c r="L93" s="82"/>
      <c r="M93" s="10"/>
      <c r="N93" s="10"/>
    </row>
    <row r="94" spans="9:14" x14ac:dyDescent="0.25">
      <c r="I94" s="29"/>
      <c r="J94" s="10"/>
      <c r="K94" s="10"/>
      <c r="L94" s="82"/>
      <c r="M94" s="10"/>
      <c r="N94" s="10"/>
    </row>
    <row r="95" spans="9:14" x14ac:dyDescent="0.25">
      <c r="I95" s="29"/>
      <c r="J95" s="10"/>
      <c r="K95" s="10"/>
      <c r="L95" s="82"/>
      <c r="M95" s="10"/>
      <c r="N95" s="10"/>
    </row>
    <row r="96" spans="9:14" x14ac:dyDescent="0.25">
      <c r="I96" s="29"/>
      <c r="J96" s="10"/>
      <c r="K96" s="10"/>
      <c r="L96" s="82"/>
      <c r="M96" s="10"/>
      <c r="N96" s="10"/>
    </row>
    <row r="97" spans="9:14" x14ac:dyDescent="0.25">
      <c r="I97" s="29"/>
      <c r="J97" s="10"/>
      <c r="K97" s="10"/>
      <c r="L97" s="82"/>
      <c r="M97" s="10"/>
      <c r="N97" s="10"/>
    </row>
    <row r="98" spans="9:14" x14ac:dyDescent="0.25">
      <c r="I98" s="29"/>
      <c r="J98" s="10"/>
      <c r="K98" s="10"/>
      <c r="L98" s="82"/>
      <c r="M98" s="10"/>
      <c r="N98" s="10"/>
    </row>
    <row r="99" spans="9:14" x14ac:dyDescent="0.25">
      <c r="I99" s="29"/>
      <c r="J99" s="10"/>
      <c r="K99" s="10"/>
      <c r="L99" s="82"/>
      <c r="M99" s="10"/>
      <c r="N99" s="10"/>
    </row>
    <row r="100" spans="9:14" x14ac:dyDescent="0.25">
      <c r="I100" s="29"/>
      <c r="J100" s="10"/>
      <c r="K100" s="10"/>
      <c r="L100" s="82"/>
      <c r="M100" s="10"/>
      <c r="N100" s="10"/>
    </row>
    <row r="101" spans="9:14" x14ac:dyDescent="0.25">
      <c r="I101" s="29"/>
      <c r="J101" s="10"/>
      <c r="K101" s="10"/>
      <c r="L101" s="82"/>
      <c r="M101" s="10"/>
      <c r="N101" s="10"/>
    </row>
    <row r="102" spans="9:14" x14ac:dyDescent="0.25">
      <c r="I102" s="29"/>
      <c r="J102" s="10"/>
      <c r="K102" s="10"/>
      <c r="L102" s="82"/>
      <c r="M102" s="10"/>
      <c r="N102" s="10"/>
    </row>
    <row r="103" spans="9:14" x14ac:dyDescent="0.25">
      <c r="I103" s="29"/>
      <c r="J103" s="10"/>
      <c r="K103" s="10"/>
      <c r="L103" s="82"/>
      <c r="M103" s="10"/>
      <c r="N103" s="10"/>
    </row>
    <row r="104" spans="9:14" x14ac:dyDescent="0.25">
      <c r="I104" s="29"/>
      <c r="J104" s="10"/>
      <c r="K104" s="10"/>
      <c r="L104" s="82"/>
      <c r="M104" s="10"/>
      <c r="N104" s="10"/>
    </row>
    <row r="105" spans="9:14" x14ac:dyDescent="0.25">
      <c r="I105" s="29"/>
      <c r="J105" s="10"/>
      <c r="K105" s="10"/>
      <c r="L105" s="82"/>
      <c r="M105" s="10"/>
      <c r="N105" s="10"/>
    </row>
    <row r="106" spans="9:14" x14ac:dyDescent="0.25">
      <c r="I106" s="29"/>
      <c r="J106" s="10"/>
      <c r="K106" s="10"/>
      <c r="L106" s="82"/>
      <c r="M106" s="10"/>
      <c r="N106" s="10"/>
    </row>
    <row r="107" spans="9:14" x14ac:dyDescent="0.25">
      <c r="I107" s="29"/>
      <c r="J107" s="10"/>
      <c r="K107" s="10"/>
      <c r="L107" s="82"/>
      <c r="M107" s="10"/>
      <c r="N107" s="10"/>
    </row>
    <row r="108" spans="9:14" x14ac:dyDescent="0.25">
      <c r="I108" s="29"/>
      <c r="J108" s="10"/>
      <c r="K108" s="10"/>
      <c r="L108" s="82"/>
      <c r="M108" s="10"/>
      <c r="N108" s="10"/>
    </row>
    <row r="109" spans="9:14" x14ac:dyDescent="0.25">
      <c r="I109" s="29"/>
      <c r="J109" s="10"/>
      <c r="K109" s="10"/>
      <c r="L109" s="82"/>
      <c r="M109" s="10"/>
      <c r="N109" s="10"/>
    </row>
    <row r="110" spans="9:14" x14ac:dyDescent="0.25">
      <c r="I110" s="29"/>
      <c r="J110" s="10"/>
      <c r="K110" s="10"/>
      <c r="L110" s="82"/>
      <c r="M110" s="10"/>
      <c r="N110" s="10"/>
    </row>
    <row r="111" spans="9:14" x14ac:dyDescent="0.25">
      <c r="I111" s="29"/>
      <c r="J111" s="10"/>
      <c r="K111" s="10"/>
      <c r="L111" s="82"/>
      <c r="M111" s="10"/>
      <c r="N111" s="10"/>
    </row>
    <row r="112" spans="9:14" x14ac:dyDescent="0.25">
      <c r="I112" s="29"/>
      <c r="J112" s="10"/>
      <c r="K112" s="10"/>
      <c r="L112" s="82"/>
      <c r="M112" s="10"/>
      <c r="N112" s="10"/>
    </row>
    <row r="113" spans="9:14" x14ac:dyDescent="0.25">
      <c r="I113" s="29"/>
      <c r="J113" s="10"/>
      <c r="K113" s="10"/>
      <c r="L113" s="82"/>
      <c r="M113" s="10"/>
      <c r="N113" s="10"/>
    </row>
    <row r="114" spans="9:14" x14ac:dyDescent="0.25">
      <c r="I114" s="29"/>
      <c r="J114" s="10"/>
      <c r="K114" s="10"/>
      <c r="L114" s="82"/>
      <c r="M114" s="10"/>
      <c r="N114" s="10"/>
    </row>
    <row r="115" spans="9:14" x14ac:dyDescent="0.25">
      <c r="I115" s="29"/>
      <c r="J115" s="10"/>
      <c r="K115" s="10"/>
      <c r="L115" s="82"/>
      <c r="M115" s="10"/>
      <c r="N115" s="10"/>
    </row>
    <row r="116" spans="9:14" x14ac:dyDescent="0.25">
      <c r="I116" s="29"/>
      <c r="J116" s="10"/>
      <c r="K116" s="10"/>
      <c r="L116" s="82"/>
      <c r="M116" s="10"/>
      <c r="N116" s="10"/>
    </row>
    <row r="117" spans="9:14" x14ac:dyDescent="0.25">
      <c r="I117" s="29"/>
      <c r="J117" s="10"/>
      <c r="K117" s="10"/>
      <c r="L117" s="82"/>
      <c r="M117" s="10"/>
      <c r="N117" s="10"/>
    </row>
    <row r="118" spans="9:14" x14ac:dyDescent="0.25">
      <c r="I118" s="29"/>
      <c r="J118" s="10"/>
      <c r="K118" s="10"/>
      <c r="L118" s="82"/>
      <c r="M118" s="10"/>
      <c r="N118" s="10"/>
    </row>
    <row r="119" spans="9:14" x14ac:dyDescent="0.25">
      <c r="I119" s="29"/>
      <c r="J119" s="10"/>
      <c r="K119" s="10"/>
      <c r="L119" s="82"/>
      <c r="M119" s="10"/>
      <c r="N119" s="10"/>
    </row>
    <row r="120" spans="9:14" x14ac:dyDescent="0.25">
      <c r="I120" s="29"/>
      <c r="J120" s="10"/>
      <c r="K120" s="10"/>
      <c r="L120" s="82"/>
      <c r="M120" s="10"/>
      <c r="N120" s="10"/>
    </row>
    <row r="121" spans="9:14" x14ac:dyDescent="0.25">
      <c r="I121" s="29"/>
      <c r="J121" s="10"/>
      <c r="K121" s="10"/>
      <c r="L121" s="82"/>
      <c r="M121" s="10"/>
      <c r="N121" s="10"/>
    </row>
    <row r="122" spans="9:14" x14ac:dyDescent="0.25">
      <c r="I122" s="29"/>
      <c r="J122" s="10"/>
      <c r="K122" s="10"/>
      <c r="L122" s="82"/>
      <c r="M122" s="10"/>
      <c r="N122" s="10"/>
    </row>
    <row r="123" spans="9:14" x14ac:dyDescent="0.25">
      <c r="I123" s="29"/>
      <c r="J123" s="10"/>
      <c r="K123" s="10"/>
      <c r="L123" s="82"/>
      <c r="M123" s="10"/>
      <c r="N123" s="10"/>
    </row>
    <row r="124" spans="9:14" x14ac:dyDescent="0.25">
      <c r="I124" s="29"/>
      <c r="J124" s="10"/>
      <c r="K124" s="10"/>
      <c r="L124" s="82"/>
      <c r="M124" s="10"/>
      <c r="N124" s="10"/>
    </row>
    <row r="125" spans="9:14" x14ac:dyDescent="0.25">
      <c r="I125" s="29"/>
      <c r="J125" s="10"/>
      <c r="K125" s="10"/>
      <c r="L125" s="82"/>
      <c r="M125" s="10"/>
      <c r="N125" s="10"/>
    </row>
    <row r="126" spans="9:14" x14ac:dyDescent="0.25">
      <c r="I126" s="29"/>
      <c r="J126" s="10"/>
      <c r="K126" s="10"/>
      <c r="L126" s="82"/>
      <c r="M126" s="10"/>
      <c r="N126" s="10"/>
    </row>
    <row r="127" spans="9:14" x14ac:dyDescent="0.25">
      <c r="I127" s="29"/>
      <c r="J127" s="10"/>
      <c r="K127" s="10"/>
      <c r="L127" s="82"/>
      <c r="M127" s="10"/>
      <c r="N127" s="10"/>
    </row>
    <row r="128" spans="9:14" x14ac:dyDescent="0.25">
      <c r="I128" s="29"/>
      <c r="J128" s="10"/>
      <c r="K128" s="10"/>
      <c r="L128" s="82"/>
      <c r="M128" s="10"/>
      <c r="N128" s="10"/>
    </row>
    <row r="129" spans="9:14" x14ac:dyDescent="0.25">
      <c r="I129" s="29"/>
      <c r="J129" s="10"/>
      <c r="K129" s="10"/>
      <c r="L129" s="82"/>
      <c r="M129" s="10"/>
      <c r="N129" s="10"/>
    </row>
    <row r="130" spans="9:14" x14ac:dyDescent="0.25">
      <c r="I130" s="29"/>
      <c r="J130" s="10"/>
      <c r="K130" s="10"/>
      <c r="L130" s="82"/>
      <c r="M130" s="10"/>
      <c r="N130" s="10"/>
    </row>
    <row r="131" spans="9:14" x14ac:dyDescent="0.25">
      <c r="I131" s="29"/>
      <c r="J131" s="10"/>
      <c r="K131" s="10"/>
      <c r="L131" s="82"/>
      <c r="M131" s="10"/>
      <c r="N131" s="10"/>
    </row>
    <row r="132" spans="9:14" x14ac:dyDescent="0.25">
      <c r="I132" s="29"/>
      <c r="J132" s="10"/>
      <c r="K132" s="10"/>
      <c r="L132" s="82"/>
      <c r="M132" s="10"/>
      <c r="N132" s="10"/>
    </row>
    <row r="133" spans="9:14" x14ac:dyDescent="0.25">
      <c r="I133" s="29"/>
      <c r="J133" s="10"/>
      <c r="K133" s="10"/>
      <c r="L133" s="82"/>
      <c r="M133" s="10"/>
      <c r="N133" s="10"/>
    </row>
    <row r="134" spans="9:14" x14ac:dyDescent="0.25">
      <c r="I134" s="29"/>
      <c r="J134" s="10"/>
      <c r="K134" s="10"/>
      <c r="L134" s="82"/>
      <c r="M134" s="10"/>
      <c r="N134" s="10"/>
    </row>
    <row r="135" spans="9:14" x14ac:dyDescent="0.25">
      <c r="I135" s="29"/>
      <c r="J135" s="10"/>
      <c r="K135" s="10"/>
      <c r="L135" s="82"/>
      <c r="M135" s="10"/>
      <c r="N135" s="10"/>
    </row>
    <row r="136" spans="9:14" x14ac:dyDescent="0.25">
      <c r="I136" s="29"/>
      <c r="J136" s="10"/>
      <c r="K136" s="10"/>
      <c r="L136" s="82"/>
      <c r="M136" s="10"/>
      <c r="N136" s="10"/>
    </row>
    <row r="137" spans="9:14" x14ac:dyDescent="0.25">
      <c r="I137" s="29"/>
      <c r="J137" s="10"/>
      <c r="K137" s="10"/>
      <c r="L137" s="82"/>
      <c r="M137" s="10"/>
      <c r="N137" s="10"/>
    </row>
    <row r="138" spans="9:14" x14ac:dyDescent="0.25">
      <c r="I138" s="29"/>
      <c r="J138" s="10"/>
      <c r="K138" s="10"/>
      <c r="L138" s="82"/>
      <c r="M138" s="10"/>
      <c r="N138" s="10"/>
    </row>
    <row r="139" spans="9:14" x14ac:dyDescent="0.25">
      <c r="I139" s="29"/>
      <c r="J139" s="10"/>
      <c r="K139" s="10"/>
      <c r="L139" s="82"/>
      <c r="M139" s="10"/>
      <c r="N139" s="10"/>
    </row>
    <row r="140" spans="9:14" x14ac:dyDescent="0.25">
      <c r="I140" s="29"/>
      <c r="J140" s="10"/>
      <c r="K140" s="10"/>
      <c r="L140" s="82"/>
      <c r="M140" s="10"/>
      <c r="N140" s="10"/>
    </row>
    <row r="141" spans="9:14" x14ac:dyDescent="0.25">
      <c r="I141" s="29"/>
      <c r="J141" s="10"/>
      <c r="K141" s="10"/>
      <c r="L141" s="82"/>
      <c r="M141" s="10"/>
      <c r="N141" s="10"/>
    </row>
    <row r="142" spans="9:14" x14ac:dyDescent="0.25">
      <c r="I142" s="29"/>
      <c r="J142" s="10"/>
      <c r="K142" s="10"/>
      <c r="L142" s="82"/>
      <c r="M142" s="10"/>
      <c r="N142" s="10"/>
    </row>
    <row r="143" spans="9:14" x14ac:dyDescent="0.25">
      <c r="I143" s="29"/>
      <c r="J143" s="10"/>
      <c r="K143" s="10"/>
      <c r="L143" s="82"/>
      <c r="M143" s="10"/>
      <c r="N143" s="10"/>
    </row>
    <row r="144" spans="9:14" x14ac:dyDescent="0.25">
      <c r="I144" s="29"/>
      <c r="J144" s="10"/>
      <c r="K144" s="10"/>
      <c r="L144" s="82"/>
      <c r="M144" s="10"/>
      <c r="N144" s="10"/>
    </row>
    <row r="145" spans="9:14" x14ac:dyDescent="0.25">
      <c r="I145" s="29"/>
      <c r="J145" s="10"/>
      <c r="K145" s="10"/>
      <c r="L145" s="82"/>
      <c r="M145" s="10"/>
      <c r="N145" s="10"/>
    </row>
    <row r="146" spans="9:14" x14ac:dyDescent="0.25">
      <c r="I146" s="29"/>
      <c r="J146" s="10"/>
      <c r="K146" s="10"/>
      <c r="L146" s="82"/>
      <c r="M146" s="10"/>
      <c r="N146" s="10"/>
    </row>
    <row r="147" spans="9:14" x14ac:dyDescent="0.25">
      <c r="I147" s="29"/>
      <c r="J147" s="10"/>
      <c r="K147" s="10"/>
      <c r="L147" s="82"/>
      <c r="M147" s="10"/>
      <c r="N147" s="10"/>
    </row>
    <row r="148" spans="9:14" x14ac:dyDescent="0.25">
      <c r="I148" s="29"/>
      <c r="J148" s="10"/>
      <c r="K148" s="10"/>
      <c r="L148" s="82"/>
      <c r="M148" s="10"/>
      <c r="N148" s="10"/>
    </row>
    <row r="149" spans="9:14" x14ac:dyDescent="0.25">
      <c r="I149" s="29"/>
      <c r="J149" s="10"/>
      <c r="K149" s="10"/>
      <c r="L149" s="82"/>
      <c r="M149" s="10"/>
      <c r="N149" s="10"/>
    </row>
    <row r="150" spans="9:14" x14ac:dyDescent="0.25">
      <c r="I150" s="29"/>
      <c r="J150" s="10"/>
      <c r="K150" s="10"/>
      <c r="L150" s="82"/>
      <c r="M150" s="10"/>
      <c r="N150" s="10"/>
    </row>
    <row r="151" spans="9:14" x14ac:dyDescent="0.25">
      <c r="I151" s="29"/>
      <c r="J151" s="10"/>
      <c r="K151" s="10"/>
      <c r="L151" s="82"/>
      <c r="M151" s="10"/>
      <c r="N151" s="10"/>
    </row>
    <row r="152" spans="9:14" x14ac:dyDescent="0.25">
      <c r="I152" s="29"/>
      <c r="J152" s="10"/>
      <c r="K152" s="10"/>
      <c r="L152" s="82"/>
      <c r="M152" s="10"/>
      <c r="N152" s="10"/>
    </row>
    <row r="153" spans="9:14" x14ac:dyDescent="0.25">
      <c r="I153" s="29"/>
      <c r="J153" s="10"/>
      <c r="K153" s="10"/>
      <c r="L153" s="82"/>
      <c r="M153" s="10"/>
      <c r="N153" s="10"/>
    </row>
    <row r="154" spans="9:14" x14ac:dyDescent="0.25">
      <c r="I154" s="29"/>
      <c r="J154" s="10"/>
      <c r="K154" s="10"/>
      <c r="L154" s="82"/>
      <c r="M154" s="10"/>
      <c r="N154" s="10"/>
    </row>
    <row r="155" spans="9:14" x14ac:dyDescent="0.25">
      <c r="I155" s="29"/>
      <c r="J155" s="10"/>
      <c r="K155" s="10"/>
      <c r="L155" s="82"/>
      <c r="M155" s="10"/>
      <c r="N155" s="10"/>
    </row>
    <row r="156" spans="9:14" x14ac:dyDescent="0.25">
      <c r="I156" s="29"/>
      <c r="J156" s="10"/>
      <c r="K156" s="10"/>
      <c r="L156" s="82"/>
      <c r="M156" s="10"/>
      <c r="N156" s="10"/>
    </row>
    <row r="157" spans="9:14" x14ac:dyDescent="0.25">
      <c r="I157" s="29"/>
      <c r="J157" s="10"/>
      <c r="K157" s="10"/>
      <c r="L157" s="82"/>
      <c r="M157" s="10"/>
      <c r="N157" s="10"/>
    </row>
    <row r="158" spans="9:14" x14ac:dyDescent="0.25">
      <c r="I158" s="29"/>
      <c r="J158" s="10"/>
      <c r="K158" s="10"/>
      <c r="L158" s="82"/>
      <c r="M158" s="10"/>
      <c r="N158" s="10"/>
    </row>
    <row r="159" spans="9:14" x14ac:dyDescent="0.25">
      <c r="I159" s="29"/>
      <c r="J159" s="10"/>
      <c r="K159" s="10"/>
      <c r="L159" s="82"/>
      <c r="M159" s="10"/>
      <c r="N159" s="10"/>
    </row>
    <row r="160" spans="9:14" x14ac:dyDescent="0.25">
      <c r="I160" s="29"/>
      <c r="J160" s="10"/>
      <c r="K160" s="10"/>
      <c r="L160" s="82"/>
      <c r="M160" s="10"/>
      <c r="N160" s="10"/>
    </row>
    <row r="161" spans="9:14" x14ac:dyDescent="0.25">
      <c r="I161" s="29"/>
      <c r="J161" s="10"/>
      <c r="K161" s="10"/>
      <c r="L161" s="82"/>
      <c r="M161" s="10"/>
      <c r="N161" s="10"/>
    </row>
    <row r="162" spans="9:14" x14ac:dyDescent="0.25">
      <c r="I162" s="29"/>
      <c r="J162" s="10"/>
      <c r="K162" s="10"/>
      <c r="L162" s="82"/>
      <c r="M162" s="10"/>
      <c r="N162" s="10"/>
    </row>
    <row r="163" spans="9:14" x14ac:dyDescent="0.25">
      <c r="I163" s="29"/>
      <c r="J163" s="10"/>
      <c r="K163" s="10"/>
      <c r="L163" s="82"/>
      <c r="M163" s="10"/>
      <c r="N163" s="10"/>
    </row>
    <row r="164" spans="9:14" x14ac:dyDescent="0.25">
      <c r="I164" s="29"/>
      <c r="J164" s="10"/>
      <c r="K164" s="10"/>
      <c r="L164" s="82"/>
      <c r="M164" s="10"/>
      <c r="N164" s="10"/>
    </row>
    <row r="165" spans="9:14" x14ac:dyDescent="0.25">
      <c r="I165" s="29"/>
      <c r="J165" s="10"/>
      <c r="K165" s="10"/>
      <c r="L165" s="82"/>
      <c r="M165" s="10"/>
      <c r="N165" s="10"/>
    </row>
    <row r="166" spans="9:14" x14ac:dyDescent="0.25">
      <c r="I166" s="29"/>
      <c r="J166" s="10"/>
      <c r="K166" s="10"/>
      <c r="L166" s="82"/>
      <c r="M166" s="10"/>
      <c r="N166" s="10"/>
    </row>
    <row r="167" spans="9:14" x14ac:dyDescent="0.25">
      <c r="I167" s="29"/>
      <c r="J167" s="10"/>
      <c r="K167" s="10"/>
      <c r="L167" s="82"/>
      <c r="M167" s="10"/>
      <c r="N167" s="10"/>
    </row>
    <row r="168" spans="9:14" x14ac:dyDescent="0.25">
      <c r="I168" s="29"/>
      <c r="J168" s="10"/>
      <c r="K168" s="10"/>
      <c r="L168" s="82"/>
      <c r="M168" s="10"/>
      <c r="N168" s="10"/>
    </row>
    <row r="169" spans="9:14" x14ac:dyDescent="0.25">
      <c r="I169" s="29"/>
      <c r="J169" s="10"/>
      <c r="K169" s="10"/>
      <c r="L169" s="82"/>
      <c r="M169" s="10"/>
      <c r="N169" s="10"/>
    </row>
    <row r="170" spans="9:14" x14ac:dyDescent="0.25">
      <c r="I170" s="29"/>
      <c r="J170" s="10"/>
      <c r="K170" s="10"/>
      <c r="L170" s="82"/>
      <c r="M170" s="10"/>
      <c r="N170" s="10"/>
    </row>
    <row r="171" spans="9:14" x14ac:dyDescent="0.25">
      <c r="I171" s="29"/>
      <c r="J171" s="10"/>
      <c r="K171" s="10"/>
      <c r="L171" s="82"/>
      <c r="M171" s="10"/>
      <c r="N171" s="10"/>
    </row>
    <row r="172" spans="9:14" x14ac:dyDescent="0.25">
      <c r="I172" s="29"/>
      <c r="J172" s="10"/>
      <c r="K172" s="10"/>
      <c r="L172" s="82"/>
      <c r="M172" s="10"/>
      <c r="N172" s="10"/>
    </row>
    <row r="173" spans="9:14" x14ac:dyDescent="0.25">
      <c r="I173" s="29"/>
      <c r="J173" s="10"/>
      <c r="K173" s="10"/>
      <c r="L173" s="82"/>
      <c r="M173" s="10"/>
      <c r="N173" s="10"/>
    </row>
    <row r="174" spans="9:14" x14ac:dyDescent="0.25">
      <c r="I174" s="29"/>
      <c r="J174" s="10"/>
      <c r="K174" s="10"/>
      <c r="L174" s="82"/>
      <c r="M174" s="10"/>
      <c r="N174" s="10"/>
    </row>
    <row r="175" spans="9:14" x14ac:dyDescent="0.25">
      <c r="I175" s="29"/>
      <c r="J175" s="10"/>
      <c r="K175" s="10"/>
      <c r="L175" s="82"/>
      <c r="M175" s="10"/>
      <c r="N175" s="10"/>
    </row>
    <row r="176" spans="9:14" x14ac:dyDescent="0.25">
      <c r="I176" s="29"/>
      <c r="J176" s="10"/>
      <c r="K176" s="10"/>
      <c r="L176" s="82"/>
      <c r="M176" s="10"/>
      <c r="N176" s="10"/>
    </row>
    <row r="177" spans="9:14" x14ac:dyDescent="0.25">
      <c r="I177" s="29"/>
      <c r="J177" s="10"/>
      <c r="K177" s="10"/>
      <c r="L177" s="82"/>
      <c r="M177" s="10"/>
      <c r="N177" s="10"/>
    </row>
    <row r="178" spans="9:14" x14ac:dyDescent="0.25">
      <c r="I178" s="29"/>
      <c r="J178" s="10"/>
      <c r="K178" s="10"/>
      <c r="L178" s="82"/>
      <c r="M178" s="10"/>
      <c r="N178" s="10"/>
    </row>
    <row r="179" spans="9:14" x14ac:dyDescent="0.25">
      <c r="I179" s="29"/>
      <c r="J179" s="10"/>
      <c r="K179" s="10"/>
      <c r="L179" s="82"/>
      <c r="M179" s="10"/>
      <c r="N179" s="10"/>
    </row>
    <row r="180" spans="9:14" x14ac:dyDescent="0.25">
      <c r="I180" s="29"/>
      <c r="J180" s="10"/>
      <c r="K180" s="10"/>
      <c r="L180" s="82"/>
      <c r="M180" s="10"/>
      <c r="N180" s="10"/>
    </row>
    <row r="181" spans="9:14" x14ac:dyDescent="0.25">
      <c r="I181" s="29"/>
      <c r="J181" s="10"/>
      <c r="K181" s="10"/>
      <c r="L181" s="82"/>
      <c r="M181" s="10"/>
      <c r="N181" s="10"/>
    </row>
    <row r="182" spans="9:14" x14ac:dyDescent="0.25">
      <c r="I182" s="29"/>
      <c r="J182" s="10"/>
      <c r="K182" s="10"/>
      <c r="L182" s="82"/>
      <c r="M182" s="10"/>
      <c r="N182" s="10"/>
    </row>
    <row r="183" spans="9:14" x14ac:dyDescent="0.25">
      <c r="I183" s="29"/>
      <c r="J183" s="10"/>
      <c r="K183" s="10"/>
      <c r="L183" s="82"/>
      <c r="M183" s="10"/>
      <c r="N183" s="10"/>
    </row>
    <row r="184" spans="9:14" x14ac:dyDescent="0.25">
      <c r="I184" s="29"/>
      <c r="J184" s="10"/>
      <c r="K184" s="10"/>
      <c r="L184" s="82"/>
      <c r="M184" s="10"/>
      <c r="N184" s="10"/>
    </row>
    <row r="185" spans="9:14" x14ac:dyDescent="0.25">
      <c r="I185" s="29"/>
      <c r="J185" s="10"/>
      <c r="K185" s="10"/>
      <c r="L185" s="82"/>
      <c r="M185" s="10"/>
      <c r="N185" s="10"/>
    </row>
    <row r="186" spans="9:14" x14ac:dyDescent="0.25">
      <c r="I186" s="29"/>
      <c r="J186" s="10"/>
      <c r="K186" s="10"/>
      <c r="L186" s="82"/>
      <c r="M186" s="10"/>
      <c r="N186" s="10"/>
    </row>
    <row r="187" spans="9:14" x14ac:dyDescent="0.25">
      <c r="I187" s="29"/>
      <c r="J187" s="10"/>
      <c r="K187" s="10"/>
      <c r="L187" s="82"/>
      <c r="M187" s="10"/>
      <c r="N187" s="10"/>
    </row>
    <row r="188" spans="9:14" x14ac:dyDescent="0.25">
      <c r="I188" s="29"/>
      <c r="J188" s="10"/>
      <c r="K188" s="10"/>
      <c r="L188" s="82"/>
      <c r="M188" s="10"/>
      <c r="N188" s="10"/>
    </row>
    <row r="189" spans="9:14" x14ac:dyDescent="0.25">
      <c r="I189" s="29"/>
      <c r="J189" s="10"/>
      <c r="K189" s="10"/>
      <c r="L189" s="82"/>
      <c r="M189" s="10"/>
      <c r="N189" s="10"/>
    </row>
    <row r="190" spans="9:14" x14ac:dyDescent="0.25">
      <c r="I190" s="29"/>
      <c r="J190" s="10"/>
      <c r="K190" s="10"/>
      <c r="L190" s="82"/>
      <c r="M190" s="10"/>
      <c r="N190" s="10"/>
    </row>
    <row r="191" spans="9:14" x14ac:dyDescent="0.25">
      <c r="I191" s="29"/>
      <c r="J191" s="10"/>
      <c r="K191" s="10"/>
      <c r="L191" s="82"/>
      <c r="M191" s="10"/>
      <c r="N191" s="10"/>
    </row>
    <row r="192" spans="9:14" x14ac:dyDescent="0.25">
      <c r="I192" s="29"/>
      <c r="J192" s="10"/>
      <c r="K192" s="10"/>
      <c r="L192" s="82"/>
      <c r="M192" s="10"/>
      <c r="N192" s="10"/>
    </row>
    <row r="193" spans="9:14" x14ac:dyDescent="0.25">
      <c r="I193" s="29"/>
      <c r="J193" s="10"/>
      <c r="K193" s="10"/>
      <c r="L193" s="82"/>
      <c r="M193" s="10"/>
      <c r="N193" s="10"/>
    </row>
    <row r="194" spans="9:14" x14ac:dyDescent="0.25">
      <c r="I194" s="29"/>
      <c r="J194" s="10"/>
      <c r="K194" s="10"/>
      <c r="L194" s="82"/>
      <c r="M194" s="10"/>
      <c r="N194" s="10"/>
    </row>
    <row r="195" spans="9:14" x14ac:dyDescent="0.25">
      <c r="I195" s="29"/>
      <c r="J195" s="10"/>
      <c r="K195" s="10"/>
      <c r="L195" s="82"/>
      <c r="M195" s="10"/>
      <c r="N195" s="10"/>
    </row>
    <row r="196" spans="9:14" x14ac:dyDescent="0.25">
      <c r="I196" s="29"/>
      <c r="J196" s="10"/>
      <c r="K196" s="10"/>
      <c r="L196" s="82"/>
      <c r="M196" s="10"/>
      <c r="N196" s="10"/>
    </row>
    <row r="197" spans="9:14" x14ac:dyDescent="0.25">
      <c r="I197" s="29"/>
      <c r="J197" s="10"/>
      <c r="K197" s="10"/>
      <c r="L197" s="82"/>
      <c r="M197" s="10"/>
      <c r="N197" s="10"/>
    </row>
    <row r="198" spans="9:14" x14ac:dyDescent="0.25">
      <c r="I198" s="29"/>
      <c r="J198" s="10"/>
      <c r="K198" s="10"/>
      <c r="L198" s="82"/>
      <c r="M198" s="10"/>
      <c r="N198" s="10"/>
    </row>
    <row r="199" spans="9:14" x14ac:dyDescent="0.25">
      <c r="I199" s="29"/>
      <c r="J199" s="10"/>
      <c r="K199" s="10"/>
      <c r="L199" s="82"/>
      <c r="M199" s="10"/>
      <c r="N199" s="10"/>
    </row>
    <row r="200" spans="9:14" x14ac:dyDescent="0.25">
      <c r="I200" s="29"/>
      <c r="J200" s="10"/>
      <c r="K200" s="10"/>
      <c r="L200" s="82"/>
      <c r="M200" s="10"/>
      <c r="N200" s="10"/>
    </row>
    <row r="201" spans="9:14" x14ac:dyDescent="0.25">
      <c r="I201" s="29"/>
      <c r="J201" s="10"/>
      <c r="K201" s="10"/>
      <c r="L201" s="82"/>
      <c r="M201" s="10"/>
      <c r="N201" s="10"/>
    </row>
    <row r="202" spans="9:14" x14ac:dyDescent="0.25">
      <c r="I202" s="29"/>
      <c r="J202" s="10"/>
      <c r="K202" s="10"/>
      <c r="L202" s="82"/>
      <c r="M202" s="10"/>
      <c r="N202" s="10"/>
    </row>
    <row r="203" spans="9:14" x14ac:dyDescent="0.25">
      <c r="I203" s="29"/>
      <c r="J203" s="10"/>
      <c r="K203" s="10"/>
      <c r="L203" s="82"/>
      <c r="M203" s="10"/>
      <c r="N203" s="10"/>
    </row>
    <row r="204" spans="9:14" x14ac:dyDescent="0.25">
      <c r="I204" s="29"/>
      <c r="J204" s="10"/>
      <c r="K204" s="10"/>
      <c r="L204" s="82"/>
      <c r="M204" s="10"/>
      <c r="N204" s="10"/>
    </row>
    <row r="205" spans="9:14" x14ac:dyDescent="0.25">
      <c r="I205" s="29"/>
      <c r="J205" s="10"/>
      <c r="K205" s="10"/>
      <c r="L205" s="82"/>
      <c r="M205" s="10"/>
      <c r="N205" s="10"/>
    </row>
    <row r="206" spans="9:14" x14ac:dyDescent="0.25">
      <c r="I206" s="29"/>
      <c r="J206" s="10"/>
      <c r="K206" s="10"/>
      <c r="L206" s="82"/>
      <c r="M206" s="10"/>
      <c r="N206" s="10"/>
    </row>
    <row r="207" spans="9:14" x14ac:dyDescent="0.25">
      <c r="I207" s="29"/>
      <c r="J207" s="10"/>
      <c r="K207" s="10"/>
      <c r="L207" s="82"/>
      <c r="M207" s="10"/>
      <c r="N207" s="10"/>
    </row>
    <row r="208" spans="9:14" x14ac:dyDescent="0.25">
      <c r="I208" s="29"/>
      <c r="J208" s="10"/>
      <c r="K208" s="10"/>
      <c r="L208" s="82"/>
      <c r="M208" s="10"/>
      <c r="N208" s="10"/>
    </row>
    <row r="209" spans="9:14" x14ac:dyDescent="0.25">
      <c r="I209" s="29"/>
      <c r="J209" s="10"/>
      <c r="K209" s="10"/>
      <c r="L209" s="82"/>
      <c r="M209" s="10"/>
      <c r="N209" s="10"/>
    </row>
    <row r="210" spans="9:14" x14ac:dyDescent="0.25">
      <c r="I210" s="29"/>
      <c r="J210" s="10"/>
      <c r="K210" s="10"/>
      <c r="L210" s="82"/>
      <c r="M210" s="10"/>
      <c r="N210" s="10"/>
    </row>
    <row r="211" spans="9:14" x14ac:dyDescent="0.25">
      <c r="I211" s="29"/>
      <c r="J211" s="10"/>
      <c r="K211" s="10"/>
      <c r="L211" s="82"/>
      <c r="M211" s="10"/>
      <c r="N211" s="10"/>
    </row>
    <row r="212" spans="9:14" x14ac:dyDescent="0.25">
      <c r="I212" s="29"/>
      <c r="J212" s="10"/>
      <c r="K212" s="10"/>
      <c r="L212" s="82"/>
      <c r="M212" s="10"/>
      <c r="N212" s="10"/>
    </row>
    <row r="213" spans="9:14" x14ac:dyDescent="0.25">
      <c r="I213" s="29"/>
      <c r="J213" s="10"/>
      <c r="K213" s="10"/>
      <c r="L213" s="82"/>
      <c r="M213" s="10"/>
      <c r="N213" s="10"/>
    </row>
    <row r="214" spans="9:14" x14ac:dyDescent="0.25">
      <c r="I214" s="29"/>
      <c r="J214" s="10"/>
      <c r="K214" s="10"/>
      <c r="L214" s="82"/>
      <c r="M214" s="10"/>
      <c r="N214" s="10"/>
    </row>
    <row r="215" spans="9:14" x14ac:dyDescent="0.25">
      <c r="I215" s="29"/>
      <c r="J215" s="10"/>
      <c r="K215" s="10"/>
      <c r="L215" s="82"/>
      <c r="M215" s="10"/>
      <c r="N215" s="10"/>
    </row>
    <row r="216" spans="9:14" x14ac:dyDescent="0.25">
      <c r="I216" s="29"/>
      <c r="J216" s="10"/>
      <c r="K216" s="10"/>
      <c r="L216" s="82"/>
      <c r="M216" s="10"/>
      <c r="N216" s="10"/>
    </row>
    <row r="217" spans="9:14" x14ac:dyDescent="0.25">
      <c r="I217" s="29"/>
      <c r="J217" s="10"/>
      <c r="K217" s="10"/>
      <c r="L217" s="82"/>
      <c r="M217" s="10"/>
      <c r="N217" s="10"/>
    </row>
    <row r="218" spans="9:14" x14ac:dyDescent="0.25">
      <c r="I218" s="29"/>
      <c r="J218" s="10"/>
      <c r="K218" s="10"/>
      <c r="L218" s="82"/>
      <c r="M218" s="10"/>
      <c r="N218" s="10"/>
    </row>
    <row r="219" spans="9:14" x14ac:dyDescent="0.25">
      <c r="I219" s="29"/>
      <c r="J219" s="10"/>
      <c r="K219" s="10"/>
      <c r="L219" s="82"/>
      <c r="M219" s="10"/>
      <c r="N219" s="10"/>
    </row>
    <row r="220" spans="9:14" x14ac:dyDescent="0.25">
      <c r="I220" s="29"/>
      <c r="J220" s="10"/>
      <c r="K220" s="10"/>
      <c r="L220" s="82"/>
      <c r="M220" s="10"/>
      <c r="N220" s="10"/>
    </row>
    <row r="221" spans="9:14" x14ac:dyDescent="0.25">
      <c r="I221" s="29"/>
      <c r="J221" s="10"/>
      <c r="K221" s="10"/>
      <c r="L221" s="82"/>
      <c r="M221" s="10"/>
      <c r="N221" s="10"/>
    </row>
    <row r="222" spans="9:14" x14ac:dyDescent="0.25">
      <c r="I222" s="29"/>
      <c r="J222" s="10"/>
      <c r="K222" s="10"/>
      <c r="L222" s="82"/>
      <c r="M222" s="10"/>
      <c r="N222" s="10"/>
    </row>
    <row r="223" spans="9:14" x14ac:dyDescent="0.25">
      <c r="I223" s="29"/>
      <c r="J223" s="10"/>
      <c r="K223" s="10"/>
      <c r="L223" s="82"/>
      <c r="M223" s="10"/>
      <c r="N223" s="10"/>
    </row>
    <row r="224" spans="9:14" x14ac:dyDescent="0.25">
      <c r="I224" s="29"/>
      <c r="J224" s="10"/>
      <c r="K224" s="10"/>
      <c r="L224" s="82"/>
      <c r="M224" s="10"/>
      <c r="N224" s="10"/>
    </row>
    <row r="225" spans="9:14" x14ac:dyDescent="0.25">
      <c r="I225" s="29"/>
      <c r="J225" s="10"/>
      <c r="K225" s="10"/>
      <c r="L225" s="82"/>
      <c r="M225" s="10"/>
      <c r="N225" s="10"/>
    </row>
    <row r="226" spans="9:14" x14ac:dyDescent="0.25">
      <c r="I226" s="29"/>
      <c r="J226" s="10"/>
      <c r="K226" s="10"/>
      <c r="L226" s="82"/>
      <c r="M226" s="10"/>
      <c r="N226" s="10"/>
    </row>
    <row r="227" spans="9:14" x14ac:dyDescent="0.25">
      <c r="I227" s="29"/>
      <c r="J227" s="10"/>
      <c r="K227" s="10"/>
      <c r="L227" s="82"/>
      <c r="M227" s="10"/>
      <c r="N227" s="10"/>
    </row>
    <row r="228" spans="9:14" x14ac:dyDescent="0.25">
      <c r="I228" s="29"/>
      <c r="J228" s="10"/>
      <c r="K228" s="10"/>
      <c r="L228" s="82"/>
      <c r="M228" s="10"/>
      <c r="N228" s="10"/>
    </row>
    <row r="229" spans="9:14" x14ac:dyDescent="0.25">
      <c r="I229" s="29"/>
      <c r="J229" s="10"/>
      <c r="K229" s="10"/>
      <c r="L229" s="82"/>
      <c r="M229" s="10"/>
      <c r="N229" s="10"/>
    </row>
    <row r="230" spans="9:14" x14ac:dyDescent="0.25">
      <c r="I230" s="29"/>
      <c r="J230" s="10"/>
      <c r="K230" s="10"/>
      <c r="L230" s="82"/>
      <c r="M230" s="10"/>
      <c r="N230" s="10"/>
    </row>
    <row r="231" spans="9:14" x14ac:dyDescent="0.25">
      <c r="I231" s="29"/>
      <c r="J231" s="10"/>
      <c r="K231" s="10"/>
      <c r="L231" s="82"/>
      <c r="M231" s="10"/>
      <c r="N231" s="10"/>
    </row>
    <row r="232" spans="9:14" x14ac:dyDescent="0.25">
      <c r="I232" s="29"/>
      <c r="J232" s="10"/>
      <c r="K232" s="10"/>
      <c r="L232" s="82"/>
      <c r="M232" s="10"/>
      <c r="N232" s="10"/>
    </row>
    <row r="233" spans="9:14" x14ac:dyDescent="0.25">
      <c r="I233" s="29"/>
      <c r="J233" s="10"/>
      <c r="K233" s="10"/>
      <c r="L233" s="82"/>
      <c r="M233" s="10"/>
      <c r="N233" s="10"/>
    </row>
    <row r="234" spans="9:14" x14ac:dyDescent="0.25">
      <c r="I234" s="29"/>
      <c r="J234" s="10"/>
      <c r="K234" s="10"/>
      <c r="L234" s="82"/>
      <c r="M234" s="10"/>
      <c r="N234" s="10"/>
    </row>
    <row r="235" spans="9:14" x14ac:dyDescent="0.25">
      <c r="I235" s="29"/>
      <c r="J235" s="10"/>
      <c r="K235" s="10"/>
      <c r="L235" s="82"/>
      <c r="M235" s="10"/>
      <c r="N235" s="10"/>
    </row>
    <row r="236" spans="9:14" x14ac:dyDescent="0.25">
      <c r="I236" s="29"/>
      <c r="J236" s="10"/>
      <c r="K236" s="10"/>
      <c r="L236" s="82"/>
      <c r="M236" s="10"/>
      <c r="N236" s="10"/>
    </row>
    <row r="237" spans="9:14" x14ac:dyDescent="0.25">
      <c r="I237" s="29"/>
      <c r="J237" s="10"/>
      <c r="K237" s="10"/>
      <c r="L237" s="82"/>
      <c r="M237" s="10"/>
      <c r="N237" s="10"/>
    </row>
    <row r="238" spans="9:14" x14ac:dyDescent="0.25">
      <c r="I238" s="29"/>
      <c r="J238" s="10"/>
      <c r="K238" s="10"/>
      <c r="L238" s="82"/>
      <c r="M238" s="10"/>
      <c r="N238" s="10"/>
    </row>
    <row r="239" spans="9:14" x14ac:dyDescent="0.25">
      <c r="I239" s="29"/>
      <c r="J239" s="10"/>
      <c r="K239" s="10"/>
      <c r="L239" s="82"/>
      <c r="M239" s="10"/>
      <c r="N239" s="10"/>
    </row>
    <row r="240" spans="9:14" x14ac:dyDescent="0.25">
      <c r="I240" s="29"/>
      <c r="J240" s="10"/>
      <c r="K240" s="10"/>
      <c r="L240" s="82"/>
      <c r="M240" s="10"/>
      <c r="N240" s="10"/>
    </row>
    <row r="241" spans="9:14" x14ac:dyDescent="0.25">
      <c r="I241" s="29"/>
      <c r="J241" s="10"/>
      <c r="K241" s="10"/>
      <c r="L241" s="82"/>
      <c r="M241" s="10"/>
      <c r="N241" s="10"/>
    </row>
    <row r="242" spans="9:14" x14ac:dyDescent="0.25">
      <c r="I242" s="29"/>
      <c r="J242" s="10"/>
      <c r="K242" s="10"/>
      <c r="L242" s="82"/>
      <c r="M242" s="10"/>
      <c r="N242" s="10"/>
    </row>
    <row r="243" spans="9:14" x14ac:dyDescent="0.25">
      <c r="I243" s="29"/>
      <c r="J243" s="10"/>
      <c r="K243" s="10"/>
      <c r="L243" s="82"/>
      <c r="M243" s="10"/>
      <c r="N243" s="10"/>
    </row>
    <row r="244" spans="9:14" x14ac:dyDescent="0.25">
      <c r="I244" s="29"/>
      <c r="J244" s="10"/>
      <c r="K244" s="10"/>
      <c r="L244" s="82"/>
      <c r="M244" s="10"/>
      <c r="N244" s="10"/>
    </row>
    <row r="245" spans="9:14" x14ac:dyDescent="0.25">
      <c r="I245" s="29"/>
      <c r="J245" s="10"/>
      <c r="K245" s="10"/>
      <c r="L245" s="82"/>
      <c r="M245" s="10"/>
      <c r="N245" s="10"/>
    </row>
    <row r="246" spans="9:14" x14ac:dyDescent="0.25">
      <c r="I246" s="29"/>
      <c r="J246" s="10"/>
      <c r="K246" s="10"/>
      <c r="L246" s="82"/>
      <c r="M246" s="10"/>
      <c r="N246" s="10"/>
    </row>
    <row r="247" spans="9:14" x14ac:dyDescent="0.25">
      <c r="I247" s="29"/>
      <c r="J247" s="10"/>
      <c r="K247" s="10"/>
      <c r="L247" s="82"/>
      <c r="M247" s="10"/>
      <c r="N247" s="10"/>
    </row>
    <row r="248" spans="9:14" x14ac:dyDescent="0.25">
      <c r="I248" s="29"/>
      <c r="J248" s="10"/>
      <c r="K248" s="10"/>
      <c r="L248" s="82"/>
      <c r="M248" s="10"/>
      <c r="N248" s="10"/>
    </row>
    <row r="249" spans="9:14" x14ac:dyDescent="0.25">
      <c r="I249" s="29"/>
      <c r="J249" s="10"/>
      <c r="K249" s="10"/>
      <c r="L249" s="82"/>
      <c r="M249" s="10"/>
      <c r="N249" s="10"/>
    </row>
    <row r="250" spans="9:14" x14ac:dyDescent="0.25">
      <c r="I250" s="29"/>
      <c r="J250" s="10"/>
      <c r="K250" s="10"/>
      <c r="L250" s="82"/>
      <c r="M250" s="10"/>
      <c r="N250" s="10"/>
    </row>
    <row r="251" spans="9:14" x14ac:dyDescent="0.25">
      <c r="I251" s="29"/>
      <c r="J251" s="10"/>
      <c r="K251" s="10"/>
      <c r="L251" s="82"/>
      <c r="M251" s="10"/>
      <c r="N251" s="10"/>
    </row>
    <row r="252" spans="9:14" x14ac:dyDescent="0.25">
      <c r="I252" s="29"/>
      <c r="J252" s="10"/>
      <c r="K252" s="10"/>
      <c r="L252" s="82"/>
      <c r="M252" s="10"/>
      <c r="N252" s="10"/>
    </row>
    <row r="253" spans="9:14" x14ac:dyDescent="0.25">
      <c r="I253" s="29"/>
      <c r="J253" s="10"/>
      <c r="K253" s="10"/>
      <c r="L253" s="82"/>
      <c r="M253" s="10"/>
      <c r="N253" s="10"/>
    </row>
    <row r="254" spans="9:14" x14ac:dyDescent="0.25">
      <c r="I254" s="29"/>
      <c r="J254" s="10"/>
      <c r="K254" s="10"/>
      <c r="L254" s="82"/>
      <c r="M254" s="10"/>
      <c r="N254" s="10"/>
    </row>
    <row r="255" spans="9:14" x14ac:dyDescent="0.25">
      <c r="I255" s="29"/>
      <c r="J255" s="10"/>
      <c r="K255" s="10"/>
      <c r="L255" s="82"/>
      <c r="M255" s="10"/>
      <c r="N255" s="10"/>
    </row>
    <row r="256" spans="9:14" x14ac:dyDescent="0.25">
      <c r="I256" s="29"/>
      <c r="J256" s="10"/>
      <c r="K256" s="10"/>
      <c r="L256" s="82"/>
      <c r="M256" s="10"/>
      <c r="N256" s="10"/>
    </row>
    <row r="257" spans="9:14" x14ac:dyDescent="0.25">
      <c r="I257" s="29"/>
      <c r="J257" s="10"/>
      <c r="K257" s="10"/>
      <c r="L257" s="82"/>
      <c r="M257" s="10"/>
      <c r="N257" s="10"/>
    </row>
    <row r="258" spans="9:14" x14ac:dyDescent="0.25">
      <c r="I258" s="29"/>
      <c r="J258" s="10"/>
      <c r="K258" s="10"/>
      <c r="L258" s="82"/>
      <c r="M258" s="10"/>
      <c r="N258" s="10"/>
    </row>
    <row r="259" spans="9:14" x14ac:dyDescent="0.25">
      <c r="I259" s="29"/>
      <c r="J259" s="10"/>
      <c r="K259" s="10"/>
      <c r="L259" s="82"/>
      <c r="M259" s="10"/>
      <c r="N259" s="10"/>
    </row>
    <row r="260" spans="9:14" x14ac:dyDescent="0.25">
      <c r="I260" s="29"/>
      <c r="J260" s="10"/>
      <c r="K260" s="10"/>
      <c r="L260" s="82"/>
      <c r="M260" s="10"/>
      <c r="N260" s="10"/>
    </row>
    <row r="261" spans="9:14" x14ac:dyDescent="0.25">
      <c r="I261" s="29"/>
      <c r="J261" s="10"/>
      <c r="K261" s="10"/>
      <c r="L261" s="82"/>
      <c r="M261" s="10"/>
      <c r="N261" s="10"/>
    </row>
    <row r="262" spans="9:14" x14ac:dyDescent="0.25">
      <c r="I262" s="29"/>
      <c r="J262" s="10"/>
      <c r="K262" s="10"/>
      <c r="L262" s="82"/>
      <c r="M262" s="10"/>
      <c r="N262" s="10"/>
    </row>
    <row r="263" spans="9:14" x14ac:dyDescent="0.25">
      <c r="I263" s="29"/>
      <c r="J263" s="10"/>
      <c r="K263" s="10"/>
      <c r="L263" s="82"/>
      <c r="M263" s="10"/>
      <c r="N263" s="10"/>
    </row>
    <row r="264" spans="9:14" x14ac:dyDescent="0.25">
      <c r="I264" s="29"/>
      <c r="J264" s="10"/>
      <c r="K264" s="10"/>
      <c r="L264" s="82"/>
      <c r="M264" s="10"/>
      <c r="N264" s="10"/>
    </row>
    <row r="265" spans="9:14" x14ac:dyDescent="0.25">
      <c r="I265" s="29"/>
      <c r="J265" s="10"/>
      <c r="K265" s="10"/>
      <c r="L265" s="82"/>
      <c r="M265" s="10"/>
      <c r="N265" s="10"/>
    </row>
    <row r="266" spans="9:14" x14ac:dyDescent="0.25">
      <c r="I266" s="29"/>
      <c r="J266" s="10"/>
      <c r="K266" s="10"/>
      <c r="L266" s="82"/>
      <c r="M266" s="10"/>
      <c r="N266" s="10"/>
    </row>
    <row r="267" spans="9:14" x14ac:dyDescent="0.25">
      <c r="I267" s="29"/>
      <c r="J267" s="10"/>
      <c r="K267" s="10"/>
      <c r="L267" s="82"/>
      <c r="M267" s="10"/>
      <c r="N267" s="10"/>
    </row>
    <row r="268" spans="9:14" x14ac:dyDescent="0.25">
      <c r="I268" s="29"/>
      <c r="J268" s="10"/>
      <c r="K268" s="10"/>
      <c r="L268" s="82"/>
      <c r="M268" s="10"/>
      <c r="N268" s="10"/>
    </row>
    <row r="269" spans="9:14" x14ac:dyDescent="0.25">
      <c r="I269" s="29"/>
      <c r="J269" s="10"/>
      <c r="K269" s="10"/>
      <c r="L269" s="82"/>
      <c r="M269" s="10"/>
      <c r="N269" s="10"/>
    </row>
    <row r="270" spans="9:14" x14ac:dyDescent="0.25">
      <c r="I270" s="29"/>
      <c r="J270" s="10"/>
      <c r="K270" s="10"/>
      <c r="L270" s="82"/>
      <c r="M270" s="10"/>
      <c r="N270" s="10"/>
    </row>
    <row r="271" spans="9:14" x14ac:dyDescent="0.25">
      <c r="I271" s="29"/>
      <c r="J271" s="10"/>
      <c r="K271" s="10"/>
      <c r="L271" s="82"/>
      <c r="M271" s="10"/>
      <c r="N271" s="10"/>
    </row>
    <row r="272" spans="9:14" x14ac:dyDescent="0.25">
      <c r="I272" s="29"/>
      <c r="J272" s="10"/>
      <c r="K272" s="10"/>
      <c r="L272" s="82"/>
      <c r="M272" s="10"/>
      <c r="N272" s="10"/>
    </row>
    <row r="273" spans="9:14" x14ac:dyDescent="0.25">
      <c r="I273" s="29"/>
      <c r="J273" s="10"/>
      <c r="K273" s="10"/>
      <c r="L273" s="82"/>
      <c r="M273" s="10"/>
      <c r="N273" s="10"/>
    </row>
    <row r="274" spans="9:14" x14ac:dyDescent="0.25">
      <c r="I274" s="29"/>
      <c r="J274" s="10"/>
      <c r="K274" s="10"/>
      <c r="L274" s="82"/>
      <c r="M274" s="10"/>
      <c r="N274" s="10"/>
    </row>
    <row r="275" spans="9:14" x14ac:dyDescent="0.25">
      <c r="I275" s="29"/>
      <c r="J275" s="10"/>
      <c r="K275" s="10"/>
      <c r="L275" s="82"/>
      <c r="M275" s="10"/>
      <c r="N275" s="10"/>
    </row>
    <row r="276" spans="9:14" x14ac:dyDescent="0.25">
      <c r="I276" s="29"/>
      <c r="J276" s="10"/>
      <c r="K276" s="10"/>
      <c r="L276" s="82"/>
      <c r="M276" s="10"/>
      <c r="N276" s="10"/>
    </row>
    <row r="277" spans="9:14" x14ac:dyDescent="0.25">
      <c r="I277" s="29"/>
      <c r="J277" s="10"/>
      <c r="K277" s="10"/>
      <c r="L277" s="82"/>
      <c r="M277" s="10"/>
      <c r="N277" s="10"/>
    </row>
    <row r="278" spans="9:14" x14ac:dyDescent="0.25">
      <c r="I278" s="29"/>
      <c r="J278" s="10"/>
      <c r="K278" s="10"/>
      <c r="L278" s="82"/>
      <c r="M278" s="10"/>
      <c r="N278" s="10"/>
    </row>
    <row r="279" spans="9:14" x14ac:dyDescent="0.25">
      <c r="I279" s="29"/>
      <c r="J279" s="10"/>
      <c r="K279" s="10"/>
      <c r="L279" s="82"/>
      <c r="M279" s="10"/>
      <c r="N279" s="10"/>
    </row>
    <row r="280" spans="9:14" x14ac:dyDescent="0.25">
      <c r="I280" s="29"/>
      <c r="J280" s="10"/>
      <c r="K280" s="10"/>
      <c r="L280" s="82"/>
      <c r="M280" s="10"/>
      <c r="N280" s="10"/>
    </row>
    <row r="281" spans="9:14" x14ac:dyDescent="0.25">
      <c r="I281" s="29"/>
      <c r="J281" s="10"/>
      <c r="K281" s="10"/>
      <c r="L281" s="82"/>
      <c r="M281" s="10"/>
      <c r="N281" s="10"/>
    </row>
    <row r="282" spans="9:14" x14ac:dyDescent="0.25">
      <c r="I282" s="29"/>
      <c r="J282" s="10"/>
      <c r="K282" s="10"/>
      <c r="L282" s="82"/>
      <c r="M282" s="10"/>
      <c r="N282" s="10"/>
    </row>
    <row r="283" spans="9:14" x14ac:dyDescent="0.25">
      <c r="I283" s="29"/>
      <c r="J283" s="10"/>
      <c r="K283" s="10"/>
      <c r="L283" s="82"/>
      <c r="M283" s="10"/>
      <c r="N283" s="10"/>
    </row>
    <row r="284" spans="9:14" x14ac:dyDescent="0.25">
      <c r="I284" s="29"/>
      <c r="J284" s="10"/>
      <c r="K284" s="10"/>
      <c r="L284" s="82"/>
      <c r="M284" s="10"/>
      <c r="N284" s="10"/>
    </row>
    <row r="285" spans="9:14" x14ac:dyDescent="0.25">
      <c r="I285" s="29"/>
      <c r="J285" s="10"/>
      <c r="K285" s="10"/>
      <c r="L285" s="82"/>
      <c r="M285" s="10"/>
      <c r="N285" s="10"/>
    </row>
    <row r="286" spans="9:14" x14ac:dyDescent="0.25">
      <c r="I286" s="29"/>
      <c r="J286" s="10"/>
      <c r="K286" s="10"/>
      <c r="L286" s="82"/>
      <c r="M286" s="10"/>
      <c r="N286" s="10"/>
    </row>
    <row r="287" spans="9:14" x14ac:dyDescent="0.25">
      <c r="I287" s="29"/>
      <c r="J287" s="10"/>
      <c r="K287" s="10"/>
      <c r="L287" s="82"/>
      <c r="M287" s="10"/>
      <c r="N287" s="10"/>
    </row>
    <row r="288" spans="9:14" x14ac:dyDescent="0.25">
      <c r="I288" s="29"/>
      <c r="J288" s="10"/>
      <c r="K288" s="10"/>
      <c r="L288" s="82"/>
      <c r="M288" s="10"/>
      <c r="N288" s="10"/>
    </row>
    <row r="289" spans="9:14" x14ac:dyDescent="0.25">
      <c r="I289" s="29"/>
      <c r="J289" s="10"/>
      <c r="K289" s="10"/>
      <c r="L289" s="82"/>
      <c r="M289" s="10"/>
      <c r="N289" s="10"/>
    </row>
    <row r="290" spans="9:14" x14ac:dyDescent="0.25">
      <c r="I290" s="29"/>
      <c r="J290" s="10"/>
      <c r="K290" s="10"/>
      <c r="L290" s="82"/>
      <c r="M290" s="10"/>
      <c r="N290" s="10"/>
    </row>
    <row r="291" spans="9:14" x14ac:dyDescent="0.25">
      <c r="I291" s="29"/>
      <c r="J291" s="10"/>
      <c r="K291" s="10"/>
      <c r="L291" s="82"/>
      <c r="M291" s="10"/>
      <c r="N291" s="10"/>
    </row>
    <row r="292" spans="9:14" x14ac:dyDescent="0.25">
      <c r="I292" s="29"/>
      <c r="J292" s="10"/>
      <c r="K292" s="10"/>
      <c r="L292" s="82"/>
      <c r="M292" s="10"/>
      <c r="N292" s="10"/>
    </row>
    <row r="293" spans="9:14" x14ac:dyDescent="0.25">
      <c r="I293" s="29"/>
      <c r="J293" s="10"/>
      <c r="K293" s="10"/>
      <c r="L293" s="82"/>
      <c r="M293" s="10"/>
      <c r="N293" s="10"/>
    </row>
    <row r="294" spans="9:14" x14ac:dyDescent="0.25">
      <c r="I294" s="29"/>
      <c r="J294" s="10"/>
      <c r="K294" s="10"/>
      <c r="L294" s="82"/>
      <c r="M294" s="10"/>
      <c r="N294" s="10"/>
    </row>
    <row r="295" spans="9:14" x14ac:dyDescent="0.25">
      <c r="I295" s="29"/>
      <c r="J295" s="10"/>
      <c r="K295" s="10"/>
      <c r="L295" s="82"/>
      <c r="M295" s="10"/>
      <c r="N295" s="10"/>
    </row>
    <row r="296" spans="9:14" x14ac:dyDescent="0.25">
      <c r="I296" s="29"/>
      <c r="J296" s="10"/>
      <c r="K296" s="10"/>
      <c r="L296" s="82"/>
      <c r="M296" s="10"/>
      <c r="N296" s="10"/>
    </row>
    <row r="297" spans="9:14" x14ac:dyDescent="0.25">
      <c r="I297" s="29"/>
      <c r="J297" s="10"/>
      <c r="K297" s="10"/>
      <c r="L297" s="82"/>
      <c r="M297" s="10"/>
      <c r="N297" s="10"/>
    </row>
    <row r="298" spans="9:14" x14ac:dyDescent="0.25">
      <c r="I298" s="29"/>
      <c r="J298" s="10"/>
      <c r="K298" s="10"/>
      <c r="L298" s="82"/>
      <c r="M298" s="10"/>
      <c r="N298" s="10"/>
    </row>
    <row r="299" spans="9:14" x14ac:dyDescent="0.25">
      <c r="I299" s="29"/>
      <c r="J299" s="10"/>
      <c r="K299" s="10"/>
      <c r="L299" s="82"/>
      <c r="M299" s="10"/>
      <c r="N299" s="10"/>
    </row>
    <row r="300" spans="9:14" x14ac:dyDescent="0.25">
      <c r="I300" s="29"/>
      <c r="J300" s="10"/>
      <c r="K300" s="10"/>
      <c r="L300" s="82"/>
      <c r="M300" s="10"/>
      <c r="N300" s="10"/>
    </row>
    <row r="301" spans="9:14" x14ac:dyDescent="0.25">
      <c r="I301" s="29"/>
      <c r="J301" s="10"/>
      <c r="K301" s="10"/>
      <c r="L301" s="82"/>
      <c r="M301" s="10"/>
      <c r="N301" s="10"/>
    </row>
    <row r="302" spans="9:14" x14ac:dyDescent="0.25">
      <c r="I302" s="29"/>
      <c r="J302" s="10"/>
      <c r="K302" s="10"/>
      <c r="L302" s="82"/>
      <c r="M302" s="10"/>
      <c r="N302" s="10"/>
    </row>
    <row r="303" spans="9:14" x14ac:dyDescent="0.25">
      <c r="I303" s="29"/>
      <c r="J303" s="10"/>
      <c r="K303" s="10"/>
      <c r="L303" s="82"/>
      <c r="M303" s="10"/>
      <c r="N303" s="10"/>
    </row>
    <row r="304" spans="9:14" x14ac:dyDescent="0.25">
      <c r="I304" s="29"/>
      <c r="J304" s="10"/>
      <c r="K304" s="10"/>
      <c r="L304" s="82"/>
      <c r="M304" s="10"/>
      <c r="N304" s="10"/>
    </row>
    <row r="305" spans="9:14" x14ac:dyDescent="0.25">
      <c r="I305" s="29"/>
      <c r="J305" s="10"/>
      <c r="K305" s="10"/>
      <c r="L305" s="82"/>
      <c r="M305" s="10"/>
      <c r="N305" s="10"/>
    </row>
    <row r="306" spans="9:14" x14ac:dyDescent="0.25">
      <c r="I306" s="29"/>
      <c r="J306" s="10"/>
      <c r="K306" s="10"/>
      <c r="L306" s="82"/>
      <c r="M306" s="10"/>
      <c r="N306" s="10"/>
    </row>
    <row r="307" spans="9:14" x14ac:dyDescent="0.25">
      <c r="I307" s="29"/>
      <c r="J307" s="10"/>
      <c r="K307" s="10"/>
      <c r="L307" s="82"/>
      <c r="M307" s="10"/>
      <c r="N307" s="10"/>
    </row>
    <row r="308" spans="9:14" x14ac:dyDescent="0.25">
      <c r="I308" s="29"/>
      <c r="J308" s="10"/>
      <c r="K308" s="10"/>
      <c r="L308" s="82"/>
      <c r="M308" s="10"/>
      <c r="N308" s="10"/>
    </row>
    <row r="309" spans="9:14" x14ac:dyDescent="0.25">
      <c r="I309" s="29"/>
      <c r="J309" s="10"/>
      <c r="K309" s="10"/>
      <c r="L309" s="82"/>
      <c r="M309" s="10"/>
      <c r="N309" s="10"/>
    </row>
    <row r="310" spans="9:14" x14ac:dyDescent="0.25">
      <c r="I310" s="29"/>
      <c r="J310" s="10"/>
      <c r="K310" s="10"/>
      <c r="L310" s="82"/>
      <c r="M310" s="10"/>
      <c r="N310" s="10"/>
    </row>
    <row r="311" spans="9:14" x14ac:dyDescent="0.25">
      <c r="I311" s="29"/>
      <c r="J311" s="10"/>
      <c r="K311" s="10"/>
      <c r="L311" s="82"/>
      <c r="M311" s="10"/>
      <c r="N311" s="10"/>
    </row>
    <row r="312" spans="9:14" x14ac:dyDescent="0.25">
      <c r="I312" s="29"/>
      <c r="J312" s="10"/>
      <c r="K312" s="10"/>
      <c r="L312" s="82"/>
      <c r="M312" s="10"/>
      <c r="N312" s="10"/>
    </row>
    <row r="313" spans="9:14" x14ac:dyDescent="0.25">
      <c r="I313" s="29"/>
      <c r="J313" s="10"/>
      <c r="K313" s="10"/>
      <c r="L313" s="82"/>
      <c r="M313" s="10"/>
      <c r="N313" s="10"/>
    </row>
    <row r="314" spans="9:14" x14ac:dyDescent="0.25">
      <c r="I314" s="29"/>
      <c r="J314" s="10"/>
      <c r="K314" s="10"/>
      <c r="L314" s="82"/>
      <c r="M314" s="10"/>
      <c r="N314" s="10"/>
    </row>
    <row r="315" spans="9:14" x14ac:dyDescent="0.25">
      <c r="I315" s="29"/>
      <c r="J315" s="10"/>
      <c r="K315" s="10"/>
      <c r="L315" s="82"/>
      <c r="M315" s="10"/>
      <c r="N315" s="10"/>
    </row>
    <row r="316" spans="9:14" x14ac:dyDescent="0.25">
      <c r="I316" s="29"/>
      <c r="J316" s="10"/>
      <c r="K316" s="10"/>
      <c r="L316" s="82"/>
      <c r="M316" s="10"/>
      <c r="N316" s="10"/>
    </row>
    <row r="317" spans="9:14" x14ac:dyDescent="0.25">
      <c r="I317" s="29"/>
      <c r="J317" s="10"/>
      <c r="K317" s="10"/>
      <c r="L317" s="82"/>
      <c r="M317" s="10"/>
      <c r="N317" s="10"/>
    </row>
    <row r="318" spans="9:14" x14ac:dyDescent="0.25">
      <c r="I318" s="29"/>
      <c r="J318" s="10"/>
      <c r="K318" s="10"/>
      <c r="L318" s="82"/>
      <c r="M318" s="10"/>
      <c r="N318" s="10"/>
    </row>
    <row r="319" spans="9:14" x14ac:dyDescent="0.25">
      <c r="I319" s="29"/>
      <c r="J319" s="10"/>
      <c r="K319" s="10"/>
      <c r="L319" s="82"/>
      <c r="M319" s="10"/>
      <c r="N319" s="10"/>
    </row>
    <row r="320" spans="9:14" x14ac:dyDescent="0.25">
      <c r="I320" s="29"/>
      <c r="J320" s="10"/>
      <c r="K320" s="10"/>
      <c r="L320" s="82"/>
      <c r="M320" s="10"/>
      <c r="N320" s="10"/>
    </row>
    <row r="321" spans="9:14" x14ac:dyDescent="0.25">
      <c r="I321" s="29"/>
      <c r="J321" s="10"/>
      <c r="K321" s="10"/>
      <c r="L321" s="82"/>
      <c r="M321" s="10"/>
      <c r="N321" s="10"/>
    </row>
    <row r="322" spans="9:14" x14ac:dyDescent="0.25">
      <c r="I322" s="29"/>
      <c r="J322" s="10"/>
      <c r="K322" s="10"/>
      <c r="L322" s="82"/>
      <c r="M322" s="10"/>
      <c r="N322" s="10"/>
    </row>
    <row r="323" spans="9:14" x14ac:dyDescent="0.25">
      <c r="I323" s="29"/>
      <c r="J323" s="10"/>
      <c r="K323" s="10"/>
      <c r="L323" s="82"/>
      <c r="M323" s="10"/>
      <c r="N323" s="10"/>
    </row>
    <row r="324" spans="9:14" x14ac:dyDescent="0.25">
      <c r="I324" s="29"/>
      <c r="J324" s="10"/>
      <c r="K324" s="10"/>
      <c r="L324" s="82"/>
      <c r="M324" s="10"/>
      <c r="N324" s="10"/>
    </row>
    <row r="325" spans="9:14" x14ac:dyDescent="0.25">
      <c r="I325" s="29"/>
      <c r="J325" s="10"/>
      <c r="K325" s="10"/>
      <c r="L325" s="82"/>
      <c r="M325" s="10"/>
      <c r="N325" s="10"/>
    </row>
    <row r="326" spans="9:14" x14ac:dyDescent="0.25">
      <c r="I326" s="29"/>
      <c r="J326" s="10"/>
      <c r="K326" s="10"/>
      <c r="L326" s="82"/>
      <c r="M326" s="10"/>
      <c r="N326" s="10"/>
    </row>
    <row r="327" spans="9:14" x14ac:dyDescent="0.25">
      <c r="I327" s="29"/>
      <c r="J327" s="10"/>
      <c r="K327" s="10"/>
      <c r="L327" s="82"/>
      <c r="M327" s="10"/>
      <c r="N327" s="10"/>
    </row>
    <row r="328" spans="9:14" x14ac:dyDescent="0.25">
      <c r="I328" s="29"/>
      <c r="J328" s="10"/>
      <c r="K328" s="10"/>
      <c r="L328" s="82"/>
      <c r="M328" s="10"/>
      <c r="N328" s="10"/>
    </row>
    <row r="329" spans="9:14" x14ac:dyDescent="0.25">
      <c r="I329" s="29"/>
      <c r="J329" s="10"/>
      <c r="K329" s="10"/>
      <c r="L329" s="82"/>
      <c r="M329" s="10"/>
      <c r="N329" s="10"/>
    </row>
    <row r="330" spans="9:14" x14ac:dyDescent="0.25">
      <c r="I330" s="29"/>
      <c r="J330" s="10"/>
      <c r="K330" s="10"/>
      <c r="L330" s="82"/>
      <c r="M330" s="10"/>
      <c r="N330" s="10"/>
    </row>
    <row r="331" spans="9:14" x14ac:dyDescent="0.25">
      <c r="I331" s="29"/>
      <c r="J331" s="10"/>
      <c r="K331" s="10"/>
      <c r="L331" s="82"/>
      <c r="M331" s="10"/>
      <c r="N331" s="10"/>
    </row>
    <row r="332" spans="9:14" x14ac:dyDescent="0.25">
      <c r="I332" s="29"/>
      <c r="J332" s="10"/>
      <c r="K332" s="10"/>
      <c r="L332" s="82"/>
      <c r="M332" s="10"/>
      <c r="N332" s="10"/>
    </row>
    <row r="333" spans="9:14" x14ac:dyDescent="0.25">
      <c r="I333" s="29"/>
      <c r="J333" s="10"/>
      <c r="K333" s="10"/>
      <c r="L333" s="82"/>
      <c r="M333" s="10"/>
      <c r="N333" s="10"/>
    </row>
    <row r="334" spans="9:14" x14ac:dyDescent="0.25">
      <c r="I334" s="29"/>
      <c r="J334" s="10"/>
      <c r="K334" s="10"/>
      <c r="L334" s="82"/>
      <c r="M334" s="10"/>
      <c r="N334" s="10"/>
    </row>
    <row r="335" spans="9:14" x14ac:dyDescent="0.25">
      <c r="I335" s="29"/>
      <c r="J335" s="10"/>
      <c r="K335" s="10"/>
      <c r="L335" s="82"/>
      <c r="M335" s="10"/>
      <c r="N335" s="10"/>
    </row>
    <row r="336" spans="9:14" x14ac:dyDescent="0.25">
      <c r="I336" s="29"/>
      <c r="J336" s="10"/>
      <c r="K336" s="10"/>
      <c r="L336" s="82"/>
      <c r="M336" s="10"/>
      <c r="N336" s="10"/>
    </row>
    <row r="337" spans="9:14" x14ac:dyDescent="0.25">
      <c r="I337" s="29"/>
      <c r="J337" s="10"/>
      <c r="K337" s="10"/>
      <c r="L337" s="82"/>
      <c r="M337" s="10"/>
      <c r="N337" s="10"/>
    </row>
    <row r="338" spans="9:14" x14ac:dyDescent="0.25">
      <c r="I338" s="29"/>
      <c r="J338" s="10"/>
      <c r="K338" s="10"/>
      <c r="L338" s="82"/>
      <c r="M338" s="10"/>
      <c r="N338" s="10"/>
    </row>
    <row r="339" spans="9:14" x14ac:dyDescent="0.25">
      <c r="I339" s="29"/>
      <c r="J339" s="10"/>
      <c r="K339" s="10"/>
      <c r="L339" s="82"/>
      <c r="M339" s="10"/>
      <c r="N339" s="10"/>
    </row>
    <row r="340" spans="9:14" x14ac:dyDescent="0.25">
      <c r="I340" s="29"/>
      <c r="J340" s="10"/>
      <c r="K340" s="10"/>
      <c r="L340" s="82"/>
      <c r="M340" s="10"/>
      <c r="N340" s="10"/>
    </row>
    <row r="341" spans="9:14" x14ac:dyDescent="0.25">
      <c r="I341" s="29"/>
      <c r="J341" s="10"/>
      <c r="K341" s="10"/>
      <c r="L341" s="82"/>
      <c r="M341" s="10"/>
      <c r="N341" s="10"/>
    </row>
    <row r="342" spans="9:14" x14ac:dyDescent="0.25">
      <c r="I342" s="29"/>
      <c r="J342" s="10"/>
      <c r="K342" s="10"/>
      <c r="L342" s="82"/>
      <c r="M342" s="10"/>
      <c r="N342" s="10"/>
    </row>
    <row r="343" spans="9:14" x14ac:dyDescent="0.25">
      <c r="I343" s="29"/>
      <c r="J343" s="10"/>
      <c r="K343" s="10"/>
      <c r="L343" s="82"/>
      <c r="M343" s="10"/>
      <c r="N343" s="10"/>
    </row>
    <row r="344" spans="9:14" x14ac:dyDescent="0.25">
      <c r="I344" s="29"/>
      <c r="J344" s="10"/>
      <c r="K344" s="10"/>
      <c r="L344" s="82"/>
      <c r="M344" s="10"/>
      <c r="N344" s="10"/>
    </row>
    <row r="345" spans="9:14" x14ac:dyDescent="0.25">
      <c r="I345" s="29"/>
      <c r="J345" s="10"/>
      <c r="K345" s="10"/>
      <c r="L345" s="82"/>
      <c r="M345" s="10"/>
      <c r="N345" s="10"/>
    </row>
    <row r="346" spans="9:14" x14ac:dyDescent="0.25">
      <c r="I346" s="29"/>
      <c r="J346" s="10"/>
      <c r="K346" s="10"/>
      <c r="L346" s="82"/>
      <c r="M346" s="10"/>
      <c r="N346" s="10"/>
    </row>
    <row r="347" spans="9:14" x14ac:dyDescent="0.25">
      <c r="I347" s="29"/>
      <c r="J347" s="10"/>
      <c r="K347" s="10"/>
      <c r="L347" s="82"/>
      <c r="M347" s="10"/>
      <c r="N347" s="10"/>
    </row>
    <row r="348" spans="9:14" x14ac:dyDescent="0.25">
      <c r="I348" s="29"/>
      <c r="J348" s="10"/>
      <c r="K348" s="10"/>
      <c r="L348" s="82"/>
      <c r="M348" s="10"/>
      <c r="N348" s="10"/>
    </row>
    <row r="349" spans="9:14" x14ac:dyDescent="0.25">
      <c r="I349" s="29"/>
      <c r="J349" s="10"/>
      <c r="K349" s="10"/>
      <c r="L349" s="82"/>
      <c r="M349" s="10"/>
      <c r="N349" s="10"/>
    </row>
    <row r="350" spans="9:14" x14ac:dyDescent="0.25">
      <c r="I350" s="29"/>
      <c r="J350" s="10"/>
      <c r="K350" s="10"/>
      <c r="L350" s="82"/>
      <c r="M350" s="10"/>
      <c r="N350" s="10"/>
    </row>
    <row r="351" spans="9:14" x14ac:dyDescent="0.25">
      <c r="I351" s="29"/>
      <c r="J351" s="10"/>
      <c r="K351" s="10"/>
      <c r="L351" s="82"/>
      <c r="M351" s="10"/>
      <c r="N351" s="10"/>
    </row>
    <row r="352" spans="9:14" x14ac:dyDescent="0.25">
      <c r="I352" s="29"/>
      <c r="J352" s="10"/>
      <c r="K352" s="10"/>
      <c r="L352" s="82"/>
      <c r="M352" s="10"/>
      <c r="N352" s="10"/>
    </row>
    <row r="353" spans="9:14" x14ac:dyDescent="0.25">
      <c r="I353" s="29"/>
      <c r="J353" s="10"/>
      <c r="K353" s="10"/>
      <c r="L353" s="82"/>
      <c r="M353" s="10"/>
      <c r="N353" s="10"/>
    </row>
    <row r="354" spans="9:14" x14ac:dyDescent="0.25">
      <c r="I354" s="29"/>
      <c r="J354" s="10"/>
      <c r="K354" s="10"/>
      <c r="L354" s="82"/>
      <c r="M354" s="10"/>
      <c r="N354" s="10"/>
    </row>
    <row r="355" spans="9:14" x14ac:dyDescent="0.25">
      <c r="I355" s="29"/>
      <c r="J355" s="10"/>
      <c r="K355" s="10"/>
      <c r="L355" s="82"/>
      <c r="M355" s="10"/>
      <c r="N355" s="10"/>
    </row>
    <row r="356" spans="9:14" x14ac:dyDescent="0.25">
      <c r="I356" s="29"/>
      <c r="J356" s="10"/>
      <c r="K356" s="10"/>
      <c r="L356" s="82"/>
      <c r="M356" s="10"/>
      <c r="N356" s="10"/>
    </row>
    <row r="357" spans="9:14" x14ac:dyDescent="0.25">
      <c r="I357" s="29"/>
      <c r="J357" s="10"/>
      <c r="K357" s="10"/>
      <c r="L357" s="82"/>
      <c r="M357" s="10"/>
      <c r="N357" s="10"/>
    </row>
    <row r="358" spans="9:14" x14ac:dyDescent="0.25">
      <c r="I358" s="29"/>
      <c r="J358" s="10"/>
      <c r="K358" s="10"/>
      <c r="L358" s="82"/>
      <c r="M358" s="10"/>
      <c r="N358" s="10"/>
    </row>
    <row r="359" spans="9:14" x14ac:dyDescent="0.25">
      <c r="I359" s="29"/>
      <c r="J359" s="10"/>
      <c r="K359" s="10"/>
      <c r="L359" s="82"/>
      <c r="M359" s="10"/>
      <c r="N359" s="10"/>
    </row>
    <row r="360" spans="9:14" x14ac:dyDescent="0.25">
      <c r="I360" s="29"/>
      <c r="J360" s="10"/>
      <c r="K360" s="10"/>
      <c r="L360" s="82"/>
      <c r="M360" s="10"/>
      <c r="N360" s="10"/>
    </row>
    <row r="361" spans="9:14" x14ac:dyDescent="0.25">
      <c r="I361" s="29"/>
      <c r="J361" s="10"/>
      <c r="K361" s="10"/>
      <c r="L361" s="82"/>
      <c r="M361" s="10"/>
      <c r="N361" s="10"/>
    </row>
    <row r="362" spans="9:14" x14ac:dyDescent="0.25">
      <c r="I362" s="29"/>
      <c r="J362" s="10"/>
      <c r="K362" s="10"/>
      <c r="L362" s="82"/>
      <c r="M362" s="10"/>
      <c r="N362" s="10"/>
    </row>
    <row r="363" spans="9:14" x14ac:dyDescent="0.25">
      <c r="I363" s="29"/>
      <c r="J363" s="10"/>
      <c r="K363" s="10"/>
      <c r="L363" s="82"/>
      <c r="M363" s="10"/>
      <c r="N363" s="10"/>
    </row>
    <row r="364" spans="9:14" x14ac:dyDescent="0.25">
      <c r="I364" s="29"/>
      <c r="J364" s="10"/>
      <c r="K364" s="10"/>
      <c r="L364" s="82"/>
      <c r="M364" s="10"/>
      <c r="N364" s="10"/>
    </row>
    <row r="365" spans="9:14" x14ac:dyDescent="0.25">
      <c r="I365" s="29"/>
      <c r="J365" s="10"/>
      <c r="K365" s="10"/>
      <c r="L365" s="82"/>
      <c r="M365" s="10"/>
      <c r="N365" s="10"/>
    </row>
    <row r="366" spans="9:14" x14ac:dyDescent="0.25">
      <c r="I366" s="29"/>
      <c r="J366" s="10"/>
      <c r="K366" s="10"/>
      <c r="L366" s="82"/>
      <c r="M366" s="10"/>
      <c r="N366" s="10"/>
    </row>
    <row r="367" spans="9:14" x14ac:dyDescent="0.25">
      <c r="I367" s="29"/>
      <c r="J367" s="10"/>
      <c r="K367" s="10"/>
      <c r="L367" s="82"/>
      <c r="M367" s="10"/>
      <c r="N367" s="10"/>
    </row>
    <row r="368" spans="9:14" x14ac:dyDescent="0.25">
      <c r="I368" s="29"/>
      <c r="J368" s="10"/>
      <c r="K368" s="10"/>
      <c r="L368" s="82"/>
      <c r="M368" s="10"/>
      <c r="N368" s="10"/>
    </row>
    <row r="369" spans="9:14" x14ac:dyDescent="0.25">
      <c r="I369" s="29"/>
      <c r="J369" s="10"/>
      <c r="K369" s="10"/>
      <c r="L369" s="82"/>
      <c r="M369" s="10"/>
      <c r="N369" s="10"/>
    </row>
    <row r="370" spans="9:14" x14ac:dyDescent="0.25">
      <c r="I370" s="29"/>
      <c r="J370" s="10"/>
      <c r="K370" s="10"/>
      <c r="L370" s="82"/>
      <c r="M370" s="10"/>
      <c r="N370" s="10"/>
    </row>
    <row r="371" spans="9:14" x14ac:dyDescent="0.25">
      <c r="I371" s="29"/>
      <c r="J371" s="10"/>
      <c r="K371" s="10"/>
      <c r="L371" s="82"/>
      <c r="M371" s="10"/>
      <c r="N371" s="10"/>
    </row>
    <row r="372" spans="9:14" x14ac:dyDescent="0.25">
      <c r="I372" s="29"/>
      <c r="J372" s="10"/>
      <c r="K372" s="10"/>
      <c r="L372" s="82"/>
      <c r="M372" s="10"/>
      <c r="N372" s="10"/>
    </row>
    <row r="373" spans="9:14" x14ac:dyDescent="0.25">
      <c r="I373" s="29"/>
      <c r="J373" s="10"/>
      <c r="K373" s="10"/>
      <c r="L373" s="82"/>
      <c r="M373" s="10"/>
      <c r="N373" s="10"/>
    </row>
    <row r="374" spans="9:14" x14ac:dyDescent="0.25">
      <c r="I374" s="29"/>
      <c r="J374" s="10"/>
      <c r="K374" s="10"/>
      <c r="L374" s="82"/>
      <c r="M374" s="10"/>
      <c r="N374" s="10"/>
    </row>
    <row r="375" spans="9:14" x14ac:dyDescent="0.25">
      <c r="I375" s="29"/>
      <c r="J375" s="10"/>
      <c r="K375" s="10"/>
      <c r="L375" s="82"/>
      <c r="M375" s="10"/>
      <c r="N375" s="10"/>
    </row>
    <row r="376" spans="9:14" x14ac:dyDescent="0.25">
      <c r="I376" s="29"/>
      <c r="J376" s="10"/>
      <c r="K376" s="10"/>
      <c r="L376" s="82"/>
      <c r="M376" s="10"/>
      <c r="N376" s="10"/>
    </row>
    <row r="377" spans="9:14" x14ac:dyDescent="0.25">
      <c r="I377" s="29"/>
      <c r="J377" s="10"/>
      <c r="K377" s="10"/>
      <c r="L377" s="82"/>
      <c r="M377" s="10"/>
      <c r="N377" s="10"/>
    </row>
    <row r="378" spans="9:14" x14ac:dyDescent="0.25">
      <c r="I378" s="29"/>
      <c r="J378" s="10"/>
      <c r="K378" s="10"/>
      <c r="L378" s="82"/>
      <c r="M378" s="10"/>
      <c r="N378" s="10"/>
    </row>
    <row r="379" spans="9:14" x14ac:dyDescent="0.25">
      <c r="I379" s="29"/>
      <c r="J379" s="10"/>
      <c r="K379" s="10"/>
      <c r="L379" s="82"/>
      <c r="M379" s="10"/>
      <c r="N379" s="10"/>
    </row>
    <row r="380" spans="9:14" x14ac:dyDescent="0.25">
      <c r="I380" s="29"/>
      <c r="J380" s="10"/>
      <c r="K380" s="10"/>
      <c r="L380" s="82"/>
      <c r="M380" s="10"/>
      <c r="N380" s="10"/>
    </row>
    <row r="381" spans="9:14" x14ac:dyDescent="0.25">
      <c r="I381" s="29"/>
      <c r="J381" s="10"/>
      <c r="K381" s="10"/>
      <c r="L381" s="82"/>
      <c r="M381" s="10"/>
      <c r="N381" s="10"/>
    </row>
    <row r="382" spans="9:14" x14ac:dyDescent="0.25">
      <c r="I382" s="29"/>
      <c r="J382" s="10"/>
      <c r="K382" s="10"/>
      <c r="L382" s="82"/>
      <c r="M382" s="10"/>
      <c r="N382" s="10"/>
    </row>
    <row r="383" spans="9:14" x14ac:dyDescent="0.25">
      <c r="I383" s="29"/>
      <c r="J383" s="10"/>
      <c r="K383" s="10"/>
      <c r="L383" s="82"/>
      <c r="M383" s="10"/>
      <c r="N383" s="10"/>
    </row>
    <row r="384" spans="9:14" x14ac:dyDescent="0.25">
      <c r="I384" s="29"/>
      <c r="J384" s="10"/>
      <c r="K384" s="10"/>
      <c r="L384" s="82"/>
      <c r="M384" s="10"/>
      <c r="N384" s="10"/>
    </row>
    <row r="385" spans="9:14" x14ac:dyDescent="0.25">
      <c r="I385" s="29"/>
      <c r="J385" s="10"/>
      <c r="K385" s="10"/>
      <c r="L385" s="82"/>
      <c r="M385" s="10"/>
      <c r="N385" s="10"/>
    </row>
    <row r="386" spans="9:14" x14ac:dyDescent="0.25">
      <c r="I386" s="29"/>
      <c r="J386" s="10"/>
      <c r="K386" s="10"/>
      <c r="L386" s="82"/>
      <c r="M386" s="10"/>
      <c r="N386" s="10"/>
    </row>
    <row r="387" spans="9:14" x14ac:dyDescent="0.25">
      <c r="I387" s="29"/>
      <c r="J387" s="10"/>
      <c r="K387" s="10"/>
      <c r="L387" s="82"/>
      <c r="M387" s="10"/>
      <c r="N387" s="10"/>
    </row>
    <row r="388" spans="9:14" x14ac:dyDescent="0.25">
      <c r="I388" s="29"/>
      <c r="J388" s="10"/>
      <c r="K388" s="10"/>
      <c r="L388" s="82"/>
      <c r="M388" s="10"/>
      <c r="N388" s="10"/>
    </row>
    <row r="389" spans="9:14" x14ac:dyDescent="0.25">
      <c r="I389" s="29"/>
      <c r="J389" s="10"/>
      <c r="K389" s="10"/>
      <c r="L389" s="82"/>
      <c r="M389" s="10"/>
      <c r="N389" s="10"/>
    </row>
    <row r="390" spans="9:14" x14ac:dyDescent="0.25">
      <c r="I390" s="29"/>
      <c r="J390" s="10"/>
      <c r="K390" s="10"/>
      <c r="L390" s="82"/>
      <c r="M390" s="10"/>
      <c r="N390" s="10"/>
    </row>
    <row r="391" spans="9:14" x14ac:dyDescent="0.25">
      <c r="I391" s="29"/>
      <c r="J391" s="10"/>
      <c r="K391" s="10"/>
      <c r="L391" s="82"/>
      <c r="M391" s="10"/>
      <c r="N391" s="10"/>
    </row>
    <row r="392" spans="9:14" x14ac:dyDescent="0.25">
      <c r="I392" s="29"/>
      <c r="J392" s="10"/>
      <c r="K392" s="10"/>
      <c r="L392" s="82"/>
      <c r="M392" s="10"/>
      <c r="N392" s="10"/>
    </row>
    <row r="393" spans="9:14" x14ac:dyDescent="0.25">
      <c r="I393" s="29"/>
      <c r="J393" s="10"/>
      <c r="K393" s="10"/>
      <c r="L393" s="82"/>
      <c r="M393" s="10"/>
      <c r="N393" s="10"/>
    </row>
    <row r="394" spans="9:14" x14ac:dyDescent="0.25">
      <c r="I394" s="29"/>
      <c r="J394" s="10"/>
      <c r="K394" s="10"/>
      <c r="L394" s="82"/>
      <c r="M394" s="10"/>
      <c r="N394" s="10"/>
    </row>
    <row r="395" spans="9:14" x14ac:dyDescent="0.25">
      <c r="I395" s="29"/>
      <c r="J395" s="10"/>
      <c r="K395" s="10"/>
      <c r="L395" s="82"/>
      <c r="M395" s="10"/>
      <c r="N395" s="10"/>
    </row>
    <row r="396" spans="9:14" x14ac:dyDescent="0.25">
      <c r="I396" s="29"/>
      <c r="J396" s="10"/>
      <c r="K396" s="10"/>
      <c r="L396" s="82"/>
      <c r="M396" s="10"/>
      <c r="N396" s="10"/>
    </row>
    <row r="397" spans="9:14" x14ac:dyDescent="0.25">
      <c r="I397" s="29"/>
      <c r="J397" s="10"/>
      <c r="K397" s="10"/>
      <c r="L397" s="82"/>
      <c r="M397" s="10"/>
      <c r="N397" s="10"/>
    </row>
    <row r="398" spans="9:14" x14ac:dyDescent="0.25">
      <c r="I398" s="29"/>
      <c r="J398" s="10"/>
      <c r="K398" s="10"/>
      <c r="L398" s="82"/>
      <c r="M398" s="10"/>
      <c r="N398" s="10"/>
    </row>
    <row r="399" spans="9:14" x14ac:dyDescent="0.25">
      <c r="I399" s="29"/>
      <c r="J399" s="10"/>
      <c r="K399" s="10"/>
      <c r="L399" s="82"/>
      <c r="M399" s="10"/>
      <c r="N399" s="10"/>
    </row>
    <row r="400" spans="9:14" x14ac:dyDescent="0.25">
      <c r="I400" s="29"/>
      <c r="J400" s="10"/>
      <c r="K400" s="10"/>
      <c r="L400" s="82"/>
      <c r="M400" s="10"/>
      <c r="N400" s="10"/>
    </row>
    <row r="401" spans="9:14" x14ac:dyDescent="0.25">
      <c r="I401" s="29"/>
      <c r="J401" s="10"/>
      <c r="K401" s="10"/>
      <c r="L401" s="82"/>
      <c r="M401" s="10"/>
      <c r="N401" s="10"/>
    </row>
    <row r="402" spans="9:14" x14ac:dyDescent="0.25">
      <c r="I402" s="29"/>
      <c r="J402" s="10"/>
      <c r="K402" s="10"/>
      <c r="L402" s="82"/>
      <c r="M402" s="10"/>
      <c r="N402" s="10"/>
    </row>
    <row r="403" spans="9:14" x14ac:dyDescent="0.25">
      <c r="I403" s="29"/>
      <c r="J403" s="10"/>
      <c r="K403" s="10"/>
      <c r="L403" s="82"/>
      <c r="M403" s="10"/>
      <c r="N403" s="10"/>
    </row>
    <row r="404" spans="9:14" x14ac:dyDescent="0.25">
      <c r="I404" s="29"/>
      <c r="J404" s="10"/>
      <c r="K404" s="10"/>
      <c r="L404" s="82"/>
      <c r="M404" s="10"/>
      <c r="N404" s="10"/>
    </row>
    <row r="405" spans="9:14" x14ac:dyDescent="0.25">
      <c r="I405" s="29"/>
      <c r="J405" s="10"/>
      <c r="K405" s="10"/>
      <c r="L405" s="82"/>
      <c r="M405" s="10"/>
      <c r="N405" s="10"/>
    </row>
    <row r="406" spans="9:14" x14ac:dyDescent="0.25">
      <c r="I406" s="29"/>
      <c r="J406" s="10"/>
      <c r="K406" s="10"/>
      <c r="L406" s="82"/>
      <c r="M406" s="10"/>
      <c r="N406" s="10"/>
    </row>
    <row r="407" spans="9:14" x14ac:dyDescent="0.25">
      <c r="I407" s="29"/>
      <c r="J407" s="10"/>
      <c r="K407" s="10"/>
      <c r="L407" s="82"/>
      <c r="M407" s="10"/>
      <c r="N407" s="10"/>
    </row>
    <row r="408" spans="9:14" x14ac:dyDescent="0.25">
      <c r="I408" s="29"/>
      <c r="J408" s="10"/>
      <c r="K408" s="10"/>
      <c r="L408" s="82"/>
      <c r="M408" s="10"/>
      <c r="N408" s="10"/>
    </row>
    <row r="409" spans="9:14" x14ac:dyDescent="0.25">
      <c r="I409" s="29"/>
      <c r="J409" s="10"/>
      <c r="K409" s="10"/>
      <c r="L409" s="82"/>
      <c r="M409" s="10"/>
      <c r="N409" s="10"/>
    </row>
    <row r="410" spans="9:14" x14ac:dyDescent="0.25">
      <c r="I410" s="29"/>
      <c r="J410" s="10"/>
      <c r="K410" s="10"/>
      <c r="L410" s="82"/>
      <c r="M410" s="10"/>
      <c r="N410" s="10"/>
    </row>
    <row r="411" spans="9:14" x14ac:dyDescent="0.25">
      <c r="I411" s="29"/>
      <c r="J411" s="10"/>
      <c r="K411" s="10"/>
      <c r="L411" s="82"/>
      <c r="M411" s="10"/>
      <c r="N411" s="10"/>
    </row>
    <row r="412" spans="9:14" x14ac:dyDescent="0.25">
      <c r="I412" s="29"/>
      <c r="J412" s="10"/>
      <c r="K412" s="10"/>
      <c r="L412" s="82"/>
      <c r="M412" s="10"/>
      <c r="N412" s="10"/>
    </row>
    <row r="413" spans="9:14" x14ac:dyDescent="0.25">
      <c r="I413" s="29"/>
      <c r="J413" s="10"/>
      <c r="K413" s="10"/>
      <c r="L413" s="82"/>
      <c r="M413" s="10"/>
      <c r="N413" s="10"/>
    </row>
    <row r="414" spans="9:14" x14ac:dyDescent="0.25">
      <c r="I414" s="29"/>
      <c r="J414" s="10"/>
      <c r="K414" s="10"/>
      <c r="L414" s="82"/>
      <c r="M414" s="10"/>
      <c r="N414" s="10"/>
    </row>
    <row r="415" spans="9:14" x14ac:dyDescent="0.25">
      <c r="I415" s="29"/>
      <c r="J415" s="10"/>
      <c r="K415" s="10"/>
      <c r="L415" s="82"/>
      <c r="M415" s="10"/>
      <c r="N415" s="10"/>
    </row>
    <row r="416" spans="9:14" x14ac:dyDescent="0.25">
      <c r="I416" s="29"/>
      <c r="J416" s="10"/>
      <c r="K416" s="10"/>
      <c r="L416" s="82"/>
      <c r="M416" s="10"/>
      <c r="N416" s="10"/>
    </row>
    <row r="417" spans="9:14" x14ac:dyDescent="0.25">
      <c r="I417" s="29"/>
      <c r="J417" s="10"/>
      <c r="K417" s="10"/>
      <c r="L417" s="82"/>
      <c r="M417" s="10"/>
      <c r="N417" s="10"/>
    </row>
    <row r="418" spans="9:14" x14ac:dyDescent="0.25">
      <c r="I418" s="29"/>
      <c r="J418" s="10"/>
      <c r="K418" s="10"/>
      <c r="L418" s="82"/>
      <c r="M418" s="10"/>
      <c r="N418" s="10"/>
    </row>
    <row r="419" spans="9:14" x14ac:dyDescent="0.25">
      <c r="I419" s="29"/>
      <c r="J419" s="10"/>
      <c r="K419" s="10"/>
      <c r="L419" s="82"/>
      <c r="M419" s="10"/>
      <c r="N419" s="10"/>
    </row>
    <row r="420" spans="9:14" x14ac:dyDescent="0.25">
      <c r="I420" s="29"/>
      <c r="J420" s="10"/>
      <c r="K420" s="10"/>
      <c r="L420" s="82"/>
      <c r="M420" s="10"/>
      <c r="N420" s="10"/>
    </row>
    <row r="421" spans="9:14" x14ac:dyDescent="0.25">
      <c r="I421" s="29"/>
      <c r="J421" s="10"/>
      <c r="K421" s="10"/>
      <c r="L421" s="82"/>
      <c r="M421" s="10"/>
      <c r="N421" s="10"/>
    </row>
    <row r="422" spans="9:14" x14ac:dyDescent="0.25">
      <c r="I422" s="29"/>
      <c r="J422" s="10"/>
      <c r="K422" s="10"/>
      <c r="L422" s="82"/>
      <c r="M422" s="10"/>
      <c r="N422" s="10"/>
    </row>
    <row r="423" spans="9:14" x14ac:dyDescent="0.25">
      <c r="I423" s="29"/>
      <c r="J423" s="10"/>
      <c r="K423" s="10"/>
      <c r="L423" s="82"/>
      <c r="M423" s="10"/>
      <c r="N423" s="10"/>
    </row>
    <row r="424" spans="9:14" x14ac:dyDescent="0.25">
      <c r="I424" s="29"/>
      <c r="J424" s="10"/>
      <c r="K424" s="10"/>
      <c r="L424" s="82"/>
      <c r="M424" s="10"/>
      <c r="N424" s="10"/>
    </row>
    <row r="425" spans="9:14" x14ac:dyDescent="0.25">
      <c r="I425" s="29"/>
      <c r="J425" s="10"/>
      <c r="K425" s="10"/>
      <c r="L425" s="82"/>
      <c r="M425" s="10"/>
      <c r="N425" s="10"/>
    </row>
    <row r="426" spans="9:14" x14ac:dyDescent="0.25">
      <c r="I426" s="29"/>
      <c r="J426" s="10"/>
      <c r="K426" s="10"/>
      <c r="L426" s="82"/>
      <c r="M426" s="10"/>
      <c r="N426" s="10"/>
    </row>
    <row r="427" spans="9:14" x14ac:dyDescent="0.25">
      <c r="I427" s="29"/>
      <c r="J427" s="10"/>
      <c r="K427" s="10"/>
      <c r="L427" s="82"/>
      <c r="M427" s="10"/>
      <c r="N427" s="10"/>
    </row>
    <row r="428" spans="9:14" x14ac:dyDescent="0.25">
      <c r="I428" s="29"/>
      <c r="J428" s="10"/>
      <c r="K428" s="10"/>
      <c r="L428" s="82"/>
      <c r="M428" s="10"/>
      <c r="N428" s="10"/>
    </row>
    <row r="429" spans="9:14" x14ac:dyDescent="0.25">
      <c r="I429" s="29"/>
      <c r="J429" s="10"/>
      <c r="K429" s="10"/>
      <c r="L429" s="82"/>
      <c r="M429" s="10"/>
      <c r="N429" s="10"/>
    </row>
    <row r="430" spans="9:14" x14ac:dyDescent="0.25">
      <c r="I430" s="29"/>
      <c r="J430" s="10"/>
      <c r="K430" s="10"/>
      <c r="L430" s="82"/>
      <c r="M430" s="10"/>
      <c r="N430" s="10"/>
    </row>
    <row r="431" spans="9:14" x14ac:dyDescent="0.25">
      <c r="I431" s="29"/>
      <c r="J431" s="10"/>
      <c r="K431" s="10"/>
      <c r="L431" s="82"/>
      <c r="M431" s="10"/>
      <c r="N431" s="10"/>
    </row>
    <row r="432" spans="9:14" x14ac:dyDescent="0.25">
      <c r="I432" s="29"/>
      <c r="J432" s="10"/>
      <c r="K432" s="10"/>
      <c r="L432" s="82"/>
      <c r="M432" s="10"/>
      <c r="N432" s="10"/>
    </row>
    <row r="433" spans="9:14" x14ac:dyDescent="0.25">
      <c r="I433" s="29"/>
      <c r="J433" s="10"/>
      <c r="K433" s="10"/>
      <c r="L433" s="82"/>
      <c r="M433" s="10"/>
      <c r="N433" s="10"/>
    </row>
    <row r="434" spans="9:14" x14ac:dyDescent="0.25">
      <c r="I434" s="29"/>
      <c r="J434" s="10"/>
      <c r="K434" s="10"/>
      <c r="L434" s="82"/>
      <c r="M434" s="10"/>
      <c r="N434" s="10"/>
    </row>
    <row r="435" spans="9:14" x14ac:dyDescent="0.25">
      <c r="I435" s="29"/>
      <c r="J435" s="10"/>
      <c r="K435" s="10"/>
      <c r="L435" s="82"/>
      <c r="M435" s="10"/>
      <c r="N435" s="10"/>
    </row>
    <row r="436" spans="9:14" x14ac:dyDescent="0.25">
      <c r="I436" s="29"/>
      <c r="J436" s="10"/>
      <c r="K436" s="10"/>
      <c r="L436" s="82"/>
      <c r="M436" s="10"/>
      <c r="N436" s="10"/>
    </row>
    <row r="437" spans="9:14" x14ac:dyDescent="0.25">
      <c r="I437" s="29"/>
      <c r="J437" s="10"/>
      <c r="K437" s="10"/>
      <c r="L437" s="82"/>
      <c r="M437" s="10"/>
      <c r="N437" s="10"/>
    </row>
    <row r="438" spans="9:14" x14ac:dyDescent="0.25">
      <c r="I438" s="29"/>
      <c r="J438" s="10"/>
      <c r="K438" s="10"/>
      <c r="L438" s="82"/>
      <c r="M438" s="10"/>
      <c r="N438" s="10"/>
    </row>
    <row r="439" spans="9:14" x14ac:dyDescent="0.25">
      <c r="I439" s="29"/>
      <c r="J439" s="10"/>
      <c r="K439" s="10"/>
      <c r="L439" s="82"/>
      <c r="M439" s="10"/>
      <c r="N439" s="10"/>
    </row>
    <row r="440" spans="9:14" x14ac:dyDescent="0.25">
      <c r="I440" s="29"/>
      <c r="J440" s="10"/>
      <c r="K440" s="10"/>
      <c r="L440" s="82"/>
      <c r="M440" s="10"/>
      <c r="N440" s="10"/>
    </row>
    <row r="441" spans="9:14" x14ac:dyDescent="0.25">
      <c r="I441" s="29"/>
      <c r="J441" s="10"/>
      <c r="K441" s="10"/>
      <c r="L441" s="82"/>
      <c r="M441" s="10"/>
      <c r="N441" s="10"/>
    </row>
    <row r="442" spans="9:14" x14ac:dyDescent="0.25">
      <c r="I442" s="29"/>
      <c r="J442" s="10"/>
      <c r="K442" s="10"/>
      <c r="L442" s="82"/>
      <c r="M442" s="10"/>
      <c r="N442" s="10"/>
    </row>
    <row r="443" spans="9:14" x14ac:dyDescent="0.25">
      <c r="I443" s="29"/>
      <c r="J443" s="10"/>
      <c r="K443" s="10"/>
      <c r="L443" s="82"/>
      <c r="M443" s="10"/>
      <c r="N443" s="10"/>
    </row>
    <row r="444" spans="9:14" x14ac:dyDescent="0.25">
      <c r="I444" s="29"/>
      <c r="J444" s="10"/>
      <c r="K444" s="10"/>
      <c r="L444" s="82"/>
      <c r="M444" s="10"/>
      <c r="N444" s="10"/>
    </row>
    <row r="445" spans="9:14" x14ac:dyDescent="0.25">
      <c r="I445" s="29"/>
      <c r="J445" s="10"/>
      <c r="K445" s="10"/>
      <c r="L445" s="82"/>
      <c r="M445" s="10"/>
      <c r="N445" s="10"/>
    </row>
    <row r="446" spans="9:14" x14ac:dyDescent="0.25">
      <c r="I446" s="29"/>
      <c r="J446" s="10"/>
      <c r="K446" s="10"/>
      <c r="L446" s="82"/>
      <c r="M446" s="10"/>
      <c r="N446" s="10"/>
    </row>
    <row r="447" spans="9:14" x14ac:dyDescent="0.25">
      <c r="I447" s="29"/>
      <c r="J447" s="10"/>
      <c r="K447" s="10"/>
      <c r="L447" s="82"/>
      <c r="M447" s="10"/>
      <c r="N447" s="10"/>
    </row>
    <row r="448" spans="9:14" x14ac:dyDescent="0.25">
      <c r="I448" s="29"/>
      <c r="J448" s="10"/>
      <c r="K448" s="10"/>
      <c r="L448" s="82"/>
      <c r="M448" s="10"/>
      <c r="N448" s="10"/>
    </row>
    <row r="449" spans="9:14" x14ac:dyDescent="0.25">
      <c r="I449" s="29"/>
      <c r="J449" s="10"/>
      <c r="K449" s="10"/>
      <c r="L449" s="82"/>
      <c r="M449" s="10"/>
      <c r="N449" s="10"/>
    </row>
    <row r="450" spans="9:14" x14ac:dyDescent="0.25">
      <c r="I450" s="29"/>
      <c r="J450" s="10"/>
      <c r="K450" s="10"/>
      <c r="L450" s="82"/>
      <c r="M450" s="10"/>
      <c r="N450" s="10"/>
    </row>
    <row r="451" spans="9:14" x14ac:dyDescent="0.25">
      <c r="I451" s="29"/>
      <c r="J451" s="10"/>
      <c r="K451" s="10"/>
      <c r="L451" s="82"/>
      <c r="M451" s="10"/>
      <c r="N451" s="10"/>
    </row>
    <row r="452" spans="9:14" x14ac:dyDescent="0.25">
      <c r="I452" s="29"/>
      <c r="J452" s="10"/>
      <c r="K452" s="10"/>
      <c r="L452" s="82"/>
      <c r="M452" s="10"/>
      <c r="N452" s="10"/>
    </row>
    <row r="453" spans="9:14" x14ac:dyDescent="0.25">
      <c r="I453" s="29"/>
      <c r="J453" s="10"/>
      <c r="K453" s="10"/>
      <c r="L453" s="82"/>
      <c r="M453" s="10"/>
      <c r="N453" s="10"/>
    </row>
    <row r="454" spans="9:14" x14ac:dyDescent="0.25">
      <c r="I454" s="29"/>
      <c r="J454" s="10"/>
      <c r="K454" s="10"/>
      <c r="L454" s="82"/>
      <c r="M454" s="10"/>
      <c r="N454" s="10"/>
    </row>
    <row r="455" spans="9:14" x14ac:dyDescent="0.25">
      <c r="I455" s="29"/>
      <c r="J455" s="10"/>
      <c r="K455" s="10"/>
      <c r="L455" s="82"/>
      <c r="M455" s="10"/>
      <c r="N455" s="10"/>
    </row>
    <row r="456" spans="9:14" x14ac:dyDescent="0.25">
      <c r="I456" s="29"/>
      <c r="J456" s="10"/>
      <c r="K456" s="10"/>
      <c r="L456" s="82"/>
      <c r="M456" s="10"/>
      <c r="N456" s="10"/>
    </row>
    <row r="457" spans="9:14" x14ac:dyDescent="0.25">
      <c r="I457" s="29"/>
      <c r="J457" s="10"/>
      <c r="K457" s="10"/>
      <c r="L457" s="82"/>
      <c r="M457" s="10"/>
      <c r="N457" s="10"/>
    </row>
    <row r="458" spans="9:14" x14ac:dyDescent="0.25">
      <c r="I458" s="29"/>
      <c r="J458" s="10"/>
      <c r="K458" s="10"/>
      <c r="L458" s="82"/>
      <c r="M458" s="10"/>
      <c r="N458" s="10"/>
    </row>
    <row r="459" spans="9:14" x14ac:dyDescent="0.25">
      <c r="I459" s="29"/>
      <c r="J459" s="10"/>
      <c r="K459" s="10"/>
      <c r="L459" s="82"/>
      <c r="M459" s="10"/>
      <c r="N459" s="10"/>
    </row>
    <row r="460" spans="9:14" x14ac:dyDescent="0.25">
      <c r="I460" s="29"/>
      <c r="J460" s="10"/>
      <c r="K460" s="10"/>
      <c r="L460" s="82"/>
      <c r="M460" s="10"/>
      <c r="N460" s="10"/>
    </row>
    <row r="461" spans="9:14" x14ac:dyDescent="0.25">
      <c r="I461" s="29"/>
      <c r="J461" s="10"/>
      <c r="K461" s="10"/>
      <c r="L461" s="82"/>
      <c r="M461" s="10"/>
      <c r="N461" s="10"/>
    </row>
    <row r="462" spans="9:14" x14ac:dyDescent="0.25">
      <c r="I462" s="29"/>
      <c r="J462" s="10"/>
      <c r="K462" s="10"/>
      <c r="L462" s="82"/>
      <c r="M462" s="10"/>
      <c r="N462" s="10"/>
    </row>
    <row r="463" spans="9:14" x14ac:dyDescent="0.25">
      <c r="I463" s="29"/>
      <c r="J463" s="10"/>
      <c r="K463" s="10"/>
      <c r="L463" s="82"/>
      <c r="M463" s="10"/>
      <c r="N463" s="10"/>
    </row>
    <row r="464" spans="9:14" x14ac:dyDescent="0.25">
      <c r="I464" s="29"/>
      <c r="J464" s="10"/>
      <c r="K464" s="10"/>
      <c r="L464" s="82"/>
      <c r="M464" s="10"/>
      <c r="N464" s="10"/>
    </row>
    <row r="465" spans="9:14" x14ac:dyDescent="0.25">
      <c r="I465" s="29"/>
      <c r="J465" s="10"/>
      <c r="K465" s="10"/>
      <c r="L465" s="82"/>
      <c r="M465" s="10"/>
      <c r="N465" s="10"/>
    </row>
    <row r="466" spans="9:14" x14ac:dyDescent="0.25">
      <c r="I466" s="29"/>
      <c r="J466" s="10"/>
      <c r="K466" s="10"/>
      <c r="L466" s="82"/>
      <c r="M466" s="10"/>
      <c r="N466" s="10"/>
    </row>
    <row r="467" spans="9:14" x14ac:dyDescent="0.25">
      <c r="I467" s="29"/>
      <c r="J467" s="10"/>
      <c r="K467" s="10"/>
      <c r="L467" s="82"/>
      <c r="M467" s="10"/>
      <c r="N467" s="10"/>
    </row>
    <row r="468" spans="9:14" x14ac:dyDescent="0.25">
      <c r="I468" s="29"/>
      <c r="J468" s="10"/>
      <c r="K468" s="10"/>
      <c r="L468" s="82"/>
      <c r="M468" s="10"/>
      <c r="N468" s="10"/>
    </row>
    <row r="469" spans="9:14" x14ac:dyDescent="0.25">
      <c r="I469" s="29"/>
      <c r="J469" s="10"/>
      <c r="K469" s="10"/>
      <c r="L469" s="82"/>
      <c r="M469" s="10"/>
      <c r="N469" s="10"/>
    </row>
    <row r="470" spans="9:14" x14ac:dyDescent="0.25">
      <c r="I470" s="29"/>
      <c r="J470" s="10"/>
      <c r="K470" s="10"/>
      <c r="L470" s="82"/>
      <c r="M470" s="10"/>
      <c r="N470" s="10"/>
    </row>
    <row r="471" spans="9:14" x14ac:dyDescent="0.25">
      <c r="I471" s="29"/>
      <c r="J471" s="10"/>
      <c r="K471" s="10"/>
      <c r="L471" s="82"/>
      <c r="M471" s="10"/>
      <c r="N471" s="10"/>
    </row>
    <row r="472" spans="9:14" x14ac:dyDescent="0.25">
      <c r="I472" s="29"/>
      <c r="J472" s="10"/>
      <c r="K472" s="10"/>
      <c r="L472" s="82"/>
      <c r="M472" s="10"/>
      <c r="N472" s="10"/>
    </row>
    <row r="473" spans="9:14" x14ac:dyDescent="0.25">
      <c r="I473" s="29"/>
      <c r="J473" s="10"/>
      <c r="K473" s="10"/>
      <c r="L473" s="82"/>
      <c r="M473" s="10"/>
      <c r="N473" s="10"/>
    </row>
    <row r="474" spans="9:14" x14ac:dyDescent="0.25">
      <c r="I474" s="29"/>
      <c r="J474" s="10"/>
      <c r="K474" s="10"/>
      <c r="L474" s="82"/>
      <c r="M474" s="10"/>
      <c r="N474" s="10"/>
    </row>
    <row r="475" spans="9:14" x14ac:dyDescent="0.25">
      <c r="I475" s="29"/>
      <c r="J475" s="10"/>
      <c r="K475" s="10"/>
      <c r="L475" s="82"/>
      <c r="M475" s="10"/>
      <c r="N475" s="10"/>
    </row>
    <row r="476" spans="9:14" x14ac:dyDescent="0.25">
      <c r="I476" s="29"/>
      <c r="J476" s="10"/>
      <c r="K476" s="10"/>
      <c r="L476" s="82"/>
      <c r="M476" s="10"/>
      <c r="N476" s="10"/>
    </row>
    <row r="477" spans="9:14" x14ac:dyDescent="0.25">
      <c r="I477" s="29"/>
      <c r="J477" s="10"/>
      <c r="K477" s="10"/>
      <c r="L477" s="82"/>
      <c r="M477" s="10"/>
      <c r="N477" s="10"/>
    </row>
    <row r="478" spans="9:14" x14ac:dyDescent="0.25">
      <c r="I478" s="29"/>
      <c r="J478" s="10"/>
      <c r="K478" s="10"/>
      <c r="L478" s="82"/>
      <c r="M478" s="10"/>
      <c r="N478" s="10"/>
    </row>
    <row r="479" spans="9:14" x14ac:dyDescent="0.25">
      <c r="I479" s="29"/>
      <c r="J479" s="10"/>
      <c r="K479" s="10"/>
      <c r="L479" s="82"/>
      <c r="M479" s="10"/>
      <c r="N479" s="10"/>
    </row>
    <row r="480" spans="9:14" x14ac:dyDescent="0.25">
      <c r="I480" s="29"/>
      <c r="J480" s="10"/>
      <c r="K480" s="10"/>
      <c r="L480" s="82"/>
      <c r="M480" s="10"/>
      <c r="N480" s="10"/>
    </row>
    <row r="481" spans="9:14" x14ac:dyDescent="0.25">
      <c r="I481" s="29"/>
      <c r="J481" s="10"/>
      <c r="K481" s="10"/>
      <c r="L481" s="82"/>
      <c r="M481" s="10"/>
      <c r="N481" s="10"/>
    </row>
    <row r="482" spans="9:14" x14ac:dyDescent="0.25">
      <c r="I482" s="29"/>
      <c r="J482" s="10"/>
      <c r="K482" s="10"/>
      <c r="L482" s="82"/>
      <c r="M482" s="10"/>
      <c r="N482" s="10"/>
    </row>
    <row r="483" spans="9:14" x14ac:dyDescent="0.25">
      <c r="I483" s="29"/>
      <c r="J483" s="10"/>
      <c r="K483" s="10"/>
      <c r="L483" s="82"/>
      <c r="M483" s="10"/>
      <c r="N483" s="10"/>
    </row>
    <row r="484" spans="9:14" x14ac:dyDescent="0.25">
      <c r="I484" s="29"/>
      <c r="J484" s="10"/>
      <c r="K484" s="10"/>
      <c r="L484" s="82"/>
      <c r="M484" s="10"/>
      <c r="N484" s="10"/>
    </row>
    <row r="485" spans="9:14" x14ac:dyDescent="0.25">
      <c r="I485" s="29"/>
      <c r="J485" s="10"/>
      <c r="K485" s="10"/>
      <c r="L485" s="82"/>
      <c r="M485" s="10"/>
      <c r="N485" s="10"/>
    </row>
    <row r="486" spans="9:14" x14ac:dyDescent="0.25">
      <c r="I486" s="29"/>
      <c r="J486" s="10"/>
      <c r="K486" s="10"/>
      <c r="L486" s="82"/>
      <c r="M486" s="10"/>
      <c r="N486" s="10"/>
    </row>
    <row r="487" spans="9:14" x14ac:dyDescent="0.25">
      <c r="I487" s="29"/>
      <c r="J487" s="10"/>
      <c r="K487" s="10"/>
      <c r="L487" s="82"/>
      <c r="M487" s="10"/>
      <c r="N487" s="10"/>
    </row>
    <row r="488" spans="9:14" x14ac:dyDescent="0.25">
      <c r="I488" s="29"/>
      <c r="J488" s="10"/>
      <c r="K488" s="10"/>
      <c r="L488" s="82"/>
      <c r="M488" s="10"/>
      <c r="N488" s="10"/>
    </row>
    <row r="489" spans="9:14" x14ac:dyDescent="0.25">
      <c r="I489" s="29"/>
      <c r="J489" s="10"/>
      <c r="K489" s="10"/>
      <c r="L489" s="82"/>
      <c r="M489" s="10"/>
      <c r="N489" s="10"/>
    </row>
    <row r="490" spans="9:14" x14ac:dyDescent="0.25">
      <c r="I490" s="29"/>
      <c r="J490" s="10"/>
      <c r="K490" s="10"/>
      <c r="L490" s="82"/>
      <c r="M490" s="10"/>
      <c r="N490" s="10"/>
    </row>
    <row r="491" spans="9:14" x14ac:dyDescent="0.25">
      <c r="I491" s="29"/>
      <c r="J491" s="10"/>
      <c r="K491" s="10"/>
      <c r="L491" s="82"/>
      <c r="M491" s="10"/>
      <c r="N491" s="10"/>
    </row>
    <row r="492" spans="9:14" x14ac:dyDescent="0.25">
      <c r="I492" s="29"/>
      <c r="J492" s="10"/>
      <c r="K492" s="10"/>
      <c r="L492" s="82"/>
      <c r="M492" s="10"/>
      <c r="N492" s="10"/>
    </row>
    <row r="493" spans="9:14" x14ac:dyDescent="0.25">
      <c r="I493" s="29"/>
      <c r="J493" s="10"/>
      <c r="K493" s="10"/>
      <c r="L493" s="82"/>
      <c r="M493" s="10"/>
      <c r="N493" s="10"/>
    </row>
    <row r="494" spans="9:14" x14ac:dyDescent="0.25">
      <c r="I494" s="29"/>
      <c r="J494" s="10"/>
      <c r="K494" s="10"/>
      <c r="L494" s="82"/>
      <c r="M494" s="10"/>
      <c r="N494" s="10"/>
    </row>
    <row r="495" spans="9:14" x14ac:dyDescent="0.25">
      <c r="I495" s="29"/>
      <c r="J495" s="10"/>
      <c r="K495" s="10"/>
      <c r="L495" s="82"/>
      <c r="M495" s="10"/>
      <c r="N495" s="10"/>
    </row>
    <row r="496" spans="9:14" x14ac:dyDescent="0.25">
      <c r="I496" s="29"/>
      <c r="J496" s="10"/>
      <c r="K496" s="10"/>
      <c r="L496" s="82"/>
      <c r="M496" s="10"/>
      <c r="N496" s="10"/>
    </row>
    <row r="497" spans="9:14" x14ac:dyDescent="0.25">
      <c r="I497" s="29"/>
      <c r="J497" s="10"/>
      <c r="K497" s="10"/>
      <c r="L497" s="82"/>
      <c r="M497" s="10"/>
      <c r="N497" s="10"/>
    </row>
    <row r="498" spans="9:14" x14ac:dyDescent="0.25">
      <c r="I498" s="29"/>
      <c r="J498" s="10"/>
      <c r="K498" s="10"/>
      <c r="L498" s="82"/>
      <c r="M498" s="10"/>
      <c r="N498" s="10"/>
    </row>
    <row r="499" spans="9:14" x14ac:dyDescent="0.25">
      <c r="I499" s="29"/>
      <c r="J499" s="10"/>
      <c r="K499" s="10"/>
      <c r="L499" s="82"/>
      <c r="M499" s="10"/>
      <c r="N499" s="10"/>
    </row>
    <row r="500" spans="9:14" x14ac:dyDescent="0.25">
      <c r="I500" s="29"/>
      <c r="J500" s="10"/>
      <c r="K500" s="10"/>
      <c r="L500" s="82"/>
      <c r="M500" s="10"/>
      <c r="N500" s="10"/>
    </row>
    <row r="501" spans="9:14" x14ac:dyDescent="0.25">
      <c r="I501" s="29"/>
      <c r="J501" s="10"/>
      <c r="K501" s="10"/>
      <c r="L501" s="82"/>
      <c r="M501" s="10"/>
      <c r="N501" s="10"/>
    </row>
    <row r="502" spans="9:14" x14ac:dyDescent="0.25">
      <c r="I502" s="29"/>
      <c r="J502" s="10"/>
      <c r="K502" s="10"/>
      <c r="L502" s="82"/>
      <c r="M502" s="10"/>
      <c r="N502" s="10"/>
    </row>
    <row r="503" spans="9:14" x14ac:dyDescent="0.25">
      <c r="I503" s="29"/>
      <c r="J503" s="10"/>
      <c r="K503" s="10"/>
      <c r="L503" s="82"/>
      <c r="M503" s="10"/>
      <c r="N503" s="10"/>
    </row>
    <row r="504" spans="9:14" x14ac:dyDescent="0.25">
      <c r="I504" s="29"/>
      <c r="J504" s="10"/>
      <c r="K504" s="10"/>
      <c r="L504" s="82"/>
      <c r="M504" s="10"/>
      <c r="N504" s="10"/>
    </row>
    <row r="505" spans="9:14" x14ac:dyDescent="0.25">
      <c r="I505" s="29"/>
      <c r="J505" s="10"/>
      <c r="K505" s="10"/>
      <c r="L505" s="82"/>
      <c r="M505" s="10"/>
      <c r="N505" s="10"/>
    </row>
    <row r="506" spans="9:14" x14ac:dyDescent="0.25">
      <c r="I506" s="29"/>
      <c r="J506" s="10"/>
      <c r="K506" s="10"/>
      <c r="L506" s="82"/>
      <c r="M506" s="10"/>
      <c r="N506" s="10"/>
    </row>
    <row r="507" spans="9:14" x14ac:dyDescent="0.25">
      <c r="I507" s="29"/>
      <c r="J507" s="10"/>
      <c r="K507" s="10"/>
      <c r="L507" s="82"/>
      <c r="M507" s="10"/>
      <c r="N507" s="10"/>
    </row>
    <row r="508" spans="9:14" x14ac:dyDescent="0.25">
      <c r="I508" s="29"/>
      <c r="J508" s="10"/>
      <c r="K508" s="10"/>
      <c r="L508" s="82"/>
      <c r="M508" s="10"/>
      <c r="N508" s="10"/>
    </row>
    <row r="509" spans="9:14" x14ac:dyDescent="0.25">
      <c r="I509" s="29"/>
      <c r="J509" s="10"/>
      <c r="K509" s="10"/>
      <c r="L509" s="82"/>
      <c r="M509" s="10"/>
      <c r="N509" s="10"/>
    </row>
    <row r="510" spans="9:14" x14ac:dyDescent="0.25">
      <c r="I510" s="29"/>
      <c r="J510" s="10"/>
      <c r="K510" s="10"/>
      <c r="L510" s="82"/>
      <c r="M510" s="10"/>
      <c r="N510" s="10"/>
    </row>
    <row r="511" spans="9:14" x14ac:dyDescent="0.25">
      <c r="I511" s="29"/>
      <c r="J511" s="10"/>
      <c r="K511" s="10"/>
      <c r="L511" s="82"/>
      <c r="M511" s="10"/>
      <c r="N511" s="10"/>
    </row>
    <row r="512" spans="9:14" x14ac:dyDescent="0.25">
      <c r="I512" s="29"/>
      <c r="J512" s="10"/>
      <c r="K512" s="10"/>
      <c r="L512" s="82"/>
      <c r="M512" s="10"/>
      <c r="N512" s="10"/>
    </row>
    <row r="513" spans="9:14" x14ac:dyDescent="0.25">
      <c r="I513" s="29"/>
      <c r="J513" s="10"/>
      <c r="K513" s="10"/>
      <c r="L513" s="82"/>
      <c r="M513" s="10"/>
      <c r="N513" s="10"/>
    </row>
    <row r="514" spans="9:14" x14ac:dyDescent="0.25">
      <c r="I514" s="29"/>
      <c r="J514" s="10"/>
      <c r="K514" s="10"/>
      <c r="L514" s="82"/>
      <c r="M514" s="10"/>
      <c r="N514" s="10"/>
    </row>
    <row r="515" spans="9:14" x14ac:dyDescent="0.25">
      <c r="I515" s="29"/>
      <c r="J515" s="10"/>
      <c r="K515" s="10"/>
      <c r="L515" s="82"/>
      <c r="M515" s="10"/>
      <c r="N515" s="10"/>
    </row>
    <row r="516" spans="9:14" x14ac:dyDescent="0.25">
      <c r="I516" s="29"/>
      <c r="J516" s="10"/>
      <c r="K516" s="10"/>
      <c r="L516" s="82"/>
      <c r="M516" s="10"/>
      <c r="N516" s="10"/>
    </row>
    <row r="517" spans="9:14" x14ac:dyDescent="0.25">
      <c r="I517" s="29"/>
      <c r="J517" s="10"/>
      <c r="K517" s="10"/>
      <c r="L517" s="82"/>
      <c r="M517" s="10"/>
      <c r="N517" s="10"/>
    </row>
    <row r="518" spans="9:14" x14ac:dyDescent="0.25">
      <c r="I518" s="29"/>
      <c r="J518" s="10"/>
      <c r="K518" s="10"/>
      <c r="L518" s="82"/>
      <c r="M518" s="10"/>
      <c r="N518" s="10"/>
    </row>
    <row r="519" spans="9:14" x14ac:dyDescent="0.25">
      <c r="I519" s="29"/>
      <c r="J519" s="10"/>
      <c r="K519" s="10"/>
      <c r="L519" s="82"/>
      <c r="M519" s="10"/>
      <c r="N519" s="10"/>
    </row>
    <row r="520" spans="9:14" x14ac:dyDescent="0.25">
      <c r="I520" s="29"/>
      <c r="J520" s="10"/>
      <c r="K520" s="10"/>
      <c r="L520" s="82"/>
      <c r="M520" s="10"/>
      <c r="N520" s="10"/>
    </row>
    <row r="521" spans="9:14" x14ac:dyDescent="0.25">
      <c r="I521" s="29"/>
      <c r="J521" s="10"/>
      <c r="K521" s="10"/>
      <c r="L521" s="82"/>
      <c r="M521" s="10"/>
      <c r="N521" s="10"/>
    </row>
    <row r="522" spans="9:14" x14ac:dyDescent="0.25">
      <c r="I522" s="29"/>
      <c r="J522" s="10"/>
      <c r="K522" s="10"/>
      <c r="L522" s="82"/>
      <c r="M522" s="10"/>
      <c r="N522" s="10"/>
    </row>
    <row r="523" spans="9:14" x14ac:dyDescent="0.25">
      <c r="I523" s="29"/>
      <c r="J523" s="10"/>
      <c r="K523" s="10"/>
      <c r="L523" s="82"/>
      <c r="M523" s="10"/>
      <c r="N523" s="10"/>
    </row>
    <row r="524" spans="9:14" x14ac:dyDescent="0.25">
      <c r="I524" s="29"/>
      <c r="J524" s="10"/>
      <c r="K524" s="10"/>
      <c r="L524" s="82"/>
      <c r="M524" s="10"/>
      <c r="N524" s="10"/>
    </row>
    <row r="525" spans="9:14" x14ac:dyDescent="0.25">
      <c r="I525" s="29"/>
      <c r="J525" s="10"/>
      <c r="K525" s="10"/>
      <c r="L525" s="82"/>
      <c r="M525" s="10"/>
      <c r="N525" s="10"/>
    </row>
    <row r="526" spans="9:14" x14ac:dyDescent="0.25">
      <c r="I526" s="29"/>
      <c r="J526" s="10"/>
      <c r="K526" s="10"/>
      <c r="L526" s="82"/>
      <c r="M526" s="10"/>
      <c r="N526" s="10"/>
    </row>
    <row r="527" spans="9:14" x14ac:dyDescent="0.25">
      <c r="I527" s="29"/>
      <c r="J527" s="10"/>
      <c r="K527" s="10"/>
      <c r="L527" s="82"/>
      <c r="M527" s="10"/>
      <c r="N527" s="10"/>
    </row>
    <row r="528" spans="9:14" x14ac:dyDescent="0.25">
      <c r="I528" s="29"/>
      <c r="J528" s="10"/>
      <c r="K528" s="10"/>
      <c r="L528" s="82"/>
      <c r="M528" s="10"/>
      <c r="N528" s="10"/>
    </row>
    <row r="529" spans="9:14" x14ac:dyDescent="0.25">
      <c r="I529" s="29"/>
      <c r="J529" s="10"/>
      <c r="K529" s="10"/>
      <c r="L529" s="82"/>
      <c r="M529" s="10"/>
      <c r="N529" s="10"/>
    </row>
    <row r="530" spans="9:14" x14ac:dyDescent="0.25">
      <c r="I530" s="29"/>
      <c r="J530" s="10"/>
      <c r="K530" s="10"/>
      <c r="L530" s="82"/>
      <c r="M530" s="10"/>
      <c r="N530" s="10"/>
    </row>
    <row r="531" spans="9:14" x14ac:dyDescent="0.25">
      <c r="I531" s="29"/>
      <c r="J531" s="10"/>
      <c r="K531" s="10"/>
      <c r="L531" s="82"/>
      <c r="M531" s="10"/>
      <c r="N531" s="10"/>
    </row>
    <row r="532" spans="9:14" x14ac:dyDescent="0.25">
      <c r="I532" s="29"/>
      <c r="J532" s="10"/>
      <c r="K532" s="10"/>
      <c r="L532" s="82"/>
      <c r="M532" s="10"/>
      <c r="N532" s="10"/>
    </row>
    <row r="533" spans="9:14" x14ac:dyDescent="0.25">
      <c r="I533" s="29"/>
      <c r="J533" s="10"/>
      <c r="K533" s="10"/>
      <c r="L533" s="82"/>
      <c r="M533" s="10"/>
      <c r="N533" s="10"/>
    </row>
    <row r="534" spans="9:14" x14ac:dyDescent="0.25">
      <c r="I534" s="29"/>
      <c r="J534" s="10"/>
      <c r="K534" s="10"/>
      <c r="L534" s="82"/>
      <c r="M534" s="10"/>
      <c r="N534" s="10"/>
    </row>
    <row r="535" spans="9:14" x14ac:dyDescent="0.25">
      <c r="I535" s="29"/>
      <c r="J535" s="10"/>
      <c r="K535" s="10"/>
      <c r="L535" s="82"/>
      <c r="M535" s="10"/>
      <c r="N535" s="10"/>
    </row>
    <row r="536" spans="9:14" x14ac:dyDescent="0.25">
      <c r="I536" s="29"/>
      <c r="J536" s="10"/>
      <c r="K536" s="10"/>
      <c r="L536" s="82"/>
      <c r="M536" s="10"/>
      <c r="N536" s="10"/>
    </row>
    <row r="537" spans="9:14" x14ac:dyDescent="0.25">
      <c r="I537" s="29"/>
      <c r="J537" s="10"/>
      <c r="K537" s="10"/>
      <c r="L537" s="82"/>
      <c r="M537" s="10"/>
      <c r="N537" s="10"/>
    </row>
    <row r="538" spans="9:14" x14ac:dyDescent="0.25">
      <c r="I538" s="29"/>
      <c r="J538" s="10"/>
      <c r="K538" s="10"/>
      <c r="L538" s="82"/>
      <c r="M538" s="10"/>
      <c r="N538" s="10"/>
    </row>
    <row r="539" spans="9:14" x14ac:dyDescent="0.25">
      <c r="I539" s="29"/>
      <c r="J539" s="10"/>
      <c r="K539" s="10"/>
      <c r="L539" s="82"/>
      <c r="M539" s="10"/>
      <c r="N539" s="10"/>
    </row>
    <row r="540" spans="9:14" x14ac:dyDescent="0.25">
      <c r="I540" s="29"/>
      <c r="J540" s="10"/>
      <c r="K540" s="10"/>
      <c r="L540" s="82"/>
      <c r="M540" s="10"/>
      <c r="N540" s="10"/>
    </row>
    <row r="541" spans="9:14" x14ac:dyDescent="0.25">
      <c r="I541" s="29"/>
      <c r="J541" s="10"/>
      <c r="K541" s="10"/>
      <c r="L541" s="82"/>
      <c r="M541" s="10"/>
      <c r="N541" s="10"/>
    </row>
    <row r="542" spans="9:14" x14ac:dyDescent="0.25">
      <c r="I542" s="29"/>
      <c r="J542" s="10"/>
      <c r="K542" s="10"/>
      <c r="L542" s="82"/>
      <c r="M542" s="10"/>
      <c r="N542" s="10"/>
    </row>
    <row r="543" spans="9:14" x14ac:dyDescent="0.25">
      <c r="I543" s="29"/>
      <c r="J543" s="10"/>
      <c r="K543" s="10"/>
      <c r="L543" s="82"/>
      <c r="M543" s="10"/>
      <c r="N543" s="10"/>
    </row>
    <row r="544" spans="9:14" x14ac:dyDescent="0.25">
      <c r="I544" s="29"/>
      <c r="J544" s="10"/>
      <c r="K544" s="10"/>
      <c r="L544" s="82"/>
      <c r="M544" s="10"/>
      <c r="N544" s="10"/>
    </row>
    <row r="545" spans="9:14" x14ac:dyDescent="0.25">
      <c r="I545" s="29"/>
      <c r="J545" s="10"/>
      <c r="K545" s="10"/>
      <c r="L545" s="82"/>
      <c r="M545" s="10"/>
      <c r="N545" s="10"/>
    </row>
    <row r="546" spans="9:14" x14ac:dyDescent="0.25">
      <c r="I546" s="29"/>
      <c r="J546" s="10"/>
      <c r="K546" s="10"/>
      <c r="L546" s="82"/>
      <c r="M546" s="10"/>
      <c r="N546" s="10"/>
    </row>
    <row r="547" spans="9:14" x14ac:dyDescent="0.25">
      <c r="I547" s="29"/>
      <c r="J547" s="10"/>
      <c r="K547" s="10"/>
      <c r="L547" s="82"/>
      <c r="M547" s="10"/>
      <c r="N547" s="10"/>
    </row>
    <row r="548" spans="9:14" x14ac:dyDescent="0.25">
      <c r="I548" s="29"/>
      <c r="J548" s="10"/>
      <c r="K548" s="10"/>
      <c r="L548" s="82"/>
      <c r="M548" s="10"/>
      <c r="N548" s="10"/>
    </row>
    <row r="549" spans="9:14" x14ac:dyDescent="0.25">
      <c r="I549" s="29"/>
      <c r="J549" s="10"/>
      <c r="K549" s="10"/>
      <c r="L549" s="82"/>
      <c r="M549" s="10"/>
      <c r="N549" s="10"/>
    </row>
    <row r="550" spans="9:14" x14ac:dyDescent="0.25">
      <c r="I550" s="29"/>
      <c r="J550" s="10"/>
      <c r="K550" s="10"/>
      <c r="L550" s="82"/>
      <c r="M550" s="10"/>
      <c r="N550" s="10"/>
    </row>
    <row r="551" spans="9:14" x14ac:dyDescent="0.25">
      <c r="I551" s="29"/>
      <c r="J551" s="10"/>
      <c r="K551" s="10"/>
      <c r="L551" s="82"/>
      <c r="M551" s="10"/>
      <c r="N551" s="10"/>
    </row>
    <row r="552" spans="9:14" x14ac:dyDescent="0.25">
      <c r="I552" s="29"/>
      <c r="J552" s="10"/>
      <c r="K552" s="10"/>
      <c r="L552" s="82"/>
      <c r="M552" s="10"/>
      <c r="N552" s="10"/>
    </row>
    <row r="553" spans="9:14" x14ac:dyDescent="0.25">
      <c r="I553" s="29"/>
      <c r="J553" s="10"/>
      <c r="K553" s="10"/>
      <c r="L553" s="82"/>
      <c r="M553" s="10"/>
      <c r="N553" s="10"/>
    </row>
    <row r="554" spans="9:14" x14ac:dyDescent="0.25">
      <c r="I554" s="29"/>
      <c r="J554" s="10"/>
      <c r="K554" s="10"/>
      <c r="L554" s="82"/>
      <c r="M554" s="10"/>
      <c r="N554" s="10"/>
    </row>
    <row r="555" spans="9:14" x14ac:dyDescent="0.25">
      <c r="I555" s="29"/>
      <c r="J555" s="10"/>
      <c r="K555" s="10"/>
      <c r="L555" s="82"/>
      <c r="M555" s="10"/>
      <c r="N555" s="10"/>
    </row>
    <row r="556" spans="9:14" x14ac:dyDescent="0.25">
      <c r="I556" s="29"/>
      <c r="J556" s="10"/>
      <c r="K556" s="10"/>
      <c r="L556" s="82"/>
      <c r="M556" s="10"/>
      <c r="N556" s="10"/>
    </row>
    <row r="557" spans="9:14" x14ac:dyDescent="0.25">
      <c r="I557" s="29"/>
      <c r="J557" s="10"/>
      <c r="K557" s="10"/>
      <c r="L557" s="82"/>
      <c r="M557" s="10"/>
      <c r="N557" s="10"/>
    </row>
    <row r="558" spans="9:14" x14ac:dyDescent="0.25">
      <c r="I558" s="29"/>
      <c r="J558" s="10"/>
      <c r="K558" s="10"/>
      <c r="L558" s="82"/>
      <c r="M558" s="10"/>
      <c r="N558" s="10"/>
    </row>
    <row r="559" spans="9:14" x14ac:dyDescent="0.25">
      <c r="I559" s="29"/>
      <c r="J559" s="10"/>
      <c r="K559" s="10"/>
      <c r="L559" s="82"/>
      <c r="M559" s="10"/>
      <c r="N559" s="10"/>
    </row>
    <row r="560" spans="9:14" x14ac:dyDescent="0.25">
      <c r="I560" s="29"/>
      <c r="J560" s="10"/>
      <c r="K560" s="10"/>
      <c r="L560" s="82"/>
      <c r="M560" s="10"/>
      <c r="N560" s="10"/>
    </row>
    <row r="561" spans="9:14" x14ac:dyDescent="0.25">
      <c r="I561" s="29"/>
      <c r="J561" s="10"/>
      <c r="K561" s="10"/>
      <c r="L561" s="82"/>
      <c r="M561" s="10"/>
      <c r="N561" s="10"/>
    </row>
    <row r="562" spans="9:14" x14ac:dyDescent="0.25">
      <c r="I562" s="29"/>
      <c r="J562" s="10"/>
      <c r="K562" s="10"/>
      <c r="L562" s="82"/>
      <c r="M562" s="10"/>
      <c r="N562" s="10"/>
    </row>
    <row r="563" spans="9:14" x14ac:dyDescent="0.25">
      <c r="I563" s="29"/>
      <c r="J563" s="10"/>
      <c r="K563" s="10"/>
      <c r="L563" s="82"/>
      <c r="M563" s="10"/>
      <c r="N563" s="10"/>
    </row>
    <row r="564" spans="9:14" x14ac:dyDescent="0.25">
      <c r="I564" s="29"/>
      <c r="J564" s="10"/>
      <c r="K564" s="10"/>
      <c r="L564" s="82"/>
      <c r="M564" s="10"/>
      <c r="N564" s="10"/>
    </row>
    <row r="565" spans="9:14" x14ac:dyDescent="0.25">
      <c r="I565" s="29"/>
      <c r="J565" s="10"/>
      <c r="K565" s="10"/>
      <c r="L565" s="82"/>
      <c r="M565" s="10"/>
      <c r="N565" s="10"/>
    </row>
    <row r="566" spans="9:14" x14ac:dyDescent="0.25">
      <c r="I566" s="29"/>
      <c r="J566" s="10"/>
      <c r="K566" s="10"/>
      <c r="L566" s="82"/>
      <c r="M566" s="10"/>
      <c r="N566" s="10"/>
    </row>
    <row r="567" spans="9:14" x14ac:dyDescent="0.25">
      <c r="I567" s="29"/>
      <c r="J567" s="10"/>
      <c r="K567" s="10"/>
      <c r="L567" s="82"/>
      <c r="M567" s="10"/>
      <c r="N567" s="10"/>
    </row>
    <row r="568" spans="9:14" x14ac:dyDescent="0.25">
      <c r="I568" s="29"/>
      <c r="J568" s="10"/>
      <c r="K568" s="10"/>
      <c r="L568" s="82"/>
      <c r="M568" s="10"/>
      <c r="N568" s="10"/>
    </row>
    <row r="569" spans="9:14" x14ac:dyDescent="0.25">
      <c r="I569" s="29"/>
      <c r="J569" s="10"/>
      <c r="K569" s="10"/>
      <c r="L569" s="82"/>
      <c r="M569" s="10"/>
      <c r="N569" s="10"/>
    </row>
    <row r="570" spans="9:14" x14ac:dyDescent="0.25">
      <c r="I570" s="29"/>
      <c r="J570" s="10"/>
      <c r="K570" s="10"/>
      <c r="L570" s="82"/>
      <c r="M570" s="10"/>
      <c r="N570" s="10"/>
    </row>
    <row r="571" spans="9:14" x14ac:dyDescent="0.25">
      <c r="I571" s="29"/>
      <c r="J571" s="10"/>
      <c r="K571" s="10"/>
      <c r="L571" s="82"/>
      <c r="M571" s="10"/>
      <c r="N571" s="10"/>
    </row>
    <row r="572" spans="9:14" x14ac:dyDescent="0.25">
      <c r="I572" s="29"/>
      <c r="J572" s="10"/>
      <c r="K572" s="10"/>
      <c r="L572" s="82"/>
      <c r="M572" s="10"/>
      <c r="N572" s="10"/>
    </row>
    <row r="573" spans="9:14" x14ac:dyDescent="0.25">
      <c r="I573" s="29"/>
      <c r="J573" s="10"/>
      <c r="K573" s="10"/>
      <c r="L573" s="82"/>
      <c r="M573" s="10"/>
      <c r="N573" s="10"/>
    </row>
    <row r="574" spans="9:14" x14ac:dyDescent="0.25">
      <c r="I574" s="29"/>
      <c r="J574" s="10"/>
      <c r="K574" s="10"/>
      <c r="L574" s="82"/>
      <c r="M574" s="10"/>
      <c r="N574" s="10"/>
    </row>
    <row r="575" spans="9:14" x14ac:dyDescent="0.25">
      <c r="I575" s="29"/>
      <c r="J575" s="10"/>
      <c r="K575" s="10"/>
      <c r="L575" s="82"/>
      <c r="M575" s="10"/>
      <c r="N575" s="10"/>
    </row>
    <row r="576" spans="9:14" x14ac:dyDescent="0.25">
      <c r="I576" s="29"/>
      <c r="J576" s="10"/>
      <c r="K576" s="10"/>
      <c r="L576" s="82"/>
      <c r="M576" s="10"/>
      <c r="N576" s="10"/>
    </row>
    <row r="577" spans="9:14" x14ac:dyDescent="0.25">
      <c r="I577" s="29"/>
      <c r="J577" s="10"/>
      <c r="K577" s="10"/>
      <c r="L577" s="82"/>
      <c r="M577" s="10"/>
      <c r="N577" s="10"/>
    </row>
    <row r="578" spans="9:14" x14ac:dyDescent="0.25">
      <c r="I578" s="29"/>
      <c r="J578" s="10"/>
      <c r="K578" s="10"/>
      <c r="L578" s="82"/>
      <c r="M578" s="10"/>
      <c r="N578" s="10"/>
    </row>
    <row r="579" spans="9:14" x14ac:dyDescent="0.25">
      <c r="I579" s="29"/>
      <c r="J579" s="10"/>
      <c r="K579" s="10"/>
      <c r="L579" s="82"/>
      <c r="M579" s="10"/>
      <c r="N579" s="10"/>
    </row>
    <row r="580" spans="9:14" x14ac:dyDescent="0.25">
      <c r="I580" s="29"/>
      <c r="J580" s="10"/>
      <c r="K580" s="10"/>
      <c r="L580" s="82"/>
      <c r="M580" s="10"/>
      <c r="N580" s="10"/>
    </row>
    <row r="581" spans="9:14" x14ac:dyDescent="0.25">
      <c r="I581" s="29"/>
      <c r="J581" s="10"/>
      <c r="K581" s="10"/>
      <c r="L581" s="82"/>
      <c r="M581" s="10"/>
      <c r="N581" s="10"/>
    </row>
    <row r="582" spans="9:14" x14ac:dyDescent="0.25">
      <c r="I582" s="29"/>
      <c r="J582" s="10"/>
      <c r="K582" s="10"/>
      <c r="L582" s="82"/>
      <c r="M582" s="10"/>
      <c r="N582" s="10"/>
    </row>
    <row r="583" spans="9:14" x14ac:dyDescent="0.25">
      <c r="I583" s="29"/>
      <c r="J583" s="10"/>
      <c r="K583" s="10"/>
      <c r="L583" s="82"/>
      <c r="M583" s="10"/>
      <c r="N583" s="10"/>
    </row>
    <row r="584" spans="9:14" x14ac:dyDescent="0.25">
      <c r="I584" s="29"/>
      <c r="J584" s="10"/>
      <c r="K584" s="10"/>
      <c r="L584" s="82"/>
      <c r="M584" s="10"/>
      <c r="N584" s="10"/>
    </row>
    <row r="585" spans="9:14" x14ac:dyDescent="0.25">
      <c r="I585" s="29"/>
      <c r="J585" s="10"/>
      <c r="K585" s="10"/>
      <c r="L585" s="82"/>
      <c r="M585" s="10"/>
      <c r="N585" s="10"/>
    </row>
    <row r="586" spans="9:14" x14ac:dyDescent="0.25">
      <c r="I586" s="29"/>
      <c r="J586" s="10"/>
      <c r="K586" s="10"/>
      <c r="L586" s="82"/>
      <c r="M586" s="10"/>
      <c r="N586" s="10"/>
    </row>
    <row r="587" spans="9:14" x14ac:dyDescent="0.25">
      <c r="I587" s="29"/>
      <c r="J587" s="10"/>
      <c r="K587" s="10"/>
      <c r="L587" s="82"/>
      <c r="M587" s="10"/>
      <c r="N587" s="10"/>
    </row>
    <row r="588" spans="9:14" x14ac:dyDescent="0.25">
      <c r="I588" s="29"/>
      <c r="J588" s="10"/>
      <c r="K588" s="10"/>
      <c r="L588" s="82"/>
      <c r="M588" s="10"/>
      <c r="N588" s="10"/>
    </row>
    <row r="589" spans="9:14" x14ac:dyDescent="0.25">
      <c r="I589" s="29"/>
      <c r="J589" s="10"/>
      <c r="K589" s="10"/>
      <c r="L589" s="82"/>
      <c r="M589" s="10"/>
      <c r="N589" s="10"/>
    </row>
    <row r="590" spans="9:14" x14ac:dyDescent="0.25">
      <c r="I590" s="29"/>
      <c r="J590" s="10"/>
      <c r="K590" s="10"/>
      <c r="L590" s="82"/>
      <c r="M590" s="10"/>
      <c r="N590" s="10"/>
    </row>
    <row r="591" spans="9:14" x14ac:dyDescent="0.25">
      <c r="I591" s="29"/>
      <c r="J591" s="10"/>
      <c r="K591" s="10"/>
      <c r="L591" s="82"/>
      <c r="M591" s="10"/>
      <c r="N591" s="10"/>
    </row>
    <row r="592" spans="9:14" x14ac:dyDescent="0.25">
      <c r="I592" s="29"/>
      <c r="J592" s="10"/>
      <c r="K592" s="10"/>
      <c r="L592" s="82"/>
      <c r="M592" s="10"/>
      <c r="N592" s="10"/>
    </row>
    <row r="593" spans="9:14" x14ac:dyDescent="0.25">
      <c r="I593" s="29"/>
      <c r="J593" s="10"/>
      <c r="K593" s="10"/>
      <c r="L593" s="82"/>
      <c r="M593" s="10"/>
      <c r="N593" s="10"/>
    </row>
    <row r="594" spans="9:14" x14ac:dyDescent="0.25">
      <c r="I594" s="29"/>
      <c r="J594" s="10"/>
      <c r="K594" s="10"/>
      <c r="L594" s="82"/>
      <c r="M594" s="10"/>
      <c r="N594" s="10"/>
    </row>
    <row r="595" spans="9:14" x14ac:dyDescent="0.25">
      <c r="I595" s="29"/>
      <c r="J595" s="10"/>
      <c r="K595" s="10"/>
      <c r="L595" s="82"/>
      <c r="M595" s="10"/>
      <c r="N595" s="10"/>
    </row>
    <row r="596" spans="9:14" x14ac:dyDescent="0.25">
      <c r="I596" s="29"/>
      <c r="J596" s="10"/>
      <c r="K596" s="10"/>
      <c r="L596" s="82"/>
      <c r="M596" s="10"/>
      <c r="N596" s="10"/>
    </row>
    <row r="597" spans="9:14" x14ac:dyDescent="0.25">
      <c r="I597" s="29"/>
      <c r="J597" s="10"/>
      <c r="K597" s="10"/>
      <c r="L597" s="82"/>
      <c r="M597" s="10"/>
      <c r="N597" s="10"/>
    </row>
    <row r="598" spans="9:14" x14ac:dyDescent="0.25">
      <c r="I598" s="29"/>
      <c r="J598" s="10"/>
      <c r="K598" s="10"/>
      <c r="L598" s="82"/>
      <c r="M598" s="10"/>
      <c r="N598" s="10"/>
    </row>
    <row r="599" spans="9:14" x14ac:dyDescent="0.25">
      <c r="I599" s="29"/>
      <c r="J599" s="10"/>
      <c r="K599" s="10"/>
      <c r="L599" s="82"/>
      <c r="M599" s="10"/>
      <c r="N599" s="10"/>
    </row>
    <row r="600" spans="9:14" x14ac:dyDescent="0.25">
      <c r="I600" s="29"/>
      <c r="J600" s="10"/>
      <c r="K600" s="10"/>
      <c r="L600" s="82"/>
      <c r="M600" s="10"/>
      <c r="N600" s="10"/>
    </row>
    <row r="601" spans="9:14" x14ac:dyDescent="0.25">
      <c r="I601" s="29"/>
      <c r="J601" s="10"/>
      <c r="K601" s="10"/>
      <c r="L601" s="82"/>
      <c r="M601" s="10"/>
      <c r="N601" s="10"/>
    </row>
    <row r="602" spans="9:14" x14ac:dyDescent="0.25">
      <c r="I602" s="29"/>
      <c r="J602" s="10"/>
      <c r="K602" s="10"/>
      <c r="L602" s="82"/>
      <c r="M602" s="10"/>
      <c r="N602" s="10"/>
    </row>
    <row r="603" spans="9:14" x14ac:dyDescent="0.25">
      <c r="I603" s="29"/>
      <c r="J603" s="10"/>
      <c r="K603" s="10"/>
      <c r="L603" s="82"/>
      <c r="M603" s="10"/>
      <c r="N603" s="10"/>
    </row>
    <row r="604" spans="9:14" x14ac:dyDescent="0.25">
      <c r="I604" s="29"/>
      <c r="J604" s="10"/>
      <c r="K604" s="10"/>
      <c r="L604" s="82"/>
      <c r="M604" s="10"/>
      <c r="N604" s="10"/>
    </row>
    <row r="605" spans="9:14" x14ac:dyDescent="0.25">
      <c r="I605" s="29"/>
      <c r="J605" s="10"/>
      <c r="K605" s="10"/>
      <c r="L605" s="82"/>
      <c r="M605" s="10"/>
      <c r="N605" s="10"/>
    </row>
    <row r="606" spans="9:14" x14ac:dyDescent="0.25">
      <c r="I606" s="29"/>
      <c r="J606" s="10"/>
      <c r="K606" s="10"/>
      <c r="L606" s="82"/>
      <c r="M606" s="10"/>
      <c r="N606" s="10"/>
    </row>
    <row r="607" spans="9:14" x14ac:dyDescent="0.25">
      <c r="I607" s="29"/>
      <c r="J607" s="10"/>
      <c r="K607" s="10"/>
      <c r="L607" s="82"/>
      <c r="M607" s="10"/>
      <c r="N607" s="10"/>
    </row>
    <row r="608" spans="9:14" x14ac:dyDescent="0.25">
      <c r="I608" s="29"/>
      <c r="J608" s="10"/>
      <c r="K608" s="10"/>
      <c r="L608" s="82"/>
      <c r="M608" s="10"/>
      <c r="N608" s="10"/>
    </row>
    <row r="609" spans="9:14" x14ac:dyDescent="0.25">
      <c r="I609" s="29"/>
      <c r="J609" s="10"/>
      <c r="K609" s="10"/>
      <c r="L609" s="82"/>
      <c r="M609" s="10"/>
      <c r="N609" s="10"/>
    </row>
    <row r="610" spans="9:14" x14ac:dyDescent="0.25">
      <c r="I610" s="29"/>
      <c r="J610" s="10"/>
      <c r="K610" s="10"/>
      <c r="L610" s="82"/>
      <c r="M610" s="10"/>
      <c r="N610" s="10"/>
    </row>
    <row r="611" spans="9:14" x14ac:dyDescent="0.25">
      <c r="I611" s="29"/>
      <c r="J611" s="10"/>
      <c r="K611" s="10"/>
      <c r="L611" s="82"/>
      <c r="M611" s="10"/>
      <c r="N611" s="10"/>
    </row>
    <row r="612" spans="9:14" x14ac:dyDescent="0.25">
      <c r="I612" s="29"/>
      <c r="J612" s="10"/>
      <c r="K612" s="10"/>
      <c r="L612" s="82"/>
      <c r="M612" s="10"/>
      <c r="N612" s="10"/>
    </row>
    <row r="613" spans="9:14" x14ac:dyDescent="0.25">
      <c r="I613" s="29"/>
      <c r="J613" s="10"/>
      <c r="K613" s="10"/>
      <c r="L613" s="82"/>
      <c r="M613" s="10"/>
      <c r="N613" s="10"/>
    </row>
    <row r="614" spans="9:14" x14ac:dyDescent="0.25">
      <c r="I614" s="29"/>
      <c r="J614" s="10"/>
      <c r="K614" s="10"/>
      <c r="L614" s="82"/>
      <c r="M614" s="10"/>
      <c r="N614" s="10"/>
    </row>
    <row r="615" spans="9:14" x14ac:dyDescent="0.25">
      <c r="I615" s="29"/>
      <c r="J615" s="10"/>
      <c r="K615" s="10"/>
      <c r="L615" s="82"/>
      <c r="M615" s="10"/>
      <c r="N615" s="10"/>
    </row>
    <row r="616" spans="9:14" x14ac:dyDescent="0.25">
      <c r="I616" s="29"/>
      <c r="J616" s="10"/>
      <c r="K616" s="10"/>
      <c r="L616" s="82"/>
      <c r="M616" s="10"/>
      <c r="N616" s="10"/>
    </row>
    <row r="617" spans="9:14" x14ac:dyDescent="0.25">
      <c r="I617" s="29"/>
      <c r="J617" s="10"/>
      <c r="K617" s="10"/>
      <c r="L617" s="82"/>
      <c r="M617" s="10"/>
      <c r="N617" s="10"/>
    </row>
    <row r="618" spans="9:14" x14ac:dyDescent="0.25">
      <c r="I618" s="29"/>
      <c r="J618" s="10"/>
      <c r="K618" s="10"/>
      <c r="L618" s="82"/>
      <c r="M618" s="10"/>
      <c r="N618" s="10"/>
    </row>
    <row r="619" spans="9:14" x14ac:dyDescent="0.25">
      <c r="I619" s="29"/>
      <c r="J619" s="10"/>
      <c r="K619" s="10"/>
      <c r="L619" s="82"/>
      <c r="M619" s="10"/>
      <c r="N619" s="10"/>
    </row>
    <row r="620" spans="9:14" x14ac:dyDescent="0.25">
      <c r="I620" s="29"/>
      <c r="J620" s="10"/>
      <c r="K620" s="10"/>
      <c r="L620" s="82"/>
      <c r="M620" s="10"/>
      <c r="N620" s="10"/>
    </row>
    <row r="621" spans="9:14" x14ac:dyDescent="0.25">
      <c r="I621" s="29"/>
      <c r="J621" s="10"/>
      <c r="K621" s="10"/>
      <c r="L621" s="82"/>
      <c r="M621" s="10"/>
      <c r="N621" s="10"/>
    </row>
    <row r="622" spans="9:14" x14ac:dyDescent="0.25">
      <c r="I622" s="29"/>
      <c r="J622" s="10"/>
      <c r="K622" s="10"/>
      <c r="L622" s="82"/>
      <c r="M622" s="10"/>
      <c r="N622" s="10"/>
    </row>
    <row r="623" spans="9:14" x14ac:dyDescent="0.25">
      <c r="I623" s="29"/>
      <c r="J623" s="10"/>
      <c r="K623" s="10"/>
      <c r="L623" s="82"/>
      <c r="M623" s="10"/>
      <c r="N623" s="10"/>
    </row>
    <row r="624" spans="9:14" x14ac:dyDescent="0.25">
      <c r="I624" s="29"/>
      <c r="J624" s="10"/>
      <c r="K624" s="10"/>
      <c r="L624" s="82"/>
      <c r="M624" s="10"/>
      <c r="N624" s="10"/>
    </row>
    <row r="625" spans="9:14" x14ac:dyDescent="0.25">
      <c r="I625" s="29"/>
      <c r="J625" s="10"/>
      <c r="K625" s="10"/>
      <c r="L625" s="82"/>
      <c r="M625" s="10"/>
      <c r="N625" s="10"/>
    </row>
    <row r="626" spans="9:14" x14ac:dyDescent="0.25">
      <c r="I626" s="29"/>
      <c r="J626" s="10"/>
      <c r="K626" s="10"/>
      <c r="L626" s="82"/>
      <c r="M626" s="10"/>
      <c r="N626" s="10"/>
    </row>
    <row r="627" spans="9:14" x14ac:dyDescent="0.25">
      <c r="I627" s="29"/>
      <c r="J627" s="10"/>
      <c r="K627" s="10"/>
      <c r="L627" s="82"/>
      <c r="M627" s="10"/>
      <c r="N627" s="10"/>
    </row>
    <row r="628" spans="9:14" x14ac:dyDescent="0.25">
      <c r="I628" s="29"/>
      <c r="J628" s="10"/>
      <c r="K628" s="10"/>
      <c r="L628" s="82"/>
      <c r="M628" s="10"/>
      <c r="N628" s="10"/>
    </row>
    <row r="629" spans="9:14" x14ac:dyDescent="0.25">
      <c r="I629" s="29"/>
      <c r="J629" s="10"/>
      <c r="K629" s="10"/>
      <c r="L629" s="82"/>
      <c r="M629" s="10"/>
      <c r="N629" s="10"/>
    </row>
    <row r="630" spans="9:14" x14ac:dyDescent="0.25">
      <c r="I630" s="29"/>
      <c r="J630" s="10"/>
      <c r="K630" s="10"/>
      <c r="L630" s="82"/>
      <c r="M630" s="10"/>
      <c r="N630" s="10"/>
    </row>
    <row r="631" spans="9:14" x14ac:dyDescent="0.25">
      <c r="I631" s="29"/>
      <c r="J631" s="10"/>
      <c r="K631" s="10"/>
      <c r="L631" s="82"/>
      <c r="M631" s="10"/>
      <c r="N631" s="10"/>
    </row>
    <row r="632" spans="9:14" x14ac:dyDescent="0.25">
      <c r="I632" s="29"/>
      <c r="J632" s="10"/>
      <c r="K632" s="10"/>
      <c r="L632" s="82"/>
      <c r="M632" s="10"/>
      <c r="N632" s="10"/>
    </row>
    <row r="633" spans="9:14" x14ac:dyDescent="0.25">
      <c r="I633" s="29"/>
      <c r="J633" s="10"/>
      <c r="K633" s="10"/>
      <c r="L633" s="82"/>
      <c r="M633" s="10"/>
      <c r="N633" s="10"/>
    </row>
    <row r="634" spans="9:14" x14ac:dyDescent="0.25">
      <c r="I634" s="29"/>
      <c r="J634" s="10"/>
      <c r="K634" s="10"/>
      <c r="L634" s="82"/>
      <c r="M634" s="10"/>
      <c r="N634" s="10"/>
    </row>
    <row r="635" spans="9:14" x14ac:dyDescent="0.25">
      <c r="I635" s="29"/>
      <c r="J635" s="10"/>
      <c r="K635" s="10"/>
      <c r="L635" s="82"/>
      <c r="M635" s="10"/>
      <c r="N635" s="10"/>
    </row>
    <row r="636" spans="9:14" x14ac:dyDescent="0.25">
      <c r="I636" s="29"/>
      <c r="J636" s="10"/>
      <c r="K636" s="10"/>
      <c r="L636" s="82"/>
      <c r="M636" s="10"/>
      <c r="N636" s="10"/>
    </row>
    <row r="637" spans="9:14" x14ac:dyDescent="0.25">
      <c r="I637" s="29"/>
      <c r="J637" s="10"/>
      <c r="K637" s="10"/>
      <c r="L637" s="82"/>
      <c r="M637" s="10"/>
      <c r="N637" s="10"/>
    </row>
    <row r="638" spans="9:14" x14ac:dyDescent="0.25">
      <c r="I638" s="29"/>
      <c r="J638" s="10"/>
      <c r="K638" s="10"/>
      <c r="L638" s="82"/>
      <c r="M638" s="10"/>
      <c r="N638" s="10"/>
    </row>
    <row r="639" spans="9:14" x14ac:dyDescent="0.25">
      <c r="I639" s="29"/>
      <c r="J639" s="10"/>
      <c r="K639" s="10"/>
      <c r="L639" s="82"/>
      <c r="M639" s="10"/>
      <c r="N639" s="10"/>
    </row>
    <row r="640" spans="9:14" x14ac:dyDescent="0.25">
      <c r="I640" s="29"/>
      <c r="J640" s="10"/>
      <c r="K640" s="10"/>
      <c r="L640" s="82"/>
      <c r="M640" s="10"/>
      <c r="N640" s="10"/>
    </row>
    <row r="641" spans="9:14" x14ac:dyDescent="0.25">
      <c r="I641" s="29"/>
      <c r="J641" s="10"/>
      <c r="K641" s="10"/>
      <c r="L641" s="82"/>
      <c r="M641" s="10"/>
      <c r="N641" s="10"/>
    </row>
    <row r="642" spans="9:14" x14ac:dyDescent="0.25">
      <c r="I642" s="29"/>
      <c r="J642" s="10"/>
      <c r="K642" s="10"/>
      <c r="L642" s="82"/>
      <c r="M642" s="10"/>
      <c r="N642" s="10"/>
    </row>
    <row r="643" spans="9:14" x14ac:dyDescent="0.25">
      <c r="I643" s="29"/>
      <c r="J643" s="10"/>
      <c r="K643" s="10"/>
      <c r="L643" s="82"/>
      <c r="M643" s="10"/>
      <c r="N643" s="10"/>
    </row>
    <row r="644" spans="9:14" x14ac:dyDescent="0.25">
      <c r="I644" s="29"/>
      <c r="J644" s="10"/>
      <c r="K644" s="10"/>
      <c r="L644" s="82"/>
      <c r="M644" s="10"/>
      <c r="N644" s="10"/>
    </row>
    <row r="645" spans="9:14" x14ac:dyDescent="0.25">
      <c r="I645" s="29"/>
      <c r="J645" s="10"/>
      <c r="K645" s="10"/>
      <c r="L645" s="82"/>
      <c r="M645" s="10"/>
      <c r="N645" s="10"/>
    </row>
    <row r="646" spans="9:14" x14ac:dyDescent="0.25">
      <c r="I646" s="29"/>
      <c r="J646" s="10"/>
      <c r="K646" s="10"/>
      <c r="L646" s="82"/>
      <c r="M646" s="10"/>
      <c r="N646" s="10"/>
    </row>
    <row r="647" spans="9:14" x14ac:dyDescent="0.25">
      <c r="I647" s="29"/>
      <c r="J647" s="10"/>
      <c r="K647" s="10"/>
      <c r="L647" s="82"/>
      <c r="M647" s="10"/>
      <c r="N647" s="10"/>
    </row>
    <row r="648" spans="9:14" x14ac:dyDescent="0.25">
      <c r="I648" s="29"/>
      <c r="J648" s="10"/>
      <c r="K648" s="10"/>
      <c r="L648" s="82"/>
      <c r="M648" s="10"/>
      <c r="N648" s="10"/>
    </row>
    <row r="649" spans="9:14" x14ac:dyDescent="0.25">
      <c r="I649" s="29"/>
      <c r="J649" s="10"/>
      <c r="K649" s="10"/>
      <c r="L649" s="82"/>
      <c r="M649" s="10"/>
      <c r="N649" s="10"/>
    </row>
    <row r="650" spans="9:14" x14ac:dyDescent="0.25">
      <c r="I650" s="29"/>
      <c r="J650" s="10"/>
      <c r="K650" s="10"/>
      <c r="L650" s="82"/>
      <c r="M650" s="10"/>
      <c r="N650" s="10"/>
    </row>
    <row r="651" spans="9:14" x14ac:dyDescent="0.25">
      <c r="I651" s="29"/>
      <c r="J651" s="10"/>
      <c r="K651" s="10"/>
      <c r="L651" s="82"/>
      <c r="M651" s="10"/>
      <c r="N651" s="10"/>
    </row>
    <row r="652" spans="9:14" x14ac:dyDescent="0.25">
      <c r="I652" s="29"/>
      <c r="J652" s="10"/>
      <c r="K652" s="10"/>
      <c r="L652" s="82"/>
      <c r="M652" s="10"/>
      <c r="N652" s="10"/>
    </row>
    <row r="653" spans="9:14" x14ac:dyDescent="0.25">
      <c r="I653" s="29"/>
      <c r="J653" s="10"/>
      <c r="K653" s="10"/>
      <c r="L653" s="82"/>
      <c r="M653" s="10"/>
      <c r="N653" s="10"/>
    </row>
    <row r="654" spans="9:14" x14ac:dyDescent="0.25">
      <c r="I654" s="29"/>
      <c r="J654" s="10"/>
      <c r="K654" s="10"/>
      <c r="L654" s="82"/>
      <c r="M654" s="10"/>
      <c r="N654" s="10"/>
    </row>
    <row r="655" spans="9:14" x14ac:dyDescent="0.25">
      <c r="I655" s="29"/>
      <c r="J655" s="10"/>
      <c r="K655" s="10"/>
      <c r="L655" s="82"/>
      <c r="M655" s="10"/>
      <c r="N655" s="10"/>
    </row>
    <row r="656" spans="9:14" x14ac:dyDescent="0.25">
      <c r="I656" s="29"/>
      <c r="J656" s="10"/>
      <c r="K656" s="10"/>
      <c r="L656" s="82"/>
      <c r="M656" s="10"/>
      <c r="N656" s="10"/>
    </row>
    <row r="657" spans="9:14" x14ac:dyDescent="0.25">
      <c r="I657" s="29"/>
      <c r="J657" s="10"/>
      <c r="K657" s="10"/>
      <c r="L657" s="82"/>
      <c r="M657" s="10"/>
      <c r="N657" s="10"/>
    </row>
    <row r="658" spans="9:14" x14ac:dyDescent="0.25">
      <c r="I658" s="29"/>
      <c r="J658" s="10"/>
      <c r="K658" s="10"/>
      <c r="L658" s="82"/>
      <c r="M658" s="10"/>
      <c r="N658" s="10"/>
    </row>
    <row r="659" spans="9:14" x14ac:dyDescent="0.25">
      <c r="I659" s="29"/>
      <c r="J659" s="10"/>
      <c r="K659" s="10"/>
      <c r="L659" s="82"/>
      <c r="M659" s="10"/>
      <c r="N659" s="10"/>
    </row>
    <row r="660" spans="9:14" x14ac:dyDescent="0.25">
      <c r="I660" s="29"/>
      <c r="J660" s="10"/>
      <c r="K660" s="10"/>
      <c r="L660" s="82"/>
      <c r="M660" s="10"/>
      <c r="N660" s="10"/>
    </row>
    <row r="661" spans="9:14" x14ac:dyDescent="0.25">
      <c r="I661" s="29"/>
      <c r="J661" s="10"/>
      <c r="K661" s="10"/>
      <c r="L661" s="82"/>
      <c r="M661" s="10"/>
      <c r="N661" s="10"/>
    </row>
    <row r="662" spans="9:14" x14ac:dyDescent="0.25">
      <c r="I662" s="29"/>
      <c r="J662" s="10"/>
      <c r="K662" s="10"/>
      <c r="L662" s="82"/>
      <c r="M662" s="10"/>
      <c r="N662" s="10"/>
    </row>
    <row r="663" spans="9:14" x14ac:dyDescent="0.25">
      <c r="I663" s="29"/>
      <c r="J663" s="10"/>
      <c r="K663" s="10"/>
      <c r="L663" s="82"/>
      <c r="M663" s="10"/>
      <c r="N663" s="10"/>
    </row>
    <row r="664" spans="9:14" x14ac:dyDescent="0.25">
      <c r="I664" s="29"/>
      <c r="J664" s="10"/>
      <c r="K664" s="10"/>
      <c r="L664" s="82"/>
      <c r="M664" s="10"/>
      <c r="N664" s="10"/>
    </row>
    <row r="665" spans="9:14" x14ac:dyDescent="0.25">
      <c r="I665" s="29"/>
      <c r="J665" s="10"/>
      <c r="K665" s="10"/>
      <c r="L665" s="82"/>
      <c r="M665" s="10"/>
      <c r="N665" s="10"/>
    </row>
    <row r="666" spans="9:14" x14ac:dyDescent="0.25">
      <c r="I666" s="29"/>
      <c r="J666" s="10"/>
      <c r="K666" s="10"/>
      <c r="L666" s="82"/>
      <c r="M666" s="10"/>
      <c r="N666" s="10"/>
    </row>
    <row r="667" spans="9:14" x14ac:dyDescent="0.25">
      <c r="I667" s="29"/>
      <c r="J667" s="10"/>
      <c r="K667" s="10"/>
      <c r="L667" s="82"/>
      <c r="M667" s="10"/>
      <c r="N667" s="10"/>
    </row>
    <row r="668" spans="9:14" x14ac:dyDescent="0.25">
      <c r="I668" s="29"/>
      <c r="J668" s="10"/>
      <c r="K668" s="10"/>
      <c r="L668" s="82"/>
      <c r="M668" s="10"/>
      <c r="N668" s="10"/>
    </row>
    <row r="669" spans="9:14" x14ac:dyDescent="0.25">
      <c r="I669" s="29"/>
      <c r="J669" s="10"/>
      <c r="K669" s="10"/>
      <c r="L669" s="82"/>
      <c r="M669" s="10"/>
      <c r="N669" s="10"/>
    </row>
    <row r="670" spans="9:14" x14ac:dyDescent="0.25">
      <c r="I670" s="29"/>
      <c r="J670" s="10"/>
      <c r="K670" s="10"/>
      <c r="L670" s="82"/>
      <c r="M670" s="10"/>
      <c r="N670" s="10"/>
    </row>
    <row r="671" spans="9:14" x14ac:dyDescent="0.25">
      <c r="I671" s="29"/>
      <c r="J671" s="10"/>
      <c r="K671" s="10"/>
      <c r="L671" s="82"/>
      <c r="M671" s="10"/>
      <c r="N671" s="10"/>
    </row>
    <row r="672" spans="9:14" x14ac:dyDescent="0.25">
      <c r="I672" s="29"/>
      <c r="J672" s="10"/>
      <c r="K672" s="10"/>
      <c r="L672" s="82"/>
      <c r="M672" s="10"/>
      <c r="N672" s="10"/>
    </row>
    <row r="673" spans="9:14" x14ac:dyDescent="0.25">
      <c r="I673" s="29"/>
      <c r="J673" s="10"/>
      <c r="K673" s="10"/>
      <c r="L673" s="82"/>
      <c r="M673" s="10"/>
      <c r="N673" s="10"/>
    </row>
    <row r="674" spans="9:14" x14ac:dyDescent="0.25">
      <c r="I674" s="29"/>
      <c r="J674" s="10"/>
      <c r="K674" s="10"/>
      <c r="L674" s="82"/>
      <c r="M674" s="10"/>
      <c r="N674" s="10"/>
    </row>
    <row r="675" spans="9:14" x14ac:dyDescent="0.25">
      <c r="I675" s="29"/>
      <c r="J675" s="10"/>
      <c r="K675" s="10"/>
      <c r="L675" s="82"/>
      <c r="M675" s="10"/>
      <c r="N675" s="10"/>
    </row>
    <row r="676" spans="9:14" x14ac:dyDescent="0.25">
      <c r="I676" s="29"/>
      <c r="J676" s="10"/>
      <c r="K676" s="10"/>
      <c r="L676" s="82"/>
      <c r="M676" s="10"/>
      <c r="N676" s="10"/>
    </row>
    <row r="677" spans="9:14" x14ac:dyDescent="0.25">
      <c r="I677" s="29"/>
      <c r="J677" s="10"/>
      <c r="K677" s="10"/>
      <c r="L677" s="82"/>
      <c r="M677" s="10"/>
      <c r="N677" s="10"/>
    </row>
    <row r="678" spans="9:14" x14ac:dyDescent="0.25">
      <c r="I678" s="29"/>
      <c r="J678" s="10"/>
      <c r="K678" s="10"/>
      <c r="L678" s="82"/>
      <c r="M678" s="10"/>
      <c r="N678" s="10"/>
    </row>
    <row r="679" spans="9:14" x14ac:dyDescent="0.25">
      <c r="I679" s="29"/>
      <c r="J679" s="10"/>
      <c r="K679" s="10"/>
      <c r="L679" s="82"/>
      <c r="M679" s="10"/>
      <c r="N679" s="10"/>
    </row>
    <row r="680" spans="9:14" x14ac:dyDescent="0.25">
      <c r="I680" s="29"/>
      <c r="J680" s="10"/>
      <c r="K680" s="10"/>
      <c r="L680" s="82"/>
      <c r="M680" s="10"/>
      <c r="N680" s="10"/>
    </row>
    <row r="681" spans="9:14" x14ac:dyDescent="0.25">
      <c r="I681" s="29"/>
      <c r="J681" s="10"/>
      <c r="K681" s="10"/>
      <c r="L681" s="82"/>
      <c r="M681" s="10"/>
      <c r="N681" s="10"/>
    </row>
    <row r="682" spans="9:14" x14ac:dyDescent="0.25">
      <c r="I682" s="29"/>
      <c r="J682" s="10"/>
      <c r="K682" s="10"/>
      <c r="L682" s="82"/>
      <c r="M682" s="10"/>
      <c r="N682" s="10"/>
    </row>
    <row r="683" spans="9:14" x14ac:dyDescent="0.25">
      <c r="I683" s="29"/>
      <c r="J683" s="10"/>
      <c r="K683" s="10"/>
      <c r="L683" s="82"/>
      <c r="M683" s="10"/>
      <c r="N683" s="10"/>
    </row>
    <row r="684" spans="9:14" x14ac:dyDescent="0.25">
      <c r="I684" s="29"/>
      <c r="J684" s="10"/>
      <c r="K684" s="10"/>
      <c r="L684" s="82"/>
      <c r="M684" s="10"/>
      <c r="N684" s="10"/>
    </row>
    <row r="685" spans="9:14" x14ac:dyDescent="0.25">
      <c r="I685" s="29"/>
      <c r="J685" s="10"/>
      <c r="K685" s="10"/>
      <c r="L685" s="82"/>
      <c r="M685" s="10"/>
      <c r="N685" s="10"/>
    </row>
    <row r="686" spans="9:14" x14ac:dyDescent="0.25">
      <c r="I686" s="29"/>
      <c r="J686" s="10"/>
      <c r="K686" s="10"/>
      <c r="L686" s="82"/>
      <c r="M686" s="10"/>
      <c r="N686" s="10"/>
    </row>
    <row r="687" spans="9:14" x14ac:dyDescent="0.25">
      <c r="I687" s="29"/>
      <c r="J687" s="10"/>
      <c r="K687" s="10"/>
      <c r="L687" s="82"/>
      <c r="M687" s="10"/>
      <c r="N687" s="10"/>
    </row>
    <row r="688" spans="9:14" x14ac:dyDescent="0.25">
      <c r="I688" s="29"/>
      <c r="J688" s="10"/>
      <c r="K688" s="10"/>
      <c r="L688" s="82"/>
      <c r="M688" s="10"/>
      <c r="N688" s="10"/>
    </row>
    <row r="689" spans="9:14" x14ac:dyDescent="0.25">
      <c r="I689" s="29"/>
      <c r="J689" s="10"/>
      <c r="K689" s="10"/>
      <c r="L689" s="82"/>
      <c r="M689" s="10"/>
      <c r="N689" s="10"/>
    </row>
    <row r="690" spans="9:14" x14ac:dyDescent="0.25">
      <c r="I690" s="29"/>
      <c r="J690" s="10"/>
      <c r="K690" s="10"/>
      <c r="L690" s="82"/>
      <c r="M690" s="10"/>
      <c r="N690" s="10"/>
    </row>
    <row r="691" spans="9:14" x14ac:dyDescent="0.25">
      <c r="I691" s="29"/>
      <c r="J691" s="10"/>
      <c r="K691" s="10"/>
      <c r="L691" s="82"/>
      <c r="M691" s="10"/>
      <c r="N691" s="10"/>
    </row>
    <row r="692" spans="9:14" x14ac:dyDescent="0.25">
      <c r="I692" s="29"/>
      <c r="J692" s="10"/>
      <c r="K692" s="10"/>
      <c r="L692" s="82"/>
      <c r="M692" s="10"/>
      <c r="N692" s="10"/>
    </row>
    <row r="693" spans="9:14" x14ac:dyDescent="0.25">
      <c r="I693" s="29"/>
      <c r="J693" s="10"/>
      <c r="K693" s="10"/>
      <c r="L693" s="82"/>
      <c r="M693" s="10"/>
      <c r="N693" s="10"/>
    </row>
    <row r="694" spans="9:14" x14ac:dyDescent="0.25">
      <c r="I694" s="29"/>
      <c r="J694" s="10"/>
      <c r="K694" s="10"/>
      <c r="L694" s="82"/>
      <c r="M694" s="10"/>
      <c r="N694" s="10"/>
    </row>
    <row r="695" spans="9:14" x14ac:dyDescent="0.25">
      <c r="I695" s="29"/>
      <c r="J695" s="10"/>
      <c r="K695" s="10"/>
      <c r="L695" s="82"/>
      <c r="M695" s="10"/>
      <c r="N695" s="10"/>
    </row>
    <row r="696" spans="9:14" x14ac:dyDescent="0.25">
      <c r="I696" s="29"/>
      <c r="J696" s="10"/>
      <c r="K696" s="10"/>
      <c r="L696" s="82"/>
      <c r="M696" s="10"/>
      <c r="N696" s="10"/>
    </row>
    <row r="697" spans="9:14" x14ac:dyDescent="0.25">
      <c r="I697" s="29"/>
      <c r="J697" s="10"/>
      <c r="K697" s="10"/>
      <c r="L697" s="82"/>
      <c r="M697" s="10"/>
      <c r="N697" s="10"/>
    </row>
    <row r="698" spans="9:14" x14ac:dyDescent="0.25">
      <c r="I698" s="29"/>
      <c r="J698" s="10"/>
      <c r="K698" s="10"/>
      <c r="L698" s="82"/>
      <c r="M698" s="10"/>
      <c r="N698" s="10"/>
    </row>
    <row r="699" spans="9:14" x14ac:dyDescent="0.25">
      <c r="I699" s="29"/>
      <c r="J699" s="10"/>
      <c r="K699" s="10"/>
      <c r="L699" s="82"/>
      <c r="M699" s="10"/>
      <c r="N699" s="10"/>
    </row>
    <row r="700" spans="9:14" x14ac:dyDescent="0.25">
      <c r="I700" s="29"/>
      <c r="J700" s="10"/>
      <c r="K700" s="10"/>
      <c r="L700" s="82"/>
      <c r="M700" s="10"/>
      <c r="N700" s="10"/>
    </row>
    <row r="701" spans="9:14" x14ac:dyDescent="0.25">
      <c r="I701" s="29"/>
      <c r="J701" s="10"/>
      <c r="K701" s="10"/>
      <c r="L701" s="82"/>
      <c r="M701" s="10"/>
      <c r="N701" s="10"/>
    </row>
    <row r="702" spans="9:14" x14ac:dyDescent="0.25">
      <c r="I702" s="29"/>
      <c r="J702" s="10"/>
      <c r="K702" s="10"/>
      <c r="L702" s="82"/>
      <c r="M702" s="10"/>
      <c r="N702" s="10"/>
    </row>
    <row r="703" spans="9:14" x14ac:dyDescent="0.25">
      <c r="I703" s="29"/>
      <c r="J703" s="10"/>
      <c r="K703" s="10"/>
      <c r="L703" s="82"/>
      <c r="M703" s="10"/>
      <c r="N703" s="10"/>
    </row>
    <row r="704" spans="9:14" x14ac:dyDescent="0.25">
      <c r="I704" s="29"/>
      <c r="J704" s="10"/>
      <c r="K704" s="10"/>
      <c r="L704" s="82"/>
      <c r="M704" s="10"/>
      <c r="N704" s="10"/>
    </row>
    <row r="705" spans="9:14" x14ac:dyDescent="0.25">
      <c r="I705" s="29"/>
      <c r="J705" s="10"/>
      <c r="K705" s="10"/>
      <c r="L705" s="82"/>
      <c r="M705" s="10"/>
      <c r="N705" s="10"/>
    </row>
    <row r="706" spans="9:14" x14ac:dyDescent="0.25">
      <c r="I706" s="29"/>
      <c r="J706" s="10"/>
      <c r="K706" s="10"/>
      <c r="L706" s="82"/>
      <c r="M706" s="10"/>
      <c r="N706" s="10"/>
    </row>
    <row r="707" spans="9:14" x14ac:dyDescent="0.25">
      <c r="I707" s="29"/>
      <c r="J707" s="10"/>
      <c r="K707" s="10"/>
      <c r="L707" s="82"/>
      <c r="M707" s="10"/>
      <c r="N707" s="10"/>
    </row>
    <row r="708" spans="9:14" x14ac:dyDescent="0.25">
      <c r="I708" s="29"/>
      <c r="J708" s="10"/>
      <c r="K708" s="10"/>
      <c r="L708" s="82"/>
      <c r="M708" s="10"/>
      <c r="N708" s="10"/>
    </row>
    <row r="709" spans="9:14" x14ac:dyDescent="0.25">
      <c r="I709" s="29"/>
      <c r="J709" s="10"/>
      <c r="K709" s="10"/>
      <c r="L709" s="82"/>
      <c r="M709" s="10"/>
      <c r="N709" s="10"/>
    </row>
    <row r="710" spans="9:14" x14ac:dyDescent="0.25">
      <c r="I710" s="29"/>
      <c r="J710" s="10"/>
      <c r="K710" s="10"/>
      <c r="L710" s="82"/>
      <c r="M710" s="10"/>
      <c r="N710" s="10"/>
    </row>
    <row r="711" spans="9:14" x14ac:dyDescent="0.25">
      <c r="I711" s="29"/>
      <c r="J711" s="10"/>
      <c r="K711" s="10"/>
      <c r="L711" s="82"/>
      <c r="M711" s="10"/>
      <c r="N711" s="10"/>
    </row>
    <row r="712" spans="9:14" x14ac:dyDescent="0.25">
      <c r="I712" s="29"/>
      <c r="J712" s="10"/>
      <c r="K712" s="10"/>
      <c r="L712" s="82"/>
      <c r="M712" s="10"/>
      <c r="N712" s="10"/>
    </row>
    <row r="713" spans="9:14" x14ac:dyDescent="0.25">
      <c r="I713" s="29"/>
      <c r="J713" s="10"/>
      <c r="K713" s="10"/>
      <c r="L713" s="82"/>
      <c r="M713" s="10"/>
      <c r="N713" s="10"/>
    </row>
    <row r="714" spans="9:14" x14ac:dyDescent="0.25">
      <c r="I714" s="29"/>
      <c r="J714" s="10"/>
      <c r="K714" s="10"/>
      <c r="L714" s="82"/>
      <c r="M714" s="10"/>
      <c r="N714" s="10"/>
    </row>
    <row r="715" spans="9:14" x14ac:dyDescent="0.25">
      <c r="I715" s="29"/>
      <c r="J715" s="10"/>
      <c r="K715" s="10"/>
      <c r="L715" s="82"/>
      <c r="M715" s="10"/>
      <c r="N715" s="10"/>
    </row>
    <row r="716" spans="9:14" x14ac:dyDescent="0.25">
      <c r="I716" s="29"/>
      <c r="J716" s="10"/>
      <c r="K716" s="10"/>
      <c r="L716" s="82"/>
      <c r="M716" s="10"/>
      <c r="N716" s="10"/>
    </row>
    <row r="717" spans="9:14" x14ac:dyDescent="0.25">
      <c r="I717" s="29"/>
      <c r="J717" s="10"/>
      <c r="K717" s="10"/>
      <c r="L717" s="82"/>
      <c r="M717" s="10"/>
      <c r="N717" s="10"/>
    </row>
    <row r="718" spans="9:14" x14ac:dyDescent="0.25">
      <c r="I718" s="29"/>
      <c r="J718" s="10"/>
      <c r="K718" s="10"/>
      <c r="L718" s="82"/>
      <c r="M718" s="10"/>
      <c r="N718" s="10"/>
    </row>
    <row r="719" spans="9:14" x14ac:dyDescent="0.25">
      <c r="I719" s="29"/>
      <c r="J719" s="10"/>
      <c r="K719" s="10"/>
      <c r="L719" s="82"/>
      <c r="M719" s="10"/>
      <c r="N719" s="10"/>
    </row>
    <row r="720" spans="9:14" x14ac:dyDescent="0.25">
      <c r="I720" s="29"/>
      <c r="J720" s="10"/>
      <c r="K720" s="10"/>
      <c r="L720" s="82"/>
      <c r="M720" s="10"/>
      <c r="N720" s="10"/>
    </row>
    <row r="721" spans="9:14" x14ac:dyDescent="0.25">
      <c r="I721" s="29"/>
      <c r="J721" s="10"/>
      <c r="K721" s="10"/>
      <c r="L721" s="82"/>
      <c r="M721" s="10"/>
      <c r="N721" s="10"/>
    </row>
    <row r="722" spans="9:14" x14ac:dyDescent="0.25">
      <c r="I722" s="29"/>
      <c r="J722" s="10"/>
      <c r="K722" s="10"/>
      <c r="L722" s="82"/>
      <c r="M722" s="10"/>
      <c r="N722" s="10"/>
    </row>
    <row r="723" spans="9:14" x14ac:dyDescent="0.25">
      <c r="I723" s="29"/>
      <c r="J723" s="10"/>
      <c r="K723" s="10"/>
      <c r="L723" s="82"/>
      <c r="M723" s="10"/>
      <c r="N723" s="10"/>
    </row>
    <row r="724" spans="9:14" x14ac:dyDescent="0.25">
      <c r="I724" s="29"/>
      <c r="J724" s="10"/>
      <c r="K724" s="10"/>
      <c r="L724" s="82"/>
      <c r="M724" s="10"/>
      <c r="N724" s="10"/>
    </row>
    <row r="725" spans="9:14" x14ac:dyDescent="0.25">
      <c r="I725" s="29"/>
      <c r="J725" s="10"/>
      <c r="K725" s="10"/>
      <c r="L725" s="82"/>
      <c r="M725" s="10"/>
      <c r="N725" s="10"/>
    </row>
    <row r="726" spans="9:14" x14ac:dyDescent="0.25">
      <c r="I726" s="29"/>
      <c r="J726" s="10"/>
      <c r="K726" s="10"/>
      <c r="L726" s="82"/>
      <c r="M726" s="10"/>
      <c r="N726" s="10"/>
    </row>
    <row r="727" spans="9:14" x14ac:dyDescent="0.25">
      <c r="I727" s="29"/>
      <c r="J727" s="10"/>
      <c r="K727" s="10"/>
      <c r="L727" s="82"/>
      <c r="M727" s="10"/>
      <c r="N727" s="10"/>
    </row>
    <row r="728" spans="9:14" x14ac:dyDescent="0.25">
      <c r="I728" s="29"/>
      <c r="J728" s="10"/>
      <c r="K728" s="10"/>
      <c r="L728" s="82"/>
      <c r="M728" s="10"/>
      <c r="N728" s="10"/>
    </row>
    <row r="729" spans="9:14" x14ac:dyDescent="0.25">
      <c r="I729" s="29"/>
      <c r="J729" s="10"/>
      <c r="K729" s="10"/>
      <c r="L729" s="82"/>
      <c r="M729" s="10"/>
      <c r="N729" s="10"/>
    </row>
    <row r="730" spans="9:14" x14ac:dyDescent="0.25">
      <c r="I730" s="29"/>
      <c r="J730" s="10"/>
      <c r="K730" s="10"/>
      <c r="L730" s="82"/>
      <c r="M730" s="10"/>
      <c r="N730" s="10"/>
    </row>
    <row r="731" spans="9:14" x14ac:dyDescent="0.25">
      <c r="I731" s="29"/>
      <c r="J731" s="10"/>
      <c r="K731" s="10"/>
      <c r="L731" s="82"/>
      <c r="M731" s="10"/>
      <c r="N731" s="10"/>
    </row>
    <row r="732" spans="9:14" x14ac:dyDescent="0.25">
      <c r="I732" s="29"/>
      <c r="J732" s="10"/>
      <c r="K732" s="10"/>
      <c r="L732" s="82"/>
      <c r="M732" s="10"/>
      <c r="N732" s="10"/>
    </row>
    <row r="733" spans="9:14" x14ac:dyDescent="0.25">
      <c r="I733" s="29"/>
      <c r="J733" s="10"/>
      <c r="K733" s="10"/>
      <c r="L733" s="82"/>
      <c r="M733" s="10"/>
      <c r="N733" s="10"/>
    </row>
    <row r="734" spans="9:14" x14ac:dyDescent="0.25">
      <c r="I734" s="29"/>
      <c r="J734" s="10"/>
      <c r="K734" s="10"/>
      <c r="L734" s="82"/>
      <c r="M734" s="10"/>
      <c r="N734" s="10"/>
    </row>
    <row r="735" spans="9:14" x14ac:dyDescent="0.25">
      <c r="I735" s="29"/>
      <c r="J735" s="10"/>
      <c r="K735" s="10"/>
      <c r="L735" s="82"/>
      <c r="M735" s="10"/>
      <c r="N735" s="10"/>
    </row>
    <row r="736" spans="9:14" x14ac:dyDescent="0.25">
      <c r="I736" s="29"/>
      <c r="J736" s="10"/>
      <c r="K736" s="10"/>
      <c r="L736" s="82"/>
      <c r="M736" s="10"/>
      <c r="N736" s="10"/>
    </row>
    <row r="737" spans="9:14" x14ac:dyDescent="0.25">
      <c r="I737" s="29"/>
      <c r="J737" s="10"/>
      <c r="K737" s="10"/>
      <c r="L737" s="82"/>
      <c r="M737" s="10"/>
      <c r="N737" s="10"/>
    </row>
    <row r="738" spans="9:14" x14ac:dyDescent="0.25">
      <c r="I738" s="29"/>
      <c r="J738" s="10"/>
      <c r="K738" s="10"/>
      <c r="L738" s="82"/>
      <c r="M738" s="10"/>
      <c r="N738" s="10"/>
    </row>
    <row r="739" spans="9:14" x14ac:dyDescent="0.25">
      <c r="I739" s="29"/>
      <c r="J739" s="10"/>
      <c r="K739" s="10"/>
      <c r="L739" s="82"/>
      <c r="M739" s="10"/>
      <c r="N739" s="10"/>
    </row>
    <row r="740" spans="9:14" x14ac:dyDescent="0.25">
      <c r="I740" s="29"/>
      <c r="J740" s="10"/>
      <c r="K740" s="10"/>
      <c r="L740" s="82"/>
      <c r="M740" s="10"/>
      <c r="N740" s="10"/>
    </row>
    <row r="741" spans="9:14" x14ac:dyDescent="0.25">
      <c r="I741" s="29"/>
      <c r="J741" s="10"/>
      <c r="K741" s="10"/>
      <c r="L741" s="82"/>
      <c r="M741" s="10"/>
      <c r="N741" s="10"/>
    </row>
    <row r="742" spans="9:14" x14ac:dyDescent="0.25">
      <c r="I742" s="29"/>
      <c r="J742" s="10"/>
      <c r="K742" s="10"/>
      <c r="L742" s="82"/>
      <c r="M742" s="10"/>
      <c r="N742" s="10"/>
    </row>
    <row r="743" spans="9:14" x14ac:dyDescent="0.25">
      <c r="I743" s="29"/>
      <c r="J743" s="10"/>
      <c r="K743" s="10"/>
      <c r="L743" s="82"/>
      <c r="M743" s="10"/>
      <c r="N743" s="10"/>
    </row>
    <row r="744" spans="9:14" x14ac:dyDescent="0.25">
      <c r="I744" s="29"/>
      <c r="J744" s="10"/>
      <c r="K744" s="10"/>
      <c r="L744" s="82"/>
      <c r="M744" s="10"/>
      <c r="N744" s="10"/>
    </row>
    <row r="745" spans="9:14" x14ac:dyDescent="0.25">
      <c r="I745" s="29"/>
      <c r="J745" s="10"/>
      <c r="K745" s="10"/>
      <c r="L745" s="82"/>
      <c r="M745" s="10"/>
      <c r="N745" s="10"/>
    </row>
    <row r="746" spans="9:14" x14ac:dyDescent="0.25">
      <c r="I746" s="29"/>
      <c r="J746" s="10"/>
      <c r="K746" s="10"/>
      <c r="L746" s="82"/>
      <c r="M746" s="10"/>
      <c r="N746" s="10"/>
    </row>
    <row r="747" spans="9:14" x14ac:dyDescent="0.25">
      <c r="I747" s="29"/>
      <c r="J747" s="10"/>
      <c r="K747" s="10"/>
      <c r="L747" s="82"/>
      <c r="M747" s="10"/>
      <c r="N747" s="10"/>
    </row>
    <row r="748" spans="9:14" x14ac:dyDescent="0.25">
      <c r="I748" s="29"/>
      <c r="J748" s="10"/>
      <c r="K748" s="10"/>
      <c r="L748" s="82"/>
      <c r="M748" s="10"/>
      <c r="N748" s="10"/>
    </row>
    <row r="749" spans="9:14" x14ac:dyDescent="0.25">
      <c r="I749" s="29"/>
      <c r="J749" s="10"/>
      <c r="K749" s="10"/>
      <c r="L749" s="82"/>
      <c r="M749" s="10"/>
      <c r="N749" s="10"/>
    </row>
    <row r="750" spans="9:14" x14ac:dyDescent="0.25">
      <c r="I750" s="29"/>
      <c r="J750" s="10"/>
      <c r="K750" s="10"/>
      <c r="L750" s="82"/>
      <c r="M750" s="10"/>
      <c r="N750" s="10"/>
    </row>
    <row r="751" spans="9:14" x14ac:dyDescent="0.25">
      <c r="I751" s="29"/>
      <c r="J751" s="10"/>
      <c r="K751" s="10"/>
      <c r="L751" s="82"/>
      <c r="M751" s="10"/>
      <c r="N751" s="10"/>
    </row>
    <row r="752" spans="9:14" x14ac:dyDescent="0.25">
      <c r="I752" s="29"/>
      <c r="J752" s="10"/>
      <c r="K752" s="10"/>
      <c r="L752" s="82"/>
      <c r="M752" s="10"/>
      <c r="N752" s="10"/>
    </row>
    <row r="753" spans="9:14" x14ac:dyDescent="0.25">
      <c r="I753" s="29"/>
      <c r="J753" s="10"/>
      <c r="K753" s="10"/>
      <c r="L753" s="82"/>
      <c r="M753" s="10"/>
      <c r="N753" s="10"/>
    </row>
    <row r="754" spans="9:14" x14ac:dyDescent="0.25">
      <c r="I754" s="29"/>
      <c r="J754" s="10"/>
      <c r="K754" s="10"/>
      <c r="L754" s="82"/>
      <c r="M754" s="10"/>
      <c r="N754" s="10"/>
    </row>
    <row r="755" spans="9:14" x14ac:dyDescent="0.25">
      <c r="I755" s="29"/>
      <c r="J755" s="10"/>
      <c r="K755" s="10"/>
      <c r="L755" s="82"/>
      <c r="M755" s="10"/>
      <c r="N755" s="10"/>
    </row>
    <row r="756" spans="9:14" x14ac:dyDescent="0.25">
      <c r="I756" s="29"/>
      <c r="J756" s="10"/>
      <c r="K756" s="10"/>
      <c r="L756" s="82"/>
      <c r="M756" s="10"/>
      <c r="N756" s="10"/>
    </row>
    <row r="757" spans="9:14" x14ac:dyDescent="0.25">
      <c r="I757" s="29"/>
      <c r="J757" s="10"/>
      <c r="K757" s="10"/>
      <c r="L757" s="82"/>
      <c r="M757" s="10"/>
      <c r="N757" s="10"/>
    </row>
    <row r="758" spans="9:14" x14ac:dyDescent="0.25">
      <c r="I758" s="29"/>
      <c r="J758" s="10"/>
      <c r="K758" s="10"/>
      <c r="L758" s="82"/>
      <c r="M758" s="10"/>
      <c r="N758" s="10"/>
    </row>
    <row r="759" spans="9:14" x14ac:dyDescent="0.25">
      <c r="I759" s="29"/>
      <c r="J759" s="10"/>
      <c r="K759" s="10"/>
      <c r="L759" s="82"/>
      <c r="M759" s="10"/>
      <c r="N759" s="10"/>
    </row>
    <row r="760" spans="9:14" x14ac:dyDescent="0.25">
      <c r="I760" s="29"/>
      <c r="J760" s="10"/>
      <c r="K760" s="10"/>
      <c r="L760" s="82"/>
      <c r="M760" s="10"/>
      <c r="N760" s="10"/>
    </row>
    <row r="761" spans="9:14" x14ac:dyDescent="0.25">
      <c r="I761" s="29"/>
      <c r="J761" s="10"/>
      <c r="K761" s="10"/>
      <c r="L761" s="82"/>
      <c r="M761" s="10"/>
      <c r="N761" s="10"/>
    </row>
    <row r="762" spans="9:14" x14ac:dyDescent="0.25">
      <c r="I762" s="29"/>
      <c r="J762" s="10"/>
      <c r="K762" s="10"/>
      <c r="L762" s="82"/>
      <c r="M762" s="10"/>
      <c r="N762" s="10"/>
    </row>
    <row r="763" spans="9:14" x14ac:dyDescent="0.25">
      <c r="I763" s="29"/>
      <c r="J763" s="10"/>
      <c r="K763" s="10"/>
      <c r="L763" s="82"/>
      <c r="M763" s="10"/>
      <c r="N763" s="10"/>
    </row>
    <row r="764" spans="9:14" x14ac:dyDescent="0.25">
      <c r="I764" s="29"/>
      <c r="J764" s="10"/>
      <c r="K764" s="10"/>
      <c r="L764" s="82"/>
      <c r="M764" s="10"/>
      <c r="N764" s="10"/>
    </row>
    <row r="765" spans="9:14" x14ac:dyDescent="0.25">
      <c r="I765" s="29"/>
      <c r="J765" s="10"/>
      <c r="K765" s="10"/>
      <c r="L765" s="82"/>
      <c r="M765" s="10"/>
      <c r="N765" s="10"/>
    </row>
    <row r="766" spans="9:14" x14ac:dyDescent="0.25">
      <c r="I766" s="29"/>
      <c r="J766" s="10"/>
      <c r="K766" s="10"/>
      <c r="L766" s="82"/>
      <c r="M766" s="10"/>
      <c r="N766" s="10"/>
    </row>
    <row r="767" spans="9:14" x14ac:dyDescent="0.25">
      <c r="I767" s="29"/>
      <c r="J767" s="10"/>
      <c r="K767" s="10"/>
      <c r="L767" s="82"/>
      <c r="M767" s="10"/>
      <c r="N767" s="10"/>
    </row>
    <row r="768" spans="9:14" x14ac:dyDescent="0.25">
      <c r="I768" s="29"/>
      <c r="J768" s="10"/>
      <c r="K768" s="10"/>
      <c r="L768" s="82"/>
      <c r="M768" s="10"/>
      <c r="N768" s="10"/>
    </row>
    <row r="769" spans="9:14" x14ac:dyDescent="0.25">
      <c r="I769" s="29"/>
      <c r="J769" s="10"/>
      <c r="K769" s="10"/>
      <c r="L769" s="82"/>
      <c r="M769" s="10"/>
      <c r="N769" s="10"/>
    </row>
    <row r="770" spans="9:14" x14ac:dyDescent="0.25">
      <c r="I770" s="29"/>
      <c r="J770" s="10"/>
      <c r="K770" s="10"/>
      <c r="L770" s="82"/>
      <c r="M770" s="10"/>
      <c r="N770" s="10"/>
    </row>
    <row r="771" spans="9:14" x14ac:dyDescent="0.25">
      <c r="I771" s="29"/>
      <c r="J771" s="10"/>
      <c r="K771" s="10"/>
      <c r="L771" s="82"/>
      <c r="M771" s="10"/>
      <c r="N771" s="10"/>
    </row>
    <row r="772" spans="9:14" x14ac:dyDescent="0.25">
      <c r="I772" s="29"/>
      <c r="J772" s="10"/>
      <c r="K772" s="10"/>
      <c r="L772" s="82"/>
      <c r="M772" s="10"/>
      <c r="N772" s="10"/>
    </row>
    <row r="773" spans="9:14" x14ac:dyDescent="0.25">
      <c r="I773" s="29"/>
      <c r="J773" s="10"/>
      <c r="K773" s="10"/>
      <c r="L773" s="82"/>
      <c r="M773" s="10"/>
      <c r="N773" s="10"/>
    </row>
    <row r="774" spans="9:14" x14ac:dyDescent="0.25">
      <c r="I774" s="29"/>
      <c r="J774" s="10"/>
      <c r="K774" s="10"/>
      <c r="L774" s="82"/>
      <c r="M774" s="10"/>
      <c r="N774" s="10"/>
    </row>
    <row r="775" spans="9:14" x14ac:dyDescent="0.25">
      <c r="I775" s="29"/>
      <c r="J775" s="10"/>
      <c r="K775" s="10"/>
      <c r="L775" s="82"/>
      <c r="M775" s="10"/>
      <c r="N775" s="10"/>
    </row>
    <row r="776" spans="9:14" x14ac:dyDescent="0.25">
      <c r="I776" s="29"/>
      <c r="J776" s="10"/>
      <c r="K776" s="10"/>
      <c r="L776" s="82"/>
      <c r="M776" s="10"/>
      <c r="N776" s="10"/>
    </row>
    <row r="777" spans="9:14" x14ac:dyDescent="0.25">
      <c r="I777" s="29"/>
      <c r="J777" s="10"/>
      <c r="K777" s="10"/>
      <c r="L777" s="82"/>
      <c r="M777" s="10"/>
      <c r="N777" s="10"/>
    </row>
    <row r="778" spans="9:14" x14ac:dyDescent="0.25">
      <c r="I778" s="29"/>
      <c r="J778" s="10"/>
      <c r="K778" s="10"/>
      <c r="L778" s="82"/>
      <c r="M778" s="10"/>
      <c r="N778" s="10"/>
    </row>
    <row r="779" spans="9:14" x14ac:dyDescent="0.25">
      <c r="I779" s="29"/>
      <c r="J779" s="10"/>
      <c r="K779" s="10"/>
      <c r="L779" s="82"/>
      <c r="M779" s="10"/>
      <c r="N779" s="10"/>
    </row>
    <row r="780" spans="9:14" x14ac:dyDescent="0.25">
      <c r="I780" s="29"/>
      <c r="J780" s="10"/>
      <c r="K780" s="10"/>
      <c r="L780" s="82"/>
      <c r="M780" s="10"/>
      <c r="N780" s="10"/>
    </row>
    <row r="781" spans="9:14" x14ac:dyDescent="0.25">
      <c r="I781" s="29"/>
      <c r="J781" s="10"/>
      <c r="K781" s="10"/>
      <c r="L781" s="82"/>
      <c r="M781" s="10"/>
      <c r="N781" s="10"/>
    </row>
    <row r="782" spans="9:14" x14ac:dyDescent="0.25">
      <c r="I782" s="29"/>
      <c r="J782" s="10"/>
      <c r="K782" s="10"/>
      <c r="L782" s="82"/>
      <c r="M782" s="10"/>
      <c r="N782" s="10"/>
    </row>
    <row r="783" spans="9:14" x14ac:dyDescent="0.25">
      <c r="I783" s="29"/>
      <c r="J783" s="10"/>
      <c r="K783" s="10"/>
      <c r="L783" s="82"/>
      <c r="M783" s="10"/>
      <c r="N783" s="10"/>
    </row>
    <row r="784" spans="9:14" x14ac:dyDescent="0.25">
      <c r="I784" s="29"/>
      <c r="J784" s="10"/>
      <c r="K784" s="10"/>
      <c r="L784" s="82"/>
      <c r="M784" s="10"/>
      <c r="N784" s="10"/>
    </row>
    <row r="785" spans="9:14" x14ac:dyDescent="0.25">
      <c r="I785" s="29"/>
      <c r="J785" s="10"/>
      <c r="K785" s="10"/>
      <c r="L785" s="82"/>
      <c r="M785" s="10"/>
      <c r="N785" s="10"/>
    </row>
    <row r="786" spans="9:14" x14ac:dyDescent="0.25">
      <c r="I786" s="29"/>
      <c r="J786" s="10"/>
      <c r="K786" s="10"/>
      <c r="L786" s="82"/>
      <c r="M786" s="10"/>
      <c r="N786" s="10"/>
    </row>
    <row r="787" spans="9:14" x14ac:dyDescent="0.25">
      <c r="I787" s="29"/>
      <c r="J787" s="10"/>
      <c r="K787" s="10"/>
      <c r="L787" s="82"/>
      <c r="M787" s="10"/>
      <c r="N787" s="10"/>
    </row>
    <row r="788" spans="9:14" x14ac:dyDescent="0.25">
      <c r="I788" s="29"/>
      <c r="J788" s="10"/>
      <c r="K788" s="10"/>
      <c r="L788" s="82"/>
      <c r="M788" s="10"/>
      <c r="N788" s="10"/>
    </row>
    <row r="789" spans="9:14" x14ac:dyDescent="0.25">
      <c r="I789" s="29"/>
      <c r="J789" s="10"/>
      <c r="K789" s="10"/>
      <c r="L789" s="82"/>
      <c r="M789" s="10"/>
      <c r="N789" s="10"/>
    </row>
    <row r="790" spans="9:14" x14ac:dyDescent="0.25">
      <c r="I790" s="29"/>
      <c r="J790" s="10"/>
      <c r="K790" s="10"/>
      <c r="L790" s="82"/>
      <c r="M790" s="10"/>
      <c r="N790" s="10"/>
    </row>
    <row r="791" spans="9:14" x14ac:dyDescent="0.25">
      <c r="I791" s="29"/>
      <c r="J791" s="10"/>
      <c r="K791" s="10"/>
      <c r="L791" s="82"/>
      <c r="M791" s="10"/>
      <c r="N791" s="10"/>
    </row>
    <row r="792" spans="9:14" x14ac:dyDescent="0.25">
      <c r="I792" s="29"/>
      <c r="J792" s="10"/>
      <c r="K792" s="10"/>
      <c r="L792" s="82"/>
      <c r="M792" s="10"/>
      <c r="N792" s="10"/>
    </row>
    <row r="793" spans="9:14" x14ac:dyDescent="0.25">
      <c r="I793" s="29"/>
      <c r="J793" s="10"/>
      <c r="K793" s="10"/>
      <c r="L793" s="82"/>
      <c r="M793" s="10"/>
      <c r="N793" s="10"/>
    </row>
    <row r="794" spans="9:14" x14ac:dyDescent="0.25">
      <c r="I794" s="29"/>
      <c r="J794" s="10"/>
      <c r="K794" s="10"/>
      <c r="L794" s="82"/>
      <c r="M794" s="10"/>
      <c r="N794" s="10"/>
    </row>
    <row r="795" spans="9:14" x14ac:dyDescent="0.25">
      <c r="I795" s="29"/>
      <c r="J795" s="10"/>
      <c r="K795" s="10"/>
      <c r="L795" s="82"/>
      <c r="M795" s="10"/>
      <c r="N795" s="10"/>
    </row>
    <row r="796" spans="9:14" x14ac:dyDescent="0.25">
      <c r="I796" s="29"/>
      <c r="J796" s="10"/>
      <c r="K796" s="10"/>
      <c r="L796" s="82"/>
      <c r="M796" s="10"/>
      <c r="N796" s="10"/>
    </row>
    <row r="797" spans="9:14" x14ac:dyDescent="0.25">
      <c r="I797" s="29"/>
      <c r="J797" s="10"/>
      <c r="K797" s="10"/>
      <c r="L797" s="82"/>
      <c r="M797" s="10"/>
      <c r="N797" s="10"/>
    </row>
    <row r="798" spans="9:14" x14ac:dyDescent="0.25">
      <c r="I798" s="29"/>
      <c r="J798" s="10"/>
      <c r="K798" s="10"/>
      <c r="L798" s="82"/>
      <c r="M798" s="10"/>
      <c r="N798" s="10"/>
    </row>
    <row r="799" spans="9:14" x14ac:dyDescent="0.25">
      <c r="I799" s="29"/>
      <c r="J799" s="10"/>
      <c r="K799" s="10"/>
      <c r="L799" s="82"/>
      <c r="M799" s="10"/>
      <c r="N799" s="10"/>
    </row>
    <row r="800" spans="9:14" x14ac:dyDescent="0.25">
      <c r="I800" s="29"/>
      <c r="J800" s="10"/>
      <c r="K800" s="10"/>
      <c r="L800" s="82"/>
      <c r="M800" s="10"/>
      <c r="N800" s="10"/>
    </row>
    <row r="801" spans="9:14" x14ac:dyDescent="0.25">
      <c r="I801" s="29"/>
      <c r="J801" s="10"/>
      <c r="K801" s="10"/>
      <c r="L801" s="82"/>
      <c r="M801" s="10"/>
      <c r="N801" s="10"/>
    </row>
    <row r="802" spans="9:14" x14ac:dyDescent="0.25">
      <c r="I802" s="29"/>
      <c r="J802" s="10"/>
      <c r="K802" s="10"/>
      <c r="L802" s="82"/>
      <c r="M802" s="10"/>
      <c r="N802" s="10"/>
    </row>
    <row r="803" spans="9:14" x14ac:dyDescent="0.25">
      <c r="I803" s="29"/>
      <c r="J803" s="10"/>
      <c r="K803" s="10"/>
      <c r="L803" s="82"/>
      <c r="M803" s="10"/>
      <c r="N803" s="10"/>
    </row>
    <row r="804" spans="9:14" x14ac:dyDescent="0.25">
      <c r="I804" s="29"/>
      <c r="J804" s="10"/>
      <c r="K804" s="10"/>
      <c r="L804" s="82"/>
      <c r="M804" s="10"/>
      <c r="N804" s="10"/>
    </row>
    <row r="805" spans="9:14" x14ac:dyDescent="0.25">
      <c r="I805" s="29"/>
      <c r="J805" s="10"/>
      <c r="K805" s="10"/>
      <c r="L805" s="82"/>
      <c r="M805" s="10"/>
      <c r="N805" s="10"/>
    </row>
    <row r="806" spans="9:14" x14ac:dyDescent="0.25">
      <c r="I806" s="29"/>
      <c r="J806" s="10"/>
      <c r="K806" s="10"/>
      <c r="L806" s="82"/>
      <c r="M806" s="10"/>
      <c r="N806" s="10"/>
    </row>
    <row r="807" spans="9:14" x14ac:dyDescent="0.25">
      <c r="I807" s="29"/>
      <c r="J807" s="10"/>
      <c r="K807" s="10"/>
      <c r="L807" s="82"/>
      <c r="M807" s="10"/>
      <c r="N807" s="10"/>
    </row>
    <row r="808" spans="9:14" x14ac:dyDescent="0.25">
      <c r="I808" s="29"/>
      <c r="J808" s="10"/>
      <c r="K808" s="10"/>
      <c r="L808" s="82"/>
      <c r="M808" s="10"/>
      <c r="N808" s="10"/>
    </row>
    <row r="809" spans="9:14" x14ac:dyDescent="0.25">
      <c r="I809" s="29"/>
      <c r="J809" s="10"/>
      <c r="K809" s="10"/>
      <c r="L809" s="82"/>
      <c r="M809" s="10"/>
      <c r="N809" s="10"/>
    </row>
    <row r="810" spans="9:14" x14ac:dyDescent="0.25">
      <c r="I810" s="29"/>
      <c r="J810" s="10"/>
      <c r="K810" s="10"/>
      <c r="L810" s="82"/>
      <c r="M810" s="10"/>
      <c r="N810" s="10"/>
    </row>
    <row r="811" spans="9:14" x14ac:dyDescent="0.25">
      <c r="I811" s="29"/>
      <c r="J811" s="10"/>
      <c r="K811" s="10"/>
      <c r="L811" s="82"/>
      <c r="M811" s="10"/>
      <c r="N811" s="10"/>
    </row>
    <row r="812" spans="9:14" x14ac:dyDescent="0.25">
      <c r="I812" s="29"/>
      <c r="J812" s="10"/>
      <c r="K812" s="10"/>
      <c r="L812" s="82"/>
      <c r="M812" s="10"/>
      <c r="N812" s="10"/>
    </row>
    <row r="813" spans="9:14" x14ac:dyDescent="0.25">
      <c r="I813" s="29"/>
      <c r="J813" s="10"/>
      <c r="K813" s="10"/>
      <c r="L813" s="82"/>
      <c r="M813" s="10"/>
      <c r="N813" s="10"/>
    </row>
    <row r="814" spans="9:14" x14ac:dyDescent="0.25">
      <c r="I814" s="29"/>
      <c r="J814" s="10"/>
      <c r="K814" s="10"/>
      <c r="L814" s="82"/>
      <c r="M814" s="10"/>
      <c r="N814" s="10"/>
    </row>
    <row r="815" spans="9:14" x14ac:dyDescent="0.25">
      <c r="I815" s="29"/>
      <c r="J815" s="10"/>
      <c r="K815" s="10"/>
      <c r="L815" s="82"/>
      <c r="M815" s="10"/>
      <c r="N815" s="10"/>
    </row>
    <row r="816" spans="9:14" x14ac:dyDescent="0.25">
      <c r="I816" s="29"/>
      <c r="J816" s="10"/>
      <c r="K816" s="10"/>
      <c r="L816" s="82"/>
      <c r="M816" s="10"/>
      <c r="N816" s="10"/>
    </row>
    <row r="817" spans="9:14" x14ac:dyDescent="0.25">
      <c r="I817" s="29"/>
      <c r="J817" s="10"/>
      <c r="K817" s="10"/>
      <c r="L817" s="82"/>
      <c r="M817" s="10"/>
      <c r="N817" s="10"/>
    </row>
    <row r="818" spans="9:14" x14ac:dyDescent="0.25">
      <c r="I818" s="29"/>
      <c r="J818" s="10"/>
      <c r="K818" s="10"/>
      <c r="L818" s="82"/>
      <c r="M818" s="10"/>
      <c r="N818" s="10"/>
    </row>
    <row r="819" spans="9:14" x14ac:dyDescent="0.25">
      <c r="I819" s="29"/>
      <c r="J819" s="10"/>
      <c r="K819" s="10"/>
      <c r="L819" s="82"/>
      <c r="M819" s="10"/>
      <c r="N819" s="10"/>
    </row>
    <row r="820" spans="9:14" x14ac:dyDescent="0.25">
      <c r="I820" s="29"/>
      <c r="J820" s="10"/>
      <c r="K820" s="10"/>
      <c r="L820" s="82"/>
      <c r="M820" s="10"/>
      <c r="N820" s="10"/>
    </row>
    <row r="821" spans="9:14" x14ac:dyDescent="0.25">
      <c r="I821" s="29"/>
      <c r="J821" s="10"/>
      <c r="K821" s="10"/>
      <c r="L821" s="82"/>
      <c r="M821" s="10"/>
      <c r="N821" s="10"/>
    </row>
    <row r="822" spans="9:14" x14ac:dyDescent="0.25">
      <c r="I822" s="29"/>
      <c r="J822" s="10"/>
      <c r="K822" s="10"/>
      <c r="L822" s="82"/>
      <c r="M822" s="10"/>
      <c r="N822" s="10"/>
    </row>
    <row r="823" spans="9:14" x14ac:dyDescent="0.25">
      <c r="I823" s="29"/>
      <c r="J823" s="10"/>
      <c r="K823" s="10"/>
      <c r="L823" s="82"/>
      <c r="M823" s="10"/>
      <c r="N823" s="10"/>
    </row>
    <row r="824" spans="9:14" x14ac:dyDescent="0.25">
      <c r="I824" s="29"/>
      <c r="J824" s="10"/>
      <c r="K824" s="10"/>
      <c r="L824" s="82"/>
      <c r="M824" s="10"/>
      <c r="N824" s="10"/>
    </row>
    <row r="825" spans="9:14" x14ac:dyDescent="0.25">
      <c r="I825" s="29"/>
      <c r="J825" s="10"/>
      <c r="K825" s="10"/>
      <c r="L825" s="82"/>
      <c r="M825" s="10"/>
      <c r="N825" s="10"/>
    </row>
    <row r="826" spans="9:14" x14ac:dyDescent="0.25">
      <c r="I826" s="29"/>
      <c r="J826" s="10"/>
      <c r="K826" s="10"/>
      <c r="L826" s="82"/>
      <c r="M826" s="10"/>
      <c r="N826" s="10"/>
    </row>
    <row r="827" spans="9:14" x14ac:dyDescent="0.25">
      <c r="I827" s="29"/>
      <c r="J827" s="10"/>
      <c r="K827" s="10"/>
      <c r="L827" s="82"/>
      <c r="M827" s="10"/>
      <c r="N827" s="10"/>
    </row>
    <row r="828" spans="9:14" x14ac:dyDescent="0.25">
      <c r="I828" s="29"/>
      <c r="J828" s="10"/>
      <c r="K828" s="10"/>
      <c r="L828" s="82"/>
      <c r="M828" s="10"/>
      <c r="N828" s="10"/>
    </row>
    <row r="829" spans="9:14" x14ac:dyDescent="0.25">
      <c r="I829" s="29"/>
      <c r="J829" s="10"/>
      <c r="K829" s="10"/>
      <c r="L829" s="82"/>
      <c r="M829" s="10"/>
      <c r="N829" s="10"/>
    </row>
    <row r="830" spans="9:14" x14ac:dyDescent="0.25">
      <c r="I830" s="29"/>
      <c r="J830" s="10"/>
      <c r="K830" s="10"/>
      <c r="L830" s="82"/>
      <c r="M830" s="10"/>
      <c r="N830" s="10"/>
    </row>
    <row r="831" spans="9:14" x14ac:dyDescent="0.25">
      <c r="I831" s="29"/>
      <c r="J831" s="10"/>
      <c r="K831" s="10"/>
      <c r="L831" s="82"/>
      <c r="M831" s="10"/>
      <c r="N831" s="10"/>
    </row>
    <row r="832" spans="9:14" x14ac:dyDescent="0.25">
      <c r="I832" s="29"/>
      <c r="J832" s="10"/>
      <c r="K832" s="10"/>
      <c r="L832" s="82"/>
      <c r="M832" s="10"/>
      <c r="N832" s="10"/>
    </row>
    <row r="833" spans="9:14" x14ac:dyDescent="0.25">
      <c r="I833" s="29"/>
      <c r="J833" s="10"/>
      <c r="K833" s="10"/>
      <c r="L833" s="82"/>
      <c r="M833" s="10"/>
      <c r="N833" s="10"/>
    </row>
    <row r="834" spans="9:14" x14ac:dyDescent="0.25">
      <c r="I834" s="29"/>
      <c r="J834" s="10"/>
      <c r="K834" s="10"/>
      <c r="L834" s="82"/>
      <c r="M834" s="10"/>
      <c r="N834" s="10"/>
    </row>
    <row r="835" spans="9:14" x14ac:dyDescent="0.25">
      <c r="I835" s="29"/>
      <c r="J835" s="10"/>
      <c r="K835" s="10"/>
      <c r="L835" s="82"/>
      <c r="M835" s="10"/>
      <c r="N835" s="10"/>
    </row>
    <row r="836" spans="9:14" x14ac:dyDescent="0.25">
      <c r="I836" s="29"/>
      <c r="J836" s="10"/>
      <c r="K836" s="10"/>
      <c r="L836" s="82"/>
      <c r="M836" s="10"/>
      <c r="N836" s="10"/>
    </row>
    <row r="837" spans="9:14" x14ac:dyDescent="0.25">
      <c r="I837" s="29"/>
      <c r="J837" s="10"/>
      <c r="K837" s="10"/>
      <c r="L837" s="82"/>
      <c r="M837" s="10"/>
      <c r="N837" s="10"/>
    </row>
    <row r="838" spans="9:14" x14ac:dyDescent="0.25">
      <c r="I838" s="29"/>
      <c r="J838" s="10"/>
      <c r="K838" s="10"/>
      <c r="L838" s="82"/>
      <c r="M838" s="10"/>
      <c r="N838" s="10"/>
    </row>
    <row r="839" spans="9:14" x14ac:dyDescent="0.25">
      <c r="I839" s="29"/>
      <c r="J839" s="10"/>
      <c r="K839" s="10"/>
      <c r="L839" s="82"/>
      <c r="M839" s="10"/>
      <c r="N839" s="10"/>
    </row>
    <row r="840" spans="9:14" x14ac:dyDescent="0.25">
      <c r="I840" s="29"/>
      <c r="J840" s="10"/>
      <c r="K840" s="10"/>
      <c r="L840" s="82"/>
      <c r="M840" s="10"/>
      <c r="N840" s="10"/>
    </row>
    <row r="841" spans="9:14" x14ac:dyDescent="0.25">
      <c r="I841" s="29"/>
      <c r="J841" s="10"/>
      <c r="K841" s="10"/>
      <c r="L841" s="82"/>
      <c r="M841" s="10"/>
      <c r="N841" s="10"/>
    </row>
    <row r="842" spans="9:14" x14ac:dyDescent="0.25">
      <c r="I842" s="29"/>
      <c r="J842" s="10"/>
      <c r="K842" s="10"/>
      <c r="L842" s="82"/>
      <c r="M842" s="10"/>
      <c r="N842" s="10"/>
    </row>
    <row r="843" spans="9:14" x14ac:dyDescent="0.25">
      <c r="I843" s="29"/>
      <c r="J843" s="10"/>
      <c r="K843" s="10"/>
      <c r="L843" s="82"/>
      <c r="M843" s="10"/>
      <c r="N843" s="10"/>
    </row>
    <row r="844" spans="9:14" x14ac:dyDescent="0.25">
      <c r="I844" s="29"/>
      <c r="J844" s="10"/>
      <c r="K844" s="10"/>
      <c r="L844" s="82"/>
      <c r="M844" s="10"/>
      <c r="N844" s="10"/>
    </row>
    <row r="845" spans="9:14" x14ac:dyDescent="0.25">
      <c r="I845" s="29"/>
      <c r="J845" s="10"/>
      <c r="K845" s="10"/>
      <c r="L845" s="82"/>
      <c r="M845" s="10"/>
      <c r="N845" s="10"/>
    </row>
    <row r="846" spans="9:14" x14ac:dyDescent="0.25">
      <c r="I846" s="29"/>
      <c r="J846" s="10"/>
      <c r="K846" s="10"/>
      <c r="L846" s="82"/>
      <c r="M846" s="10"/>
      <c r="N846" s="10"/>
    </row>
    <row r="847" spans="9:14" x14ac:dyDescent="0.25">
      <c r="I847" s="29"/>
      <c r="J847" s="10"/>
      <c r="K847" s="10"/>
      <c r="L847" s="82"/>
      <c r="M847" s="10"/>
      <c r="N847" s="10"/>
    </row>
    <row r="848" spans="9:14" x14ac:dyDescent="0.25">
      <c r="I848" s="29"/>
      <c r="J848" s="10"/>
      <c r="K848" s="10"/>
      <c r="L848" s="82"/>
      <c r="M848" s="10"/>
      <c r="N848" s="10"/>
    </row>
    <row r="849" spans="9:14" x14ac:dyDescent="0.25">
      <c r="I849" s="29"/>
      <c r="J849" s="10"/>
      <c r="K849" s="10"/>
      <c r="L849" s="82"/>
      <c r="M849" s="10"/>
      <c r="N849" s="10"/>
    </row>
    <row r="850" spans="9:14" x14ac:dyDescent="0.25">
      <c r="I850" s="29"/>
      <c r="J850" s="10"/>
      <c r="K850" s="10"/>
      <c r="L850" s="82"/>
      <c r="M850" s="10"/>
      <c r="N850" s="10"/>
    </row>
    <row r="851" spans="9:14" x14ac:dyDescent="0.25">
      <c r="I851" s="29"/>
      <c r="J851" s="10"/>
      <c r="K851" s="10"/>
      <c r="L851" s="82"/>
      <c r="M851" s="10"/>
      <c r="N851" s="10"/>
    </row>
    <row r="852" spans="9:14" x14ac:dyDescent="0.25">
      <c r="I852" s="29"/>
      <c r="J852" s="10"/>
      <c r="K852" s="10"/>
      <c r="L852" s="82"/>
      <c r="M852" s="10"/>
      <c r="N852" s="10"/>
    </row>
    <row r="853" spans="9:14" x14ac:dyDescent="0.25">
      <c r="I853" s="29"/>
      <c r="J853" s="10"/>
      <c r="K853" s="10"/>
      <c r="L853" s="82"/>
      <c r="M853" s="10"/>
      <c r="N853" s="10"/>
    </row>
    <row r="854" spans="9:14" x14ac:dyDescent="0.25">
      <c r="I854" s="29"/>
      <c r="J854" s="10"/>
      <c r="K854" s="10"/>
      <c r="L854" s="82"/>
      <c r="M854" s="10"/>
      <c r="N854" s="10"/>
    </row>
    <row r="855" spans="9:14" x14ac:dyDescent="0.25">
      <c r="I855" s="29"/>
      <c r="J855" s="10"/>
      <c r="K855" s="10"/>
      <c r="L855" s="82"/>
      <c r="M855" s="10"/>
      <c r="N855" s="10"/>
    </row>
    <row r="856" spans="9:14" x14ac:dyDescent="0.25">
      <c r="I856" s="29"/>
      <c r="J856" s="10"/>
      <c r="K856" s="10"/>
      <c r="L856" s="82"/>
      <c r="M856" s="10"/>
      <c r="N856" s="10"/>
    </row>
    <row r="857" spans="9:14" x14ac:dyDescent="0.25">
      <c r="I857" s="29"/>
      <c r="J857" s="10"/>
      <c r="K857" s="10"/>
      <c r="L857" s="82"/>
      <c r="M857" s="10"/>
      <c r="N857" s="10"/>
    </row>
    <row r="858" spans="9:14" x14ac:dyDescent="0.25">
      <c r="I858" s="29"/>
      <c r="J858" s="10"/>
      <c r="K858" s="10"/>
      <c r="L858" s="82"/>
      <c r="M858" s="10"/>
      <c r="N858" s="10"/>
    </row>
    <row r="859" spans="9:14" x14ac:dyDescent="0.25">
      <c r="I859" s="29"/>
      <c r="J859" s="10"/>
      <c r="K859" s="10"/>
      <c r="L859" s="82"/>
      <c r="M859" s="10"/>
      <c r="N859" s="10"/>
    </row>
    <row r="860" spans="9:14" x14ac:dyDescent="0.25">
      <c r="I860" s="29"/>
      <c r="J860" s="10"/>
      <c r="K860" s="10"/>
      <c r="L860" s="82"/>
      <c r="M860" s="10"/>
      <c r="N860" s="10"/>
    </row>
    <row r="861" spans="9:14" x14ac:dyDescent="0.25">
      <c r="I861" s="29"/>
      <c r="J861" s="10"/>
      <c r="K861" s="10"/>
      <c r="L861" s="82"/>
      <c r="M861" s="10"/>
      <c r="N861" s="10"/>
    </row>
    <row r="862" spans="9:14" x14ac:dyDescent="0.25">
      <c r="I862" s="29"/>
      <c r="J862" s="10"/>
      <c r="K862" s="10"/>
      <c r="L862" s="82"/>
      <c r="M862" s="10"/>
      <c r="N862" s="10"/>
    </row>
    <row r="863" spans="9:14" x14ac:dyDescent="0.25">
      <c r="I863" s="29"/>
      <c r="J863" s="10"/>
      <c r="K863" s="10"/>
      <c r="L863" s="82"/>
      <c r="M863" s="10"/>
      <c r="N863" s="10"/>
    </row>
    <row r="864" spans="9:14" x14ac:dyDescent="0.25">
      <c r="I864" s="29"/>
      <c r="J864" s="10"/>
      <c r="K864" s="10"/>
      <c r="L864" s="82"/>
      <c r="M864" s="10"/>
      <c r="N864" s="10"/>
    </row>
    <row r="865" spans="9:14" x14ac:dyDescent="0.25">
      <c r="I865" s="29"/>
      <c r="J865" s="10"/>
      <c r="K865" s="10"/>
      <c r="L865" s="82"/>
      <c r="M865" s="10"/>
      <c r="N865" s="10"/>
    </row>
    <row r="866" spans="9:14" x14ac:dyDescent="0.25">
      <c r="I866" s="29"/>
      <c r="J866" s="10"/>
      <c r="K866" s="10"/>
      <c r="L866" s="82"/>
      <c r="M866" s="10"/>
      <c r="N866" s="10"/>
    </row>
    <row r="867" spans="9:14" x14ac:dyDescent="0.25">
      <c r="I867" s="29"/>
      <c r="J867" s="10"/>
      <c r="K867" s="10"/>
      <c r="L867" s="82"/>
      <c r="M867" s="10"/>
      <c r="N867" s="10"/>
    </row>
    <row r="868" spans="9:14" x14ac:dyDescent="0.25">
      <c r="I868" s="29"/>
      <c r="J868" s="10"/>
      <c r="K868" s="10"/>
      <c r="L868" s="82"/>
      <c r="M868" s="10"/>
      <c r="N868" s="10"/>
    </row>
    <row r="869" spans="9:14" x14ac:dyDescent="0.25">
      <c r="I869" s="29"/>
      <c r="J869" s="10"/>
      <c r="K869" s="10"/>
      <c r="L869" s="82"/>
      <c r="M869" s="10"/>
      <c r="N869" s="10"/>
    </row>
    <row r="870" spans="9:14" x14ac:dyDescent="0.25">
      <c r="I870" s="29"/>
      <c r="J870" s="10"/>
      <c r="K870" s="10"/>
      <c r="L870" s="82"/>
      <c r="M870" s="10"/>
      <c r="N870" s="10"/>
    </row>
    <row r="871" spans="9:14" x14ac:dyDescent="0.25">
      <c r="I871" s="29"/>
      <c r="J871" s="10"/>
      <c r="K871" s="10"/>
      <c r="L871" s="82"/>
      <c r="M871" s="10"/>
      <c r="N871" s="10"/>
    </row>
    <row r="872" spans="9:14" x14ac:dyDescent="0.25">
      <c r="I872" s="29"/>
      <c r="J872" s="10"/>
      <c r="K872" s="10"/>
      <c r="L872" s="82"/>
      <c r="M872" s="10"/>
      <c r="N872" s="10"/>
    </row>
    <row r="873" spans="9:14" x14ac:dyDescent="0.25">
      <c r="I873" s="29"/>
      <c r="J873" s="10"/>
      <c r="K873" s="10"/>
      <c r="L873" s="82"/>
      <c r="M873" s="10"/>
      <c r="N873" s="10"/>
    </row>
    <row r="874" spans="9:14" x14ac:dyDescent="0.25">
      <c r="I874" s="29"/>
      <c r="J874" s="10"/>
      <c r="K874" s="10"/>
      <c r="L874" s="82"/>
      <c r="M874" s="10"/>
      <c r="N874" s="10"/>
    </row>
    <row r="875" spans="9:14" x14ac:dyDescent="0.25">
      <c r="I875" s="29"/>
      <c r="J875" s="10"/>
      <c r="K875" s="10"/>
      <c r="L875" s="82"/>
      <c r="M875" s="10"/>
      <c r="N875" s="10"/>
    </row>
    <row r="876" spans="9:14" x14ac:dyDescent="0.25">
      <c r="I876" s="29"/>
      <c r="J876" s="10"/>
      <c r="K876" s="10"/>
      <c r="L876" s="82"/>
      <c r="M876" s="10"/>
      <c r="N876" s="10"/>
    </row>
    <row r="877" spans="9:14" x14ac:dyDescent="0.25">
      <c r="I877" s="29"/>
      <c r="J877" s="10"/>
      <c r="K877" s="10"/>
      <c r="L877" s="82"/>
      <c r="M877" s="10"/>
      <c r="N877" s="10"/>
    </row>
    <row r="878" spans="9:14" x14ac:dyDescent="0.25">
      <c r="I878" s="29"/>
      <c r="J878" s="10"/>
      <c r="K878" s="10"/>
      <c r="L878" s="82"/>
      <c r="M878" s="10"/>
      <c r="N878" s="10"/>
    </row>
    <row r="879" spans="9:14" x14ac:dyDescent="0.25">
      <c r="I879" s="29"/>
      <c r="J879" s="10"/>
      <c r="K879" s="10"/>
      <c r="L879" s="82"/>
      <c r="M879" s="10"/>
      <c r="N879" s="10"/>
    </row>
    <row r="880" spans="9:14" x14ac:dyDescent="0.25">
      <c r="I880" s="29"/>
      <c r="J880" s="10"/>
      <c r="K880" s="10"/>
      <c r="L880" s="82"/>
      <c r="M880" s="10"/>
      <c r="N880" s="10"/>
    </row>
    <row r="881" spans="9:14" x14ac:dyDescent="0.25">
      <c r="I881" s="29"/>
      <c r="J881" s="10"/>
      <c r="K881" s="10"/>
      <c r="L881" s="82"/>
      <c r="M881" s="10"/>
      <c r="N881" s="10"/>
    </row>
    <row r="882" spans="9:14" x14ac:dyDescent="0.25">
      <c r="I882" s="29"/>
      <c r="J882" s="10"/>
      <c r="K882" s="10"/>
      <c r="L882" s="82"/>
      <c r="M882" s="10"/>
      <c r="N882" s="10"/>
    </row>
    <row r="883" spans="9:14" x14ac:dyDescent="0.25">
      <c r="I883" s="29"/>
      <c r="J883" s="10"/>
      <c r="K883" s="10"/>
      <c r="L883" s="82"/>
      <c r="M883" s="10"/>
      <c r="N883" s="10"/>
    </row>
    <row r="884" spans="9:14" x14ac:dyDescent="0.25">
      <c r="I884" s="29"/>
      <c r="J884" s="10"/>
      <c r="K884" s="10"/>
      <c r="L884" s="82"/>
      <c r="M884" s="10"/>
      <c r="N884" s="10"/>
    </row>
    <row r="885" spans="9:14" x14ac:dyDescent="0.25">
      <c r="I885" s="29"/>
      <c r="J885" s="10"/>
      <c r="K885" s="10"/>
      <c r="L885" s="82"/>
      <c r="M885" s="10"/>
      <c r="N885" s="10"/>
    </row>
    <row r="886" spans="9:14" x14ac:dyDescent="0.25">
      <c r="I886" s="29"/>
      <c r="J886" s="10"/>
      <c r="K886" s="10"/>
      <c r="L886" s="82"/>
      <c r="M886" s="10"/>
      <c r="N886" s="10"/>
    </row>
    <row r="887" spans="9:14" x14ac:dyDescent="0.25">
      <c r="I887" s="29"/>
      <c r="J887" s="10"/>
      <c r="K887" s="10"/>
      <c r="L887" s="82"/>
      <c r="M887" s="10"/>
      <c r="N887" s="10"/>
    </row>
    <row r="888" spans="9:14" x14ac:dyDescent="0.25">
      <c r="I888" s="29"/>
      <c r="J888" s="10"/>
      <c r="K888" s="10"/>
      <c r="L888" s="82"/>
      <c r="M888" s="10"/>
      <c r="N888" s="10"/>
    </row>
    <row r="889" spans="9:14" x14ac:dyDescent="0.25">
      <c r="I889" s="29"/>
      <c r="J889" s="10"/>
      <c r="K889" s="10"/>
      <c r="L889" s="82"/>
      <c r="M889" s="10"/>
      <c r="N889" s="10"/>
    </row>
    <row r="890" spans="9:14" x14ac:dyDescent="0.25">
      <c r="I890" s="29"/>
      <c r="J890" s="10"/>
      <c r="K890" s="10"/>
      <c r="L890" s="82"/>
      <c r="M890" s="10"/>
      <c r="N890" s="10"/>
    </row>
    <row r="891" spans="9:14" x14ac:dyDescent="0.25">
      <c r="I891" s="29"/>
      <c r="J891" s="10"/>
      <c r="K891" s="10"/>
      <c r="L891" s="82"/>
      <c r="M891" s="10"/>
      <c r="N891" s="10"/>
    </row>
    <row r="892" spans="9:14" x14ac:dyDescent="0.25">
      <c r="I892" s="29"/>
      <c r="J892" s="10"/>
      <c r="K892" s="10"/>
      <c r="L892" s="82"/>
      <c r="M892" s="10"/>
      <c r="N892" s="10"/>
    </row>
    <row r="893" spans="9:14" x14ac:dyDescent="0.25">
      <c r="I893" s="29"/>
      <c r="J893" s="10"/>
      <c r="K893" s="10"/>
      <c r="L893" s="82"/>
      <c r="M893" s="10"/>
      <c r="N893" s="10"/>
    </row>
    <row r="894" spans="9:14" x14ac:dyDescent="0.25">
      <c r="I894" s="29"/>
      <c r="J894" s="10"/>
      <c r="K894" s="10"/>
      <c r="L894" s="82"/>
      <c r="M894" s="10"/>
      <c r="N894" s="10"/>
    </row>
    <row r="895" spans="9:14" x14ac:dyDescent="0.25">
      <c r="I895" s="29"/>
      <c r="J895" s="10"/>
      <c r="K895" s="10"/>
      <c r="L895" s="82"/>
      <c r="M895" s="10"/>
      <c r="N895" s="10"/>
    </row>
    <row r="896" spans="9:14" x14ac:dyDescent="0.25">
      <c r="I896" s="29"/>
      <c r="J896" s="10"/>
      <c r="K896" s="10"/>
      <c r="L896" s="82"/>
      <c r="M896" s="10"/>
      <c r="N896" s="10"/>
    </row>
    <row r="897" spans="9:14" x14ac:dyDescent="0.25">
      <c r="I897" s="29"/>
      <c r="J897" s="10"/>
      <c r="K897" s="10"/>
      <c r="L897" s="82"/>
      <c r="M897" s="10"/>
      <c r="N897" s="10"/>
    </row>
    <row r="898" spans="9:14" x14ac:dyDescent="0.25">
      <c r="I898" s="29"/>
      <c r="J898" s="10"/>
      <c r="K898" s="10"/>
      <c r="L898" s="82"/>
      <c r="M898" s="10"/>
      <c r="N898" s="10"/>
    </row>
    <row r="899" spans="9:14" x14ac:dyDescent="0.25">
      <c r="I899" s="29"/>
      <c r="J899" s="10"/>
      <c r="K899" s="10"/>
      <c r="L899" s="82"/>
      <c r="M899" s="10"/>
      <c r="N899" s="10"/>
    </row>
    <row r="900" spans="9:14" x14ac:dyDescent="0.25">
      <c r="I900" s="29"/>
      <c r="J900" s="10"/>
      <c r="K900" s="10"/>
      <c r="L900" s="82"/>
      <c r="M900" s="10"/>
      <c r="N900" s="10"/>
    </row>
    <row r="901" spans="9:14" x14ac:dyDescent="0.25">
      <c r="I901" s="29"/>
      <c r="J901" s="10"/>
      <c r="K901" s="10"/>
      <c r="L901" s="82"/>
      <c r="M901" s="10"/>
      <c r="N901" s="10"/>
    </row>
    <row r="902" spans="9:14" x14ac:dyDescent="0.25">
      <c r="I902" s="29"/>
      <c r="J902" s="10"/>
      <c r="K902" s="10"/>
      <c r="L902" s="82"/>
      <c r="M902" s="10"/>
      <c r="N902" s="10"/>
    </row>
    <row r="903" spans="9:14" x14ac:dyDescent="0.25">
      <c r="I903" s="29"/>
      <c r="J903" s="10"/>
      <c r="K903" s="10"/>
      <c r="L903" s="82"/>
      <c r="M903" s="10"/>
      <c r="N903" s="10"/>
    </row>
    <row r="904" spans="9:14" x14ac:dyDescent="0.25">
      <c r="I904" s="29"/>
      <c r="J904" s="10"/>
      <c r="K904" s="10"/>
      <c r="L904" s="82"/>
      <c r="M904" s="10"/>
      <c r="N904" s="10"/>
    </row>
    <row r="905" spans="9:14" x14ac:dyDescent="0.25">
      <c r="I905" s="29"/>
      <c r="J905" s="10"/>
      <c r="K905" s="10"/>
      <c r="L905" s="82"/>
      <c r="M905" s="10"/>
      <c r="N905" s="10"/>
    </row>
    <row r="906" spans="9:14" x14ac:dyDescent="0.25">
      <c r="I906" s="29"/>
      <c r="J906" s="10"/>
      <c r="K906" s="10"/>
      <c r="L906" s="82"/>
      <c r="M906" s="10"/>
      <c r="N906" s="10"/>
    </row>
    <row r="907" spans="9:14" x14ac:dyDescent="0.25">
      <c r="I907" s="29"/>
      <c r="J907" s="10"/>
      <c r="K907" s="10"/>
      <c r="L907" s="82"/>
      <c r="M907" s="10"/>
      <c r="N907" s="10"/>
    </row>
    <row r="908" spans="9:14" x14ac:dyDescent="0.25">
      <c r="I908" s="29"/>
      <c r="J908" s="10"/>
      <c r="K908" s="10"/>
      <c r="L908" s="82"/>
      <c r="M908" s="10"/>
      <c r="N908" s="10"/>
    </row>
    <row r="909" spans="9:14" x14ac:dyDescent="0.25">
      <c r="I909" s="29"/>
      <c r="J909" s="10"/>
      <c r="K909" s="10"/>
      <c r="L909" s="82"/>
      <c r="M909" s="10"/>
      <c r="N909" s="10"/>
    </row>
    <row r="910" spans="9:14" x14ac:dyDescent="0.25">
      <c r="I910" s="29"/>
      <c r="J910" s="10"/>
      <c r="K910" s="10"/>
      <c r="L910" s="82"/>
      <c r="M910" s="10"/>
      <c r="N910" s="10"/>
    </row>
    <row r="911" spans="9:14" x14ac:dyDescent="0.25">
      <c r="I911" s="29"/>
      <c r="J911" s="10"/>
      <c r="K911" s="10"/>
      <c r="L911" s="82"/>
      <c r="M911" s="10"/>
      <c r="N911" s="10"/>
    </row>
    <row r="912" spans="9:14" x14ac:dyDescent="0.25">
      <c r="I912" s="29"/>
      <c r="J912" s="10"/>
      <c r="K912" s="10"/>
      <c r="L912" s="82"/>
      <c r="M912" s="10"/>
      <c r="N912" s="10"/>
    </row>
    <row r="913" spans="9:14" x14ac:dyDescent="0.25">
      <c r="I913" s="29"/>
      <c r="J913" s="10"/>
      <c r="K913" s="10"/>
      <c r="L913" s="82"/>
      <c r="M913" s="10"/>
      <c r="N913" s="10"/>
    </row>
    <row r="914" spans="9:14" x14ac:dyDescent="0.25">
      <c r="I914" s="29"/>
      <c r="J914" s="10"/>
      <c r="K914" s="10"/>
      <c r="L914" s="82"/>
      <c r="M914" s="10"/>
      <c r="N914" s="10"/>
    </row>
    <row r="915" spans="9:14" x14ac:dyDescent="0.25">
      <c r="I915" s="29"/>
      <c r="J915" s="10"/>
      <c r="K915" s="10"/>
      <c r="L915" s="82"/>
      <c r="M915" s="10"/>
      <c r="N915" s="10"/>
    </row>
    <row r="916" spans="9:14" x14ac:dyDescent="0.25">
      <c r="I916" s="29"/>
      <c r="J916" s="10"/>
      <c r="K916" s="10"/>
      <c r="L916" s="82"/>
      <c r="M916" s="10"/>
      <c r="N916" s="10"/>
    </row>
    <row r="917" spans="9:14" x14ac:dyDescent="0.25">
      <c r="I917" s="29"/>
      <c r="J917" s="10"/>
      <c r="K917" s="10"/>
      <c r="L917" s="82"/>
      <c r="M917" s="10"/>
      <c r="N917" s="10"/>
    </row>
    <row r="918" spans="9:14" x14ac:dyDescent="0.25">
      <c r="I918" s="29"/>
      <c r="J918" s="10"/>
      <c r="K918" s="10"/>
      <c r="L918" s="82"/>
      <c r="M918" s="10"/>
      <c r="N918" s="10"/>
    </row>
    <row r="919" spans="9:14" x14ac:dyDescent="0.25">
      <c r="I919" s="29"/>
      <c r="J919" s="10"/>
      <c r="K919" s="10"/>
      <c r="L919" s="82"/>
      <c r="M919" s="10"/>
      <c r="N919" s="10"/>
    </row>
    <row r="920" spans="9:14" x14ac:dyDescent="0.25">
      <c r="I920" s="29"/>
      <c r="J920" s="10"/>
      <c r="K920" s="10"/>
      <c r="L920" s="82"/>
      <c r="M920" s="10"/>
      <c r="N920" s="10"/>
    </row>
    <row r="921" spans="9:14" x14ac:dyDescent="0.25">
      <c r="I921" s="29"/>
      <c r="J921" s="10"/>
      <c r="K921" s="10"/>
      <c r="L921" s="82"/>
      <c r="M921" s="10"/>
      <c r="N921" s="10"/>
    </row>
    <row r="922" spans="9:14" x14ac:dyDescent="0.25">
      <c r="I922" s="29"/>
      <c r="J922" s="10"/>
      <c r="K922" s="10"/>
      <c r="L922" s="82"/>
      <c r="M922" s="10"/>
      <c r="N922" s="10"/>
    </row>
    <row r="923" spans="9:14" x14ac:dyDescent="0.25">
      <c r="I923" s="29"/>
      <c r="J923" s="10"/>
      <c r="K923" s="10"/>
      <c r="L923" s="82"/>
      <c r="M923" s="10"/>
      <c r="N923" s="10"/>
    </row>
    <row r="924" spans="9:14" x14ac:dyDescent="0.25">
      <c r="I924" s="29"/>
      <c r="J924" s="10"/>
      <c r="K924" s="10"/>
      <c r="L924" s="82"/>
      <c r="M924" s="10"/>
      <c r="N924" s="10"/>
    </row>
    <row r="925" spans="9:14" x14ac:dyDescent="0.25">
      <c r="I925" s="29"/>
      <c r="J925" s="10"/>
      <c r="K925" s="10"/>
      <c r="L925" s="82"/>
      <c r="M925" s="10"/>
      <c r="N925" s="10"/>
    </row>
    <row r="926" spans="9:14" x14ac:dyDescent="0.25">
      <c r="I926" s="29"/>
      <c r="J926" s="10"/>
      <c r="K926" s="10"/>
      <c r="L926" s="82"/>
      <c r="M926" s="10"/>
      <c r="N926" s="10"/>
    </row>
    <row r="927" spans="9:14" x14ac:dyDescent="0.25">
      <c r="I927" s="29"/>
      <c r="J927" s="10"/>
      <c r="K927" s="10"/>
      <c r="L927" s="82"/>
      <c r="M927" s="10"/>
      <c r="N927" s="10"/>
    </row>
    <row r="928" spans="9:14" x14ac:dyDescent="0.25">
      <c r="I928" s="29"/>
      <c r="J928" s="10"/>
      <c r="K928" s="10"/>
      <c r="L928" s="82"/>
      <c r="M928" s="10"/>
      <c r="N928" s="10"/>
    </row>
    <row r="929" spans="9:14" x14ac:dyDescent="0.25">
      <c r="I929" s="29"/>
      <c r="J929" s="10"/>
      <c r="K929" s="10"/>
      <c r="L929" s="82"/>
      <c r="M929" s="10"/>
      <c r="N929" s="10"/>
    </row>
    <row r="930" spans="9:14" x14ac:dyDescent="0.25">
      <c r="I930" s="29"/>
      <c r="J930" s="10"/>
      <c r="K930" s="10"/>
      <c r="L930" s="82"/>
      <c r="M930" s="10"/>
      <c r="N930" s="10"/>
    </row>
    <row r="931" spans="9:14" x14ac:dyDescent="0.25">
      <c r="I931" s="29"/>
      <c r="J931" s="10"/>
      <c r="K931" s="10"/>
      <c r="L931" s="82"/>
      <c r="M931" s="10"/>
      <c r="N931" s="10"/>
    </row>
    <row r="932" spans="9:14" x14ac:dyDescent="0.25">
      <c r="I932" s="29"/>
      <c r="J932" s="10"/>
      <c r="K932" s="10"/>
      <c r="L932" s="82"/>
      <c r="M932" s="10"/>
      <c r="N932" s="10"/>
    </row>
    <row r="933" spans="9:14" x14ac:dyDescent="0.25">
      <c r="I933" s="29"/>
      <c r="J933" s="10"/>
      <c r="K933" s="10"/>
      <c r="L933" s="82"/>
      <c r="M933" s="10"/>
      <c r="N933" s="10"/>
    </row>
    <row r="934" spans="9:14" x14ac:dyDescent="0.25">
      <c r="I934" s="29"/>
      <c r="J934" s="10"/>
      <c r="K934" s="10"/>
      <c r="L934" s="82"/>
      <c r="M934" s="10"/>
      <c r="N934" s="10"/>
    </row>
    <row r="935" spans="9:14" x14ac:dyDescent="0.25">
      <c r="I935" s="29"/>
      <c r="J935" s="10"/>
      <c r="K935" s="10"/>
      <c r="L935" s="82"/>
      <c r="M935" s="10"/>
      <c r="N935" s="10"/>
    </row>
    <row r="936" spans="9:14" x14ac:dyDescent="0.25">
      <c r="I936" s="29"/>
      <c r="J936" s="10"/>
      <c r="K936" s="10"/>
      <c r="L936" s="82"/>
      <c r="M936" s="10"/>
      <c r="N936" s="10"/>
    </row>
    <row r="937" spans="9:14" x14ac:dyDescent="0.25">
      <c r="I937" s="29"/>
      <c r="J937" s="10"/>
      <c r="K937" s="10"/>
      <c r="L937" s="82"/>
      <c r="M937" s="10"/>
      <c r="N937" s="10"/>
    </row>
    <row r="938" spans="9:14" x14ac:dyDescent="0.25">
      <c r="I938" s="29"/>
      <c r="J938" s="10"/>
      <c r="K938" s="10"/>
      <c r="L938" s="82"/>
      <c r="M938" s="10"/>
      <c r="N938" s="10"/>
    </row>
    <row r="939" spans="9:14" x14ac:dyDescent="0.25">
      <c r="I939" s="29"/>
      <c r="J939" s="10"/>
      <c r="K939" s="10"/>
      <c r="L939" s="82"/>
      <c r="M939" s="10"/>
      <c r="N939" s="10"/>
    </row>
    <row r="940" spans="9:14" x14ac:dyDescent="0.25">
      <c r="I940" s="29"/>
      <c r="J940" s="10"/>
      <c r="K940" s="10"/>
      <c r="L940" s="82"/>
      <c r="M940" s="10"/>
      <c r="N940" s="10"/>
    </row>
    <row r="941" spans="9:14" x14ac:dyDescent="0.25">
      <c r="I941" s="29"/>
      <c r="J941" s="10"/>
      <c r="K941" s="10"/>
      <c r="L941" s="82"/>
      <c r="M941" s="10"/>
      <c r="N941" s="10"/>
    </row>
    <row r="942" spans="9:14" x14ac:dyDescent="0.25">
      <c r="I942" s="29"/>
      <c r="J942" s="10"/>
      <c r="K942" s="10"/>
      <c r="L942" s="82"/>
      <c r="M942" s="10"/>
      <c r="N942" s="10"/>
    </row>
    <row r="943" spans="9:14" x14ac:dyDescent="0.25">
      <c r="I943" s="29"/>
      <c r="J943" s="10"/>
      <c r="K943" s="10"/>
      <c r="L943" s="82"/>
      <c r="M943" s="10"/>
      <c r="N943" s="10"/>
    </row>
    <row r="944" spans="9:14" x14ac:dyDescent="0.25">
      <c r="I944" s="29"/>
      <c r="J944" s="10"/>
      <c r="K944" s="10"/>
      <c r="L944" s="82"/>
      <c r="M944" s="10"/>
      <c r="N944" s="10"/>
    </row>
    <row r="945" spans="9:14" x14ac:dyDescent="0.25">
      <c r="I945" s="29"/>
      <c r="J945" s="10"/>
      <c r="K945" s="10"/>
      <c r="L945" s="82"/>
      <c r="M945" s="10"/>
      <c r="N945" s="10"/>
    </row>
    <row r="946" spans="9:14" x14ac:dyDescent="0.25">
      <c r="I946" s="29"/>
      <c r="J946" s="10"/>
      <c r="K946" s="10"/>
      <c r="L946" s="82"/>
      <c r="M946" s="10"/>
      <c r="N946" s="10"/>
    </row>
    <row r="947" spans="9:14" x14ac:dyDescent="0.25">
      <c r="I947" s="29"/>
      <c r="J947" s="10"/>
      <c r="K947" s="10"/>
      <c r="L947" s="82"/>
      <c r="M947" s="10"/>
      <c r="N947" s="10"/>
    </row>
    <row r="948" spans="9:14" x14ac:dyDescent="0.25">
      <c r="I948" s="29"/>
      <c r="J948" s="10"/>
      <c r="K948" s="10"/>
      <c r="L948" s="82"/>
      <c r="M948" s="10"/>
      <c r="N948" s="10"/>
    </row>
    <row r="949" spans="9:14" x14ac:dyDescent="0.25">
      <c r="I949" s="29"/>
      <c r="J949" s="10"/>
      <c r="K949" s="10"/>
      <c r="L949" s="82"/>
      <c r="M949" s="10"/>
      <c r="N949" s="10"/>
    </row>
    <row r="950" spans="9:14" x14ac:dyDescent="0.25">
      <c r="I950" s="29"/>
      <c r="J950" s="10"/>
      <c r="K950" s="10"/>
      <c r="L950" s="82"/>
      <c r="M950" s="10"/>
      <c r="N950" s="10"/>
    </row>
    <row r="951" spans="9:14" x14ac:dyDescent="0.25">
      <c r="I951" s="29"/>
      <c r="J951" s="10"/>
      <c r="K951" s="10"/>
      <c r="L951" s="82"/>
      <c r="M951" s="10"/>
      <c r="N951" s="10"/>
    </row>
    <row r="952" spans="9:14" x14ac:dyDescent="0.25">
      <c r="I952" s="29"/>
      <c r="J952" s="10"/>
      <c r="K952" s="10"/>
      <c r="L952" s="82"/>
      <c r="M952" s="10"/>
      <c r="N952" s="10"/>
    </row>
    <row r="953" spans="9:14" x14ac:dyDescent="0.25">
      <c r="I953" s="29"/>
      <c r="J953" s="10"/>
      <c r="K953" s="10"/>
      <c r="L953" s="82"/>
      <c r="M953" s="10"/>
      <c r="N953" s="10"/>
    </row>
    <row r="954" spans="9:14" x14ac:dyDescent="0.25">
      <c r="I954" s="29"/>
      <c r="J954" s="10"/>
      <c r="K954" s="10"/>
      <c r="L954" s="82"/>
      <c r="M954" s="10"/>
      <c r="N954" s="10"/>
    </row>
    <row r="955" spans="9:14" x14ac:dyDescent="0.25">
      <c r="I955" s="29"/>
      <c r="J955" s="10"/>
      <c r="K955" s="10"/>
      <c r="L955" s="82"/>
      <c r="M955" s="10"/>
      <c r="N955" s="10"/>
    </row>
    <row r="956" spans="9:14" x14ac:dyDescent="0.25">
      <c r="I956" s="29"/>
      <c r="J956" s="10"/>
      <c r="K956" s="10"/>
      <c r="L956" s="82"/>
      <c r="M956" s="10"/>
      <c r="N956" s="10"/>
    </row>
    <row r="957" spans="9:14" x14ac:dyDescent="0.25">
      <c r="I957" s="29"/>
      <c r="J957" s="10"/>
      <c r="K957" s="10"/>
      <c r="L957" s="82"/>
      <c r="M957" s="10"/>
      <c r="N957" s="10"/>
    </row>
    <row r="958" spans="9:14" x14ac:dyDescent="0.25">
      <c r="I958" s="29"/>
      <c r="J958" s="10"/>
      <c r="K958" s="10"/>
      <c r="L958" s="82"/>
      <c r="M958" s="10"/>
      <c r="N958" s="10"/>
    </row>
    <row r="959" spans="9:14" x14ac:dyDescent="0.25">
      <c r="I959" s="29"/>
      <c r="J959" s="10"/>
      <c r="K959" s="10"/>
      <c r="L959" s="82"/>
      <c r="M959" s="10"/>
      <c r="N959" s="10"/>
    </row>
    <row r="960" spans="9:14" x14ac:dyDescent="0.25">
      <c r="I960" s="29"/>
      <c r="J960" s="10"/>
      <c r="K960" s="10"/>
      <c r="L960" s="82"/>
      <c r="M960" s="10"/>
      <c r="N960" s="10"/>
    </row>
    <row r="961" spans="9:14" x14ac:dyDescent="0.25">
      <c r="I961" s="29"/>
      <c r="J961" s="10"/>
      <c r="K961" s="10"/>
      <c r="L961" s="82"/>
      <c r="M961" s="10"/>
      <c r="N961" s="10"/>
    </row>
    <row r="962" spans="9:14" x14ac:dyDescent="0.25">
      <c r="I962" s="29"/>
      <c r="J962" s="10"/>
      <c r="K962" s="10"/>
      <c r="L962" s="82"/>
      <c r="M962" s="10"/>
      <c r="N962" s="10"/>
    </row>
    <row r="963" spans="9:14" x14ac:dyDescent="0.25">
      <c r="I963" s="29"/>
      <c r="J963" s="10"/>
      <c r="K963" s="10"/>
      <c r="L963" s="82"/>
      <c r="M963" s="10"/>
      <c r="N963" s="10"/>
    </row>
    <row r="964" spans="9:14" x14ac:dyDescent="0.25">
      <c r="I964" s="29"/>
      <c r="J964" s="10"/>
      <c r="K964" s="10"/>
      <c r="L964" s="82"/>
      <c r="M964" s="10"/>
      <c r="N964" s="10"/>
    </row>
    <row r="965" spans="9:14" x14ac:dyDescent="0.25">
      <c r="I965" s="29"/>
      <c r="J965" s="10"/>
      <c r="K965" s="10"/>
      <c r="L965" s="82"/>
      <c r="M965" s="10"/>
      <c r="N965" s="10"/>
    </row>
    <row r="966" spans="9:14" x14ac:dyDescent="0.25">
      <c r="I966" s="29"/>
      <c r="J966" s="10"/>
      <c r="K966" s="10"/>
      <c r="L966" s="82"/>
      <c r="M966" s="10"/>
      <c r="N966" s="10"/>
    </row>
    <row r="967" spans="9:14" x14ac:dyDescent="0.25">
      <c r="I967" s="29"/>
      <c r="J967" s="10"/>
      <c r="K967" s="10"/>
      <c r="L967" s="82"/>
      <c r="M967" s="10"/>
      <c r="N967" s="10"/>
    </row>
    <row r="968" spans="9:14" x14ac:dyDescent="0.25">
      <c r="I968" s="29"/>
      <c r="J968" s="10"/>
      <c r="K968" s="10"/>
      <c r="L968" s="82"/>
      <c r="M968" s="10"/>
      <c r="N968" s="10"/>
    </row>
    <row r="969" spans="9:14" x14ac:dyDescent="0.25">
      <c r="I969" s="29"/>
      <c r="J969" s="10"/>
      <c r="K969" s="10"/>
      <c r="L969" s="82"/>
      <c r="M969" s="10"/>
      <c r="N969" s="10"/>
    </row>
    <row r="970" spans="9:14" x14ac:dyDescent="0.25">
      <c r="I970" s="29"/>
      <c r="J970" s="10"/>
      <c r="K970" s="10"/>
      <c r="L970" s="82"/>
      <c r="M970" s="10"/>
      <c r="N970" s="10"/>
    </row>
    <row r="971" spans="9:14" x14ac:dyDescent="0.25">
      <c r="I971" s="29"/>
      <c r="J971" s="10"/>
      <c r="K971" s="10"/>
      <c r="L971" s="82"/>
      <c r="M971" s="10"/>
      <c r="N971" s="10"/>
    </row>
    <row r="972" spans="9:14" x14ac:dyDescent="0.25">
      <c r="I972" s="29"/>
      <c r="J972" s="10"/>
      <c r="K972" s="10"/>
      <c r="L972" s="82"/>
      <c r="M972" s="10"/>
      <c r="N972" s="10"/>
    </row>
    <row r="973" spans="9:14" x14ac:dyDescent="0.25">
      <c r="I973" s="29"/>
      <c r="J973" s="10"/>
      <c r="K973" s="10"/>
      <c r="L973" s="82"/>
      <c r="M973" s="10"/>
      <c r="N973" s="10"/>
    </row>
    <row r="974" spans="9:14" x14ac:dyDescent="0.25">
      <c r="I974" s="29"/>
      <c r="J974" s="10"/>
      <c r="K974" s="10"/>
      <c r="L974" s="82"/>
      <c r="M974" s="10"/>
      <c r="N974" s="10"/>
    </row>
    <row r="975" spans="9:14" x14ac:dyDescent="0.25">
      <c r="I975" s="29"/>
      <c r="J975" s="10"/>
      <c r="K975" s="10"/>
      <c r="L975" s="82"/>
      <c r="M975" s="10"/>
      <c r="N975" s="10"/>
    </row>
    <row r="976" spans="9:14" x14ac:dyDescent="0.25">
      <c r="I976" s="29"/>
      <c r="J976" s="10"/>
      <c r="K976" s="10"/>
      <c r="L976" s="82"/>
      <c r="M976" s="10"/>
      <c r="N976" s="10"/>
    </row>
    <row r="977" spans="9:14" x14ac:dyDescent="0.25">
      <c r="I977" s="29"/>
      <c r="J977" s="10"/>
      <c r="K977" s="10"/>
      <c r="L977" s="82"/>
      <c r="M977" s="10"/>
      <c r="N977" s="10"/>
    </row>
    <row r="978" spans="9:14" x14ac:dyDescent="0.25">
      <c r="I978" s="29"/>
      <c r="J978" s="10"/>
      <c r="K978" s="10"/>
      <c r="L978" s="82"/>
      <c r="M978" s="10"/>
      <c r="N978" s="10"/>
    </row>
    <row r="979" spans="9:14" x14ac:dyDescent="0.25">
      <c r="I979" s="29"/>
      <c r="J979" s="10"/>
      <c r="K979" s="10"/>
      <c r="L979" s="82"/>
      <c r="M979" s="10"/>
      <c r="N979" s="10"/>
    </row>
    <row r="980" spans="9:14" x14ac:dyDescent="0.25">
      <c r="I980" s="29"/>
      <c r="J980" s="10"/>
      <c r="K980" s="10"/>
      <c r="L980" s="82"/>
      <c r="M980" s="10"/>
      <c r="N980" s="10"/>
    </row>
    <row r="981" spans="9:14" x14ac:dyDescent="0.25">
      <c r="I981" s="29"/>
      <c r="J981" s="10"/>
      <c r="K981" s="10"/>
      <c r="L981" s="82"/>
      <c r="M981" s="10"/>
      <c r="N981" s="10"/>
    </row>
    <row r="982" spans="9:14" x14ac:dyDescent="0.25">
      <c r="I982" s="29"/>
      <c r="J982" s="10"/>
      <c r="K982" s="10"/>
      <c r="L982" s="82"/>
      <c r="M982" s="10"/>
      <c r="N982" s="10"/>
    </row>
    <row r="983" spans="9:14" x14ac:dyDescent="0.25">
      <c r="I983" s="29"/>
      <c r="J983" s="10"/>
      <c r="K983" s="10"/>
      <c r="L983" s="82"/>
      <c r="M983" s="10"/>
      <c r="N983" s="10"/>
    </row>
    <row r="984" spans="9:14" x14ac:dyDescent="0.25">
      <c r="I984" s="29"/>
      <c r="J984" s="10"/>
      <c r="K984" s="10"/>
      <c r="L984" s="82"/>
      <c r="M984" s="10"/>
      <c r="N984" s="10"/>
    </row>
    <row r="985" spans="9:14" x14ac:dyDescent="0.25">
      <c r="I985" s="29"/>
      <c r="J985" s="10"/>
      <c r="K985" s="10"/>
      <c r="L985" s="82"/>
      <c r="M985" s="10"/>
      <c r="N985" s="10"/>
    </row>
    <row r="986" spans="9:14" x14ac:dyDescent="0.25">
      <c r="I986" s="29"/>
      <c r="J986" s="10"/>
      <c r="K986" s="10"/>
      <c r="L986" s="82"/>
      <c r="M986" s="10"/>
      <c r="N986" s="10"/>
    </row>
    <row r="987" spans="9:14" x14ac:dyDescent="0.25">
      <c r="I987" s="29"/>
      <c r="J987" s="10"/>
      <c r="K987" s="10"/>
      <c r="L987" s="82"/>
      <c r="M987" s="10"/>
      <c r="N987" s="10"/>
    </row>
    <row r="988" spans="9:14" x14ac:dyDescent="0.25">
      <c r="I988" s="29"/>
      <c r="J988" s="10"/>
      <c r="K988" s="10"/>
      <c r="L988" s="82"/>
      <c r="M988" s="10"/>
      <c r="N988" s="10"/>
    </row>
    <row r="989" spans="9:14" x14ac:dyDescent="0.25">
      <c r="I989" s="29"/>
      <c r="J989" s="10"/>
      <c r="K989" s="10"/>
      <c r="L989" s="82"/>
      <c r="M989" s="10"/>
      <c r="N989" s="10"/>
    </row>
    <row r="990" spans="9:14" x14ac:dyDescent="0.25">
      <c r="I990" s="29"/>
      <c r="J990" s="10"/>
      <c r="K990" s="10"/>
      <c r="L990" s="82"/>
      <c r="M990" s="10"/>
      <c r="N990" s="10"/>
    </row>
    <row r="991" spans="9:14" x14ac:dyDescent="0.25">
      <c r="I991" s="29"/>
      <c r="J991" s="10"/>
      <c r="K991" s="10"/>
      <c r="L991" s="82"/>
      <c r="M991" s="10"/>
      <c r="N991" s="10"/>
    </row>
    <row r="992" spans="9:14" x14ac:dyDescent="0.25">
      <c r="I992" s="29"/>
      <c r="J992" s="10"/>
      <c r="K992" s="10"/>
      <c r="L992" s="82"/>
      <c r="M992" s="10"/>
      <c r="N992" s="10"/>
    </row>
    <row r="993" spans="9:14" x14ac:dyDescent="0.25">
      <c r="I993" s="29"/>
      <c r="J993" s="10"/>
      <c r="K993" s="10"/>
      <c r="L993" s="82"/>
      <c r="M993" s="10"/>
      <c r="N993" s="10"/>
    </row>
    <row r="994" spans="9:14" x14ac:dyDescent="0.25">
      <c r="I994" s="29"/>
      <c r="J994" s="10"/>
      <c r="K994" s="10"/>
      <c r="L994" s="82"/>
      <c r="M994" s="10"/>
      <c r="N994" s="10"/>
    </row>
    <row r="995" spans="9:14" x14ac:dyDescent="0.25">
      <c r="I995" s="29"/>
      <c r="J995" s="10"/>
      <c r="K995" s="10"/>
      <c r="L995" s="82"/>
      <c r="M995" s="10"/>
      <c r="N995" s="10"/>
    </row>
    <row r="996" spans="9:14" x14ac:dyDescent="0.25">
      <c r="I996" s="29"/>
      <c r="J996" s="10"/>
      <c r="K996" s="10"/>
      <c r="L996" s="82"/>
      <c r="M996" s="10"/>
      <c r="N996" s="10"/>
    </row>
    <row r="997" spans="9:14" x14ac:dyDescent="0.25">
      <c r="I997" s="29"/>
      <c r="J997" s="10"/>
      <c r="K997" s="10"/>
      <c r="L997" s="82"/>
      <c r="M997" s="10"/>
      <c r="N997" s="10"/>
    </row>
    <row r="998" spans="9:14" x14ac:dyDescent="0.25">
      <c r="I998" s="29"/>
      <c r="J998" s="10"/>
      <c r="K998" s="10"/>
      <c r="L998" s="82"/>
      <c r="M998" s="10"/>
      <c r="N998" s="10"/>
    </row>
    <row r="999" spans="9:14" x14ac:dyDescent="0.25">
      <c r="I999" s="29"/>
      <c r="J999" s="10"/>
      <c r="K999" s="10"/>
      <c r="L999" s="82"/>
      <c r="M999" s="10"/>
      <c r="N999" s="10"/>
    </row>
    <row r="1000" spans="9:14" x14ac:dyDescent="0.25">
      <c r="I1000" s="29"/>
      <c r="J1000" s="10"/>
      <c r="K1000" s="10"/>
      <c r="L1000" s="82"/>
      <c r="M1000" s="10"/>
      <c r="N1000" s="10"/>
    </row>
    <row r="1001" spans="9:14" x14ac:dyDescent="0.25">
      <c r="I1001" s="29"/>
      <c r="J1001" s="10"/>
      <c r="K1001" s="10"/>
      <c r="L1001" s="82"/>
      <c r="M1001" s="10"/>
      <c r="N1001" s="10"/>
    </row>
    <row r="1002" spans="9:14" x14ac:dyDescent="0.25">
      <c r="I1002" s="29"/>
      <c r="J1002" s="10"/>
      <c r="K1002" s="10"/>
      <c r="L1002" s="82"/>
      <c r="M1002" s="10"/>
      <c r="N1002" s="10"/>
    </row>
    <row r="1003" spans="9:14" x14ac:dyDescent="0.25">
      <c r="I1003" s="29"/>
      <c r="J1003" s="10"/>
      <c r="K1003" s="10"/>
      <c r="L1003" s="82"/>
      <c r="M1003" s="10"/>
      <c r="N1003" s="10"/>
    </row>
    <row r="1004" spans="9:14" x14ac:dyDescent="0.25">
      <c r="I1004" s="29"/>
      <c r="J1004" s="10"/>
      <c r="K1004" s="10"/>
      <c r="L1004" s="82"/>
      <c r="M1004" s="10"/>
      <c r="N1004" s="10"/>
    </row>
    <row r="1005" spans="9:14" x14ac:dyDescent="0.25">
      <c r="I1005" s="29"/>
      <c r="J1005" s="10"/>
      <c r="K1005" s="10"/>
      <c r="L1005" s="82"/>
      <c r="M1005" s="10"/>
      <c r="N1005" s="10"/>
    </row>
    <row r="1006" spans="9:14" x14ac:dyDescent="0.25">
      <c r="I1006" s="29"/>
      <c r="J1006" s="10"/>
      <c r="K1006" s="10"/>
      <c r="L1006" s="82"/>
      <c r="M1006" s="10"/>
      <c r="N1006" s="10"/>
    </row>
    <row r="1007" spans="9:14" x14ac:dyDescent="0.25">
      <c r="I1007" s="29"/>
      <c r="J1007" s="10"/>
      <c r="K1007" s="10"/>
      <c r="L1007" s="82"/>
      <c r="M1007" s="10"/>
      <c r="N1007" s="10"/>
    </row>
    <row r="1008" spans="9:14" x14ac:dyDescent="0.25">
      <c r="I1008" s="29"/>
      <c r="J1008" s="10"/>
      <c r="K1008" s="10"/>
      <c r="L1008" s="82"/>
      <c r="M1008" s="10"/>
      <c r="N1008" s="10"/>
    </row>
    <row r="1009" spans="9:14" x14ac:dyDescent="0.25">
      <c r="I1009" s="29"/>
      <c r="J1009" s="10"/>
      <c r="K1009" s="10"/>
      <c r="L1009" s="82"/>
      <c r="M1009" s="10"/>
      <c r="N1009" s="10"/>
    </row>
    <row r="1010" spans="9:14" x14ac:dyDescent="0.25">
      <c r="I1010" s="29"/>
      <c r="J1010" s="10"/>
      <c r="K1010" s="10"/>
      <c r="L1010" s="82"/>
      <c r="M1010" s="10"/>
      <c r="N1010" s="10"/>
    </row>
    <row r="1011" spans="9:14" x14ac:dyDescent="0.25">
      <c r="I1011" s="29"/>
      <c r="J1011" s="10"/>
      <c r="K1011" s="10"/>
      <c r="L1011" s="82"/>
      <c r="M1011" s="10"/>
      <c r="N1011" s="10"/>
    </row>
    <row r="1012" spans="9:14" x14ac:dyDescent="0.25">
      <c r="I1012" s="29"/>
      <c r="J1012" s="10"/>
      <c r="K1012" s="10"/>
      <c r="L1012" s="82"/>
      <c r="M1012" s="10"/>
      <c r="N1012" s="10"/>
    </row>
    <row r="1013" spans="9:14" x14ac:dyDescent="0.25">
      <c r="I1013" s="29"/>
      <c r="J1013" s="10"/>
      <c r="K1013" s="10"/>
      <c r="L1013" s="82"/>
      <c r="M1013" s="10"/>
      <c r="N1013" s="10"/>
    </row>
    <row r="1014" spans="9:14" x14ac:dyDescent="0.25">
      <c r="I1014" s="29"/>
      <c r="J1014" s="10"/>
      <c r="K1014" s="10"/>
      <c r="L1014" s="82"/>
      <c r="M1014" s="10"/>
      <c r="N1014" s="10"/>
    </row>
    <row r="1015" spans="9:14" x14ac:dyDescent="0.25">
      <c r="I1015" s="29"/>
      <c r="J1015" s="10"/>
      <c r="K1015" s="10"/>
      <c r="L1015" s="82"/>
      <c r="M1015" s="10"/>
      <c r="N1015" s="10"/>
    </row>
    <row r="1016" spans="9:14" x14ac:dyDescent="0.25">
      <c r="I1016" s="29"/>
      <c r="J1016" s="10"/>
      <c r="K1016" s="10"/>
      <c r="L1016" s="82"/>
      <c r="M1016" s="10"/>
      <c r="N1016" s="10"/>
    </row>
    <row r="1017" spans="9:14" x14ac:dyDescent="0.25">
      <c r="I1017" s="29"/>
      <c r="J1017" s="10"/>
      <c r="K1017" s="10"/>
      <c r="L1017" s="82"/>
      <c r="M1017" s="10"/>
      <c r="N1017" s="10"/>
    </row>
    <row r="1018" spans="9:14" x14ac:dyDescent="0.25">
      <c r="I1018" s="29"/>
      <c r="J1018" s="10"/>
      <c r="K1018" s="10"/>
      <c r="L1018" s="82"/>
      <c r="M1018" s="10"/>
      <c r="N1018" s="10"/>
    </row>
    <row r="1019" spans="9:14" x14ac:dyDescent="0.25">
      <c r="I1019" s="29"/>
      <c r="J1019" s="10"/>
      <c r="K1019" s="10"/>
      <c r="L1019" s="82"/>
      <c r="M1019" s="10"/>
      <c r="N1019" s="10"/>
    </row>
    <row r="1020" spans="9:14" x14ac:dyDescent="0.25">
      <c r="I1020" s="29"/>
      <c r="J1020" s="10"/>
      <c r="K1020" s="10"/>
      <c r="L1020" s="82"/>
      <c r="M1020" s="10"/>
      <c r="N1020" s="10"/>
    </row>
    <row r="1021" spans="9:14" x14ac:dyDescent="0.25">
      <c r="I1021" s="29"/>
      <c r="J1021" s="10"/>
      <c r="K1021" s="10"/>
      <c r="L1021" s="82"/>
      <c r="M1021" s="10"/>
      <c r="N1021" s="10"/>
    </row>
    <row r="1022" spans="9:14" x14ac:dyDescent="0.25">
      <c r="I1022" s="29"/>
      <c r="J1022" s="10"/>
      <c r="K1022" s="10"/>
      <c r="L1022" s="82"/>
      <c r="M1022" s="10"/>
      <c r="N1022" s="10"/>
    </row>
    <row r="1023" spans="9:14" x14ac:dyDescent="0.25">
      <c r="I1023" s="29"/>
      <c r="J1023" s="10"/>
      <c r="K1023" s="10"/>
      <c r="L1023" s="82"/>
      <c r="M1023" s="10"/>
      <c r="N1023" s="10"/>
    </row>
    <row r="1024" spans="9:14" x14ac:dyDescent="0.25">
      <c r="I1024" s="29"/>
      <c r="J1024" s="10"/>
      <c r="K1024" s="10"/>
      <c r="L1024" s="82"/>
      <c r="M1024" s="10"/>
      <c r="N1024" s="10"/>
    </row>
    <row r="1025" spans="9:14" x14ac:dyDescent="0.25">
      <c r="I1025" s="29"/>
      <c r="J1025" s="10"/>
      <c r="K1025" s="10"/>
      <c r="L1025" s="82"/>
      <c r="M1025" s="10"/>
      <c r="N1025" s="10"/>
    </row>
    <row r="1026" spans="9:14" x14ac:dyDescent="0.25">
      <c r="I1026" s="29"/>
      <c r="J1026" s="10"/>
      <c r="K1026" s="10"/>
      <c r="L1026" s="82"/>
      <c r="M1026" s="10"/>
      <c r="N1026" s="10"/>
    </row>
    <row r="1027" spans="9:14" x14ac:dyDescent="0.25">
      <c r="I1027" s="29"/>
      <c r="J1027" s="10"/>
      <c r="K1027" s="10"/>
      <c r="L1027" s="82"/>
      <c r="M1027" s="10"/>
      <c r="N1027" s="10"/>
    </row>
    <row r="1028" spans="9:14" x14ac:dyDescent="0.25">
      <c r="I1028" s="29"/>
      <c r="J1028" s="10"/>
      <c r="K1028" s="10"/>
      <c r="L1028" s="82"/>
      <c r="M1028" s="10"/>
      <c r="N1028" s="10"/>
    </row>
    <row r="1029" spans="9:14" x14ac:dyDescent="0.25">
      <c r="I1029" s="29"/>
      <c r="J1029" s="10"/>
      <c r="K1029" s="10"/>
      <c r="L1029" s="82"/>
      <c r="M1029" s="10"/>
      <c r="N1029" s="10"/>
    </row>
    <row r="1030" spans="9:14" x14ac:dyDescent="0.25">
      <c r="I1030" s="29"/>
      <c r="J1030" s="10"/>
      <c r="K1030" s="10"/>
      <c r="L1030" s="82"/>
      <c r="M1030" s="10"/>
      <c r="N1030" s="10"/>
    </row>
    <row r="1031" spans="9:14" x14ac:dyDescent="0.25">
      <c r="I1031" s="29"/>
      <c r="J1031" s="10"/>
      <c r="K1031" s="10"/>
      <c r="L1031" s="82"/>
      <c r="M1031" s="10"/>
      <c r="N1031" s="10"/>
    </row>
    <row r="1032" spans="9:14" x14ac:dyDescent="0.25">
      <c r="I1032" s="29"/>
      <c r="J1032" s="10"/>
      <c r="K1032" s="10"/>
      <c r="L1032" s="82"/>
      <c r="M1032" s="10"/>
      <c r="N1032" s="10"/>
    </row>
    <row r="1033" spans="9:14" x14ac:dyDescent="0.25">
      <c r="I1033" s="29"/>
      <c r="J1033" s="10"/>
      <c r="K1033" s="10"/>
      <c r="L1033" s="82"/>
      <c r="M1033" s="10"/>
      <c r="N1033" s="10"/>
    </row>
    <row r="1034" spans="9:14" x14ac:dyDescent="0.25">
      <c r="I1034" s="29"/>
      <c r="J1034" s="10"/>
      <c r="K1034" s="10"/>
      <c r="L1034" s="82"/>
      <c r="M1034" s="10"/>
      <c r="N1034" s="10"/>
    </row>
    <row r="1035" spans="9:14" x14ac:dyDescent="0.25">
      <c r="I1035" s="29"/>
      <c r="J1035" s="10"/>
      <c r="K1035" s="10"/>
      <c r="L1035" s="82"/>
      <c r="M1035" s="10"/>
      <c r="N1035" s="10"/>
    </row>
    <row r="1036" spans="9:14" x14ac:dyDescent="0.25">
      <c r="I1036" s="29"/>
      <c r="J1036" s="10"/>
      <c r="K1036" s="10"/>
      <c r="L1036" s="82"/>
      <c r="M1036" s="10"/>
      <c r="N1036" s="10"/>
    </row>
    <row r="1037" spans="9:14" x14ac:dyDescent="0.25">
      <c r="I1037" s="29"/>
      <c r="J1037" s="10"/>
      <c r="K1037" s="10"/>
      <c r="L1037" s="82"/>
      <c r="M1037" s="10"/>
      <c r="N1037" s="10"/>
    </row>
    <row r="1038" spans="9:14" x14ac:dyDescent="0.25">
      <c r="I1038" s="29"/>
      <c r="J1038" s="10"/>
      <c r="K1038" s="10"/>
      <c r="L1038" s="82"/>
      <c r="M1038" s="10"/>
      <c r="N1038" s="10"/>
    </row>
    <row r="1039" spans="9:14" x14ac:dyDescent="0.25">
      <c r="I1039" s="29"/>
      <c r="J1039" s="10"/>
      <c r="K1039" s="10"/>
      <c r="L1039" s="82"/>
      <c r="M1039" s="10"/>
      <c r="N1039" s="10"/>
    </row>
    <row r="1040" spans="9:14" x14ac:dyDescent="0.25">
      <c r="I1040" s="29"/>
      <c r="J1040" s="10"/>
      <c r="K1040" s="10"/>
      <c r="L1040" s="82"/>
      <c r="M1040" s="10"/>
      <c r="N1040" s="10"/>
    </row>
    <row r="1041" spans="9:14" x14ac:dyDescent="0.25">
      <c r="I1041" s="29"/>
      <c r="J1041" s="10"/>
      <c r="K1041" s="10"/>
      <c r="L1041" s="82"/>
      <c r="M1041" s="10"/>
      <c r="N1041" s="10"/>
    </row>
    <row r="1042" spans="9:14" x14ac:dyDescent="0.25">
      <c r="I1042" s="29"/>
      <c r="J1042" s="10"/>
      <c r="K1042" s="10"/>
      <c r="L1042" s="82"/>
      <c r="M1042" s="10"/>
      <c r="N1042" s="10"/>
    </row>
    <row r="1043" spans="9:14" x14ac:dyDescent="0.25">
      <c r="I1043" s="29"/>
      <c r="J1043" s="10"/>
      <c r="K1043" s="10"/>
      <c r="L1043" s="82"/>
      <c r="M1043" s="10"/>
      <c r="N1043" s="10"/>
    </row>
    <row r="1044" spans="9:14" x14ac:dyDescent="0.25">
      <c r="I1044" s="29"/>
      <c r="J1044" s="10"/>
      <c r="K1044" s="10"/>
      <c r="L1044" s="82"/>
      <c r="M1044" s="10"/>
      <c r="N1044" s="10"/>
    </row>
    <row r="1045" spans="9:14" x14ac:dyDescent="0.25">
      <c r="I1045" s="29"/>
      <c r="J1045" s="10"/>
      <c r="K1045" s="10"/>
      <c r="L1045" s="82"/>
      <c r="M1045" s="10"/>
      <c r="N1045" s="10"/>
    </row>
    <row r="1046" spans="9:14" x14ac:dyDescent="0.25">
      <c r="I1046" s="29"/>
      <c r="J1046" s="10"/>
      <c r="K1046" s="10"/>
      <c r="L1046" s="82"/>
      <c r="M1046" s="10"/>
      <c r="N1046" s="10"/>
    </row>
    <row r="1047" spans="9:14" x14ac:dyDescent="0.25">
      <c r="I1047" s="29"/>
      <c r="J1047" s="10"/>
      <c r="K1047" s="10"/>
      <c r="L1047" s="82"/>
      <c r="M1047" s="10"/>
      <c r="N1047" s="10"/>
    </row>
    <row r="1048" spans="9:14" x14ac:dyDescent="0.25">
      <c r="I1048" s="29"/>
      <c r="J1048" s="10"/>
      <c r="K1048" s="10"/>
      <c r="L1048" s="82"/>
      <c r="M1048" s="10"/>
      <c r="N1048" s="10"/>
    </row>
    <row r="1049" spans="9:14" x14ac:dyDescent="0.25">
      <c r="I1049" s="29"/>
      <c r="J1049" s="10"/>
      <c r="K1049" s="10"/>
      <c r="L1049" s="82"/>
      <c r="M1049" s="10"/>
      <c r="N1049" s="10"/>
    </row>
    <row r="1050" spans="9:14" x14ac:dyDescent="0.25">
      <c r="I1050" s="29"/>
      <c r="J1050" s="10"/>
      <c r="K1050" s="10"/>
      <c r="L1050" s="82"/>
      <c r="M1050" s="10"/>
      <c r="N1050" s="10"/>
    </row>
    <row r="1051" spans="9:14" x14ac:dyDescent="0.25">
      <c r="I1051" s="29"/>
      <c r="J1051" s="10"/>
      <c r="K1051" s="10"/>
      <c r="L1051" s="82"/>
      <c r="M1051" s="10"/>
      <c r="N1051" s="10"/>
    </row>
    <row r="1052" spans="9:14" x14ac:dyDescent="0.25">
      <c r="I1052" s="29"/>
      <c r="J1052" s="10"/>
      <c r="K1052" s="10"/>
      <c r="L1052" s="82"/>
      <c r="M1052" s="10"/>
      <c r="N1052" s="10"/>
    </row>
    <row r="1053" spans="9:14" x14ac:dyDescent="0.25">
      <c r="I1053" s="29"/>
      <c r="J1053" s="10"/>
      <c r="K1053" s="10"/>
      <c r="L1053" s="82"/>
      <c r="M1053" s="10"/>
      <c r="N1053" s="10"/>
    </row>
    <row r="1054" spans="9:14" x14ac:dyDescent="0.25">
      <c r="I1054" s="29"/>
      <c r="J1054" s="10"/>
      <c r="K1054" s="10"/>
      <c r="L1054" s="82"/>
      <c r="M1054" s="10"/>
      <c r="N1054" s="10"/>
    </row>
    <row r="1055" spans="9:14" x14ac:dyDescent="0.25">
      <c r="I1055" s="29"/>
      <c r="J1055" s="10"/>
      <c r="K1055" s="10"/>
      <c r="L1055" s="82"/>
      <c r="M1055" s="10"/>
      <c r="N1055" s="10"/>
    </row>
    <row r="1056" spans="9:14" x14ac:dyDescent="0.25">
      <c r="I1056" s="29"/>
      <c r="J1056" s="10"/>
      <c r="K1056" s="10"/>
      <c r="L1056" s="82"/>
      <c r="M1056" s="10"/>
      <c r="N1056" s="10"/>
    </row>
    <row r="1057" spans="9:14" x14ac:dyDescent="0.25">
      <c r="I1057" s="29"/>
      <c r="J1057" s="10"/>
      <c r="K1057" s="10"/>
      <c r="L1057" s="82"/>
      <c r="M1057" s="10"/>
      <c r="N1057" s="10"/>
    </row>
    <row r="1058" spans="9:14" x14ac:dyDescent="0.25">
      <c r="I1058" s="29"/>
      <c r="J1058" s="10"/>
      <c r="K1058" s="10"/>
      <c r="L1058" s="82"/>
      <c r="M1058" s="10"/>
      <c r="N1058" s="10"/>
    </row>
    <row r="1059" spans="9:14" x14ac:dyDescent="0.25">
      <c r="I1059" s="29"/>
      <c r="J1059" s="10"/>
      <c r="K1059" s="10"/>
      <c r="L1059" s="82"/>
      <c r="M1059" s="10"/>
      <c r="N1059" s="10"/>
    </row>
    <row r="1060" spans="9:14" x14ac:dyDescent="0.25">
      <c r="I1060" s="29"/>
      <c r="J1060" s="10"/>
      <c r="K1060" s="10"/>
      <c r="L1060" s="82"/>
      <c r="M1060" s="10"/>
      <c r="N1060" s="10"/>
    </row>
    <row r="1061" spans="9:14" x14ac:dyDescent="0.25">
      <c r="I1061" s="29"/>
      <c r="J1061" s="10"/>
      <c r="K1061" s="10"/>
      <c r="L1061" s="82"/>
      <c r="M1061" s="10"/>
      <c r="N1061" s="10"/>
    </row>
    <row r="1062" spans="9:14" x14ac:dyDescent="0.25">
      <c r="I1062" s="29"/>
      <c r="J1062" s="10"/>
      <c r="K1062" s="10"/>
      <c r="L1062" s="82"/>
      <c r="M1062" s="10"/>
      <c r="N1062" s="10"/>
    </row>
    <row r="1063" spans="9:14" x14ac:dyDescent="0.25">
      <c r="I1063" s="29"/>
      <c r="J1063" s="10"/>
      <c r="K1063" s="10"/>
      <c r="L1063" s="82"/>
      <c r="M1063" s="10"/>
      <c r="N1063" s="10"/>
    </row>
    <row r="1064" spans="9:14" x14ac:dyDescent="0.25">
      <c r="I1064" s="29"/>
      <c r="J1064" s="10"/>
      <c r="K1064" s="10"/>
      <c r="L1064" s="82"/>
      <c r="M1064" s="10"/>
      <c r="N1064" s="10"/>
    </row>
    <row r="1065" spans="9:14" x14ac:dyDescent="0.25">
      <c r="I1065" s="29"/>
      <c r="J1065" s="10"/>
      <c r="K1065" s="10"/>
      <c r="L1065" s="82"/>
      <c r="M1065" s="10"/>
      <c r="N1065" s="10"/>
    </row>
    <row r="1066" spans="9:14" x14ac:dyDescent="0.25">
      <c r="I1066" s="29"/>
      <c r="J1066" s="10"/>
      <c r="K1066" s="10"/>
      <c r="L1066" s="82"/>
      <c r="M1066" s="10"/>
      <c r="N1066" s="10"/>
    </row>
    <row r="1067" spans="9:14" x14ac:dyDescent="0.25">
      <c r="I1067" s="29"/>
      <c r="J1067" s="10"/>
      <c r="K1067" s="10"/>
      <c r="L1067" s="82"/>
      <c r="M1067" s="10"/>
      <c r="N1067" s="10"/>
    </row>
    <row r="1068" spans="9:14" x14ac:dyDescent="0.25">
      <c r="I1068" s="29"/>
      <c r="J1068" s="10"/>
      <c r="K1068" s="10"/>
      <c r="L1068" s="82"/>
      <c r="M1068" s="10"/>
      <c r="N1068" s="10"/>
    </row>
    <row r="1069" spans="9:14" x14ac:dyDescent="0.25">
      <c r="I1069" s="29"/>
      <c r="J1069" s="10"/>
      <c r="K1069" s="10"/>
      <c r="L1069" s="82"/>
      <c r="M1069" s="10"/>
      <c r="N1069" s="10"/>
    </row>
    <row r="1070" spans="9:14" x14ac:dyDescent="0.25">
      <c r="I1070" s="29"/>
      <c r="J1070" s="10"/>
      <c r="K1070" s="10"/>
      <c r="L1070" s="82"/>
      <c r="M1070" s="10"/>
      <c r="N1070" s="10"/>
    </row>
    <row r="1071" spans="9:14" x14ac:dyDescent="0.25">
      <c r="I1071" s="29"/>
      <c r="J1071" s="10"/>
      <c r="K1071" s="10"/>
      <c r="L1071" s="82"/>
      <c r="M1071" s="10"/>
      <c r="N1071" s="10"/>
    </row>
    <row r="1072" spans="9:14" x14ac:dyDescent="0.25">
      <c r="I1072" s="29"/>
      <c r="J1072" s="10"/>
      <c r="K1072" s="10"/>
      <c r="L1072" s="82"/>
      <c r="M1072" s="10"/>
      <c r="N1072" s="10"/>
    </row>
    <row r="1073" spans="9:14" x14ac:dyDescent="0.25">
      <c r="I1073" s="29"/>
      <c r="J1073" s="10"/>
      <c r="K1073" s="10"/>
      <c r="L1073" s="82"/>
      <c r="M1073" s="10"/>
      <c r="N1073" s="10"/>
    </row>
    <row r="1074" spans="9:14" x14ac:dyDescent="0.25">
      <c r="I1074" s="29"/>
      <c r="J1074" s="10"/>
      <c r="K1074" s="10"/>
      <c r="L1074" s="82"/>
      <c r="M1074" s="10"/>
      <c r="N1074" s="10"/>
    </row>
    <row r="1075" spans="9:14" x14ac:dyDescent="0.25">
      <c r="I1075" s="29"/>
      <c r="J1075" s="10"/>
      <c r="K1075" s="10"/>
      <c r="L1075" s="82"/>
      <c r="M1075" s="10"/>
      <c r="N1075" s="10"/>
    </row>
    <row r="1076" spans="9:14" x14ac:dyDescent="0.25">
      <c r="I1076" s="29"/>
      <c r="J1076" s="10"/>
      <c r="K1076" s="10"/>
      <c r="L1076" s="82"/>
      <c r="M1076" s="10"/>
      <c r="N1076" s="10"/>
    </row>
    <row r="1077" spans="9:14" x14ac:dyDescent="0.25">
      <c r="I1077" s="29"/>
      <c r="J1077" s="10"/>
      <c r="K1077" s="10"/>
      <c r="L1077" s="82"/>
      <c r="M1077" s="10"/>
      <c r="N1077" s="10"/>
    </row>
    <row r="1078" spans="9:14" x14ac:dyDescent="0.25">
      <c r="I1078" s="29"/>
      <c r="J1078" s="10"/>
      <c r="K1078" s="10"/>
      <c r="L1078" s="82"/>
      <c r="M1078" s="10"/>
      <c r="N1078" s="10"/>
    </row>
    <row r="1079" spans="9:14" x14ac:dyDescent="0.25">
      <c r="I1079" s="29"/>
      <c r="J1079" s="10"/>
      <c r="K1079" s="10"/>
      <c r="L1079" s="82"/>
      <c r="M1079" s="10"/>
      <c r="N1079" s="10"/>
    </row>
    <row r="1080" spans="9:14" x14ac:dyDescent="0.25">
      <c r="I1080" s="29"/>
      <c r="J1080" s="10"/>
      <c r="K1080" s="10"/>
      <c r="L1080" s="82"/>
      <c r="M1080" s="10"/>
      <c r="N1080" s="10"/>
    </row>
    <row r="1081" spans="9:14" x14ac:dyDescent="0.25">
      <c r="I1081" s="29"/>
      <c r="J1081" s="10"/>
      <c r="K1081" s="10"/>
      <c r="L1081" s="82"/>
      <c r="M1081" s="10"/>
      <c r="N1081" s="10"/>
    </row>
    <row r="1082" spans="9:14" x14ac:dyDescent="0.25">
      <c r="I1082" s="29"/>
      <c r="J1082" s="10"/>
      <c r="K1082" s="10"/>
      <c r="L1082" s="82"/>
      <c r="M1082" s="10"/>
      <c r="N1082" s="10"/>
    </row>
    <row r="1083" spans="9:14" x14ac:dyDescent="0.25">
      <c r="I1083" s="29"/>
      <c r="J1083" s="10"/>
      <c r="K1083" s="10"/>
      <c r="L1083" s="82"/>
      <c r="M1083" s="10"/>
      <c r="N1083" s="10"/>
    </row>
    <row r="1084" spans="9:14" x14ac:dyDescent="0.25">
      <c r="I1084" s="29"/>
      <c r="J1084" s="10"/>
      <c r="K1084" s="10"/>
      <c r="L1084" s="82"/>
      <c r="M1084" s="10"/>
      <c r="N1084" s="10"/>
    </row>
    <row r="1085" spans="9:14" x14ac:dyDescent="0.25">
      <c r="I1085" s="29"/>
      <c r="J1085" s="10"/>
      <c r="K1085" s="10"/>
      <c r="L1085" s="82"/>
      <c r="M1085" s="10"/>
      <c r="N1085" s="10"/>
    </row>
    <row r="1086" spans="9:14" x14ac:dyDescent="0.25">
      <c r="I1086" s="29"/>
      <c r="J1086" s="10"/>
      <c r="K1086" s="10"/>
      <c r="L1086" s="82"/>
      <c r="M1086" s="10"/>
      <c r="N1086" s="10"/>
    </row>
    <row r="1087" spans="9:14" x14ac:dyDescent="0.25">
      <c r="I1087" s="29"/>
      <c r="J1087" s="10"/>
      <c r="K1087" s="10"/>
      <c r="L1087" s="82"/>
      <c r="M1087" s="10"/>
      <c r="N1087" s="10"/>
    </row>
    <row r="1088" spans="9:14" x14ac:dyDescent="0.25">
      <c r="I1088" s="29"/>
      <c r="J1088" s="10"/>
      <c r="K1088" s="10"/>
      <c r="L1088" s="82"/>
      <c r="M1088" s="10"/>
      <c r="N1088" s="10"/>
    </row>
    <row r="1089" spans="9:14" x14ac:dyDescent="0.25">
      <c r="I1089" s="29"/>
      <c r="J1089" s="10"/>
      <c r="K1089" s="10"/>
      <c r="L1089" s="82"/>
      <c r="M1089" s="10"/>
      <c r="N1089" s="10"/>
    </row>
    <row r="1090" spans="9:14" x14ac:dyDescent="0.25">
      <c r="I1090" s="29"/>
      <c r="J1090" s="10"/>
      <c r="K1090" s="10"/>
      <c r="L1090" s="82"/>
      <c r="M1090" s="10"/>
      <c r="N1090" s="10"/>
    </row>
    <row r="1091" spans="9:14" x14ac:dyDescent="0.25">
      <c r="I1091" s="29"/>
      <c r="J1091" s="10"/>
      <c r="K1091" s="10"/>
      <c r="L1091" s="82"/>
      <c r="M1091" s="10"/>
      <c r="N1091" s="10"/>
    </row>
    <row r="1092" spans="9:14" x14ac:dyDescent="0.25">
      <c r="I1092" s="29"/>
      <c r="J1092" s="10"/>
      <c r="K1092" s="10"/>
      <c r="L1092" s="82"/>
      <c r="M1092" s="10"/>
      <c r="N1092" s="10"/>
    </row>
    <row r="1093" spans="9:14" x14ac:dyDescent="0.25">
      <c r="I1093" s="29"/>
      <c r="J1093" s="10"/>
      <c r="K1093" s="10"/>
      <c r="L1093" s="82"/>
      <c r="M1093" s="10"/>
      <c r="N1093" s="10"/>
    </row>
    <row r="1094" spans="9:14" x14ac:dyDescent="0.25">
      <c r="I1094" s="29"/>
      <c r="J1094" s="10"/>
      <c r="K1094" s="10"/>
      <c r="L1094" s="82"/>
      <c r="M1094" s="10"/>
      <c r="N1094" s="10"/>
    </row>
    <row r="1095" spans="9:14" x14ac:dyDescent="0.25">
      <c r="I1095" s="29"/>
      <c r="J1095" s="10"/>
      <c r="K1095" s="10"/>
      <c r="L1095" s="82"/>
      <c r="M1095" s="10"/>
      <c r="N1095" s="10"/>
    </row>
    <row r="1096" spans="9:14" x14ac:dyDescent="0.25">
      <c r="I1096" s="29"/>
      <c r="J1096" s="10"/>
      <c r="K1096" s="10"/>
      <c r="L1096" s="82"/>
      <c r="M1096" s="10"/>
      <c r="N1096" s="10"/>
    </row>
    <row r="1097" spans="9:14" x14ac:dyDescent="0.25">
      <c r="I1097" s="29"/>
      <c r="J1097" s="10"/>
      <c r="K1097" s="10"/>
      <c r="L1097" s="82"/>
      <c r="M1097" s="10"/>
      <c r="N1097" s="10"/>
    </row>
    <row r="1098" spans="9:14" x14ac:dyDescent="0.25">
      <c r="I1098" s="29"/>
      <c r="J1098" s="10"/>
      <c r="K1098" s="10"/>
      <c r="L1098" s="82"/>
      <c r="M1098" s="10"/>
      <c r="N1098" s="10"/>
    </row>
    <row r="1099" spans="9:14" x14ac:dyDescent="0.25">
      <c r="I1099" s="29"/>
      <c r="J1099" s="10"/>
      <c r="K1099" s="10"/>
      <c r="L1099" s="82"/>
      <c r="M1099" s="10"/>
      <c r="N1099" s="10"/>
    </row>
    <row r="1100" spans="9:14" x14ac:dyDescent="0.25">
      <c r="I1100" s="29"/>
      <c r="J1100" s="10"/>
      <c r="K1100" s="10"/>
      <c r="L1100" s="82"/>
      <c r="M1100" s="10"/>
      <c r="N1100" s="10"/>
    </row>
    <row r="1101" spans="9:14" x14ac:dyDescent="0.25">
      <c r="I1101" s="29"/>
      <c r="J1101" s="10"/>
      <c r="K1101" s="10"/>
      <c r="L1101" s="82"/>
      <c r="M1101" s="10"/>
      <c r="N1101" s="10"/>
    </row>
    <row r="1102" spans="9:14" x14ac:dyDescent="0.25">
      <c r="I1102" s="29"/>
      <c r="J1102" s="10"/>
      <c r="K1102" s="10"/>
      <c r="L1102" s="82"/>
      <c r="M1102" s="10"/>
      <c r="N1102" s="10"/>
    </row>
    <row r="1103" spans="9:14" x14ac:dyDescent="0.25">
      <c r="I1103" s="29"/>
      <c r="J1103" s="10"/>
      <c r="K1103" s="10"/>
      <c r="L1103" s="82"/>
      <c r="M1103" s="10"/>
      <c r="N1103" s="10"/>
    </row>
    <row r="1104" spans="9:14" x14ac:dyDescent="0.25">
      <c r="I1104" s="29"/>
      <c r="J1104" s="10"/>
      <c r="K1104" s="10"/>
      <c r="L1104" s="82"/>
      <c r="M1104" s="10"/>
      <c r="N1104" s="10"/>
    </row>
    <row r="1105" spans="9:14" x14ac:dyDescent="0.25">
      <c r="I1105" s="29"/>
      <c r="J1105" s="10"/>
      <c r="K1105" s="10"/>
      <c r="L1105" s="82"/>
      <c r="M1105" s="10"/>
      <c r="N1105" s="10"/>
    </row>
    <row r="1106" spans="9:14" x14ac:dyDescent="0.25">
      <c r="I1106" s="29"/>
      <c r="J1106" s="10"/>
      <c r="K1106" s="10"/>
      <c r="L1106" s="82"/>
      <c r="M1106" s="10"/>
      <c r="N1106" s="10"/>
    </row>
    <row r="1107" spans="9:14" x14ac:dyDescent="0.25">
      <c r="I1107" s="29"/>
      <c r="J1107" s="10"/>
      <c r="K1107" s="10"/>
      <c r="L1107" s="82"/>
      <c r="M1107" s="10"/>
      <c r="N1107" s="10"/>
    </row>
    <row r="1108" spans="9:14" x14ac:dyDescent="0.25">
      <c r="I1108" s="29"/>
      <c r="J1108" s="10"/>
      <c r="K1108" s="10"/>
      <c r="L1108" s="82"/>
      <c r="M1108" s="10"/>
      <c r="N1108" s="10"/>
    </row>
    <row r="1109" spans="9:14" x14ac:dyDescent="0.25">
      <c r="I1109" s="29"/>
      <c r="J1109" s="10"/>
      <c r="K1109" s="10"/>
      <c r="L1109" s="82"/>
      <c r="M1109" s="10"/>
      <c r="N1109" s="10"/>
    </row>
    <row r="1110" spans="9:14" x14ac:dyDescent="0.25">
      <c r="I1110" s="29"/>
      <c r="J1110" s="10"/>
      <c r="K1110" s="10"/>
      <c r="L1110" s="82"/>
      <c r="M1110" s="10"/>
      <c r="N1110" s="10"/>
    </row>
    <row r="1111" spans="9:14" x14ac:dyDescent="0.25">
      <c r="I1111" s="29"/>
      <c r="J1111" s="10"/>
      <c r="K1111" s="10"/>
      <c r="L1111" s="82"/>
      <c r="M1111" s="10"/>
      <c r="N1111" s="10"/>
    </row>
    <row r="1112" spans="9:14" x14ac:dyDescent="0.25">
      <c r="I1112" s="29"/>
      <c r="J1112" s="10"/>
      <c r="K1112" s="10"/>
      <c r="L1112" s="82"/>
      <c r="M1112" s="10"/>
      <c r="N1112" s="10"/>
    </row>
    <row r="1113" spans="9:14" x14ac:dyDescent="0.25">
      <c r="I1113" s="29"/>
      <c r="J1113" s="10"/>
      <c r="K1113" s="10"/>
      <c r="L1113" s="82"/>
      <c r="M1113" s="10"/>
      <c r="N1113" s="10"/>
    </row>
    <row r="1114" spans="9:14" x14ac:dyDescent="0.25">
      <c r="I1114" s="29"/>
      <c r="J1114" s="10"/>
      <c r="K1114" s="10"/>
      <c r="L1114" s="82"/>
      <c r="M1114" s="10"/>
      <c r="N1114" s="10"/>
    </row>
    <row r="1115" spans="9:14" x14ac:dyDescent="0.25">
      <c r="I1115" s="29"/>
      <c r="J1115" s="10"/>
      <c r="K1115" s="10"/>
      <c r="L1115" s="82"/>
      <c r="M1115" s="10"/>
      <c r="N1115" s="10"/>
    </row>
    <row r="1116" spans="9:14" x14ac:dyDescent="0.25">
      <c r="I1116" s="29"/>
      <c r="J1116" s="10"/>
      <c r="K1116" s="10"/>
      <c r="L1116" s="82"/>
      <c r="M1116" s="10"/>
      <c r="N1116" s="10"/>
    </row>
    <row r="1117" spans="9:14" x14ac:dyDescent="0.25">
      <c r="I1117" s="29"/>
      <c r="J1117" s="10"/>
      <c r="K1117" s="10"/>
      <c r="L1117" s="82"/>
      <c r="M1117" s="10"/>
      <c r="N1117" s="10"/>
    </row>
    <row r="1118" spans="9:14" x14ac:dyDescent="0.25">
      <c r="I1118" s="29"/>
      <c r="J1118" s="10"/>
      <c r="K1118" s="10"/>
      <c r="L1118" s="82"/>
      <c r="M1118" s="10"/>
      <c r="N1118" s="10"/>
    </row>
    <row r="1119" spans="9:14" x14ac:dyDescent="0.25">
      <c r="I1119" s="29"/>
      <c r="J1119" s="10"/>
      <c r="K1119" s="10"/>
      <c r="L1119" s="82"/>
      <c r="M1119" s="10"/>
      <c r="N1119" s="10"/>
    </row>
    <row r="1120" spans="9:14" x14ac:dyDescent="0.25">
      <c r="I1120" s="29"/>
      <c r="J1120" s="10"/>
      <c r="K1120" s="10"/>
      <c r="L1120" s="82"/>
      <c r="M1120" s="10"/>
      <c r="N1120" s="10"/>
    </row>
    <row r="1121" spans="9:14" x14ac:dyDescent="0.25">
      <c r="I1121" s="29"/>
      <c r="J1121" s="10"/>
      <c r="K1121" s="10"/>
      <c r="L1121" s="82"/>
      <c r="M1121" s="10"/>
      <c r="N1121" s="10"/>
    </row>
    <row r="1122" spans="9:14" x14ac:dyDescent="0.25">
      <c r="I1122" s="29"/>
      <c r="J1122" s="10"/>
      <c r="K1122" s="10"/>
      <c r="L1122" s="82"/>
      <c r="M1122" s="10"/>
      <c r="N1122" s="10"/>
    </row>
    <row r="1123" spans="9:14" x14ac:dyDescent="0.25">
      <c r="I1123" s="29"/>
      <c r="J1123" s="10"/>
      <c r="K1123" s="10"/>
      <c r="L1123" s="82"/>
      <c r="M1123" s="10"/>
      <c r="N1123" s="10"/>
    </row>
    <row r="1124" spans="9:14" x14ac:dyDescent="0.25">
      <c r="I1124" s="29"/>
      <c r="J1124" s="10"/>
      <c r="K1124" s="10"/>
      <c r="L1124" s="82"/>
      <c r="M1124" s="10"/>
      <c r="N1124" s="10"/>
    </row>
    <row r="1125" spans="9:14" x14ac:dyDescent="0.25">
      <c r="I1125" s="29"/>
      <c r="J1125" s="10"/>
      <c r="K1125" s="10"/>
      <c r="L1125" s="82"/>
      <c r="M1125" s="10"/>
      <c r="N1125" s="10"/>
    </row>
    <row r="1126" spans="9:14" x14ac:dyDescent="0.25">
      <c r="I1126" s="29"/>
      <c r="J1126" s="10"/>
      <c r="K1126" s="10"/>
      <c r="L1126" s="82"/>
      <c r="M1126" s="10"/>
      <c r="N1126" s="10"/>
    </row>
    <row r="1127" spans="9:14" x14ac:dyDescent="0.25">
      <c r="I1127" s="29"/>
      <c r="J1127" s="10"/>
      <c r="K1127" s="10"/>
      <c r="L1127" s="82"/>
      <c r="M1127" s="10"/>
      <c r="N1127" s="10"/>
    </row>
    <row r="1128" spans="9:14" x14ac:dyDescent="0.25">
      <c r="I1128" s="29"/>
      <c r="J1128" s="10"/>
      <c r="K1128" s="10"/>
      <c r="L1128" s="82"/>
      <c r="M1128" s="10"/>
      <c r="N1128" s="10"/>
    </row>
    <row r="1129" spans="9:14" x14ac:dyDescent="0.25">
      <c r="I1129" s="29"/>
      <c r="J1129" s="10"/>
      <c r="K1129" s="10"/>
      <c r="L1129" s="82"/>
      <c r="M1129" s="10"/>
      <c r="N1129" s="10"/>
    </row>
    <row r="1130" spans="9:14" x14ac:dyDescent="0.25">
      <c r="I1130" s="29"/>
      <c r="J1130" s="10"/>
      <c r="K1130" s="10"/>
      <c r="L1130" s="82"/>
      <c r="M1130" s="10"/>
      <c r="N1130" s="10"/>
    </row>
    <row r="1131" spans="9:14" x14ac:dyDescent="0.25">
      <c r="I1131" s="29"/>
      <c r="J1131" s="10"/>
      <c r="K1131" s="10"/>
      <c r="L1131" s="82"/>
      <c r="M1131" s="10"/>
      <c r="N1131" s="10"/>
    </row>
    <row r="1132" spans="9:14" x14ac:dyDescent="0.25">
      <c r="I1132" s="29"/>
      <c r="J1132" s="10"/>
      <c r="K1132" s="10"/>
      <c r="L1132" s="82"/>
      <c r="M1132" s="10"/>
      <c r="N1132" s="10"/>
    </row>
    <row r="1133" spans="9:14" x14ac:dyDescent="0.25">
      <c r="I1133" s="29"/>
      <c r="J1133" s="10"/>
      <c r="K1133" s="10"/>
      <c r="L1133" s="82"/>
      <c r="M1133" s="10"/>
      <c r="N1133" s="10"/>
    </row>
    <row r="1134" spans="9:14" x14ac:dyDescent="0.25">
      <c r="I1134" s="29"/>
      <c r="J1134" s="10"/>
      <c r="K1134" s="10"/>
      <c r="L1134" s="82"/>
      <c r="M1134" s="10"/>
      <c r="N1134" s="10"/>
    </row>
    <row r="1135" spans="9:14" x14ac:dyDescent="0.25">
      <c r="I1135" s="29"/>
      <c r="J1135" s="10"/>
      <c r="K1135" s="10"/>
      <c r="L1135" s="82"/>
      <c r="M1135" s="10"/>
      <c r="N1135" s="10"/>
    </row>
    <row r="1136" spans="9:14" x14ac:dyDescent="0.25">
      <c r="I1136" s="29"/>
      <c r="J1136" s="10"/>
      <c r="K1136" s="10"/>
      <c r="L1136" s="82"/>
      <c r="M1136" s="10"/>
      <c r="N1136" s="10"/>
    </row>
    <row r="1137" spans="9:14" x14ac:dyDescent="0.25">
      <c r="I1137" s="29"/>
      <c r="J1137" s="10"/>
      <c r="K1137" s="10"/>
      <c r="L1137" s="82"/>
      <c r="M1137" s="10"/>
      <c r="N1137" s="10"/>
    </row>
    <row r="1138" spans="9:14" x14ac:dyDescent="0.25">
      <c r="I1138" s="29"/>
      <c r="J1138" s="10"/>
      <c r="K1138" s="10"/>
      <c r="L1138" s="82"/>
      <c r="M1138" s="10"/>
      <c r="N1138" s="10"/>
    </row>
    <row r="1139" spans="9:14" x14ac:dyDescent="0.25">
      <c r="I1139" s="29"/>
      <c r="J1139" s="10"/>
      <c r="K1139" s="10"/>
      <c r="L1139" s="82"/>
      <c r="M1139" s="10"/>
      <c r="N1139" s="10"/>
    </row>
    <row r="1140" spans="9:14" x14ac:dyDescent="0.25">
      <c r="I1140" s="29"/>
      <c r="J1140" s="10"/>
      <c r="K1140" s="10"/>
      <c r="L1140" s="82"/>
      <c r="M1140" s="10"/>
      <c r="N1140" s="10"/>
    </row>
    <row r="1141" spans="9:14" x14ac:dyDescent="0.25">
      <c r="I1141" s="29"/>
      <c r="J1141" s="10"/>
      <c r="K1141" s="10"/>
      <c r="L1141" s="82"/>
      <c r="M1141" s="10"/>
      <c r="N1141" s="10"/>
    </row>
    <row r="1142" spans="9:14" x14ac:dyDescent="0.25">
      <c r="I1142" s="29"/>
      <c r="J1142" s="10"/>
      <c r="K1142" s="10"/>
      <c r="L1142" s="82"/>
      <c r="M1142" s="10"/>
      <c r="N1142" s="10"/>
    </row>
    <row r="1143" spans="9:14" x14ac:dyDescent="0.25">
      <c r="I1143" s="29"/>
      <c r="J1143" s="10"/>
      <c r="K1143" s="10"/>
      <c r="L1143" s="82"/>
      <c r="M1143" s="10"/>
      <c r="N1143" s="10"/>
    </row>
    <row r="1144" spans="9:14" x14ac:dyDescent="0.25">
      <c r="I1144" s="29"/>
      <c r="J1144" s="10"/>
      <c r="K1144" s="10"/>
      <c r="L1144" s="82"/>
      <c r="M1144" s="10"/>
      <c r="N1144" s="10"/>
    </row>
    <row r="1145" spans="9:14" x14ac:dyDescent="0.25">
      <c r="I1145" s="29"/>
      <c r="J1145" s="10"/>
      <c r="K1145" s="10"/>
      <c r="L1145" s="82"/>
      <c r="M1145" s="10"/>
      <c r="N1145" s="10"/>
    </row>
    <row r="1146" spans="9:14" x14ac:dyDescent="0.25">
      <c r="I1146" s="29"/>
      <c r="J1146" s="10"/>
      <c r="K1146" s="10"/>
      <c r="L1146" s="82"/>
      <c r="M1146" s="10"/>
      <c r="N1146" s="10"/>
    </row>
    <row r="1147" spans="9:14" x14ac:dyDescent="0.25">
      <c r="I1147" s="29"/>
      <c r="J1147" s="10"/>
      <c r="K1147" s="10"/>
      <c r="L1147" s="82"/>
      <c r="M1147" s="10"/>
      <c r="N1147" s="10"/>
    </row>
    <row r="1148" spans="9:14" x14ac:dyDescent="0.25">
      <c r="I1148" s="29"/>
      <c r="J1148" s="10"/>
      <c r="K1148" s="10"/>
      <c r="L1148" s="82"/>
      <c r="M1148" s="10"/>
      <c r="N1148" s="10"/>
    </row>
    <row r="1149" spans="9:14" x14ac:dyDescent="0.25">
      <c r="I1149" s="29"/>
      <c r="J1149" s="10"/>
      <c r="K1149" s="10"/>
      <c r="L1149" s="82"/>
      <c r="M1149" s="10"/>
      <c r="N1149" s="10"/>
    </row>
    <row r="1150" spans="9:14" x14ac:dyDescent="0.25">
      <c r="I1150" s="29"/>
      <c r="J1150" s="10"/>
      <c r="K1150" s="10"/>
      <c r="L1150" s="82"/>
      <c r="M1150" s="10"/>
      <c r="N1150" s="10"/>
    </row>
    <row r="1151" spans="9:14" x14ac:dyDescent="0.25">
      <c r="I1151" s="29"/>
      <c r="J1151" s="10"/>
      <c r="K1151" s="10"/>
      <c r="L1151" s="82"/>
      <c r="M1151" s="10"/>
      <c r="N1151" s="10"/>
    </row>
    <row r="1152" spans="9:14" x14ac:dyDescent="0.25">
      <c r="I1152" s="29"/>
      <c r="J1152" s="10"/>
      <c r="K1152" s="10"/>
      <c r="L1152" s="82"/>
      <c r="M1152" s="10"/>
      <c r="N1152" s="10"/>
    </row>
    <row r="1153" spans="9:14" x14ac:dyDescent="0.25">
      <c r="I1153" s="29"/>
      <c r="J1153" s="10"/>
      <c r="K1153" s="10"/>
      <c r="L1153" s="82"/>
      <c r="M1153" s="10"/>
      <c r="N1153" s="10"/>
    </row>
    <row r="1154" spans="9:14" x14ac:dyDescent="0.25">
      <c r="I1154" s="29"/>
      <c r="J1154" s="10"/>
      <c r="K1154" s="10"/>
      <c r="L1154" s="82"/>
      <c r="M1154" s="10"/>
      <c r="N1154" s="10"/>
    </row>
    <row r="1155" spans="9:14" x14ac:dyDescent="0.25">
      <c r="I1155" s="29"/>
      <c r="J1155" s="10"/>
      <c r="K1155" s="10"/>
      <c r="L1155" s="82"/>
      <c r="M1155" s="10"/>
      <c r="N1155" s="10"/>
    </row>
    <row r="1156" spans="9:14" x14ac:dyDescent="0.25">
      <c r="I1156" s="29"/>
      <c r="J1156" s="10"/>
      <c r="K1156" s="10"/>
      <c r="L1156" s="82"/>
      <c r="M1156" s="10"/>
      <c r="N1156" s="10"/>
    </row>
    <row r="1157" spans="9:14" x14ac:dyDescent="0.25">
      <c r="I1157" s="29"/>
      <c r="J1157" s="10"/>
      <c r="K1157" s="10"/>
      <c r="L1157" s="82"/>
      <c r="M1157" s="10"/>
      <c r="N1157" s="10"/>
    </row>
    <row r="1158" spans="9:14" x14ac:dyDescent="0.25">
      <c r="I1158" s="29"/>
      <c r="J1158" s="10"/>
      <c r="K1158" s="10"/>
      <c r="L1158" s="82"/>
      <c r="M1158" s="10"/>
      <c r="N1158" s="10"/>
    </row>
    <row r="1159" spans="9:14" x14ac:dyDescent="0.25">
      <c r="I1159" s="29"/>
      <c r="J1159" s="10"/>
      <c r="K1159" s="10"/>
      <c r="L1159" s="82"/>
      <c r="M1159" s="10"/>
      <c r="N1159" s="10"/>
    </row>
    <row r="1160" spans="9:14" x14ac:dyDescent="0.25">
      <c r="I1160" s="29"/>
      <c r="J1160" s="10"/>
      <c r="K1160" s="10"/>
      <c r="L1160" s="82"/>
      <c r="M1160" s="10"/>
      <c r="N1160" s="10"/>
    </row>
    <row r="1161" spans="9:14" x14ac:dyDescent="0.25">
      <c r="I1161" s="29"/>
      <c r="J1161" s="10"/>
      <c r="K1161" s="10"/>
      <c r="L1161" s="82"/>
      <c r="M1161" s="10"/>
      <c r="N1161" s="10"/>
    </row>
    <row r="1162" spans="9:14" x14ac:dyDescent="0.25">
      <c r="I1162" s="29"/>
      <c r="J1162" s="10"/>
      <c r="K1162" s="10"/>
      <c r="L1162" s="82"/>
      <c r="M1162" s="10"/>
      <c r="N1162" s="10"/>
    </row>
    <row r="1163" spans="9:14" x14ac:dyDescent="0.25">
      <c r="I1163" s="29"/>
      <c r="J1163" s="10"/>
      <c r="K1163" s="10"/>
      <c r="L1163" s="82"/>
      <c r="M1163" s="10"/>
      <c r="N1163" s="10"/>
    </row>
    <row r="1164" spans="9:14" x14ac:dyDescent="0.25">
      <c r="I1164" s="29"/>
      <c r="J1164" s="10"/>
      <c r="K1164" s="10"/>
      <c r="L1164" s="82"/>
      <c r="M1164" s="10"/>
      <c r="N1164" s="10"/>
    </row>
    <row r="1165" spans="9:14" x14ac:dyDescent="0.25">
      <c r="I1165" s="29"/>
      <c r="J1165" s="10"/>
      <c r="K1165" s="10"/>
      <c r="L1165" s="82"/>
      <c r="M1165" s="10"/>
      <c r="N1165" s="10"/>
    </row>
    <row r="1166" spans="9:14" x14ac:dyDescent="0.25">
      <c r="I1166" s="29"/>
      <c r="J1166" s="10"/>
      <c r="K1166" s="10"/>
      <c r="L1166" s="82"/>
      <c r="M1166" s="10"/>
      <c r="N1166" s="10"/>
    </row>
    <row r="1167" spans="9:14" x14ac:dyDescent="0.25">
      <c r="I1167" s="29"/>
      <c r="J1167" s="10"/>
      <c r="K1167" s="10"/>
      <c r="L1167" s="82"/>
      <c r="M1167" s="10"/>
      <c r="N1167" s="10"/>
    </row>
    <row r="1168" spans="9:14" x14ac:dyDescent="0.25">
      <c r="I1168" s="29"/>
      <c r="J1168" s="10"/>
      <c r="K1168" s="10"/>
      <c r="L1168" s="82"/>
      <c r="M1168" s="10"/>
      <c r="N1168" s="10"/>
    </row>
    <row r="1169" spans="9:14" x14ac:dyDescent="0.25">
      <c r="I1169" s="29"/>
      <c r="J1169" s="10"/>
      <c r="K1169" s="10"/>
      <c r="L1169" s="82"/>
      <c r="M1169" s="10"/>
      <c r="N1169" s="10"/>
    </row>
    <row r="1170" spans="9:14" x14ac:dyDescent="0.25">
      <c r="I1170" s="29"/>
      <c r="J1170" s="10"/>
      <c r="K1170" s="10"/>
      <c r="L1170" s="82"/>
      <c r="M1170" s="10"/>
      <c r="N1170" s="10"/>
    </row>
    <row r="1171" spans="9:14" x14ac:dyDescent="0.25">
      <c r="I1171" s="29"/>
      <c r="J1171" s="10"/>
      <c r="K1171" s="10"/>
      <c r="L1171" s="82"/>
      <c r="M1171" s="10"/>
      <c r="N1171" s="10"/>
    </row>
    <row r="1172" spans="9:14" x14ac:dyDescent="0.25">
      <c r="I1172" s="29"/>
      <c r="J1172" s="10"/>
      <c r="K1172" s="10"/>
      <c r="L1172" s="82"/>
      <c r="M1172" s="10"/>
      <c r="N1172" s="10"/>
    </row>
    <row r="1173" spans="9:14" x14ac:dyDescent="0.25">
      <c r="I1173" s="29"/>
      <c r="J1173" s="10"/>
      <c r="K1173" s="10"/>
      <c r="L1173" s="82"/>
      <c r="M1173" s="10"/>
      <c r="N1173" s="10"/>
    </row>
    <row r="1174" spans="9:14" x14ac:dyDescent="0.25">
      <c r="I1174" s="29"/>
      <c r="J1174" s="10"/>
      <c r="K1174" s="10"/>
      <c r="L1174" s="82"/>
      <c r="M1174" s="10"/>
      <c r="N1174" s="10"/>
    </row>
    <row r="1175" spans="9:14" x14ac:dyDescent="0.25">
      <c r="I1175" s="29"/>
      <c r="J1175" s="10"/>
      <c r="K1175" s="10"/>
      <c r="L1175" s="82"/>
      <c r="M1175" s="10"/>
      <c r="N1175" s="10"/>
    </row>
    <row r="1176" spans="9:14" x14ac:dyDescent="0.25">
      <c r="I1176" s="29"/>
      <c r="J1176" s="10"/>
      <c r="K1176" s="10"/>
      <c r="L1176" s="82"/>
      <c r="M1176" s="10"/>
      <c r="N1176" s="10"/>
    </row>
    <row r="1177" spans="9:14" x14ac:dyDescent="0.25">
      <c r="I1177" s="29"/>
      <c r="J1177" s="10"/>
      <c r="K1177" s="10"/>
      <c r="L1177" s="82"/>
      <c r="M1177" s="10"/>
      <c r="N1177" s="10"/>
    </row>
    <row r="1178" spans="9:14" x14ac:dyDescent="0.25">
      <c r="I1178" s="29"/>
      <c r="J1178" s="10"/>
      <c r="K1178" s="10"/>
      <c r="L1178" s="82"/>
      <c r="M1178" s="10"/>
      <c r="N1178" s="10"/>
    </row>
    <row r="1179" spans="9:14" x14ac:dyDescent="0.25">
      <c r="I1179" s="29"/>
      <c r="J1179" s="10"/>
      <c r="K1179" s="10"/>
      <c r="L1179" s="82"/>
      <c r="M1179" s="10"/>
      <c r="N1179" s="10"/>
    </row>
    <row r="1180" spans="9:14" x14ac:dyDescent="0.25">
      <c r="I1180" s="29"/>
      <c r="J1180" s="10"/>
      <c r="K1180" s="10"/>
      <c r="L1180" s="82"/>
      <c r="M1180" s="10"/>
      <c r="N1180" s="10"/>
    </row>
    <row r="1181" spans="9:14" x14ac:dyDescent="0.25">
      <c r="I1181" s="29"/>
      <c r="J1181" s="10"/>
      <c r="K1181" s="10"/>
      <c r="L1181" s="82"/>
      <c r="M1181" s="10"/>
      <c r="N1181" s="10"/>
    </row>
    <row r="1182" spans="9:14" x14ac:dyDescent="0.25">
      <c r="I1182" s="29"/>
      <c r="J1182" s="10"/>
      <c r="K1182" s="10"/>
      <c r="L1182" s="82"/>
      <c r="M1182" s="10"/>
      <c r="N1182" s="10"/>
    </row>
    <row r="1183" spans="9:14" x14ac:dyDescent="0.25">
      <c r="I1183" s="29"/>
      <c r="J1183" s="10"/>
      <c r="K1183" s="10"/>
      <c r="L1183" s="82"/>
      <c r="M1183" s="10"/>
      <c r="N1183" s="10"/>
    </row>
    <row r="1184" spans="9:14" x14ac:dyDescent="0.25">
      <c r="I1184" s="29"/>
      <c r="J1184" s="10"/>
      <c r="K1184" s="10"/>
      <c r="L1184" s="82"/>
      <c r="M1184" s="10"/>
      <c r="N1184" s="10"/>
    </row>
    <row r="1185" spans="9:14" x14ac:dyDescent="0.25">
      <c r="I1185" s="29"/>
      <c r="J1185" s="10"/>
      <c r="K1185" s="10"/>
      <c r="L1185" s="82"/>
      <c r="M1185" s="10"/>
      <c r="N1185" s="10"/>
    </row>
    <row r="1186" spans="9:14" x14ac:dyDescent="0.25">
      <c r="I1186" s="29"/>
      <c r="J1186" s="10"/>
      <c r="K1186" s="10"/>
      <c r="L1186" s="82"/>
      <c r="M1186" s="10"/>
      <c r="N1186" s="10"/>
    </row>
    <row r="1187" spans="9:14" x14ac:dyDescent="0.25">
      <c r="I1187" s="29"/>
      <c r="J1187" s="10"/>
      <c r="K1187" s="10"/>
      <c r="L1187" s="82"/>
      <c r="M1187" s="10"/>
      <c r="N1187" s="10"/>
    </row>
    <row r="1188" spans="9:14" x14ac:dyDescent="0.25">
      <c r="I1188" s="29"/>
      <c r="J1188" s="10"/>
      <c r="K1188" s="10"/>
      <c r="L1188" s="82"/>
      <c r="M1188" s="10"/>
      <c r="N1188" s="10"/>
    </row>
    <row r="1189" spans="9:14" x14ac:dyDescent="0.25">
      <c r="I1189" s="29"/>
      <c r="J1189" s="10"/>
      <c r="K1189" s="10"/>
      <c r="L1189" s="82"/>
      <c r="M1189" s="10"/>
      <c r="N1189" s="10"/>
    </row>
    <row r="1190" spans="9:14" x14ac:dyDescent="0.25">
      <c r="I1190" s="29"/>
      <c r="J1190" s="10"/>
      <c r="K1190" s="10"/>
      <c r="L1190" s="82"/>
      <c r="M1190" s="10"/>
      <c r="N1190" s="10"/>
    </row>
    <row r="1191" spans="9:14" x14ac:dyDescent="0.25">
      <c r="I1191" s="29"/>
      <c r="J1191" s="10"/>
      <c r="K1191" s="10"/>
      <c r="L1191" s="82"/>
      <c r="M1191" s="10"/>
      <c r="N1191" s="10"/>
    </row>
    <row r="1192" spans="9:14" x14ac:dyDescent="0.25">
      <c r="I1192" s="29"/>
      <c r="J1192" s="10"/>
      <c r="K1192" s="10"/>
      <c r="L1192" s="82"/>
      <c r="M1192" s="10"/>
      <c r="N1192" s="10"/>
    </row>
    <row r="1193" spans="9:14" x14ac:dyDescent="0.25">
      <c r="I1193" s="29"/>
      <c r="J1193" s="10"/>
      <c r="K1193" s="10"/>
      <c r="L1193" s="82"/>
      <c r="M1193" s="10"/>
      <c r="N1193" s="10"/>
    </row>
    <row r="1194" spans="9:14" x14ac:dyDescent="0.25">
      <c r="I1194" s="29"/>
      <c r="J1194" s="10"/>
      <c r="K1194" s="10"/>
      <c r="L1194" s="82"/>
      <c r="M1194" s="10"/>
      <c r="N1194" s="10"/>
    </row>
    <row r="1195" spans="9:14" x14ac:dyDescent="0.25">
      <c r="I1195" s="29"/>
      <c r="J1195" s="10"/>
      <c r="K1195" s="10"/>
      <c r="L1195" s="82"/>
      <c r="M1195" s="10"/>
      <c r="N1195" s="10"/>
    </row>
    <row r="1196" spans="9:14" x14ac:dyDescent="0.25">
      <c r="I1196" s="29"/>
      <c r="J1196" s="10"/>
      <c r="K1196" s="10"/>
      <c r="L1196" s="82"/>
      <c r="M1196" s="10"/>
      <c r="N1196" s="10"/>
    </row>
    <row r="1197" spans="9:14" x14ac:dyDescent="0.25">
      <c r="I1197" s="29"/>
      <c r="J1197" s="10"/>
      <c r="K1197" s="10"/>
      <c r="L1197" s="82"/>
      <c r="M1197" s="10"/>
      <c r="N1197" s="10"/>
    </row>
    <row r="1198" spans="9:14" x14ac:dyDescent="0.25">
      <c r="I1198" s="29"/>
      <c r="J1198" s="10"/>
      <c r="K1198" s="10"/>
      <c r="L1198" s="82"/>
      <c r="M1198" s="10"/>
      <c r="N1198" s="10"/>
    </row>
    <row r="1199" spans="9:14" x14ac:dyDescent="0.25">
      <c r="I1199" s="29"/>
      <c r="J1199" s="10"/>
      <c r="K1199" s="10"/>
      <c r="L1199" s="82"/>
      <c r="M1199" s="10"/>
      <c r="N1199" s="10"/>
    </row>
    <row r="1200" spans="9:14" x14ac:dyDescent="0.25">
      <c r="I1200" s="29"/>
      <c r="J1200" s="10"/>
      <c r="K1200" s="10"/>
      <c r="L1200" s="82"/>
      <c r="M1200" s="10"/>
      <c r="N1200" s="10"/>
    </row>
    <row r="1201" spans="9:14" x14ac:dyDescent="0.25">
      <c r="I1201" s="29"/>
      <c r="J1201" s="10"/>
      <c r="K1201" s="10"/>
      <c r="L1201" s="82"/>
      <c r="M1201" s="10"/>
      <c r="N1201" s="10"/>
    </row>
    <row r="1202" spans="9:14" x14ac:dyDescent="0.25">
      <c r="I1202" s="29"/>
      <c r="J1202" s="10"/>
      <c r="K1202" s="10"/>
      <c r="L1202" s="82"/>
      <c r="M1202" s="10"/>
      <c r="N1202" s="10"/>
    </row>
    <row r="1203" spans="9:14" x14ac:dyDescent="0.25">
      <c r="I1203" s="29"/>
      <c r="J1203" s="10"/>
      <c r="K1203" s="10"/>
      <c r="L1203" s="82"/>
      <c r="M1203" s="10"/>
      <c r="N1203" s="10"/>
    </row>
    <row r="1204" spans="9:14" x14ac:dyDescent="0.25">
      <c r="I1204" s="29"/>
      <c r="J1204" s="10"/>
      <c r="K1204" s="10"/>
      <c r="L1204" s="82"/>
      <c r="M1204" s="10"/>
      <c r="N1204" s="10"/>
    </row>
    <row r="1205" spans="9:14" x14ac:dyDescent="0.25">
      <c r="I1205" s="29"/>
      <c r="J1205" s="10"/>
      <c r="K1205" s="10"/>
      <c r="L1205" s="82"/>
      <c r="M1205" s="10"/>
      <c r="N1205" s="10"/>
    </row>
    <row r="1206" spans="9:14" x14ac:dyDescent="0.25">
      <c r="I1206" s="29"/>
      <c r="J1206" s="10"/>
      <c r="K1206" s="10"/>
      <c r="L1206" s="82"/>
      <c r="M1206" s="10"/>
      <c r="N1206" s="10"/>
    </row>
    <row r="1207" spans="9:14" x14ac:dyDescent="0.25">
      <c r="I1207" s="29"/>
      <c r="J1207" s="10"/>
      <c r="K1207" s="10"/>
      <c r="L1207" s="82"/>
      <c r="M1207" s="10"/>
      <c r="N1207" s="10"/>
    </row>
    <row r="1208" spans="9:14" x14ac:dyDescent="0.25">
      <c r="I1208" s="29"/>
      <c r="J1208" s="10"/>
      <c r="K1208" s="10"/>
      <c r="L1208" s="82"/>
      <c r="M1208" s="10"/>
      <c r="N1208" s="10"/>
    </row>
    <row r="1209" spans="9:14" x14ac:dyDescent="0.25">
      <c r="I1209" s="29"/>
      <c r="J1209" s="10"/>
      <c r="K1209" s="10"/>
      <c r="L1209" s="82"/>
      <c r="M1209" s="10"/>
      <c r="N1209" s="10"/>
    </row>
    <row r="1210" spans="9:14" x14ac:dyDescent="0.25">
      <c r="I1210" s="29"/>
      <c r="J1210" s="10"/>
      <c r="K1210" s="10"/>
      <c r="L1210" s="82"/>
      <c r="M1210" s="10"/>
      <c r="N1210" s="10"/>
    </row>
    <row r="1211" spans="9:14" x14ac:dyDescent="0.25">
      <c r="I1211" s="29"/>
      <c r="J1211" s="10"/>
      <c r="K1211" s="10"/>
      <c r="L1211" s="82"/>
      <c r="M1211" s="10"/>
      <c r="N1211" s="10"/>
    </row>
    <row r="1212" spans="9:14" x14ac:dyDescent="0.25">
      <c r="I1212" s="29"/>
      <c r="J1212" s="10"/>
      <c r="K1212" s="10"/>
      <c r="L1212" s="82"/>
      <c r="M1212" s="10"/>
      <c r="N1212" s="10"/>
    </row>
    <row r="1213" spans="9:14" x14ac:dyDescent="0.25">
      <c r="I1213" s="29"/>
      <c r="J1213" s="10"/>
      <c r="K1213" s="10"/>
      <c r="L1213" s="82"/>
      <c r="M1213" s="10"/>
      <c r="N1213" s="10"/>
    </row>
    <row r="1214" spans="9:14" x14ac:dyDescent="0.25">
      <c r="I1214" s="29"/>
      <c r="J1214" s="10"/>
      <c r="K1214" s="10"/>
      <c r="L1214" s="82"/>
      <c r="M1214" s="10"/>
      <c r="N1214" s="10"/>
    </row>
    <row r="1215" spans="9:14" x14ac:dyDescent="0.25">
      <c r="I1215" s="29"/>
      <c r="J1215" s="10"/>
      <c r="K1215" s="10"/>
      <c r="L1215" s="82"/>
      <c r="M1215" s="10"/>
      <c r="N1215" s="10"/>
    </row>
    <row r="1216" spans="9:14" x14ac:dyDescent="0.25">
      <c r="I1216" s="29"/>
      <c r="J1216" s="10"/>
      <c r="K1216" s="10"/>
      <c r="L1216" s="82"/>
      <c r="M1216" s="10"/>
      <c r="N1216" s="10"/>
    </row>
    <row r="1217" spans="9:14" x14ac:dyDescent="0.25">
      <c r="I1217" s="29"/>
      <c r="J1217" s="10"/>
      <c r="K1217" s="10"/>
      <c r="L1217" s="82"/>
      <c r="M1217" s="10"/>
      <c r="N1217" s="10"/>
    </row>
    <row r="1218" spans="9:14" x14ac:dyDescent="0.25">
      <c r="I1218" s="29"/>
      <c r="J1218" s="10"/>
      <c r="K1218" s="10"/>
      <c r="L1218" s="82"/>
      <c r="M1218" s="10"/>
      <c r="N1218" s="10"/>
    </row>
    <row r="1219" spans="9:14" x14ac:dyDescent="0.25">
      <c r="I1219" s="29"/>
      <c r="J1219" s="10"/>
      <c r="K1219" s="10"/>
      <c r="L1219" s="82"/>
      <c r="M1219" s="10"/>
      <c r="N1219" s="10"/>
    </row>
    <row r="1220" spans="9:14" x14ac:dyDescent="0.25">
      <c r="I1220" s="29"/>
      <c r="J1220" s="10"/>
      <c r="K1220" s="10"/>
      <c r="L1220" s="82"/>
      <c r="M1220" s="10"/>
      <c r="N1220" s="10"/>
    </row>
    <row r="1221" spans="9:14" x14ac:dyDescent="0.25">
      <c r="I1221" s="29"/>
      <c r="J1221" s="10"/>
      <c r="K1221" s="10"/>
      <c r="L1221" s="82"/>
      <c r="M1221" s="10"/>
      <c r="N1221" s="10"/>
    </row>
    <row r="1222" spans="9:14" x14ac:dyDescent="0.25">
      <c r="I1222" s="29"/>
      <c r="J1222" s="10"/>
      <c r="K1222" s="10"/>
      <c r="L1222" s="82"/>
      <c r="M1222" s="10"/>
      <c r="N1222" s="10"/>
    </row>
    <row r="1223" spans="9:14" x14ac:dyDescent="0.25">
      <c r="I1223" s="29"/>
      <c r="J1223" s="10"/>
      <c r="K1223" s="10"/>
      <c r="L1223" s="82"/>
      <c r="M1223" s="10"/>
      <c r="N1223" s="10"/>
    </row>
    <row r="1224" spans="9:14" x14ac:dyDescent="0.25">
      <c r="I1224" s="29"/>
      <c r="J1224" s="10"/>
      <c r="K1224" s="10"/>
      <c r="L1224" s="82"/>
      <c r="M1224" s="10"/>
      <c r="N1224" s="10"/>
    </row>
    <row r="1225" spans="9:14" x14ac:dyDescent="0.25">
      <c r="I1225" s="29"/>
      <c r="J1225" s="10"/>
      <c r="K1225" s="10"/>
      <c r="L1225" s="82"/>
      <c r="M1225" s="10"/>
      <c r="N1225" s="10"/>
    </row>
    <row r="1226" spans="9:14" x14ac:dyDescent="0.25">
      <c r="I1226" s="29"/>
      <c r="J1226" s="10"/>
      <c r="K1226" s="10"/>
      <c r="L1226" s="82"/>
      <c r="M1226" s="10"/>
      <c r="N1226" s="10"/>
    </row>
    <row r="1227" spans="9:14" x14ac:dyDescent="0.25">
      <c r="I1227" s="29"/>
      <c r="J1227" s="10"/>
      <c r="K1227" s="10"/>
      <c r="L1227" s="82"/>
      <c r="M1227" s="10"/>
      <c r="N1227" s="10"/>
    </row>
    <row r="1228" spans="9:14" x14ac:dyDescent="0.25">
      <c r="I1228" s="29"/>
      <c r="J1228" s="10"/>
      <c r="K1228" s="10"/>
      <c r="L1228" s="82"/>
      <c r="M1228" s="10"/>
      <c r="N1228" s="10"/>
    </row>
    <row r="1229" spans="9:14" x14ac:dyDescent="0.25">
      <c r="I1229" s="29"/>
      <c r="J1229" s="10"/>
      <c r="K1229" s="10"/>
      <c r="L1229" s="82"/>
      <c r="M1229" s="10"/>
      <c r="N1229" s="10"/>
    </row>
    <row r="1230" spans="9:14" x14ac:dyDescent="0.25">
      <c r="I1230" s="29"/>
      <c r="J1230" s="10"/>
      <c r="K1230" s="10"/>
      <c r="L1230" s="82"/>
      <c r="M1230" s="10"/>
      <c r="N1230" s="10"/>
    </row>
    <row r="1231" spans="9:14" x14ac:dyDescent="0.25">
      <c r="I1231" s="29"/>
      <c r="J1231" s="10"/>
      <c r="K1231" s="10"/>
      <c r="L1231" s="82"/>
      <c r="M1231" s="10"/>
      <c r="N1231" s="10"/>
    </row>
    <row r="1232" spans="9:14" x14ac:dyDescent="0.25">
      <c r="I1232" s="29"/>
      <c r="J1232" s="10"/>
      <c r="K1232" s="10"/>
      <c r="L1232" s="82"/>
      <c r="M1232" s="10"/>
      <c r="N1232" s="10"/>
    </row>
    <row r="1233" spans="9:14" x14ac:dyDescent="0.25">
      <c r="I1233" s="29"/>
      <c r="J1233" s="10"/>
      <c r="K1233" s="10"/>
      <c r="L1233" s="82"/>
      <c r="M1233" s="10"/>
      <c r="N1233" s="10"/>
    </row>
    <row r="1234" spans="9:14" x14ac:dyDescent="0.25">
      <c r="I1234" s="29"/>
      <c r="J1234" s="10"/>
      <c r="K1234" s="10"/>
      <c r="L1234" s="82"/>
      <c r="M1234" s="10"/>
      <c r="N1234" s="10"/>
    </row>
    <row r="1235" spans="9:14" x14ac:dyDescent="0.25">
      <c r="I1235" s="29"/>
      <c r="J1235" s="10"/>
      <c r="K1235" s="10"/>
      <c r="L1235" s="82"/>
      <c r="M1235" s="10"/>
      <c r="N1235" s="10"/>
    </row>
    <row r="1236" spans="9:14" x14ac:dyDescent="0.25">
      <c r="I1236" s="29"/>
      <c r="J1236" s="10"/>
      <c r="K1236" s="10"/>
      <c r="L1236" s="82"/>
      <c r="M1236" s="10"/>
      <c r="N1236" s="10"/>
    </row>
    <row r="1237" spans="9:14" x14ac:dyDescent="0.25">
      <c r="I1237" s="29"/>
      <c r="J1237" s="10"/>
      <c r="K1237" s="10"/>
      <c r="L1237" s="82"/>
      <c r="M1237" s="10"/>
      <c r="N1237" s="10"/>
    </row>
    <row r="1238" spans="9:14" x14ac:dyDescent="0.25">
      <c r="I1238" s="29"/>
      <c r="J1238" s="10"/>
      <c r="K1238" s="10"/>
      <c r="L1238" s="82"/>
      <c r="M1238" s="10"/>
      <c r="N1238" s="10"/>
    </row>
    <row r="1239" spans="9:14" x14ac:dyDescent="0.25">
      <c r="I1239" s="29"/>
      <c r="J1239" s="10"/>
      <c r="K1239" s="10"/>
      <c r="L1239" s="82"/>
      <c r="M1239" s="10"/>
      <c r="N1239" s="10"/>
    </row>
    <row r="1240" spans="9:14" x14ac:dyDescent="0.25">
      <c r="I1240" s="29"/>
      <c r="J1240" s="10"/>
      <c r="K1240" s="10"/>
      <c r="L1240" s="82"/>
      <c r="M1240" s="10"/>
      <c r="N1240" s="10"/>
    </row>
    <row r="1241" spans="9:14" x14ac:dyDescent="0.25">
      <c r="I1241" s="29"/>
      <c r="J1241" s="10"/>
      <c r="K1241" s="10"/>
      <c r="L1241" s="82"/>
      <c r="M1241" s="10"/>
      <c r="N1241" s="10"/>
    </row>
    <row r="1242" spans="9:14" x14ac:dyDescent="0.25">
      <c r="I1242" s="29"/>
      <c r="J1242" s="10"/>
      <c r="K1242" s="10"/>
      <c r="L1242" s="82"/>
      <c r="M1242" s="10"/>
      <c r="N1242" s="10"/>
    </row>
    <row r="1243" spans="9:14" x14ac:dyDescent="0.25">
      <c r="I1243" s="29"/>
      <c r="J1243" s="10"/>
      <c r="K1243" s="10"/>
      <c r="L1243" s="82"/>
      <c r="M1243" s="10"/>
      <c r="N1243" s="10"/>
    </row>
    <row r="1244" spans="9:14" x14ac:dyDescent="0.25">
      <c r="I1244" s="29"/>
      <c r="J1244" s="10"/>
      <c r="K1244" s="10"/>
      <c r="L1244" s="82"/>
      <c r="M1244" s="10"/>
      <c r="N1244" s="10"/>
    </row>
    <row r="1245" spans="9:14" x14ac:dyDescent="0.25">
      <c r="I1245" s="29"/>
      <c r="J1245" s="10"/>
      <c r="K1245" s="10"/>
      <c r="L1245" s="82"/>
      <c r="M1245" s="10"/>
      <c r="N1245" s="10"/>
    </row>
    <row r="1246" spans="9:14" x14ac:dyDescent="0.25">
      <c r="I1246" s="29"/>
      <c r="J1246" s="10"/>
      <c r="K1246" s="10"/>
      <c r="L1246" s="82"/>
      <c r="M1246" s="10"/>
      <c r="N1246" s="10"/>
    </row>
    <row r="1247" spans="9:14" x14ac:dyDescent="0.25">
      <c r="I1247" s="29"/>
      <c r="J1247" s="10"/>
      <c r="K1247" s="10"/>
      <c r="L1247" s="82"/>
      <c r="M1247" s="10"/>
      <c r="N1247" s="10"/>
    </row>
    <row r="1248" spans="9:14" x14ac:dyDescent="0.25">
      <c r="I1248" s="29"/>
      <c r="J1248" s="10"/>
      <c r="K1248" s="10"/>
      <c r="L1248" s="82"/>
      <c r="M1248" s="10"/>
      <c r="N1248" s="10"/>
    </row>
    <row r="1249" spans="9:14" x14ac:dyDescent="0.25">
      <c r="I1249" s="29"/>
      <c r="J1249" s="10"/>
      <c r="K1249" s="10"/>
      <c r="L1249" s="82"/>
      <c r="M1249" s="10"/>
      <c r="N1249" s="10"/>
    </row>
    <row r="1250" spans="9:14" x14ac:dyDescent="0.25">
      <c r="I1250" s="29"/>
      <c r="J1250" s="10"/>
      <c r="K1250" s="10"/>
      <c r="L1250" s="82"/>
      <c r="M1250" s="10"/>
      <c r="N1250" s="10"/>
    </row>
    <row r="1251" spans="9:14" x14ac:dyDescent="0.25">
      <c r="I1251" s="29"/>
      <c r="J1251" s="10"/>
      <c r="K1251" s="10"/>
      <c r="L1251" s="82"/>
      <c r="M1251" s="10"/>
      <c r="N1251" s="10"/>
    </row>
    <row r="1252" spans="9:14" x14ac:dyDescent="0.25">
      <c r="I1252" s="29"/>
      <c r="J1252" s="10"/>
      <c r="K1252" s="10"/>
      <c r="L1252" s="82"/>
      <c r="M1252" s="10"/>
      <c r="N1252" s="10"/>
    </row>
    <row r="1253" spans="9:14" x14ac:dyDescent="0.25">
      <c r="I1253" s="29"/>
      <c r="J1253" s="10"/>
      <c r="K1253" s="10"/>
      <c r="L1253" s="82"/>
      <c r="M1253" s="10"/>
      <c r="N1253" s="10"/>
    </row>
    <row r="1254" spans="9:14" x14ac:dyDescent="0.25">
      <c r="I1254" s="29"/>
      <c r="J1254" s="10"/>
      <c r="K1254" s="10"/>
      <c r="L1254" s="82"/>
      <c r="M1254" s="10"/>
      <c r="N1254" s="10"/>
    </row>
    <row r="1255" spans="9:14" x14ac:dyDescent="0.25">
      <c r="I1255" s="29"/>
      <c r="J1255" s="10"/>
      <c r="K1255" s="10"/>
      <c r="L1255" s="82"/>
      <c r="M1255" s="10"/>
      <c r="N1255" s="10"/>
    </row>
    <row r="1256" spans="9:14" x14ac:dyDescent="0.25">
      <c r="I1256" s="29"/>
      <c r="J1256" s="10"/>
      <c r="K1256" s="10"/>
      <c r="L1256" s="82"/>
      <c r="M1256" s="10"/>
      <c r="N1256" s="10"/>
    </row>
    <row r="1257" spans="9:14" x14ac:dyDescent="0.25">
      <c r="I1257" s="29"/>
      <c r="J1257" s="10"/>
      <c r="K1257" s="10"/>
      <c r="L1257" s="82"/>
      <c r="M1257" s="10"/>
      <c r="N1257" s="10"/>
    </row>
    <row r="1258" spans="9:14" x14ac:dyDescent="0.25">
      <c r="I1258" s="29"/>
      <c r="J1258" s="10"/>
      <c r="K1258" s="10"/>
      <c r="L1258" s="82"/>
      <c r="M1258" s="10"/>
      <c r="N1258" s="10"/>
    </row>
    <row r="1259" spans="9:14" x14ac:dyDescent="0.25">
      <c r="I1259" s="29"/>
      <c r="J1259" s="10"/>
      <c r="K1259" s="10"/>
      <c r="L1259" s="82"/>
      <c r="M1259" s="10"/>
      <c r="N1259" s="10"/>
    </row>
    <row r="1260" spans="9:14" x14ac:dyDescent="0.25">
      <c r="I1260" s="29"/>
      <c r="J1260" s="10"/>
      <c r="K1260" s="10"/>
      <c r="L1260" s="82"/>
      <c r="M1260" s="10"/>
      <c r="N1260" s="10"/>
    </row>
    <row r="1261" spans="9:14" x14ac:dyDescent="0.25">
      <c r="I1261" s="29"/>
      <c r="J1261" s="10"/>
      <c r="K1261" s="10"/>
      <c r="L1261" s="82"/>
      <c r="M1261" s="10"/>
      <c r="N1261" s="10"/>
    </row>
    <row r="1262" spans="9:14" x14ac:dyDescent="0.25">
      <c r="I1262" s="29"/>
      <c r="J1262" s="10"/>
      <c r="K1262" s="10"/>
      <c r="L1262" s="82"/>
      <c r="M1262" s="10"/>
      <c r="N1262" s="10"/>
    </row>
    <row r="1263" spans="9:14" x14ac:dyDescent="0.25">
      <c r="I1263" s="29"/>
      <c r="J1263" s="10"/>
      <c r="K1263" s="10"/>
      <c r="L1263" s="82"/>
      <c r="M1263" s="10"/>
      <c r="N1263" s="10"/>
    </row>
    <row r="1264" spans="9:14" x14ac:dyDescent="0.25">
      <c r="I1264" s="29"/>
      <c r="J1264" s="10"/>
      <c r="K1264" s="10"/>
      <c r="L1264" s="82"/>
      <c r="M1264" s="10"/>
      <c r="N1264" s="10"/>
    </row>
    <row r="1265" spans="9:14" x14ac:dyDescent="0.25">
      <c r="I1265" s="29"/>
      <c r="J1265" s="10"/>
      <c r="K1265" s="10"/>
      <c r="L1265" s="82"/>
      <c r="M1265" s="10"/>
      <c r="N1265" s="10"/>
    </row>
    <row r="1266" spans="9:14" x14ac:dyDescent="0.25">
      <c r="I1266" s="29"/>
      <c r="J1266" s="10"/>
      <c r="K1266" s="10"/>
      <c r="L1266" s="82"/>
      <c r="M1266" s="10"/>
      <c r="N1266" s="10"/>
    </row>
    <row r="1267" spans="9:14" x14ac:dyDescent="0.25">
      <c r="I1267" s="29"/>
      <c r="J1267" s="10"/>
      <c r="K1267" s="10"/>
      <c r="L1267" s="82"/>
      <c r="M1267" s="10"/>
      <c r="N1267" s="10"/>
    </row>
    <row r="1268" spans="9:14" x14ac:dyDescent="0.25">
      <c r="I1268" s="29"/>
      <c r="J1268" s="10"/>
      <c r="K1268" s="10"/>
      <c r="L1268" s="82"/>
      <c r="M1268" s="10"/>
      <c r="N1268" s="10"/>
    </row>
    <row r="1269" spans="9:14" x14ac:dyDescent="0.25">
      <c r="I1269" s="29"/>
      <c r="J1269" s="10"/>
      <c r="K1269" s="10"/>
      <c r="L1269" s="82"/>
      <c r="M1269" s="10"/>
      <c r="N1269" s="10"/>
    </row>
    <row r="1270" spans="9:14" x14ac:dyDescent="0.25">
      <c r="I1270" s="29"/>
      <c r="J1270" s="10"/>
      <c r="K1270" s="10"/>
      <c r="L1270" s="82"/>
      <c r="M1270" s="10"/>
      <c r="N1270" s="10"/>
    </row>
    <row r="1271" spans="9:14" x14ac:dyDescent="0.25">
      <c r="I1271" s="29"/>
      <c r="J1271" s="10"/>
      <c r="K1271" s="10"/>
      <c r="L1271" s="82"/>
      <c r="M1271" s="10"/>
      <c r="N1271" s="10"/>
    </row>
    <row r="1272" spans="9:14" x14ac:dyDescent="0.25">
      <c r="I1272" s="29"/>
      <c r="J1272" s="10"/>
      <c r="K1272" s="10"/>
      <c r="L1272" s="82"/>
      <c r="M1272" s="10"/>
      <c r="N1272" s="10"/>
    </row>
    <row r="1273" spans="9:14" x14ac:dyDescent="0.25">
      <c r="I1273" s="29"/>
      <c r="J1273" s="10"/>
      <c r="K1273" s="10"/>
      <c r="L1273" s="82"/>
      <c r="M1273" s="10"/>
      <c r="N1273" s="10"/>
    </row>
    <row r="1274" spans="9:14" x14ac:dyDescent="0.25">
      <c r="I1274" s="29"/>
      <c r="J1274" s="10"/>
      <c r="K1274" s="10"/>
      <c r="L1274" s="82"/>
      <c r="M1274" s="10"/>
      <c r="N1274" s="10"/>
    </row>
    <row r="1275" spans="9:14" x14ac:dyDescent="0.25">
      <c r="I1275" s="29"/>
      <c r="J1275" s="10"/>
      <c r="K1275" s="10"/>
      <c r="L1275" s="82"/>
      <c r="M1275" s="10"/>
      <c r="N1275" s="10"/>
    </row>
    <row r="1276" spans="9:14" x14ac:dyDescent="0.25">
      <c r="I1276" s="29"/>
      <c r="J1276" s="10"/>
      <c r="K1276" s="10"/>
      <c r="L1276" s="82"/>
      <c r="M1276" s="10"/>
      <c r="N1276" s="10"/>
    </row>
    <row r="1277" spans="9:14" x14ac:dyDescent="0.25">
      <c r="I1277" s="29"/>
      <c r="J1277" s="10"/>
      <c r="K1277" s="10"/>
      <c r="L1277" s="82"/>
      <c r="M1277" s="10"/>
      <c r="N1277" s="10"/>
    </row>
    <row r="1278" spans="9:14" x14ac:dyDescent="0.25">
      <c r="I1278" s="29"/>
      <c r="J1278" s="10"/>
      <c r="K1278" s="10"/>
      <c r="L1278" s="82"/>
      <c r="M1278" s="10"/>
      <c r="N1278" s="10"/>
    </row>
    <row r="1279" spans="9:14" x14ac:dyDescent="0.25">
      <c r="I1279" s="29"/>
      <c r="J1279" s="10"/>
      <c r="K1279" s="10"/>
      <c r="L1279" s="82"/>
      <c r="M1279" s="10"/>
      <c r="N1279" s="10"/>
    </row>
    <row r="1280" spans="9:14" x14ac:dyDescent="0.25">
      <c r="I1280" s="29"/>
      <c r="J1280" s="10"/>
      <c r="K1280" s="10"/>
      <c r="L1280" s="82"/>
      <c r="M1280" s="10"/>
      <c r="N1280" s="10"/>
    </row>
    <row r="1281" spans="9:14" x14ac:dyDescent="0.25">
      <c r="I1281" s="29"/>
      <c r="J1281" s="10"/>
      <c r="K1281" s="10"/>
      <c r="L1281" s="82"/>
      <c r="M1281" s="10"/>
      <c r="N1281" s="10"/>
    </row>
    <row r="1282" spans="9:14" x14ac:dyDescent="0.25">
      <c r="I1282" s="29"/>
      <c r="J1282" s="10"/>
      <c r="K1282" s="10"/>
      <c r="L1282" s="82"/>
      <c r="M1282" s="10"/>
      <c r="N1282" s="10"/>
    </row>
    <row r="1283" spans="9:14" x14ac:dyDescent="0.25">
      <c r="I1283" s="29"/>
      <c r="J1283" s="10"/>
      <c r="K1283" s="10"/>
      <c r="L1283" s="82"/>
      <c r="M1283" s="10"/>
      <c r="N1283" s="10"/>
    </row>
    <row r="1284" spans="9:14" x14ac:dyDescent="0.25">
      <c r="I1284" s="29"/>
      <c r="J1284" s="10"/>
      <c r="K1284" s="10"/>
      <c r="L1284" s="82"/>
      <c r="M1284" s="10"/>
      <c r="N1284" s="10"/>
    </row>
    <row r="1285" spans="9:14" x14ac:dyDescent="0.25">
      <c r="I1285" s="29"/>
      <c r="J1285" s="10"/>
      <c r="K1285" s="10"/>
      <c r="L1285" s="82"/>
      <c r="M1285" s="10"/>
      <c r="N1285" s="10"/>
    </row>
    <row r="1286" spans="9:14" x14ac:dyDescent="0.25">
      <c r="I1286" s="29"/>
      <c r="J1286" s="10"/>
      <c r="K1286" s="10"/>
      <c r="L1286" s="82"/>
      <c r="M1286" s="10"/>
      <c r="N1286" s="10"/>
    </row>
    <row r="1287" spans="9:14" x14ac:dyDescent="0.25">
      <c r="I1287" s="29"/>
      <c r="J1287" s="10"/>
      <c r="K1287" s="10"/>
      <c r="L1287" s="82"/>
      <c r="M1287" s="10"/>
      <c r="N1287" s="10"/>
    </row>
    <row r="1288" spans="9:14" x14ac:dyDescent="0.25">
      <c r="I1288" s="29"/>
      <c r="J1288" s="10"/>
      <c r="K1288" s="10"/>
      <c r="L1288" s="82"/>
      <c r="M1288" s="10"/>
      <c r="N1288" s="10"/>
    </row>
    <row r="1289" spans="9:14" x14ac:dyDescent="0.25">
      <c r="I1289" s="29"/>
      <c r="J1289" s="10"/>
      <c r="K1289" s="10"/>
      <c r="L1289" s="82"/>
      <c r="M1289" s="10"/>
      <c r="N1289" s="10"/>
    </row>
    <row r="1290" spans="9:14" x14ac:dyDescent="0.25">
      <c r="I1290" s="29"/>
      <c r="J1290" s="10"/>
      <c r="K1290" s="10"/>
      <c r="L1290" s="82"/>
      <c r="M1290" s="10"/>
      <c r="N1290" s="10"/>
    </row>
    <row r="1291" spans="9:14" x14ac:dyDescent="0.25">
      <c r="I1291" s="29"/>
      <c r="J1291" s="10"/>
      <c r="K1291" s="10"/>
      <c r="L1291" s="82"/>
      <c r="M1291" s="10"/>
      <c r="N1291" s="10"/>
    </row>
    <row r="1292" spans="9:14" x14ac:dyDescent="0.25">
      <c r="I1292" s="29"/>
      <c r="J1292" s="10"/>
      <c r="K1292" s="10"/>
      <c r="L1292" s="82"/>
      <c r="M1292" s="10"/>
      <c r="N1292" s="10"/>
    </row>
    <row r="1293" spans="9:14" x14ac:dyDescent="0.25">
      <c r="I1293" s="29"/>
      <c r="J1293" s="10"/>
      <c r="K1293" s="10"/>
      <c r="L1293" s="82"/>
      <c r="M1293" s="10"/>
      <c r="N1293" s="10"/>
    </row>
    <row r="1294" spans="9:14" x14ac:dyDescent="0.25">
      <c r="I1294" s="29"/>
      <c r="J1294" s="10"/>
      <c r="K1294" s="10"/>
      <c r="L1294" s="82"/>
      <c r="M1294" s="10"/>
      <c r="N1294" s="10"/>
    </row>
    <row r="1295" spans="9:14" x14ac:dyDescent="0.25">
      <c r="I1295" s="29"/>
      <c r="J1295" s="10"/>
      <c r="K1295" s="10"/>
      <c r="L1295" s="82"/>
      <c r="M1295" s="10"/>
      <c r="N1295" s="10"/>
    </row>
    <row r="1296" spans="9:14" x14ac:dyDescent="0.25">
      <c r="I1296" s="29"/>
      <c r="J1296" s="10"/>
      <c r="K1296" s="10"/>
      <c r="L1296" s="82"/>
      <c r="M1296" s="10"/>
      <c r="N1296" s="10"/>
    </row>
    <row r="1297" spans="9:14" x14ac:dyDescent="0.25">
      <c r="I1297" s="29"/>
      <c r="J1297" s="10"/>
      <c r="K1297" s="10"/>
      <c r="L1297" s="82"/>
      <c r="M1297" s="10"/>
      <c r="N1297" s="10"/>
    </row>
    <row r="1298" spans="9:14" x14ac:dyDescent="0.25">
      <c r="I1298" s="29"/>
      <c r="J1298" s="10"/>
      <c r="K1298" s="10"/>
      <c r="L1298" s="82"/>
      <c r="M1298" s="10"/>
      <c r="N1298" s="10"/>
    </row>
    <row r="1299" spans="9:14" x14ac:dyDescent="0.25">
      <c r="I1299" s="29"/>
      <c r="J1299" s="10"/>
      <c r="K1299" s="10"/>
      <c r="L1299" s="82"/>
      <c r="M1299" s="10"/>
      <c r="N1299" s="10"/>
    </row>
    <row r="1300" spans="9:14" x14ac:dyDescent="0.25">
      <c r="I1300" s="29"/>
      <c r="J1300" s="10"/>
      <c r="K1300" s="10"/>
      <c r="L1300" s="82"/>
      <c r="M1300" s="10"/>
      <c r="N1300" s="10"/>
    </row>
    <row r="1301" spans="9:14" x14ac:dyDescent="0.25">
      <c r="I1301" s="29"/>
      <c r="J1301" s="10"/>
      <c r="K1301" s="10"/>
      <c r="L1301" s="82"/>
      <c r="M1301" s="10"/>
      <c r="N1301" s="10"/>
    </row>
    <row r="1302" spans="9:14" x14ac:dyDescent="0.25">
      <c r="I1302" s="29"/>
      <c r="J1302" s="10"/>
      <c r="K1302" s="10"/>
      <c r="L1302" s="82"/>
      <c r="M1302" s="10"/>
      <c r="N1302" s="10"/>
    </row>
    <row r="1303" spans="9:14" x14ac:dyDescent="0.25">
      <c r="I1303" s="29"/>
      <c r="J1303" s="10"/>
      <c r="K1303" s="10"/>
      <c r="L1303" s="82"/>
      <c r="M1303" s="10"/>
      <c r="N1303" s="10"/>
    </row>
    <row r="1304" spans="9:14" x14ac:dyDescent="0.25">
      <c r="I1304" s="29"/>
      <c r="J1304" s="10"/>
      <c r="K1304" s="10"/>
      <c r="L1304" s="82"/>
      <c r="M1304" s="10"/>
      <c r="N1304" s="10"/>
    </row>
    <row r="1305" spans="9:14" x14ac:dyDescent="0.25">
      <c r="I1305" s="29"/>
      <c r="J1305" s="10"/>
      <c r="K1305" s="10"/>
      <c r="L1305" s="82"/>
      <c r="M1305" s="10"/>
      <c r="N1305" s="10"/>
    </row>
    <row r="1306" spans="9:14" x14ac:dyDescent="0.25">
      <c r="I1306" s="29"/>
      <c r="J1306" s="10"/>
      <c r="K1306" s="10"/>
      <c r="L1306" s="82"/>
      <c r="M1306" s="10"/>
      <c r="N1306" s="10"/>
    </row>
    <row r="1307" spans="9:14" x14ac:dyDescent="0.25">
      <c r="I1307" s="29"/>
      <c r="J1307" s="10"/>
      <c r="K1307" s="10"/>
      <c r="L1307" s="82"/>
      <c r="M1307" s="10"/>
      <c r="N1307" s="10"/>
    </row>
    <row r="1308" spans="9:14" x14ac:dyDescent="0.25">
      <c r="I1308" s="29"/>
      <c r="J1308" s="10"/>
      <c r="K1308" s="10"/>
      <c r="L1308" s="82"/>
      <c r="M1308" s="10"/>
      <c r="N1308" s="10"/>
    </row>
    <row r="1309" spans="9:14" x14ac:dyDescent="0.25">
      <c r="I1309" s="29"/>
      <c r="J1309" s="10"/>
      <c r="K1309" s="10"/>
      <c r="L1309" s="82"/>
      <c r="M1309" s="10"/>
      <c r="N1309" s="10"/>
    </row>
    <row r="1310" spans="9:14" x14ac:dyDescent="0.25">
      <c r="I1310" s="29"/>
      <c r="J1310" s="10"/>
      <c r="K1310" s="10"/>
      <c r="L1310" s="82"/>
      <c r="M1310" s="10"/>
      <c r="N1310" s="10"/>
    </row>
    <row r="1311" spans="9:14" x14ac:dyDescent="0.25">
      <c r="I1311" s="29"/>
      <c r="J1311" s="10"/>
      <c r="K1311" s="10"/>
      <c r="L1311" s="82"/>
      <c r="M1311" s="10"/>
      <c r="N1311" s="10"/>
    </row>
    <row r="1312" spans="9:14" x14ac:dyDescent="0.25">
      <c r="I1312" s="29"/>
      <c r="J1312" s="10"/>
      <c r="K1312" s="10"/>
      <c r="L1312" s="82"/>
      <c r="M1312" s="10"/>
      <c r="N1312" s="10"/>
    </row>
    <row r="1313" spans="9:14" x14ac:dyDescent="0.25">
      <c r="I1313" s="29"/>
      <c r="J1313" s="10"/>
      <c r="K1313" s="10"/>
      <c r="L1313" s="82"/>
      <c r="M1313" s="10"/>
      <c r="N1313" s="10"/>
    </row>
    <row r="1314" spans="9:14" x14ac:dyDescent="0.25">
      <c r="I1314" s="29"/>
      <c r="J1314" s="10"/>
      <c r="K1314" s="10"/>
      <c r="L1314" s="82"/>
      <c r="M1314" s="10"/>
      <c r="N1314" s="10"/>
    </row>
    <row r="1315" spans="9:14" x14ac:dyDescent="0.25">
      <c r="I1315" s="29"/>
      <c r="J1315" s="10"/>
      <c r="K1315" s="10"/>
      <c r="L1315" s="82"/>
      <c r="M1315" s="10"/>
      <c r="N1315" s="10"/>
    </row>
    <row r="1316" spans="9:14" x14ac:dyDescent="0.25">
      <c r="I1316" s="29"/>
      <c r="J1316" s="10"/>
      <c r="K1316" s="10"/>
      <c r="L1316" s="82"/>
      <c r="M1316" s="10"/>
      <c r="N1316" s="10"/>
    </row>
    <row r="1317" spans="9:14" x14ac:dyDescent="0.25">
      <c r="I1317" s="29"/>
      <c r="J1317" s="10"/>
      <c r="K1317" s="10"/>
      <c r="L1317" s="82"/>
      <c r="M1317" s="10"/>
      <c r="N1317" s="10"/>
    </row>
    <row r="1318" spans="9:14" x14ac:dyDescent="0.25">
      <c r="I1318" s="29"/>
      <c r="J1318" s="10"/>
      <c r="K1318" s="10"/>
      <c r="L1318" s="82"/>
      <c r="M1318" s="10"/>
      <c r="N1318" s="10"/>
    </row>
    <row r="1319" spans="9:14" x14ac:dyDescent="0.25">
      <c r="I1319" s="29"/>
      <c r="J1319" s="10"/>
      <c r="K1319" s="10"/>
      <c r="L1319" s="82"/>
      <c r="M1319" s="10"/>
      <c r="N1319" s="10"/>
    </row>
    <row r="1320" spans="9:14" x14ac:dyDescent="0.25">
      <c r="I1320" s="29"/>
      <c r="J1320" s="10"/>
      <c r="K1320" s="10"/>
      <c r="L1320" s="82"/>
      <c r="M1320" s="10"/>
      <c r="N1320" s="10"/>
    </row>
    <row r="1321" spans="9:14" x14ac:dyDescent="0.25">
      <c r="I1321" s="29"/>
      <c r="J1321" s="10"/>
      <c r="K1321" s="10"/>
      <c r="L1321" s="82"/>
      <c r="M1321" s="10"/>
      <c r="N1321" s="10"/>
    </row>
    <row r="1322" spans="9:14" x14ac:dyDescent="0.25">
      <c r="I1322" s="29"/>
      <c r="J1322" s="10"/>
      <c r="K1322" s="10"/>
      <c r="L1322" s="82"/>
      <c r="M1322" s="10"/>
      <c r="N1322" s="10"/>
    </row>
    <row r="1323" spans="9:14" x14ac:dyDescent="0.25">
      <c r="I1323" s="29"/>
      <c r="J1323" s="10"/>
      <c r="K1323" s="10"/>
      <c r="L1323" s="82"/>
      <c r="M1323" s="10"/>
      <c r="N1323" s="10"/>
    </row>
    <row r="1324" spans="9:14" x14ac:dyDescent="0.25">
      <c r="I1324" s="29"/>
      <c r="J1324" s="10"/>
      <c r="K1324" s="10"/>
      <c r="L1324" s="82"/>
      <c r="M1324" s="10"/>
      <c r="N1324" s="10"/>
    </row>
    <row r="1325" spans="9:14" x14ac:dyDescent="0.25">
      <c r="I1325" s="29"/>
      <c r="J1325" s="10"/>
      <c r="K1325" s="10"/>
      <c r="L1325" s="82"/>
      <c r="M1325" s="10"/>
      <c r="N1325" s="10"/>
    </row>
    <row r="1326" spans="9:14" x14ac:dyDescent="0.25">
      <c r="I1326" s="29"/>
      <c r="J1326" s="10"/>
      <c r="K1326" s="10"/>
      <c r="L1326" s="82"/>
      <c r="M1326" s="10"/>
      <c r="N1326" s="10"/>
    </row>
    <row r="1327" spans="9:14" x14ac:dyDescent="0.25">
      <c r="I1327" s="29"/>
      <c r="J1327" s="10"/>
      <c r="K1327" s="10"/>
      <c r="L1327" s="82"/>
      <c r="M1327" s="10"/>
      <c r="N1327" s="10"/>
    </row>
    <row r="1328" spans="9:14" x14ac:dyDescent="0.25">
      <c r="I1328" s="29"/>
      <c r="J1328" s="10"/>
      <c r="K1328" s="10"/>
      <c r="L1328" s="82"/>
      <c r="M1328" s="10"/>
      <c r="N1328" s="10"/>
    </row>
    <row r="1329" spans="9:14" x14ac:dyDescent="0.25">
      <c r="I1329" s="29"/>
      <c r="J1329" s="10"/>
      <c r="K1329" s="10"/>
      <c r="L1329" s="82"/>
      <c r="M1329" s="10"/>
      <c r="N1329" s="10"/>
    </row>
    <row r="1330" spans="9:14" x14ac:dyDescent="0.25">
      <c r="I1330" s="29"/>
      <c r="J1330" s="10"/>
      <c r="K1330" s="10"/>
      <c r="L1330" s="82"/>
      <c r="M1330" s="10"/>
      <c r="N1330" s="10"/>
    </row>
    <row r="1331" spans="9:14" x14ac:dyDescent="0.25">
      <c r="I1331" s="29"/>
      <c r="J1331" s="10"/>
      <c r="K1331" s="10"/>
      <c r="L1331" s="82"/>
      <c r="M1331" s="10"/>
      <c r="N1331" s="10"/>
    </row>
    <row r="1332" spans="9:14" x14ac:dyDescent="0.25">
      <c r="I1332" s="29"/>
      <c r="J1332" s="10"/>
      <c r="K1332" s="10"/>
      <c r="L1332" s="82"/>
      <c r="M1332" s="10"/>
      <c r="N1332" s="10"/>
    </row>
    <row r="1333" spans="9:14" x14ac:dyDescent="0.25">
      <c r="I1333" s="29"/>
      <c r="J1333" s="10"/>
      <c r="K1333" s="10"/>
      <c r="L1333" s="82"/>
      <c r="M1333" s="10"/>
      <c r="N1333" s="10"/>
    </row>
    <row r="1334" spans="9:14" x14ac:dyDescent="0.25">
      <c r="I1334" s="29"/>
      <c r="J1334" s="10"/>
      <c r="K1334" s="10"/>
      <c r="L1334" s="82"/>
      <c r="M1334" s="10"/>
      <c r="N1334" s="10"/>
    </row>
    <row r="1335" spans="9:14" x14ac:dyDescent="0.25">
      <c r="I1335" s="29"/>
      <c r="J1335" s="10"/>
      <c r="K1335" s="10"/>
      <c r="L1335" s="82"/>
      <c r="M1335" s="10"/>
      <c r="N1335" s="10"/>
    </row>
    <row r="1336" spans="9:14" x14ac:dyDescent="0.25">
      <c r="I1336" s="29"/>
      <c r="J1336" s="10"/>
      <c r="K1336" s="10"/>
      <c r="L1336" s="82"/>
      <c r="M1336" s="10"/>
      <c r="N1336" s="10"/>
    </row>
    <row r="1337" spans="9:14" x14ac:dyDescent="0.25">
      <c r="I1337" s="29"/>
      <c r="J1337" s="10"/>
      <c r="K1337" s="10"/>
      <c r="L1337" s="82"/>
      <c r="M1337" s="10"/>
      <c r="N1337" s="10"/>
    </row>
    <row r="1338" spans="9:14" x14ac:dyDescent="0.25">
      <c r="I1338" s="29"/>
      <c r="J1338" s="10"/>
      <c r="K1338" s="10"/>
      <c r="L1338" s="82"/>
      <c r="M1338" s="10"/>
      <c r="N1338" s="10"/>
    </row>
    <row r="1339" spans="9:14" x14ac:dyDescent="0.25">
      <c r="I1339" s="29"/>
      <c r="J1339" s="10"/>
      <c r="K1339" s="10"/>
      <c r="L1339" s="82"/>
      <c r="M1339" s="10"/>
      <c r="N1339" s="10"/>
    </row>
    <row r="1340" spans="9:14" x14ac:dyDescent="0.25">
      <c r="I1340" s="29"/>
      <c r="J1340" s="10"/>
      <c r="K1340" s="10"/>
      <c r="L1340" s="82"/>
      <c r="M1340" s="10"/>
      <c r="N1340" s="10"/>
    </row>
    <row r="1341" spans="9:14" x14ac:dyDescent="0.25">
      <c r="I1341" s="29"/>
      <c r="J1341" s="10"/>
      <c r="K1341" s="10"/>
      <c r="L1341" s="82"/>
      <c r="M1341" s="10"/>
      <c r="N1341" s="10"/>
    </row>
    <row r="1342" spans="9:14" x14ac:dyDescent="0.25">
      <c r="I1342" s="29"/>
      <c r="J1342" s="10"/>
      <c r="K1342" s="10"/>
      <c r="L1342" s="82"/>
      <c r="M1342" s="10"/>
      <c r="N1342" s="10"/>
    </row>
    <row r="1343" spans="9:14" x14ac:dyDescent="0.25">
      <c r="I1343" s="29"/>
      <c r="J1343" s="10"/>
      <c r="K1343" s="10"/>
      <c r="L1343" s="82"/>
      <c r="M1343" s="10"/>
      <c r="N1343" s="10"/>
    </row>
    <row r="1344" spans="9:14" x14ac:dyDescent="0.25">
      <c r="I1344" s="29"/>
      <c r="J1344" s="10"/>
      <c r="K1344" s="10"/>
      <c r="L1344" s="82"/>
      <c r="M1344" s="10"/>
      <c r="N1344" s="10"/>
    </row>
    <row r="1345" spans="9:14" x14ac:dyDescent="0.25">
      <c r="I1345" s="29"/>
      <c r="J1345" s="10"/>
      <c r="K1345" s="10"/>
      <c r="L1345" s="82"/>
      <c r="M1345" s="10"/>
      <c r="N1345" s="10"/>
    </row>
    <row r="1346" spans="9:14" x14ac:dyDescent="0.25">
      <c r="I1346" s="29"/>
      <c r="J1346" s="10"/>
      <c r="K1346" s="10"/>
      <c r="L1346" s="82"/>
      <c r="M1346" s="10"/>
      <c r="N1346" s="10"/>
    </row>
    <row r="1347" spans="9:14" x14ac:dyDescent="0.25">
      <c r="I1347" s="29"/>
      <c r="J1347" s="10"/>
      <c r="K1347" s="10"/>
      <c r="L1347" s="82"/>
      <c r="M1347" s="10"/>
      <c r="N1347" s="10"/>
    </row>
    <row r="1348" spans="9:14" x14ac:dyDescent="0.25">
      <c r="I1348" s="29"/>
      <c r="J1348" s="10"/>
      <c r="K1348" s="10"/>
      <c r="L1348" s="82"/>
      <c r="M1348" s="10"/>
      <c r="N1348" s="10"/>
    </row>
    <row r="1349" spans="9:14" x14ac:dyDescent="0.25">
      <c r="I1349" s="29"/>
      <c r="J1349" s="10"/>
      <c r="K1349" s="10"/>
      <c r="L1349" s="82"/>
      <c r="M1349" s="10"/>
      <c r="N1349" s="10"/>
    </row>
    <row r="1350" spans="9:14" x14ac:dyDescent="0.25">
      <c r="I1350" s="29"/>
      <c r="J1350" s="10"/>
      <c r="K1350" s="10"/>
      <c r="L1350" s="82"/>
      <c r="M1350" s="10"/>
      <c r="N1350" s="10"/>
    </row>
    <row r="1351" spans="9:14" x14ac:dyDescent="0.25">
      <c r="I1351" s="29"/>
      <c r="J1351" s="10"/>
      <c r="K1351" s="10"/>
      <c r="L1351" s="82"/>
      <c r="M1351" s="10"/>
      <c r="N1351" s="10"/>
    </row>
    <row r="1352" spans="9:14" x14ac:dyDescent="0.25">
      <c r="I1352" s="29"/>
      <c r="J1352" s="10"/>
      <c r="K1352" s="10"/>
      <c r="L1352" s="82"/>
      <c r="M1352" s="10"/>
      <c r="N1352" s="10"/>
    </row>
    <row r="1353" spans="9:14" x14ac:dyDescent="0.25">
      <c r="I1353" s="29"/>
      <c r="J1353" s="10"/>
      <c r="K1353" s="10"/>
      <c r="L1353" s="82"/>
      <c r="M1353" s="10"/>
      <c r="N1353" s="10"/>
    </row>
    <row r="1354" spans="9:14" x14ac:dyDescent="0.25">
      <c r="I1354" s="29"/>
      <c r="J1354" s="10"/>
      <c r="K1354" s="10"/>
      <c r="L1354" s="82"/>
      <c r="M1354" s="10"/>
      <c r="N1354" s="10"/>
    </row>
    <row r="1355" spans="9:14" x14ac:dyDescent="0.25">
      <c r="I1355" s="29"/>
      <c r="J1355" s="10"/>
      <c r="K1355" s="10"/>
      <c r="L1355" s="82"/>
      <c r="M1355" s="10"/>
      <c r="N1355" s="10"/>
    </row>
    <row r="1356" spans="9:14" x14ac:dyDescent="0.25">
      <c r="I1356" s="29"/>
      <c r="J1356" s="10"/>
      <c r="K1356" s="10"/>
      <c r="L1356" s="82"/>
      <c r="M1356" s="10"/>
      <c r="N1356" s="10"/>
    </row>
    <row r="1357" spans="9:14" x14ac:dyDescent="0.25">
      <c r="I1357" s="29"/>
      <c r="J1357" s="10"/>
      <c r="K1357" s="10"/>
      <c r="L1357" s="82"/>
      <c r="M1357" s="10"/>
      <c r="N1357" s="10"/>
    </row>
    <row r="1358" spans="9:14" x14ac:dyDescent="0.25">
      <c r="I1358" s="29"/>
      <c r="J1358" s="10"/>
      <c r="K1358" s="10"/>
      <c r="L1358" s="82"/>
      <c r="M1358" s="10"/>
      <c r="N1358" s="10"/>
    </row>
    <row r="1359" spans="9:14" x14ac:dyDescent="0.25">
      <c r="I1359" s="29"/>
      <c r="J1359" s="10"/>
      <c r="K1359" s="10"/>
      <c r="L1359" s="82"/>
      <c r="M1359" s="10"/>
      <c r="N1359" s="10"/>
    </row>
    <row r="1360" spans="9:14" x14ac:dyDescent="0.25">
      <c r="I1360" s="29"/>
      <c r="J1360" s="10"/>
      <c r="K1360" s="10"/>
      <c r="L1360" s="82"/>
      <c r="M1360" s="10"/>
      <c r="N1360" s="10"/>
    </row>
    <row r="1361" spans="9:14" x14ac:dyDescent="0.25">
      <c r="I1361" s="29"/>
      <c r="J1361" s="10"/>
      <c r="K1361" s="10"/>
      <c r="L1361" s="82"/>
      <c r="M1361" s="10"/>
      <c r="N1361" s="10"/>
    </row>
    <row r="1362" spans="9:14" x14ac:dyDescent="0.25">
      <c r="I1362" s="29"/>
      <c r="J1362" s="10"/>
      <c r="K1362" s="10"/>
      <c r="L1362" s="82"/>
      <c r="M1362" s="10"/>
      <c r="N1362" s="10"/>
    </row>
    <row r="1363" spans="9:14" x14ac:dyDescent="0.25">
      <c r="I1363" s="29"/>
      <c r="J1363" s="10"/>
      <c r="K1363" s="10"/>
      <c r="L1363" s="82"/>
      <c r="M1363" s="10"/>
      <c r="N1363" s="10"/>
    </row>
    <row r="1364" spans="9:14" x14ac:dyDescent="0.25">
      <c r="I1364" s="29"/>
      <c r="J1364" s="10"/>
      <c r="K1364" s="10"/>
      <c r="L1364" s="82"/>
      <c r="M1364" s="10"/>
      <c r="N1364" s="10"/>
    </row>
    <row r="1365" spans="9:14" x14ac:dyDescent="0.25">
      <c r="I1365" s="29"/>
      <c r="J1365" s="10"/>
      <c r="K1365" s="10"/>
      <c r="L1365" s="82"/>
      <c r="M1365" s="10"/>
      <c r="N1365" s="10"/>
    </row>
    <row r="1366" spans="9:14" x14ac:dyDescent="0.25">
      <c r="I1366" s="29"/>
      <c r="J1366" s="10"/>
      <c r="K1366" s="10"/>
      <c r="L1366" s="82"/>
      <c r="M1366" s="10"/>
      <c r="N1366" s="10"/>
    </row>
    <row r="1367" spans="9:14" x14ac:dyDescent="0.25">
      <c r="I1367" s="29"/>
      <c r="J1367" s="10"/>
      <c r="K1367" s="10"/>
      <c r="L1367" s="82"/>
      <c r="M1367" s="10"/>
      <c r="N1367" s="10"/>
    </row>
    <row r="1368" spans="9:14" x14ac:dyDescent="0.25">
      <c r="I1368" s="29"/>
      <c r="J1368" s="10"/>
      <c r="K1368" s="10"/>
      <c r="L1368" s="82"/>
      <c r="M1368" s="10"/>
      <c r="N1368" s="10"/>
    </row>
    <row r="1369" spans="9:14" x14ac:dyDescent="0.25">
      <c r="I1369" s="29"/>
      <c r="J1369" s="10"/>
      <c r="K1369" s="10"/>
      <c r="L1369" s="82"/>
      <c r="M1369" s="10"/>
      <c r="N1369" s="10"/>
    </row>
    <row r="1370" spans="9:14" x14ac:dyDescent="0.25">
      <c r="I1370" s="29"/>
      <c r="J1370" s="10"/>
      <c r="K1370" s="10"/>
      <c r="L1370" s="82"/>
      <c r="M1370" s="10"/>
      <c r="N1370" s="10"/>
    </row>
    <row r="1371" spans="9:14" x14ac:dyDescent="0.25">
      <c r="I1371" s="29"/>
      <c r="J1371" s="10"/>
      <c r="K1371" s="10"/>
      <c r="L1371" s="82"/>
      <c r="M1371" s="10"/>
      <c r="N1371" s="10"/>
    </row>
    <row r="1372" spans="9:14" x14ac:dyDescent="0.25">
      <c r="I1372" s="29"/>
      <c r="J1372" s="10"/>
      <c r="K1372" s="10"/>
      <c r="L1372" s="82"/>
      <c r="M1372" s="10"/>
      <c r="N1372" s="10"/>
    </row>
    <row r="1373" spans="9:14" x14ac:dyDescent="0.25">
      <c r="I1373" s="29"/>
      <c r="J1373" s="10"/>
      <c r="K1373" s="10"/>
      <c r="L1373" s="82"/>
      <c r="M1373" s="10"/>
      <c r="N1373" s="10"/>
    </row>
    <row r="1374" spans="9:14" x14ac:dyDescent="0.25">
      <c r="I1374" s="29"/>
      <c r="J1374" s="10"/>
      <c r="K1374" s="10"/>
      <c r="L1374" s="82"/>
      <c r="M1374" s="10"/>
      <c r="N1374" s="10"/>
    </row>
    <row r="1375" spans="9:14" x14ac:dyDescent="0.25">
      <c r="I1375" s="29"/>
      <c r="J1375" s="10"/>
      <c r="K1375" s="10"/>
      <c r="L1375" s="82"/>
      <c r="M1375" s="10"/>
      <c r="N1375" s="10"/>
    </row>
    <row r="1376" spans="9:14" x14ac:dyDescent="0.25">
      <c r="I1376" s="29"/>
      <c r="J1376" s="10"/>
      <c r="K1376" s="10"/>
      <c r="L1376" s="82"/>
      <c r="M1376" s="10"/>
      <c r="N1376" s="10"/>
    </row>
    <row r="1377" spans="9:14" x14ac:dyDescent="0.25">
      <c r="I1377" s="29"/>
      <c r="J1377" s="10"/>
      <c r="K1377" s="10"/>
      <c r="L1377" s="82"/>
      <c r="M1377" s="10"/>
      <c r="N1377" s="10"/>
    </row>
    <row r="1378" spans="9:14" x14ac:dyDescent="0.25">
      <c r="I1378" s="29"/>
      <c r="J1378" s="10"/>
      <c r="K1378" s="10"/>
      <c r="L1378" s="82"/>
      <c r="M1378" s="10"/>
      <c r="N1378" s="10"/>
    </row>
    <row r="1379" spans="9:14" x14ac:dyDescent="0.25">
      <c r="I1379" s="29"/>
      <c r="J1379" s="10"/>
      <c r="K1379" s="10"/>
      <c r="L1379" s="82"/>
      <c r="M1379" s="10"/>
      <c r="N1379" s="10"/>
    </row>
    <row r="1380" spans="9:14" x14ac:dyDescent="0.25">
      <c r="I1380" s="29"/>
      <c r="J1380" s="10"/>
      <c r="K1380" s="10"/>
      <c r="L1380" s="82"/>
      <c r="M1380" s="10"/>
      <c r="N1380" s="10"/>
    </row>
    <row r="1381" spans="9:14" x14ac:dyDescent="0.25">
      <c r="I1381" s="29"/>
      <c r="J1381" s="10"/>
      <c r="K1381" s="10"/>
      <c r="L1381" s="82"/>
      <c r="M1381" s="10"/>
      <c r="N1381" s="10"/>
    </row>
    <row r="1382" spans="9:14" x14ac:dyDescent="0.25">
      <c r="I1382" s="29"/>
      <c r="J1382" s="10"/>
      <c r="K1382" s="10"/>
      <c r="L1382" s="82"/>
      <c r="M1382" s="10"/>
      <c r="N1382" s="10"/>
    </row>
    <row r="1383" spans="9:14" x14ac:dyDescent="0.25">
      <c r="I1383" s="29"/>
      <c r="J1383" s="10"/>
      <c r="K1383" s="10"/>
      <c r="L1383" s="82"/>
      <c r="M1383" s="10"/>
      <c r="N1383" s="10"/>
    </row>
    <row r="1384" spans="9:14" x14ac:dyDescent="0.25">
      <c r="I1384" s="29"/>
      <c r="J1384" s="10"/>
      <c r="K1384" s="10"/>
      <c r="L1384" s="82"/>
      <c r="M1384" s="10"/>
      <c r="N1384" s="10"/>
    </row>
    <row r="1385" spans="9:14" x14ac:dyDescent="0.25">
      <c r="I1385" s="29"/>
      <c r="J1385" s="10"/>
      <c r="K1385" s="10"/>
      <c r="L1385" s="82"/>
      <c r="M1385" s="10"/>
      <c r="N1385" s="10"/>
    </row>
    <row r="1386" spans="9:14" x14ac:dyDescent="0.25">
      <c r="I1386" s="29"/>
      <c r="J1386" s="10"/>
      <c r="K1386" s="10"/>
      <c r="L1386" s="82"/>
      <c r="M1386" s="10"/>
      <c r="N1386" s="10"/>
    </row>
    <row r="1387" spans="9:14" x14ac:dyDescent="0.25">
      <c r="I1387" s="29"/>
      <c r="J1387" s="10"/>
      <c r="K1387" s="10"/>
      <c r="L1387" s="82"/>
      <c r="M1387" s="10"/>
      <c r="N1387" s="10"/>
    </row>
    <row r="1388" spans="9:14" x14ac:dyDescent="0.25">
      <c r="I1388" s="29"/>
      <c r="J1388" s="10"/>
      <c r="K1388" s="10"/>
      <c r="L1388" s="82"/>
      <c r="M1388" s="10"/>
      <c r="N1388" s="10"/>
    </row>
    <row r="1389" spans="9:14" x14ac:dyDescent="0.25">
      <c r="I1389" s="29"/>
      <c r="J1389" s="10"/>
      <c r="K1389" s="10"/>
      <c r="L1389" s="82"/>
      <c r="M1389" s="10"/>
      <c r="N1389" s="10"/>
    </row>
    <row r="1390" spans="9:14" x14ac:dyDescent="0.25">
      <c r="I1390" s="29"/>
      <c r="J1390" s="10"/>
      <c r="K1390" s="10"/>
      <c r="L1390" s="82"/>
      <c r="M1390" s="10"/>
      <c r="N1390" s="10"/>
    </row>
    <row r="1391" spans="9:14" x14ac:dyDescent="0.25">
      <c r="I1391" s="29"/>
      <c r="J1391" s="10"/>
      <c r="K1391" s="10"/>
      <c r="L1391" s="82"/>
      <c r="M1391" s="10"/>
      <c r="N1391" s="10"/>
    </row>
    <row r="1392" spans="9:14" x14ac:dyDescent="0.25">
      <c r="I1392" s="29"/>
      <c r="J1392" s="10"/>
      <c r="K1392" s="10"/>
      <c r="L1392" s="82"/>
      <c r="M1392" s="10"/>
      <c r="N1392" s="10"/>
    </row>
    <row r="1393" spans="9:14" x14ac:dyDescent="0.25">
      <c r="I1393" s="29"/>
      <c r="J1393" s="10"/>
      <c r="K1393" s="10"/>
      <c r="L1393" s="82"/>
      <c r="M1393" s="10"/>
      <c r="N1393" s="10"/>
    </row>
    <row r="1394" spans="9:14" x14ac:dyDescent="0.25">
      <c r="I1394" s="29"/>
      <c r="J1394" s="10"/>
      <c r="K1394" s="10"/>
      <c r="L1394" s="82"/>
      <c r="M1394" s="10"/>
      <c r="N1394" s="10"/>
    </row>
    <row r="1395" spans="9:14" x14ac:dyDescent="0.25">
      <c r="I1395" s="29"/>
      <c r="J1395" s="10"/>
      <c r="K1395" s="10"/>
      <c r="L1395" s="82"/>
      <c r="M1395" s="10"/>
      <c r="N1395" s="10"/>
    </row>
    <row r="1396" spans="9:14" x14ac:dyDescent="0.25">
      <c r="I1396" s="29"/>
      <c r="J1396" s="10"/>
      <c r="K1396" s="10"/>
      <c r="L1396" s="82"/>
      <c r="M1396" s="10"/>
      <c r="N1396" s="10"/>
    </row>
    <row r="1397" spans="9:14" x14ac:dyDescent="0.25">
      <c r="I1397" s="29"/>
      <c r="J1397" s="10"/>
      <c r="K1397" s="10"/>
      <c r="L1397" s="82"/>
      <c r="M1397" s="10"/>
      <c r="N1397" s="10"/>
    </row>
    <row r="1398" spans="9:14" x14ac:dyDescent="0.25">
      <c r="I1398" s="29"/>
      <c r="J1398" s="10"/>
      <c r="K1398" s="10"/>
      <c r="L1398" s="82"/>
      <c r="M1398" s="10"/>
      <c r="N1398" s="10"/>
    </row>
    <row r="1399" spans="9:14" x14ac:dyDescent="0.25">
      <c r="I1399" s="29"/>
      <c r="J1399" s="10"/>
      <c r="K1399" s="10"/>
      <c r="L1399" s="82"/>
      <c r="M1399" s="10"/>
      <c r="N1399" s="10"/>
    </row>
    <row r="1400" spans="9:14" x14ac:dyDescent="0.25">
      <c r="I1400" s="29"/>
      <c r="J1400" s="10"/>
      <c r="K1400" s="10"/>
      <c r="L1400" s="82"/>
      <c r="M1400" s="10"/>
      <c r="N1400" s="10"/>
    </row>
    <row r="1401" spans="9:14" x14ac:dyDescent="0.25">
      <c r="I1401" s="29"/>
      <c r="J1401" s="10"/>
      <c r="K1401" s="10"/>
      <c r="L1401" s="82"/>
      <c r="M1401" s="10"/>
      <c r="N1401" s="10"/>
    </row>
    <row r="1402" spans="9:14" x14ac:dyDescent="0.25">
      <c r="I1402" s="29"/>
      <c r="J1402" s="10"/>
      <c r="K1402" s="10"/>
      <c r="L1402" s="82"/>
      <c r="M1402" s="10"/>
      <c r="N1402" s="10"/>
    </row>
    <row r="1403" spans="9:14" x14ac:dyDescent="0.25">
      <c r="I1403" s="29"/>
      <c r="J1403" s="10"/>
      <c r="K1403" s="10"/>
      <c r="L1403" s="82"/>
      <c r="M1403" s="10"/>
      <c r="N1403" s="10"/>
    </row>
    <row r="1404" spans="9:14" x14ac:dyDescent="0.25">
      <c r="I1404" s="29"/>
      <c r="J1404" s="10"/>
      <c r="K1404" s="10"/>
      <c r="L1404" s="82"/>
      <c r="M1404" s="10"/>
      <c r="N1404" s="10"/>
    </row>
    <row r="1405" spans="9:14" x14ac:dyDescent="0.25">
      <c r="I1405" s="29"/>
      <c r="J1405" s="10"/>
      <c r="K1405" s="10"/>
      <c r="L1405" s="82"/>
      <c r="M1405" s="10"/>
      <c r="N1405" s="10"/>
    </row>
    <row r="1406" spans="9:14" x14ac:dyDescent="0.25">
      <c r="I1406" s="29"/>
      <c r="J1406" s="10"/>
      <c r="K1406" s="10"/>
      <c r="L1406" s="82"/>
      <c r="M1406" s="10"/>
      <c r="N1406" s="10"/>
    </row>
    <row r="1407" spans="9:14" x14ac:dyDescent="0.25">
      <c r="I1407" s="29"/>
      <c r="J1407" s="10"/>
      <c r="K1407" s="10"/>
      <c r="L1407" s="82"/>
      <c r="M1407" s="10"/>
      <c r="N1407" s="10"/>
    </row>
    <row r="1408" spans="9:14" x14ac:dyDescent="0.25">
      <c r="I1408" s="29"/>
      <c r="J1408" s="10"/>
      <c r="K1408" s="10"/>
      <c r="L1408" s="82"/>
      <c r="M1408" s="10"/>
      <c r="N1408" s="10"/>
    </row>
    <row r="1409" spans="9:14" x14ac:dyDescent="0.25">
      <c r="I1409" s="29"/>
      <c r="J1409" s="10"/>
      <c r="K1409" s="10"/>
      <c r="L1409" s="82"/>
      <c r="M1409" s="10"/>
      <c r="N1409" s="10"/>
    </row>
    <row r="1410" spans="9:14" x14ac:dyDescent="0.25">
      <c r="I1410" s="29"/>
      <c r="J1410" s="10"/>
      <c r="K1410" s="10"/>
      <c r="L1410" s="82"/>
      <c r="M1410" s="10"/>
      <c r="N1410" s="10"/>
    </row>
    <row r="1411" spans="9:14" x14ac:dyDescent="0.25">
      <c r="I1411" s="29"/>
      <c r="J1411" s="10"/>
      <c r="K1411" s="10"/>
      <c r="L1411" s="82"/>
      <c r="M1411" s="10"/>
      <c r="N1411" s="10"/>
    </row>
    <row r="1412" spans="9:14" x14ac:dyDescent="0.25">
      <c r="I1412" s="29"/>
      <c r="J1412" s="10"/>
      <c r="K1412" s="10"/>
      <c r="L1412" s="82"/>
      <c r="M1412" s="10"/>
      <c r="N1412" s="10"/>
    </row>
    <row r="1413" spans="9:14" x14ac:dyDescent="0.25">
      <c r="I1413" s="29"/>
      <c r="J1413" s="10"/>
      <c r="K1413" s="10"/>
      <c r="L1413" s="82"/>
      <c r="M1413" s="10"/>
      <c r="N1413" s="10"/>
    </row>
    <row r="1414" spans="9:14" x14ac:dyDescent="0.25">
      <c r="I1414" s="29"/>
      <c r="J1414" s="10"/>
      <c r="K1414" s="10"/>
      <c r="L1414" s="82"/>
      <c r="M1414" s="10"/>
      <c r="N1414" s="10"/>
    </row>
    <row r="1415" spans="9:14" x14ac:dyDescent="0.25">
      <c r="I1415" s="29"/>
      <c r="J1415" s="10"/>
      <c r="K1415" s="10"/>
      <c r="L1415" s="82"/>
      <c r="M1415" s="10"/>
      <c r="N1415" s="10"/>
    </row>
    <row r="1416" spans="9:14" x14ac:dyDescent="0.25">
      <c r="I1416" s="29"/>
      <c r="J1416" s="10"/>
      <c r="K1416" s="10"/>
      <c r="L1416" s="82"/>
      <c r="M1416" s="10"/>
      <c r="N1416" s="10"/>
    </row>
    <row r="1417" spans="9:14" x14ac:dyDescent="0.25">
      <c r="I1417" s="29"/>
      <c r="J1417" s="10"/>
      <c r="K1417" s="10"/>
      <c r="L1417" s="82"/>
      <c r="M1417" s="10"/>
      <c r="N1417" s="10"/>
    </row>
    <row r="1418" spans="9:14" x14ac:dyDescent="0.25">
      <c r="I1418" s="29"/>
      <c r="J1418" s="10"/>
      <c r="K1418" s="10"/>
      <c r="L1418" s="82"/>
      <c r="M1418" s="10"/>
      <c r="N1418" s="10"/>
    </row>
    <row r="1419" spans="9:14" x14ac:dyDescent="0.25">
      <c r="I1419" s="29"/>
      <c r="J1419" s="10"/>
      <c r="K1419" s="10"/>
      <c r="L1419" s="82"/>
      <c r="M1419" s="10"/>
      <c r="N1419" s="10"/>
    </row>
    <row r="1420" spans="9:14" x14ac:dyDescent="0.25">
      <c r="I1420" s="29"/>
      <c r="J1420" s="10"/>
      <c r="K1420" s="10"/>
      <c r="L1420" s="82"/>
      <c r="M1420" s="10"/>
      <c r="N1420" s="10"/>
    </row>
    <row r="1421" spans="9:14" x14ac:dyDescent="0.25">
      <c r="I1421" s="29"/>
      <c r="J1421" s="10"/>
      <c r="K1421" s="10"/>
      <c r="L1421" s="82"/>
      <c r="M1421" s="10"/>
      <c r="N1421" s="10"/>
    </row>
    <row r="1422" spans="9:14" x14ac:dyDescent="0.25">
      <c r="I1422" s="29"/>
      <c r="J1422" s="10"/>
      <c r="K1422" s="10"/>
      <c r="L1422" s="82"/>
      <c r="M1422" s="10"/>
      <c r="N1422" s="10"/>
    </row>
    <row r="1423" spans="9:14" x14ac:dyDescent="0.25">
      <c r="I1423" s="29"/>
      <c r="J1423" s="10"/>
      <c r="K1423" s="10"/>
      <c r="L1423" s="82"/>
      <c r="M1423" s="10"/>
      <c r="N1423" s="10"/>
    </row>
    <row r="1424" spans="9:14" x14ac:dyDescent="0.25">
      <c r="I1424" s="29"/>
      <c r="J1424" s="10"/>
      <c r="K1424" s="10"/>
      <c r="L1424" s="82"/>
      <c r="M1424" s="10"/>
      <c r="N1424" s="10"/>
    </row>
    <row r="1425" spans="9:14" x14ac:dyDescent="0.25">
      <c r="I1425" s="29"/>
      <c r="J1425" s="10"/>
      <c r="K1425" s="10"/>
      <c r="L1425" s="82"/>
      <c r="M1425" s="10"/>
      <c r="N1425" s="10"/>
    </row>
    <row r="1426" spans="9:14" x14ac:dyDescent="0.25">
      <c r="I1426" s="29"/>
      <c r="J1426" s="10"/>
      <c r="K1426" s="10"/>
      <c r="L1426" s="82"/>
      <c r="M1426" s="10"/>
      <c r="N1426" s="10"/>
    </row>
    <row r="1427" spans="9:14" x14ac:dyDescent="0.25">
      <c r="I1427" s="29"/>
      <c r="J1427" s="10"/>
      <c r="K1427" s="10"/>
      <c r="L1427" s="82"/>
      <c r="M1427" s="10"/>
      <c r="N1427" s="10"/>
    </row>
    <row r="1428" spans="9:14" x14ac:dyDescent="0.25">
      <c r="I1428" s="29"/>
      <c r="J1428" s="10"/>
      <c r="K1428" s="10"/>
      <c r="L1428" s="82"/>
      <c r="M1428" s="10"/>
      <c r="N1428" s="10"/>
    </row>
    <row r="1429" spans="9:14" x14ac:dyDescent="0.25">
      <c r="I1429" s="29"/>
      <c r="J1429" s="10"/>
      <c r="K1429" s="10"/>
      <c r="L1429" s="82"/>
      <c r="M1429" s="10"/>
      <c r="N1429" s="10"/>
    </row>
    <row r="1430" spans="9:14" x14ac:dyDescent="0.25">
      <c r="I1430" s="29"/>
      <c r="J1430" s="10"/>
      <c r="K1430" s="10"/>
      <c r="L1430" s="82"/>
      <c r="M1430" s="10"/>
      <c r="N1430" s="10"/>
    </row>
    <row r="1431" spans="9:14" x14ac:dyDescent="0.25">
      <c r="I1431" s="29"/>
      <c r="J1431" s="10"/>
      <c r="K1431" s="10"/>
      <c r="L1431" s="82"/>
      <c r="M1431" s="10"/>
      <c r="N1431" s="10"/>
    </row>
    <row r="1432" spans="9:14" x14ac:dyDescent="0.25">
      <c r="I1432" s="29"/>
      <c r="J1432" s="10"/>
      <c r="K1432" s="10"/>
      <c r="L1432" s="82"/>
      <c r="M1432" s="10"/>
      <c r="N1432" s="10"/>
    </row>
    <row r="1433" spans="9:14" x14ac:dyDescent="0.25">
      <c r="I1433" s="29"/>
      <c r="J1433" s="10"/>
      <c r="K1433" s="10"/>
      <c r="L1433" s="82"/>
      <c r="M1433" s="10"/>
      <c r="N1433" s="10"/>
    </row>
    <row r="1434" spans="9:14" x14ac:dyDescent="0.25">
      <c r="I1434" s="29"/>
      <c r="J1434" s="10"/>
      <c r="K1434" s="10"/>
      <c r="L1434" s="82"/>
      <c r="M1434" s="10"/>
      <c r="N1434" s="10"/>
    </row>
    <row r="1435" spans="9:14" x14ac:dyDescent="0.25">
      <c r="I1435" s="29"/>
      <c r="J1435" s="10"/>
      <c r="K1435" s="10"/>
      <c r="L1435" s="82"/>
      <c r="M1435" s="10"/>
      <c r="N1435" s="10"/>
    </row>
    <row r="1436" spans="9:14" x14ac:dyDescent="0.25">
      <c r="I1436" s="29"/>
      <c r="J1436" s="10"/>
      <c r="K1436" s="10"/>
      <c r="L1436" s="82"/>
      <c r="M1436" s="10"/>
      <c r="N1436" s="10"/>
    </row>
    <row r="1437" spans="9:14" x14ac:dyDescent="0.25">
      <c r="I1437" s="29"/>
      <c r="J1437" s="10"/>
      <c r="K1437" s="10"/>
      <c r="L1437" s="82"/>
      <c r="M1437" s="10"/>
      <c r="N1437" s="10"/>
    </row>
    <row r="1438" spans="9:14" x14ac:dyDescent="0.25">
      <c r="I1438" s="29"/>
      <c r="J1438" s="10"/>
      <c r="K1438" s="10"/>
      <c r="L1438" s="82"/>
      <c r="M1438" s="10"/>
      <c r="N1438" s="10"/>
    </row>
    <row r="1439" spans="9:14" x14ac:dyDescent="0.25">
      <c r="I1439" s="29"/>
      <c r="J1439" s="10"/>
      <c r="K1439" s="10"/>
      <c r="L1439" s="82"/>
      <c r="M1439" s="10"/>
      <c r="N1439" s="10"/>
    </row>
    <row r="1440" spans="9:14" x14ac:dyDescent="0.25">
      <c r="I1440" s="29"/>
      <c r="J1440" s="10"/>
      <c r="K1440" s="10"/>
      <c r="L1440" s="82"/>
      <c r="M1440" s="10"/>
      <c r="N1440" s="10"/>
    </row>
    <row r="1441" spans="9:14" x14ac:dyDescent="0.25">
      <c r="I1441" s="29"/>
      <c r="J1441" s="10"/>
      <c r="K1441" s="10"/>
      <c r="L1441" s="82"/>
      <c r="M1441" s="10"/>
      <c r="N1441" s="10"/>
    </row>
    <row r="1442" spans="9:14" x14ac:dyDescent="0.25">
      <c r="I1442" s="29"/>
      <c r="J1442" s="10"/>
      <c r="K1442" s="10"/>
      <c r="L1442" s="82"/>
      <c r="M1442" s="10"/>
      <c r="N1442" s="10"/>
    </row>
    <row r="1443" spans="9:14" x14ac:dyDescent="0.25">
      <c r="I1443" s="29"/>
      <c r="J1443" s="10"/>
      <c r="K1443" s="10"/>
      <c r="L1443" s="82"/>
      <c r="M1443" s="10"/>
      <c r="N1443" s="10"/>
    </row>
    <row r="1444" spans="9:14" x14ac:dyDescent="0.25">
      <c r="I1444" s="29"/>
      <c r="J1444" s="10"/>
      <c r="K1444" s="10"/>
      <c r="L1444" s="82"/>
      <c r="M1444" s="10"/>
      <c r="N1444" s="10"/>
    </row>
    <row r="1445" spans="9:14" x14ac:dyDescent="0.25">
      <c r="I1445" s="29"/>
      <c r="J1445" s="10"/>
      <c r="K1445" s="10"/>
      <c r="L1445" s="82"/>
      <c r="M1445" s="10"/>
      <c r="N1445" s="10"/>
    </row>
    <row r="1446" spans="9:14" x14ac:dyDescent="0.25">
      <c r="I1446" s="29"/>
      <c r="J1446" s="10"/>
      <c r="K1446" s="10"/>
      <c r="L1446" s="82"/>
      <c r="M1446" s="10"/>
      <c r="N1446" s="10"/>
    </row>
    <row r="1447" spans="9:14" x14ac:dyDescent="0.25">
      <c r="I1447" s="29"/>
      <c r="J1447" s="10"/>
      <c r="K1447" s="10"/>
      <c r="L1447" s="82"/>
      <c r="M1447" s="10"/>
      <c r="N1447" s="10"/>
    </row>
    <row r="1448" spans="9:14" x14ac:dyDescent="0.25">
      <c r="I1448" s="29"/>
      <c r="J1448" s="10"/>
      <c r="K1448" s="10"/>
      <c r="L1448" s="82"/>
      <c r="M1448" s="10"/>
      <c r="N1448" s="10"/>
    </row>
    <row r="1449" spans="9:14" x14ac:dyDescent="0.25">
      <c r="I1449" s="29"/>
      <c r="J1449" s="10"/>
      <c r="K1449" s="10"/>
      <c r="L1449" s="82"/>
      <c r="M1449" s="10"/>
      <c r="N1449" s="10"/>
    </row>
    <row r="1450" spans="9:14" x14ac:dyDescent="0.25">
      <c r="I1450" s="29"/>
      <c r="J1450" s="10"/>
      <c r="K1450" s="10"/>
      <c r="L1450" s="82"/>
      <c r="M1450" s="10"/>
      <c r="N1450" s="10"/>
    </row>
    <row r="1451" spans="9:14" x14ac:dyDescent="0.25">
      <c r="I1451" s="29"/>
      <c r="J1451" s="10"/>
      <c r="K1451" s="10"/>
      <c r="L1451" s="82"/>
      <c r="M1451" s="10"/>
      <c r="N1451" s="10"/>
    </row>
    <row r="1452" spans="9:14" x14ac:dyDescent="0.25">
      <c r="I1452" s="29"/>
      <c r="J1452" s="10"/>
      <c r="K1452" s="10"/>
      <c r="L1452" s="82"/>
      <c r="M1452" s="10"/>
      <c r="N1452" s="10"/>
    </row>
    <row r="1453" spans="9:14" x14ac:dyDescent="0.25">
      <c r="I1453" s="29"/>
      <c r="J1453" s="10"/>
      <c r="K1453" s="10"/>
      <c r="L1453" s="82"/>
      <c r="M1453" s="10"/>
      <c r="N1453" s="10"/>
    </row>
    <row r="1454" spans="9:14" x14ac:dyDescent="0.25">
      <c r="I1454" s="29"/>
      <c r="J1454" s="10"/>
      <c r="K1454" s="10"/>
      <c r="L1454" s="82"/>
      <c r="M1454" s="10"/>
      <c r="N1454" s="10"/>
    </row>
    <row r="1455" spans="9:14" x14ac:dyDescent="0.25">
      <c r="I1455" s="29"/>
      <c r="J1455" s="10"/>
      <c r="K1455" s="10"/>
      <c r="L1455" s="82"/>
      <c r="M1455" s="10"/>
      <c r="N1455" s="10"/>
    </row>
    <row r="1456" spans="9:14" x14ac:dyDescent="0.25">
      <c r="I1456" s="29"/>
      <c r="J1456" s="10"/>
      <c r="K1456" s="10"/>
      <c r="L1456" s="82"/>
      <c r="M1456" s="10"/>
      <c r="N1456" s="10"/>
    </row>
    <row r="1457" spans="9:14" x14ac:dyDescent="0.25">
      <c r="I1457" s="29"/>
      <c r="J1457" s="10"/>
      <c r="K1457" s="10"/>
      <c r="L1457" s="82"/>
      <c r="M1457" s="10"/>
      <c r="N1457" s="10"/>
    </row>
    <row r="1458" spans="9:14" x14ac:dyDescent="0.25">
      <c r="I1458" s="29"/>
      <c r="J1458" s="10"/>
      <c r="K1458" s="10"/>
      <c r="L1458" s="82"/>
      <c r="M1458" s="10"/>
      <c r="N1458" s="10"/>
    </row>
    <row r="1459" spans="9:14" x14ac:dyDescent="0.25">
      <c r="I1459" s="29"/>
      <c r="J1459" s="10"/>
      <c r="K1459" s="10"/>
      <c r="L1459" s="82"/>
      <c r="M1459" s="10"/>
      <c r="N1459" s="10"/>
    </row>
    <row r="1460" spans="9:14" x14ac:dyDescent="0.25">
      <c r="I1460" s="29"/>
      <c r="J1460" s="10"/>
      <c r="K1460" s="10"/>
      <c r="L1460" s="82"/>
      <c r="M1460" s="10"/>
      <c r="N1460" s="10"/>
    </row>
    <row r="1461" spans="9:14" x14ac:dyDescent="0.25">
      <c r="I1461" s="29"/>
      <c r="J1461" s="10"/>
      <c r="K1461" s="10"/>
      <c r="L1461" s="82"/>
      <c r="M1461" s="10"/>
      <c r="N1461" s="10"/>
    </row>
    <row r="1462" spans="9:14" x14ac:dyDescent="0.25">
      <c r="I1462" s="29"/>
      <c r="J1462" s="10"/>
      <c r="K1462" s="10"/>
      <c r="L1462" s="82"/>
      <c r="M1462" s="10"/>
      <c r="N1462" s="10"/>
    </row>
    <row r="1463" spans="9:14" x14ac:dyDescent="0.25">
      <c r="I1463" s="29"/>
      <c r="J1463" s="10"/>
      <c r="K1463" s="10"/>
      <c r="L1463" s="82"/>
      <c r="M1463" s="10"/>
      <c r="N1463" s="10"/>
    </row>
    <row r="1464" spans="9:14" x14ac:dyDescent="0.25">
      <c r="I1464" s="29"/>
      <c r="J1464" s="10"/>
      <c r="K1464" s="10"/>
      <c r="L1464" s="82"/>
      <c r="M1464" s="10"/>
      <c r="N1464" s="10"/>
    </row>
    <row r="1465" spans="9:14" x14ac:dyDescent="0.25">
      <c r="I1465" s="29"/>
      <c r="J1465" s="10"/>
      <c r="K1465" s="10"/>
      <c r="L1465" s="82"/>
      <c r="M1465" s="10"/>
      <c r="N1465" s="10"/>
    </row>
    <row r="1466" spans="9:14" x14ac:dyDescent="0.25">
      <c r="I1466" s="29"/>
      <c r="J1466" s="10"/>
      <c r="K1466" s="10"/>
      <c r="L1466" s="82"/>
      <c r="M1466" s="10"/>
      <c r="N1466" s="10"/>
    </row>
    <row r="1467" spans="9:14" x14ac:dyDescent="0.25">
      <c r="I1467" s="29"/>
      <c r="J1467" s="10"/>
      <c r="K1467" s="10"/>
      <c r="L1467" s="82"/>
      <c r="M1467" s="10"/>
      <c r="N1467" s="10"/>
    </row>
    <row r="1468" spans="9:14" x14ac:dyDescent="0.25">
      <c r="I1468" s="29"/>
      <c r="J1468" s="10"/>
      <c r="K1468" s="10"/>
      <c r="L1468" s="82"/>
      <c r="M1468" s="10"/>
      <c r="N1468" s="10"/>
    </row>
    <row r="1469" spans="9:14" x14ac:dyDescent="0.25">
      <c r="I1469" s="29"/>
      <c r="J1469" s="10"/>
      <c r="K1469" s="10"/>
      <c r="L1469" s="82"/>
      <c r="M1469" s="10"/>
      <c r="N1469" s="10"/>
    </row>
    <row r="1470" spans="9:14" x14ac:dyDescent="0.25">
      <c r="I1470" s="29"/>
      <c r="J1470" s="10"/>
      <c r="K1470" s="10"/>
      <c r="L1470" s="82"/>
      <c r="M1470" s="10"/>
      <c r="N1470" s="10"/>
    </row>
    <row r="1471" spans="9:14" x14ac:dyDescent="0.25">
      <c r="I1471" s="29"/>
      <c r="J1471" s="10"/>
      <c r="K1471" s="10"/>
      <c r="L1471" s="82"/>
      <c r="M1471" s="10"/>
      <c r="N1471" s="10"/>
    </row>
    <row r="1472" spans="9:14" x14ac:dyDescent="0.25">
      <c r="I1472" s="29"/>
      <c r="J1472" s="10"/>
      <c r="K1472" s="10"/>
      <c r="L1472" s="82"/>
      <c r="M1472" s="10"/>
      <c r="N1472" s="10"/>
    </row>
    <row r="1473" spans="9:14" x14ac:dyDescent="0.25">
      <c r="I1473" s="29"/>
      <c r="J1473" s="10"/>
      <c r="K1473" s="10"/>
      <c r="L1473" s="82"/>
      <c r="M1473" s="10"/>
      <c r="N1473" s="10"/>
    </row>
    <row r="1474" spans="9:14" x14ac:dyDescent="0.25">
      <c r="I1474" s="29"/>
      <c r="J1474" s="10"/>
      <c r="K1474" s="10"/>
      <c r="L1474" s="82"/>
      <c r="M1474" s="10"/>
      <c r="N1474" s="10"/>
    </row>
    <row r="1475" spans="9:14" x14ac:dyDescent="0.25">
      <c r="I1475" s="29"/>
      <c r="J1475" s="10"/>
      <c r="K1475" s="10"/>
      <c r="L1475" s="82"/>
      <c r="M1475" s="10"/>
      <c r="N1475" s="10"/>
    </row>
    <row r="1476" spans="9:14" x14ac:dyDescent="0.25">
      <c r="I1476" s="29"/>
      <c r="J1476" s="10"/>
      <c r="K1476" s="10"/>
      <c r="L1476" s="82"/>
      <c r="M1476" s="10"/>
      <c r="N1476" s="10"/>
    </row>
    <row r="1477" spans="9:14" x14ac:dyDescent="0.25">
      <c r="I1477" s="29"/>
      <c r="J1477" s="10"/>
      <c r="K1477" s="10"/>
      <c r="L1477" s="82"/>
      <c r="M1477" s="10"/>
      <c r="N1477" s="10"/>
    </row>
    <row r="1478" spans="9:14" x14ac:dyDescent="0.25">
      <c r="I1478" s="29"/>
      <c r="J1478" s="10"/>
      <c r="K1478" s="10"/>
      <c r="L1478" s="82"/>
      <c r="M1478" s="10"/>
      <c r="N1478" s="10"/>
    </row>
    <row r="1479" spans="9:14" x14ac:dyDescent="0.25">
      <c r="I1479" s="29"/>
      <c r="J1479" s="10"/>
      <c r="K1479" s="10"/>
      <c r="L1479" s="82"/>
      <c r="M1479" s="10"/>
      <c r="N1479" s="10"/>
    </row>
    <row r="1480" spans="9:14" x14ac:dyDescent="0.25">
      <c r="I1480" s="29"/>
      <c r="J1480" s="10"/>
      <c r="K1480" s="10"/>
      <c r="L1480" s="82"/>
      <c r="M1480" s="10"/>
      <c r="N1480" s="10"/>
    </row>
    <row r="1481" spans="9:14" x14ac:dyDescent="0.25">
      <c r="I1481" s="29"/>
      <c r="J1481" s="10"/>
      <c r="K1481" s="10"/>
      <c r="L1481" s="82"/>
      <c r="M1481" s="10"/>
      <c r="N1481" s="10"/>
    </row>
    <row r="1482" spans="9:14" x14ac:dyDescent="0.25">
      <c r="I1482" s="29"/>
      <c r="J1482" s="10"/>
      <c r="K1482" s="10"/>
      <c r="L1482" s="82"/>
      <c r="M1482" s="10"/>
      <c r="N1482" s="10"/>
    </row>
    <row r="1483" spans="9:14" x14ac:dyDescent="0.25">
      <c r="I1483" s="29"/>
      <c r="J1483" s="10"/>
      <c r="K1483" s="10"/>
      <c r="L1483" s="82"/>
      <c r="M1483" s="10"/>
      <c r="N1483" s="10"/>
    </row>
    <row r="1484" spans="9:14" x14ac:dyDescent="0.25">
      <c r="I1484" s="29"/>
      <c r="J1484" s="10"/>
      <c r="K1484" s="10"/>
      <c r="L1484" s="82"/>
      <c r="M1484" s="10"/>
      <c r="N1484" s="10"/>
    </row>
    <row r="1485" spans="9:14" x14ac:dyDescent="0.25">
      <c r="I1485" s="29"/>
      <c r="J1485" s="10"/>
      <c r="K1485" s="10"/>
      <c r="L1485" s="82"/>
      <c r="M1485" s="10"/>
      <c r="N1485" s="10"/>
    </row>
    <row r="1486" spans="9:14" x14ac:dyDescent="0.25">
      <c r="I1486" s="29"/>
      <c r="J1486" s="10"/>
      <c r="K1486" s="10"/>
      <c r="L1486" s="82"/>
      <c r="M1486" s="10"/>
      <c r="N1486" s="10"/>
    </row>
    <row r="1487" spans="9:14" x14ac:dyDescent="0.25">
      <c r="I1487" s="29"/>
      <c r="J1487" s="10"/>
      <c r="K1487" s="10"/>
      <c r="L1487" s="82"/>
      <c r="M1487" s="10"/>
      <c r="N1487" s="10"/>
    </row>
    <row r="1488" spans="9:14" x14ac:dyDescent="0.25">
      <c r="I1488" s="29"/>
      <c r="J1488" s="10"/>
      <c r="K1488" s="10"/>
      <c r="L1488" s="82"/>
      <c r="M1488" s="10"/>
      <c r="N1488" s="10"/>
    </row>
    <row r="1489" spans="9:14" x14ac:dyDescent="0.25">
      <c r="I1489" s="29"/>
      <c r="J1489" s="10"/>
      <c r="K1489" s="10"/>
      <c r="L1489" s="82"/>
      <c r="M1489" s="10"/>
      <c r="N1489" s="10"/>
    </row>
    <row r="1490" spans="9:14" x14ac:dyDescent="0.25">
      <c r="I1490" s="29"/>
      <c r="J1490" s="10"/>
      <c r="K1490" s="10"/>
      <c r="L1490" s="82"/>
      <c r="M1490" s="10"/>
      <c r="N1490" s="10"/>
    </row>
    <row r="1491" spans="9:14" x14ac:dyDescent="0.25">
      <c r="I1491" s="29"/>
      <c r="J1491" s="10"/>
      <c r="K1491" s="10"/>
      <c r="L1491" s="82"/>
      <c r="M1491" s="10"/>
      <c r="N1491" s="10"/>
    </row>
    <row r="1492" spans="9:14" x14ac:dyDescent="0.25">
      <c r="I1492" s="29"/>
      <c r="J1492" s="10"/>
      <c r="K1492" s="10"/>
      <c r="L1492" s="82"/>
      <c r="M1492" s="10"/>
      <c r="N1492" s="10"/>
    </row>
    <row r="1493" spans="9:14" x14ac:dyDescent="0.25">
      <c r="I1493" s="29"/>
      <c r="J1493" s="10"/>
      <c r="K1493" s="10"/>
      <c r="L1493" s="82"/>
      <c r="M1493" s="10"/>
      <c r="N1493" s="10"/>
    </row>
    <row r="1494" spans="9:14" x14ac:dyDescent="0.25">
      <c r="I1494" s="29"/>
      <c r="J1494" s="10"/>
      <c r="K1494" s="10"/>
      <c r="L1494" s="82"/>
      <c r="M1494" s="10"/>
      <c r="N1494" s="10"/>
    </row>
    <row r="1495" spans="9:14" x14ac:dyDescent="0.25">
      <c r="I1495" s="29"/>
      <c r="J1495" s="10"/>
      <c r="K1495" s="10"/>
      <c r="L1495" s="82"/>
      <c r="M1495" s="10"/>
      <c r="N1495" s="10"/>
    </row>
    <row r="1496" spans="9:14" x14ac:dyDescent="0.25">
      <c r="I1496" s="29"/>
      <c r="J1496" s="10"/>
      <c r="K1496" s="10"/>
      <c r="L1496" s="82"/>
      <c r="M1496" s="10"/>
      <c r="N1496" s="10"/>
    </row>
    <row r="1497" spans="9:14" x14ac:dyDescent="0.25">
      <c r="I1497" s="29"/>
      <c r="J1497" s="10"/>
      <c r="K1497" s="10"/>
      <c r="L1497" s="82"/>
      <c r="M1497" s="10"/>
      <c r="N1497" s="10"/>
    </row>
    <row r="1498" spans="9:14" x14ac:dyDescent="0.25">
      <c r="I1498" s="29"/>
      <c r="J1498" s="10"/>
      <c r="K1498" s="10"/>
      <c r="L1498" s="82"/>
      <c r="M1498" s="10"/>
      <c r="N1498" s="10"/>
    </row>
    <row r="1499" spans="9:14" x14ac:dyDescent="0.25">
      <c r="I1499" s="29"/>
      <c r="J1499" s="10"/>
      <c r="K1499" s="10"/>
      <c r="L1499" s="82"/>
      <c r="M1499" s="10"/>
      <c r="N1499" s="10"/>
    </row>
    <row r="1500" spans="9:14" x14ac:dyDescent="0.25">
      <c r="I1500" s="29"/>
      <c r="J1500" s="10"/>
      <c r="K1500" s="10"/>
      <c r="L1500" s="82"/>
      <c r="M1500" s="10"/>
      <c r="N1500" s="10"/>
    </row>
    <row r="1501" spans="9:14" x14ac:dyDescent="0.25">
      <c r="I1501" s="29"/>
      <c r="J1501" s="10"/>
      <c r="K1501" s="10"/>
      <c r="L1501" s="82"/>
      <c r="M1501" s="10"/>
      <c r="N1501" s="10"/>
    </row>
    <row r="1502" spans="9:14" x14ac:dyDescent="0.25">
      <c r="I1502" s="29"/>
      <c r="J1502" s="10"/>
      <c r="K1502" s="10"/>
      <c r="L1502" s="82"/>
      <c r="M1502" s="10"/>
      <c r="N1502" s="10"/>
    </row>
    <row r="1503" spans="9:14" x14ac:dyDescent="0.25">
      <c r="I1503" s="29"/>
      <c r="J1503" s="10"/>
      <c r="K1503" s="10"/>
      <c r="L1503" s="82"/>
      <c r="M1503" s="10"/>
      <c r="N1503" s="10"/>
    </row>
    <row r="1504" spans="9:14" x14ac:dyDescent="0.25">
      <c r="I1504" s="29"/>
      <c r="J1504" s="10"/>
      <c r="K1504" s="10"/>
      <c r="L1504" s="82"/>
      <c r="M1504" s="10"/>
      <c r="N1504" s="10"/>
    </row>
    <row r="1505" spans="9:14" x14ac:dyDescent="0.25">
      <c r="I1505" s="29"/>
      <c r="J1505" s="10"/>
      <c r="K1505" s="10"/>
      <c r="L1505" s="82"/>
      <c r="M1505" s="10"/>
      <c r="N1505" s="10"/>
    </row>
    <row r="1506" spans="9:14" x14ac:dyDescent="0.25">
      <c r="I1506" s="29"/>
      <c r="J1506" s="10"/>
      <c r="K1506" s="10"/>
      <c r="L1506" s="82"/>
      <c r="M1506" s="10"/>
      <c r="N1506" s="10"/>
    </row>
    <row r="1507" spans="9:14" x14ac:dyDescent="0.25">
      <c r="I1507" s="29"/>
      <c r="J1507" s="10"/>
      <c r="K1507" s="10"/>
      <c r="L1507" s="82"/>
      <c r="M1507" s="10"/>
      <c r="N1507" s="10"/>
    </row>
    <row r="1508" spans="9:14" x14ac:dyDescent="0.25">
      <c r="I1508" s="29"/>
      <c r="J1508" s="10"/>
      <c r="K1508" s="10"/>
      <c r="L1508" s="82"/>
      <c r="M1508" s="10"/>
      <c r="N1508" s="10"/>
    </row>
    <row r="1509" spans="9:14" x14ac:dyDescent="0.25">
      <c r="I1509" s="29"/>
      <c r="J1509" s="10"/>
      <c r="K1509" s="10"/>
      <c r="L1509" s="82"/>
      <c r="M1509" s="10"/>
      <c r="N1509" s="10"/>
    </row>
    <row r="1510" spans="9:14" x14ac:dyDescent="0.25">
      <c r="I1510" s="29"/>
      <c r="J1510" s="10"/>
      <c r="K1510" s="10"/>
      <c r="L1510" s="82"/>
      <c r="M1510" s="10"/>
      <c r="N1510" s="10"/>
    </row>
    <row r="1511" spans="9:14" x14ac:dyDescent="0.25">
      <c r="I1511" s="29"/>
      <c r="J1511" s="10"/>
      <c r="K1511" s="10"/>
      <c r="L1511" s="82"/>
      <c r="M1511" s="10"/>
      <c r="N1511" s="10"/>
    </row>
    <row r="1512" spans="9:14" x14ac:dyDescent="0.25">
      <c r="I1512" s="29"/>
      <c r="J1512" s="10"/>
      <c r="K1512" s="10"/>
      <c r="L1512" s="82"/>
      <c r="M1512" s="10"/>
      <c r="N1512" s="10"/>
    </row>
    <row r="1513" spans="9:14" x14ac:dyDescent="0.25">
      <c r="I1513" s="29"/>
      <c r="J1513" s="10"/>
      <c r="K1513" s="10"/>
      <c r="L1513" s="82"/>
      <c r="M1513" s="10"/>
      <c r="N1513" s="10"/>
    </row>
    <row r="1514" spans="9:14" x14ac:dyDescent="0.25">
      <c r="I1514" s="29"/>
      <c r="J1514" s="10"/>
      <c r="K1514" s="10"/>
      <c r="L1514" s="82"/>
      <c r="M1514" s="10"/>
      <c r="N1514" s="10"/>
    </row>
    <row r="1515" spans="9:14" x14ac:dyDescent="0.25">
      <c r="I1515" s="29"/>
      <c r="J1515" s="10"/>
      <c r="K1515" s="10"/>
      <c r="L1515" s="82"/>
      <c r="M1515" s="10"/>
      <c r="N1515" s="10"/>
    </row>
    <row r="1516" spans="9:14" x14ac:dyDescent="0.25">
      <c r="I1516" s="29"/>
      <c r="J1516" s="10"/>
      <c r="K1516" s="10"/>
      <c r="L1516" s="82"/>
      <c r="M1516" s="10"/>
      <c r="N1516" s="10"/>
    </row>
    <row r="1517" spans="9:14" x14ac:dyDescent="0.25">
      <c r="I1517" s="29"/>
      <c r="J1517" s="10"/>
      <c r="K1517" s="10"/>
      <c r="L1517" s="82"/>
      <c r="M1517" s="10"/>
      <c r="N1517" s="10"/>
    </row>
    <row r="1518" spans="9:14" x14ac:dyDescent="0.25">
      <c r="I1518" s="29"/>
      <c r="J1518" s="10"/>
      <c r="K1518" s="10"/>
      <c r="L1518" s="82"/>
      <c r="M1518" s="10"/>
      <c r="N1518" s="10"/>
    </row>
    <row r="1519" spans="9:14" x14ac:dyDescent="0.25">
      <c r="I1519" s="29"/>
      <c r="J1519" s="10"/>
      <c r="K1519" s="10"/>
      <c r="L1519" s="82"/>
      <c r="M1519" s="10"/>
      <c r="N1519" s="10"/>
    </row>
    <row r="1520" spans="9:14" x14ac:dyDescent="0.25">
      <c r="I1520" s="29"/>
      <c r="J1520" s="10"/>
      <c r="K1520" s="10"/>
      <c r="L1520" s="82"/>
      <c r="M1520" s="10"/>
      <c r="N1520" s="10"/>
    </row>
    <row r="1521" spans="9:14" x14ac:dyDescent="0.25">
      <c r="I1521" s="29"/>
      <c r="J1521" s="10"/>
      <c r="K1521" s="10"/>
      <c r="L1521" s="82"/>
      <c r="M1521" s="10"/>
      <c r="N1521" s="10"/>
    </row>
    <row r="1522" spans="9:14" x14ac:dyDescent="0.25">
      <c r="I1522" s="29"/>
      <c r="J1522" s="10"/>
      <c r="K1522" s="10"/>
      <c r="L1522" s="82"/>
      <c r="M1522" s="10"/>
      <c r="N1522" s="10"/>
    </row>
    <row r="1523" spans="9:14" x14ac:dyDescent="0.25">
      <c r="I1523" s="29"/>
      <c r="J1523" s="10"/>
      <c r="K1523" s="10"/>
      <c r="L1523" s="82"/>
      <c r="M1523" s="10"/>
      <c r="N1523" s="10"/>
    </row>
    <row r="1524" spans="9:14" x14ac:dyDescent="0.25">
      <c r="I1524" s="29"/>
      <c r="J1524" s="10"/>
      <c r="K1524" s="10"/>
      <c r="L1524" s="82"/>
      <c r="M1524" s="10"/>
      <c r="N1524" s="10"/>
    </row>
    <row r="1525" spans="9:14" x14ac:dyDescent="0.25">
      <c r="I1525" s="29"/>
      <c r="J1525" s="10"/>
      <c r="K1525" s="10"/>
      <c r="L1525" s="82"/>
      <c r="M1525" s="10"/>
      <c r="N1525" s="10"/>
    </row>
    <row r="1526" spans="9:14" x14ac:dyDescent="0.25">
      <c r="I1526" s="29"/>
      <c r="J1526" s="10"/>
      <c r="K1526" s="10"/>
      <c r="L1526" s="82"/>
      <c r="M1526" s="10"/>
      <c r="N1526" s="10"/>
    </row>
    <row r="1527" spans="9:14" x14ac:dyDescent="0.25">
      <c r="I1527" s="29"/>
      <c r="J1527" s="10"/>
      <c r="K1527" s="10"/>
      <c r="L1527" s="82"/>
      <c r="M1527" s="10"/>
      <c r="N1527" s="10"/>
    </row>
    <row r="1528" spans="9:14" x14ac:dyDescent="0.25">
      <c r="I1528" s="29"/>
      <c r="J1528" s="10"/>
      <c r="K1528" s="10"/>
      <c r="L1528" s="82"/>
      <c r="M1528" s="10"/>
      <c r="N1528" s="10"/>
    </row>
    <row r="1529" spans="9:14" x14ac:dyDescent="0.25">
      <c r="I1529" s="29"/>
      <c r="J1529" s="10"/>
      <c r="K1529" s="10"/>
      <c r="L1529" s="82"/>
      <c r="M1529" s="10"/>
      <c r="N1529" s="10"/>
    </row>
    <row r="1530" spans="9:14" x14ac:dyDescent="0.25">
      <c r="I1530" s="29"/>
      <c r="J1530" s="10"/>
      <c r="K1530" s="10"/>
      <c r="L1530" s="82"/>
      <c r="M1530" s="10"/>
      <c r="N1530" s="10"/>
    </row>
    <row r="1531" spans="9:14" x14ac:dyDescent="0.25">
      <c r="I1531" s="29"/>
      <c r="J1531" s="10"/>
      <c r="K1531" s="10"/>
      <c r="L1531" s="82"/>
      <c r="M1531" s="10"/>
      <c r="N1531" s="10"/>
    </row>
    <row r="1532" spans="9:14" x14ac:dyDescent="0.25">
      <c r="I1532" s="29"/>
      <c r="J1532" s="10"/>
      <c r="K1532" s="10"/>
      <c r="L1532" s="82"/>
      <c r="M1532" s="10"/>
      <c r="N1532" s="10"/>
    </row>
    <row r="1533" spans="9:14" x14ac:dyDescent="0.25">
      <c r="I1533" s="29"/>
      <c r="J1533" s="10"/>
      <c r="K1533" s="10"/>
      <c r="L1533" s="82"/>
      <c r="M1533" s="10"/>
      <c r="N1533" s="10"/>
    </row>
    <row r="1534" spans="9:14" x14ac:dyDescent="0.25">
      <c r="I1534" s="29"/>
      <c r="J1534" s="10"/>
      <c r="K1534" s="10"/>
      <c r="L1534" s="82"/>
      <c r="M1534" s="10"/>
      <c r="N1534" s="10"/>
    </row>
    <row r="1535" spans="9:14" x14ac:dyDescent="0.25">
      <c r="I1535" s="29"/>
      <c r="J1535" s="10"/>
      <c r="K1535" s="10"/>
      <c r="L1535" s="82"/>
      <c r="M1535" s="10"/>
      <c r="N1535" s="10"/>
    </row>
    <row r="1536" spans="9:14" x14ac:dyDescent="0.25">
      <c r="I1536" s="29"/>
      <c r="J1536" s="10"/>
      <c r="K1536" s="10"/>
      <c r="L1536" s="82"/>
      <c r="M1536" s="10"/>
      <c r="N1536" s="10"/>
    </row>
    <row r="1537" spans="9:14" x14ac:dyDescent="0.25">
      <c r="I1537" s="29"/>
      <c r="J1537" s="10"/>
      <c r="K1537" s="10"/>
      <c r="L1537" s="82"/>
      <c r="M1537" s="10"/>
      <c r="N1537" s="10"/>
    </row>
    <row r="1538" spans="9:14" x14ac:dyDescent="0.25">
      <c r="I1538" s="29"/>
      <c r="J1538" s="10"/>
      <c r="K1538" s="10"/>
      <c r="L1538" s="82"/>
      <c r="M1538" s="10"/>
      <c r="N1538" s="10"/>
    </row>
    <row r="1539" spans="9:14" x14ac:dyDescent="0.25">
      <c r="I1539" s="29"/>
      <c r="J1539" s="10"/>
      <c r="K1539" s="10"/>
      <c r="L1539" s="82"/>
      <c r="M1539" s="10"/>
      <c r="N1539" s="10"/>
    </row>
    <row r="1540" spans="9:14" x14ac:dyDescent="0.25">
      <c r="I1540" s="29"/>
      <c r="J1540" s="10"/>
      <c r="K1540" s="10"/>
      <c r="L1540" s="82"/>
      <c r="M1540" s="10"/>
      <c r="N1540" s="10"/>
    </row>
    <row r="1541" spans="9:14" x14ac:dyDescent="0.25">
      <c r="I1541" s="29"/>
      <c r="J1541" s="10"/>
      <c r="K1541" s="10"/>
      <c r="L1541" s="82"/>
      <c r="M1541" s="10"/>
      <c r="N1541" s="10"/>
    </row>
    <row r="1542" spans="9:14" x14ac:dyDescent="0.25">
      <c r="I1542" s="29"/>
      <c r="J1542" s="10"/>
      <c r="K1542" s="10"/>
      <c r="L1542" s="82"/>
      <c r="M1542" s="10"/>
      <c r="N1542" s="10"/>
    </row>
    <row r="1543" spans="9:14" x14ac:dyDescent="0.25">
      <c r="I1543" s="29"/>
      <c r="J1543" s="10"/>
      <c r="K1543" s="10"/>
      <c r="L1543" s="82"/>
      <c r="M1543" s="10"/>
      <c r="N1543" s="10"/>
    </row>
    <row r="1544" spans="9:14" x14ac:dyDescent="0.25">
      <c r="I1544" s="29"/>
      <c r="J1544" s="10"/>
      <c r="K1544" s="10"/>
      <c r="L1544" s="82"/>
      <c r="M1544" s="10"/>
      <c r="N1544" s="10"/>
    </row>
    <row r="1545" spans="9:14" x14ac:dyDescent="0.25">
      <c r="I1545" s="29"/>
      <c r="J1545" s="10"/>
      <c r="K1545" s="10"/>
      <c r="L1545" s="82"/>
      <c r="M1545" s="10"/>
      <c r="N1545" s="10"/>
    </row>
    <row r="1546" spans="9:14" x14ac:dyDescent="0.25">
      <c r="I1546" s="29"/>
      <c r="J1546" s="10"/>
      <c r="K1546" s="10"/>
      <c r="L1546" s="82"/>
      <c r="M1546" s="10"/>
      <c r="N1546" s="10"/>
    </row>
    <row r="1547" spans="9:14" x14ac:dyDescent="0.25">
      <c r="I1547" s="29"/>
      <c r="J1547" s="10"/>
      <c r="K1547" s="10"/>
      <c r="L1547" s="82"/>
      <c r="M1547" s="10"/>
      <c r="N1547" s="10"/>
    </row>
    <row r="1548" spans="9:14" x14ac:dyDescent="0.25">
      <c r="I1548" s="29"/>
      <c r="J1548" s="10"/>
      <c r="K1548" s="10"/>
      <c r="L1548" s="82"/>
      <c r="M1548" s="10"/>
      <c r="N1548" s="10"/>
    </row>
    <row r="1549" spans="9:14" x14ac:dyDescent="0.25">
      <c r="I1549" s="29"/>
      <c r="J1549" s="10"/>
      <c r="K1549" s="10"/>
      <c r="L1549" s="82"/>
      <c r="M1549" s="10"/>
      <c r="N1549" s="10"/>
    </row>
    <row r="1550" spans="9:14" x14ac:dyDescent="0.25">
      <c r="I1550" s="29"/>
      <c r="J1550" s="10"/>
      <c r="K1550" s="10"/>
      <c r="L1550" s="82"/>
      <c r="M1550" s="10"/>
      <c r="N1550" s="10"/>
    </row>
    <row r="1551" spans="9:14" x14ac:dyDescent="0.25">
      <c r="I1551" s="29"/>
      <c r="J1551" s="10"/>
      <c r="K1551" s="10"/>
      <c r="L1551" s="82"/>
      <c r="M1551" s="10"/>
      <c r="N1551" s="10"/>
    </row>
    <row r="1552" spans="9:14" x14ac:dyDescent="0.25">
      <c r="I1552" s="29"/>
      <c r="J1552" s="10"/>
      <c r="K1552" s="10"/>
      <c r="L1552" s="82"/>
      <c r="M1552" s="10"/>
      <c r="N1552" s="10"/>
    </row>
    <row r="1553" spans="9:14" x14ac:dyDescent="0.25">
      <c r="I1553" s="29"/>
      <c r="J1553" s="10"/>
      <c r="K1553" s="10"/>
      <c r="L1553" s="82"/>
      <c r="M1553" s="10"/>
      <c r="N1553" s="10"/>
    </row>
    <row r="1554" spans="9:14" x14ac:dyDescent="0.25">
      <c r="I1554" s="29"/>
      <c r="J1554" s="10"/>
      <c r="K1554" s="10"/>
      <c r="L1554" s="82"/>
      <c r="M1554" s="10"/>
      <c r="N1554" s="10"/>
    </row>
    <row r="1555" spans="9:14" x14ac:dyDescent="0.25">
      <c r="I1555" s="29"/>
      <c r="J1555" s="10"/>
      <c r="K1555" s="10"/>
      <c r="L1555" s="82"/>
      <c r="M1555" s="10"/>
      <c r="N1555" s="10"/>
    </row>
    <row r="1556" spans="9:14" x14ac:dyDescent="0.25">
      <c r="I1556" s="29"/>
      <c r="J1556" s="10"/>
      <c r="K1556" s="10"/>
      <c r="L1556" s="82"/>
      <c r="M1556" s="10"/>
      <c r="N1556" s="10"/>
    </row>
    <row r="1557" spans="9:14" x14ac:dyDescent="0.25">
      <c r="I1557" s="29"/>
      <c r="J1557" s="10"/>
      <c r="K1557" s="10"/>
      <c r="L1557" s="82"/>
      <c r="M1557" s="10"/>
      <c r="N1557" s="10"/>
    </row>
    <row r="1558" spans="9:14" x14ac:dyDescent="0.25">
      <c r="I1558" s="29"/>
      <c r="J1558" s="10"/>
      <c r="K1558" s="10"/>
      <c r="L1558" s="82"/>
      <c r="M1558" s="10"/>
      <c r="N1558" s="10"/>
    </row>
    <row r="1559" spans="9:14" x14ac:dyDescent="0.25">
      <c r="I1559" s="29"/>
      <c r="J1559" s="10"/>
      <c r="K1559" s="10"/>
      <c r="L1559" s="82"/>
      <c r="M1559" s="10"/>
      <c r="N1559" s="10"/>
    </row>
    <row r="1560" spans="9:14" x14ac:dyDescent="0.25">
      <c r="I1560" s="29"/>
      <c r="J1560" s="10"/>
      <c r="K1560" s="10"/>
      <c r="L1560" s="82"/>
      <c r="M1560" s="10"/>
      <c r="N1560" s="10"/>
    </row>
    <row r="1561" spans="9:14" x14ac:dyDescent="0.25">
      <c r="I1561" s="29"/>
      <c r="J1561" s="10"/>
      <c r="K1561" s="10"/>
      <c r="L1561" s="82"/>
      <c r="M1561" s="10"/>
      <c r="N1561" s="10"/>
    </row>
    <row r="1562" spans="9:14" x14ac:dyDescent="0.25">
      <c r="I1562" s="29"/>
      <c r="J1562" s="10"/>
      <c r="K1562" s="10"/>
      <c r="L1562" s="82"/>
      <c r="M1562" s="10"/>
      <c r="N1562" s="10"/>
    </row>
    <row r="1563" spans="9:14" x14ac:dyDescent="0.25">
      <c r="I1563" s="29"/>
      <c r="J1563" s="10"/>
      <c r="K1563" s="10"/>
      <c r="L1563" s="82"/>
      <c r="M1563" s="10"/>
      <c r="N1563" s="10"/>
    </row>
    <row r="1564" spans="9:14" x14ac:dyDescent="0.25">
      <c r="I1564" s="29"/>
      <c r="J1564" s="10"/>
      <c r="K1564" s="10"/>
      <c r="L1564" s="82"/>
      <c r="M1564" s="10"/>
      <c r="N1564" s="10"/>
    </row>
    <row r="1565" spans="9:14" x14ac:dyDescent="0.25">
      <c r="I1565" s="29"/>
      <c r="J1565" s="10"/>
      <c r="K1565" s="10"/>
      <c r="L1565" s="82"/>
      <c r="M1565" s="10"/>
      <c r="N1565" s="10"/>
    </row>
    <row r="1566" spans="9:14" x14ac:dyDescent="0.25">
      <c r="I1566" s="29"/>
      <c r="J1566" s="10"/>
      <c r="K1566" s="10"/>
      <c r="L1566" s="82"/>
      <c r="M1566" s="10"/>
      <c r="N1566" s="10"/>
    </row>
    <row r="1567" spans="9:14" x14ac:dyDescent="0.25">
      <c r="I1567" s="29"/>
      <c r="J1567" s="10"/>
      <c r="K1567" s="10"/>
      <c r="L1567" s="82"/>
      <c r="M1567" s="10"/>
      <c r="N1567" s="10"/>
    </row>
    <row r="1568" spans="9:14" x14ac:dyDescent="0.25">
      <c r="I1568" s="29"/>
      <c r="J1568" s="10"/>
      <c r="K1568" s="10"/>
      <c r="L1568" s="82"/>
      <c r="M1568" s="10"/>
      <c r="N1568" s="10"/>
    </row>
    <row r="1569" spans="9:14" x14ac:dyDescent="0.25">
      <c r="I1569" s="29"/>
      <c r="J1569" s="10"/>
      <c r="K1569" s="10"/>
      <c r="L1569" s="82"/>
      <c r="M1569" s="10"/>
      <c r="N1569" s="10"/>
    </row>
    <row r="1570" spans="9:14" x14ac:dyDescent="0.25">
      <c r="I1570" s="29"/>
      <c r="J1570" s="10"/>
      <c r="K1570" s="10"/>
      <c r="L1570" s="82"/>
      <c r="M1570" s="10"/>
      <c r="N1570" s="10"/>
    </row>
    <row r="1571" spans="9:14" x14ac:dyDescent="0.25">
      <c r="I1571" s="29"/>
      <c r="J1571" s="10"/>
      <c r="K1571" s="10"/>
      <c r="L1571" s="82"/>
      <c r="M1571" s="10"/>
      <c r="N1571" s="10"/>
    </row>
    <row r="1572" spans="9:14" x14ac:dyDescent="0.25">
      <c r="I1572" s="29"/>
      <c r="J1572" s="10"/>
      <c r="K1572" s="10"/>
      <c r="L1572" s="82"/>
      <c r="M1572" s="10"/>
      <c r="N1572" s="10"/>
    </row>
    <row r="1573" spans="9:14" x14ac:dyDescent="0.25">
      <c r="I1573" s="29"/>
      <c r="J1573" s="10"/>
      <c r="K1573" s="10"/>
      <c r="L1573" s="82"/>
      <c r="M1573" s="10"/>
      <c r="N1573" s="10"/>
    </row>
    <row r="1574" spans="9:14" x14ac:dyDescent="0.25">
      <c r="I1574" s="29"/>
      <c r="J1574" s="10"/>
      <c r="K1574" s="10"/>
      <c r="L1574" s="82"/>
      <c r="M1574" s="10"/>
      <c r="N1574" s="10"/>
    </row>
    <row r="1575" spans="9:14" x14ac:dyDescent="0.25">
      <c r="I1575" s="29"/>
      <c r="J1575" s="10"/>
      <c r="K1575" s="10"/>
      <c r="L1575" s="82"/>
      <c r="M1575" s="10"/>
      <c r="N1575" s="10"/>
    </row>
    <row r="1576" spans="9:14" x14ac:dyDescent="0.25">
      <c r="I1576" s="29"/>
      <c r="J1576" s="10"/>
      <c r="K1576" s="10"/>
      <c r="L1576" s="82"/>
      <c r="M1576" s="10"/>
      <c r="N1576" s="10"/>
    </row>
    <row r="1577" spans="9:14" x14ac:dyDescent="0.25">
      <c r="I1577" s="29"/>
      <c r="J1577" s="10"/>
      <c r="K1577" s="10"/>
      <c r="L1577" s="82"/>
      <c r="M1577" s="10"/>
      <c r="N1577" s="10"/>
    </row>
    <row r="1578" spans="9:14" x14ac:dyDescent="0.25">
      <c r="I1578" s="29"/>
      <c r="J1578" s="10"/>
      <c r="K1578" s="10"/>
      <c r="L1578" s="82"/>
      <c r="M1578" s="10"/>
      <c r="N1578" s="10"/>
    </row>
    <row r="1579" spans="9:14" x14ac:dyDescent="0.25">
      <c r="I1579" s="29"/>
      <c r="J1579" s="10"/>
      <c r="K1579" s="10"/>
      <c r="L1579" s="82"/>
      <c r="M1579" s="10"/>
      <c r="N1579" s="10"/>
    </row>
    <row r="1580" spans="9:14" x14ac:dyDescent="0.25">
      <c r="I1580" s="29"/>
      <c r="J1580" s="10"/>
      <c r="K1580" s="10"/>
      <c r="L1580" s="82"/>
      <c r="M1580" s="10"/>
      <c r="N1580" s="10"/>
    </row>
    <row r="1581" spans="9:14" x14ac:dyDescent="0.25">
      <c r="I1581" s="29"/>
      <c r="J1581" s="10"/>
      <c r="K1581" s="10"/>
      <c r="L1581" s="82"/>
      <c r="M1581" s="10"/>
      <c r="N1581" s="10"/>
    </row>
    <row r="1582" spans="9:14" x14ac:dyDescent="0.25">
      <c r="I1582" s="29"/>
      <c r="J1582" s="10"/>
      <c r="K1582" s="10"/>
      <c r="L1582" s="82"/>
      <c r="M1582" s="10"/>
      <c r="N1582" s="10"/>
    </row>
    <row r="1583" spans="9:14" x14ac:dyDescent="0.25">
      <c r="I1583" s="29"/>
      <c r="J1583" s="10"/>
      <c r="K1583" s="10"/>
      <c r="L1583" s="82"/>
      <c r="M1583" s="10"/>
      <c r="N1583" s="10"/>
    </row>
    <row r="1584" spans="9:14" x14ac:dyDescent="0.25">
      <c r="I1584" s="29"/>
      <c r="J1584" s="10"/>
      <c r="K1584" s="10"/>
      <c r="L1584" s="82"/>
      <c r="M1584" s="10"/>
      <c r="N1584" s="10"/>
    </row>
    <row r="1585" spans="9:14" x14ac:dyDescent="0.25">
      <c r="I1585" s="29"/>
      <c r="J1585" s="10"/>
      <c r="K1585" s="10"/>
      <c r="L1585" s="82"/>
      <c r="M1585" s="10"/>
      <c r="N1585" s="10"/>
    </row>
    <row r="1586" spans="9:14" x14ac:dyDescent="0.25">
      <c r="I1586" s="29"/>
      <c r="J1586" s="10"/>
      <c r="K1586" s="10"/>
      <c r="L1586" s="82"/>
      <c r="M1586" s="10"/>
      <c r="N1586" s="10"/>
    </row>
    <row r="1587" spans="9:14" x14ac:dyDescent="0.25">
      <c r="I1587" s="29"/>
      <c r="J1587" s="10"/>
      <c r="K1587" s="10"/>
      <c r="L1587" s="82"/>
      <c r="M1587" s="10"/>
      <c r="N1587" s="10"/>
    </row>
    <row r="1588" spans="9:14" x14ac:dyDescent="0.25">
      <c r="I1588" s="29"/>
      <c r="J1588" s="10"/>
      <c r="K1588" s="10"/>
      <c r="L1588" s="82"/>
      <c r="M1588" s="10"/>
      <c r="N1588" s="10"/>
    </row>
    <row r="1589" spans="9:14" x14ac:dyDescent="0.25">
      <c r="I1589" s="29"/>
      <c r="J1589" s="10"/>
      <c r="K1589" s="10"/>
      <c r="L1589" s="82"/>
      <c r="M1589" s="10"/>
      <c r="N1589" s="10"/>
    </row>
    <row r="1590" spans="9:14" x14ac:dyDescent="0.25">
      <c r="I1590" s="29"/>
      <c r="J1590" s="10"/>
      <c r="K1590" s="10"/>
      <c r="L1590" s="82"/>
      <c r="M1590" s="10"/>
      <c r="N1590" s="10"/>
    </row>
    <row r="1591" spans="9:14" x14ac:dyDescent="0.25">
      <c r="I1591" s="29"/>
      <c r="J1591" s="10"/>
      <c r="K1591" s="10"/>
      <c r="L1591" s="82"/>
      <c r="M1591" s="10"/>
      <c r="N1591" s="10"/>
    </row>
    <row r="1592" spans="9:14" x14ac:dyDescent="0.25">
      <c r="I1592" s="29"/>
      <c r="J1592" s="10"/>
      <c r="K1592" s="10"/>
      <c r="L1592" s="82"/>
      <c r="M1592" s="10"/>
      <c r="N1592" s="10"/>
    </row>
    <row r="1593" spans="9:14" x14ac:dyDescent="0.25">
      <c r="I1593" s="29"/>
      <c r="J1593" s="10"/>
      <c r="K1593" s="10"/>
      <c r="L1593" s="82"/>
      <c r="M1593" s="10"/>
      <c r="N1593" s="10"/>
    </row>
    <row r="1594" spans="9:14" x14ac:dyDescent="0.25">
      <c r="I1594" s="29"/>
      <c r="J1594" s="10"/>
      <c r="K1594" s="10"/>
      <c r="L1594" s="82"/>
      <c r="M1594" s="10"/>
      <c r="N1594" s="10"/>
    </row>
    <row r="1595" spans="9:14" x14ac:dyDescent="0.25">
      <c r="I1595" s="29"/>
      <c r="J1595" s="10"/>
      <c r="K1595" s="10"/>
      <c r="L1595" s="82"/>
      <c r="M1595" s="10"/>
      <c r="N1595" s="10"/>
    </row>
    <row r="1596" spans="9:14" x14ac:dyDescent="0.25">
      <c r="I1596" s="29"/>
      <c r="J1596" s="10"/>
      <c r="K1596" s="10"/>
      <c r="L1596" s="82"/>
      <c r="M1596" s="10"/>
      <c r="N1596" s="10"/>
    </row>
    <row r="1597" spans="9:14" x14ac:dyDescent="0.25">
      <c r="I1597" s="29"/>
      <c r="J1597" s="10"/>
      <c r="K1597" s="10"/>
      <c r="L1597" s="82"/>
      <c r="M1597" s="10"/>
      <c r="N1597" s="10"/>
    </row>
    <row r="1598" spans="9:14" x14ac:dyDescent="0.25">
      <c r="I1598" s="29"/>
      <c r="J1598" s="10"/>
      <c r="K1598" s="10"/>
      <c r="L1598" s="82"/>
      <c r="M1598" s="10"/>
      <c r="N1598" s="10"/>
    </row>
    <row r="1599" spans="9:14" x14ac:dyDescent="0.25">
      <c r="I1599" s="29"/>
      <c r="J1599" s="10"/>
      <c r="K1599" s="10"/>
      <c r="L1599" s="82"/>
      <c r="M1599" s="10"/>
      <c r="N1599" s="10"/>
    </row>
    <row r="1600" spans="9:14" x14ac:dyDescent="0.25">
      <c r="I1600" s="29"/>
      <c r="J1600" s="10"/>
      <c r="K1600" s="10"/>
      <c r="L1600" s="82"/>
      <c r="M1600" s="10"/>
      <c r="N1600" s="10"/>
    </row>
    <row r="1601" spans="9:14" x14ac:dyDescent="0.25">
      <c r="I1601" s="29"/>
      <c r="J1601" s="10"/>
      <c r="K1601" s="10"/>
      <c r="L1601" s="82"/>
      <c r="M1601" s="10"/>
      <c r="N1601" s="10"/>
    </row>
    <row r="1602" spans="9:14" x14ac:dyDescent="0.25">
      <c r="I1602" s="29"/>
      <c r="J1602" s="10"/>
      <c r="K1602" s="10"/>
      <c r="L1602" s="82"/>
      <c r="M1602" s="10"/>
      <c r="N1602" s="10"/>
    </row>
    <row r="1603" spans="9:14" x14ac:dyDescent="0.25">
      <c r="I1603" s="29"/>
      <c r="J1603" s="10"/>
      <c r="K1603" s="10"/>
      <c r="L1603" s="82"/>
      <c r="M1603" s="10"/>
      <c r="N1603" s="10"/>
    </row>
    <row r="1604" spans="9:14" x14ac:dyDescent="0.25">
      <c r="I1604" s="29"/>
      <c r="J1604" s="10"/>
      <c r="K1604" s="10"/>
      <c r="L1604" s="82"/>
      <c r="M1604" s="10"/>
      <c r="N1604" s="10"/>
    </row>
    <row r="1605" spans="9:14" x14ac:dyDescent="0.25">
      <c r="I1605" s="29"/>
      <c r="J1605" s="10"/>
      <c r="K1605" s="10"/>
      <c r="L1605" s="82"/>
      <c r="M1605" s="10"/>
      <c r="N1605" s="10"/>
    </row>
    <row r="1606" spans="9:14" x14ac:dyDescent="0.25">
      <c r="I1606" s="29"/>
      <c r="J1606" s="10"/>
      <c r="K1606" s="10"/>
      <c r="L1606" s="82"/>
      <c r="M1606" s="10"/>
      <c r="N1606" s="10"/>
    </row>
    <row r="1607" spans="9:14" x14ac:dyDescent="0.25">
      <c r="I1607" s="29"/>
      <c r="J1607" s="10"/>
      <c r="K1607" s="10"/>
      <c r="L1607" s="82"/>
      <c r="M1607" s="10"/>
      <c r="N1607" s="10"/>
    </row>
    <row r="1608" spans="9:14" x14ac:dyDescent="0.25">
      <c r="I1608" s="29"/>
      <c r="J1608" s="10"/>
      <c r="K1608" s="10"/>
      <c r="L1608" s="82"/>
      <c r="M1608" s="10"/>
      <c r="N1608" s="10"/>
    </row>
  </sheetData>
  <mergeCells count="2">
    <mergeCell ref="A3:C3"/>
    <mergeCell ref="A18:C18"/>
  </mergeCells>
  <phoneticPr fontId="13" type="noConversion"/>
  <printOptions horizontalCentered="1"/>
  <pageMargins left="0.75" right="0.75" top="1" bottom="1" header="0.5" footer="0.5"/>
  <pageSetup paperSize="8" scale="69" fitToHeight="3" orientation="landscape" horizontalDpi="2400" verticalDpi="24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170</vt:i4>
      </vt:variant>
    </vt:vector>
  </HeadingPairs>
  <TitlesOfParts>
    <vt:vector size="185" baseType="lpstr">
      <vt:lpstr>0.Data Sheet</vt:lpstr>
      <vt:lpstr>Table of Content</vt:lpstr>
      <vt:lpstr>1.0Summary of abstract cost</vt:lpstr>
      <vt:lpstr>2.0Abstract of Cost</vt:lpstr>
      <vt:lpstr>3.0Quantity</vt:lpstr>
      <vt:lpstr>4.0Summary of Rates</vt:lpstr>
      <vt:lpstr>Superstructure details</vt:lpstr>
      <vt:lpstr>5.0 District Rate</vt:lpstr>
      <vt:lpstr>6.0 transportation</vt:lpstr>
      <vt:lpstr>6 Transportation Haulage</vt:lpstr>
      <vt:lpstr>7.0 Rates+ Transport</vt:lpstr>
      <vt:lpstr>8.0 Final rate analysis</vt:lpstr>
      <vt:lpstr>Sheet1</vt:lpstr>
      <vt:lpstr>SPECIFICATION </vt:lpstr>
      <vt:lpstr>Veh</vt:lpstr>
      <vt:lpstr>_agg10</vt:lpstr>
      <vt:lpstr>_Agg20</vt:lpstr>
      <vt:lpstr>_Agg40</vt:lpstr>
      <vt:lpstr>_gab2</vt:lpstr>
      <vt:lpstr>ab_b1</vt:lpstr>
      <vt:lpstr>ab_b2</vt:lpstr>
      <vt:lpstr>ab_b3</vt:lpstr>
      <vt:lpstr>ab_b4</vt:lpstr>
      <vt:lpstr>ab_b5</vt:lpstr>
      <vt:lpstr>ab_b6</vt:lpstr>
      <vt:lpstr>ab_b7</vt:lpstr>
      <vt:lpstr>ab_b8</vt:lpstr>
      <vt:lpstr>ab_b9</vt:lpstr>
      <vt:lpstr>ab_h1</vt:lpstr>
      <vt:lpstr>ab_h2</vt:lpstr>
      <vt:lpstr>ab_h3</vt:lpstr>
      <vt:lpstr>ab_h4</vt:lpstr>
      <vt:lpstr>ab_h5</vt:lpstr>
      <vt:lpstr>ab_h6</vt:lpstr>
      <vt:lpstr>ab_width</vt:lpstr>
      <vt:lpstr>admixtures</vt:lpstr>
      <vt:lpstr>Anchorage</vt:lpstr>
      <vt:lpstr>b_1</vt:lpstr>
      <vt:lpstr>b_3</vt:lpstr>
      <vt:lpstr>ba_h2</vt:lpstr>
      <vt:lpstr>backfilling_granular</vt:lpstr>
      <vt:lpstr>backfilling_local</vt:lpstr>
      <vt:lpstr>baseagg</vt:lpstr>
      <vt:lpstr>Bearing</vt:lpstr>
      <vt:lpstr>Bentonite</vt:lpstr>
      <vt:lpstr>Bentonitepump</vt:lpstr>
      <vt:lpstr>binding</vt:lpstr>
      <vt:lpstr>bitumen</vt:lpstr>
      <vt:lpstr>boiler</vt:lpstr>
      <vt:lpstr>cement</vt:lpstr>
      <vt:lpstr>Clamp</vt:lpstr>
      <vt:lpstr>client_1</vt:lpstr>
      <vt:lpstr>compressor</vt:lpstr>
      <vt:lpstr>conc_sub</vt:lpstr>
      <vt:lpstr>crane</vt:lpstr>
      <vt:lpstr>diesel</vt:lpstr>
      <vt:lpstr>driller</vt:lpstr>
      <vt:lpstr>enamel</vt:lpstr>
      <vt:lpstr>end_pcc_foundation_rate</vt:lpstr>
      <vt:lpstr>end_rivertrainig_rate</vt:lpstr>
      <vt:lpstr>Engineer</vt:lpstr>
      <vt:lpstr>exc_3mto6m</vt:lpstr>
      <vt:lpstr>exc_ord_abv6m</vt:lpstr>
      <vt:lpstr>exc_ord_soil_abv6m</vt:lpstr>
      <vt:lpstr>exc_upt3m</vt:lpstr>
      <vt:lpstr>excavator</vt:lpstr>
      <vt:lpstr>expansion_joint</vt:lpstr>
      <vt:lpstr>expansionjoint</vt:lpstr>
      <vt:lpstr>false_3to6_RCC</vt:lpstr>
      <vt:lpstr>filtermat</vt:lpstr>
      <vt:lpstr>finish_abs_RCC_designed</vt:lpstr>
      <vt:lpstr>Finish_Quantity_PSC</vt:lpstr>
      <vt:lpstr>Finish_Quantity_RCC_designed</vt:lpstr>
      <vt:lpstr>formw_foundnfooting_F1</vt:lpstr>
      <vt:lpstr>formw_slabnbeam_F2_nofalsew</vt:lpstr>
      <vt:lpstr>formw_vertwall_F2_6mto9m</vt:lpstr>
      <vt:lpstr>found_type</vt:lpstr>
      <vt:lpstr>gabion_1x1x1</vt:lpstr>
      <vt:lpstr>gabion_2x1x1</vt:lpstr>
      <vt:lpstr>gabion_3x1x1</vt:lpstr>
      <vt:lpstr>generator</vt:lpstr>
      <vt:lpstr>geo_textile_rate</vt:lpstr>
      <vt:lpstr>Geotextile</vt:lpstr>
      <vt:lpstr>GIpipe75mm</vt:lpstr>
      <vt:lpstr>grader</vt:lpstr>
      <vt:lpstr>granular_soil</vt:lpstr>
      <vt:lpstr>groutingpump</vt:lpstr>
      <vt:lpstr>h_2</vt:lpstr>
      <vt:lpstr>h_3</vt:lpstr>
      <vt:lpstr>hh_1</vt:lpstr>
      <vt:lpstr>kerosene</vt:lpstr>
      <vt:lpstr>l_as</vt:lpstr>
      <vt:lpstr>Le</vt:lpstr>
      <vt:lpstr>loader</vt:lpstr>
      <vt:lpstr>mixer</vt:lpstr>
      <vt:lpstr>mr</vt:lpstr>
      <vt:lpstr>MSpipe40</vt:lpstr>
      <vt:lpstr>mssheetandangle</vt:lpstr>
      <vt:lpstr>n_girder</vt:lpstr>
      <vt:lpstr>n_span</vt:lpstr>
      <vt:lpstr>nail</vt:lpstr>
      <vt:lpstr>nspan</vt:lpstr>
      <vt:lpstr>nuts</vt:lpstr>
      <vt:lpstr>pcc_M10_found</vt:lpstr>
      <vt:lpstr>pcc_m25_foundation</vt:lpstr>
      <vt:lpstr>petrol</vt:lpstr>
      <vt:lpstr>PI_b</vt:lpstr>
      <vt:lpstr>PI_b1</vt:lpstr>
      <vt:lpstr>PI_b2</vt:lpstr>
      <vt:lpstr>PI_b3</vt:lpstr>
      <vt:lpstr>PI_b4</vt:lpstr>
      <vt:lpstr>PI_b5</vt:lpstr>
      <vt:lpstr>PI_b6</vt:lpstr>
      <vt:lpstr>PI_b8</vt:lpstr>
      <vt:lpstr>PI_b9</vt:lpstr>
      <vt:lpstr>Pi_D</vt:lpstr>
      <vt:lpstr>PI_h1</vt:lpstr>
      <vt:lpstr>PI_h2</vt:lpstr>
      <vt:lpstr>PI_h3</vt:lpstr>
      <vt:lpstr>PI_h4</vt:lpstr>
      <vt:lpstr>PI_h5</vt:lpstr>
      <vt:lpstr>Pile_dia</vt:lpstr>
      <vt:lpstr>pilingrig</vt:lpstr>
      <vt:lpstr>Ply9mm</vt:lpstr>
      <vt:lpstr>pot_bearing</vt:lpstr>
      <vt:lpstr>primer</vt:lpstr>
      <vt:lpstr>'1.0Summary of abstract cost'!Print_Area</vt:lpstr>
      <vt:lpstr>'2.0Abstract of Cost'!Print_Area</vt:lpstr>
      <vt:lpstr>'3.0Quantity'!Print_Area</vt:lpstr>
      <vt:lpstr>'4.0Summary of Rates'!Print_Area</vt:lpstr>
      <vt:lpstr>'5.0 District Rate'!Print_Area</vt:lpstr>
      <vt:lpstr>'6.0 transportation'!Print_Area</vt:lpstr>
      <vt:lpstr>'7.0 Rates+ Transport'!Print_Area</vt:lpstr>
      <vt:lpstr>'8.0 Final rate analysis'!Print_Area</vt:lpstr>
      <vt:lpstr>'Table of Content'!Print_Area</vt:lpstr>
      <vt:lpstr>Veh!Print_Area</vt:lpstr>
      <vt:lpstr>'2.0Abstract of Cost'!Print_Titles</vt:lpstr>
      <vt:lpstr>'3.0Quantity'!Print_Titles</vt:lpstr>
      <vt:lpstr>'4.0Summary of Rates'!Print_Titles</vt:lpstr>
      <vt:lpstr>'6.0 transportation'!Print_Titles</vt:lpstr>
      <vt:lpstr>'7.0 Rates+ Transport'!Print_Titles</vt:lpstr>
      <vt:lpstr>'8.0 Final rate analysis'!Print_Titles</vt:lpstr>
      <vt:lpstr>'SPECIFICATION '!Print_Titles</vt:lpstr>
      <vt:lpstr>PSC</vt:lpstr>
      <vt:lpstr>Rammer</vt:lpstr>
      <vt:lpstr>rcc_m25_solid_super_above10m</vt:lpstr>
      <vt:lpstr>rcc_m25_substr_5mto10m</vt:lpstr>
      <vt:lpstr>RCCS</vt:lpstr>
      <vt:lpstr>RDengine</vt:lpstr>
      <vt:lpstr>Ready</vt:lpstr>
      <vt:lpstr>reinf_HYSD_foundation</vt:lpstr>
      <vt:lpstr>reinf_HYSD_sub</vt:lpstr>
      <vt:lpstr>reinf_HYSD_superstr</vt:lpstr>
      <vt:lpstr>reinforcement</vt:lpstr>
      <vt:lpstr>RRM_1_4</vt:lpstr>
      <vt:lpstr>sand</vt:lpstr>
      <vt:lpstr>skilled</vt:lpstr>
      <vt:lpstr>sprayer</vt:lpstr>
      <vt:lpstr>sr</vt:lpstr>
      <vt:lpstr>Start_abs_RCC_designed</vt:lpstr>
      <vt:lpstr>start_earthwork</vt:lpstr>
      <vt:lpstr>Start_form_timber</vt:lpstr>
      <vt:lpstr>start_pcc_foundation_rate</vt:lpstr>
      <vt:lpstr>Start_Quantity_RCC_Designed</vt:lpstr>
      <vt:lpstr>start_rivertraining_rate</vt:lpstr>
      <vt:lpstr>Steelplate</vt:lpstr>
      <vt:lpstr>Steeltube</vt:lpstr>
      <vt:lpstr>stone</vt:lpstr>
      <vt:lpstr>stone_soling</vt:lpstr>
      <vt:lpstr>structural_steel</vt:lpstr>
      <vt:lpstr>Subbase_material</vt:lpstr>
      <vt:lpstr>Super_RCC_DESIGNED</vt:lpstr>
      <vt:lpstr>Super_type</vt:lpstr>
      <vt:lpstr>Technician</vt:lpstr>
      <vt:lpstr>Tendonseath</vt:lpstr>
      <vt:lpstr>tendonwire</vt:lpstr>
      <vt:lpstr>timber</vt:lpstr>
      <vt:lpstr>tractor</vt:lpstr>
      <vt:lpstr>truck</vt:lpstr>
      <vt:lpstr>unskilled</vt:lpstr>
      <vt:lpstr>ur</vt:lpstr>
      <vt:lpstr>vibratingroller</vt:lpstr>
      <vt:lpstr>vibrator</vt:lpstr>
      <vt:lpstr>water</vt:lpstr>
      <vt:lpstr>waterbowser</vt:lpstr>
    </vt:vector>
  </TitlesOfParts>
  <Company>Soil Test [P]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Bhabuk Raj Aryal</dc:creator>
  <cp:lastModifiedBy>Impulse</cp:lastModifiedBy>
  <cp:lastPrinted>2022-06-12T05:31:56Z</cp:lastPrinted>
  <dcterms:created xsi:type="dcterms:W3CDTF">2000-07-06T18:39:18Z</dcterms:created>
  <dcterms:modified xsi:type="dcterms:W3CDTF">2022-06-19T10:20:11Z</dcterms:modified>
</cp:coreProperties>
</file>